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Backups\InsiderTechSol\Aviation\Jetelio_v3\.LAYOUT\"/>
    </mc:Choice>
  </mc:AlternateContent>
  <xr:revisionPtr revIDLastSave="0" documentId="13_ncr:1_{3CC40411-770B-40E6-A992-E34705388597}" xr6:coauthVersionLast="47" xr6:coauthVersionMax="47" xr10:uidLastSave="{00000000-0000-0000-0000-000000000000}"/>
  <bookViews>
    <workbookView xWindow="-108" yWindow="-108" windowWidth="23256" windowHeight="14856" tabRatio="812" firstSheet="6" activeTab="10" xr2:uid="{1F171100-83F4-492A-9F1A-A2FCF3377E77}"/>
  </bookViews>
  <sheets>
    <sheet name="TRIP MANAGER" sheetId="22" r:id="rId1"/>
    <sheet name="admin" sheetId="2" r:id="rId2"/>
    <sheet name="airports" sheetId="3" r:id="rId3"/>
    <sheet name="VISA RULES" sheetId="4" r:id="rId4"/>
    <sheet name="Vendors" sheetId="5" r:id="rId5"/>
    <sheet name="SERVICE CATALOGUE" sheetId="42" r:id="rId6"/>
    <sheet name="vendor_coverage_airports" sheetId="10" r:id="rId7"/>
    <sheet name="vendor_coverage_countries" sheetId="11" r:id="rId8"/>
    <sheet name="countries" sheetId="13" r:id="rId9"/>
    <sheet name="Operators" sheetId="14" r:id="rId10"/>
    <sheet name="Aircraft" sheetId="17" r:id="rId11"/>
    <sheet name="geo_grid" sheetId="21" r:id="rId12"/>
    <sheet name="route_calc" sheetId="23" r:id="rId13"/>
    <sheet name="permit_calc" sheetId="24" r:id="rId14"/>
    <sheet name="PAX &amp; CREW" sheetId="25" r:id="rId15"/>
    <sheet name="Clients" sheetId="26" r:id="rId16"/>
    <sheet name="Feasibility IQ" sheetId="27" r:id="rId17"/>
    <sheet name="fiq_calc" sheetId="28" r:id="rId18"/>
    <sheet name="mayfly" sheetId="30" r:id="rId19"/>
    <sheet name="WEBAPP BRIEF" sheetId="31" r:id="rId20"/>
    <sheet name="DOCUMENTS" sheetId="32" r:id="rId21"/>
    <sheet name="VISA MATRIX" sheetId="33" r:id="rId22"/>
    <sheet name="MESSAGE TEMPLATES" sheetId="34" r:id="rId23"/>
    <sheet name="FLEET DOCUMENTS" sheetId="35" r:id="rId24"/>
    <sheet name="USERS &amp; SETTINGS" sheetId="36" r:id="rId25"/>
    <sheet name="HANDLERS" sheetId="37" r:id="rId26"/>
    <sheet name="COUNTRY REQUIREMENTS" sheetId="38" r:id="rId27"/>
    <sheet name="AIRCRAFT PERFORMANCE" sheetId="39" r:id="rId28"/>
    <sheet name="DATA READINESS" sheetId="40" r:id="rId29"/>
    <sheet name="JETELIO V3 PROMPT" sheetId="41" r:id="rId30"/>
  </sheets>
  <definedNames>
    <definedName name="_xlnm._FilterDatabase" localSheetId="2" hidden="1">airports!$A$2:$AV$2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C13" i="40" l="1"/>
  <c r="D9" i="40"/>
  <c r="D10" i="40"/>
  <c r="C10" i="40"/>
  <c r="C38" i="40"/>
  <c r="C19" i="40"/>
  <c r="D8" i="40"/>
  <c r="C8" i="40"/>
  <c r="E8" i="40" s="1"/>
  <c r="D7" i="40"/>
  <c r="D6" i="40"/>
  <c r="D5" i="40"/>
  <c r="C6" i="40"/>
  <c r="C5" i="40"/>
  <c r="E39" i="40"/>
  <c r="E38" i="40"/>
  <c r="E37" i="40"/>
  <c r="E36" i="40"/>
  <c r="E35" i="40"/>
  <c r="E34" i="40"/>
  <c r="E33" i="40"/>
  <c r="E32" i="40"/>
  <c r="B42" i="40"/>
  <c r="B41" i="40" a="1"/>
  <c r="E31" i="40"/>
  <c r="D39" i="40"/>
  <c r="C39" i="40"/>
  <c r="D38" i="40"/>
  <c r="D37" i="40"/>
  <c r="C37" i="40"/>
  <c r="D36" i="40"/>
  <c r="C36" i="40"/>
  <c r="D35" i="40"/>
  <c r="C35" i="40"/>
  <c r="D34" i="40"/>
  <c r="C34" i="40"/>
  <c r="D33" i="40"/>
  <c r="C33" i="40"/>
  <c r="D32" i="40"/>
  <c r="C32" i="40"/>
  <c r="D31" i="40"/>
  <c r="C31" i="40"/>
  <c r="AY4" i="3"/>
  <c r="AY5" i="3"/>
  <c r="AY6" i="3"/>
  <c r="AY7" i="3"/>
  <c r="AY8" i="3"/>
  <c r="AY9" i="3"/>
  <c r="AY10" i="3"/>
  <c r="AY11" i="3"/>
  <c r="AY12" i="3"/>
  <c r="AY13" i="3"/>
  <c r="AY14" i="3"/>
  <c r="AY15" i="3"/>
  <c r="AY16" i="3"/>
  <c r="AY17" i="3"/>
  <c r="AY18" i="3"/>
  <c r="AY19" i="3"/>
  <c r="AY20" i="3"/>
  <c r="AY21" i="3"/>
  <c r="AY22" i="3"/>
  <c r="AY23" i="3"/>
  <c r="AY24" i="3"/>
  <c r="AY25" i="3"/>
  <c r="AY26" i="3"/>
  <c r="AY27" i="3"/>
  <c r="AY28" i="3"/>
  <c r="AY29" i="3"/>
  <c r="AY30" i="3"/>
  <c r="AY31" i="3"/>
  <c r="AY32" i="3"/>
  <c r="AY33" i="3"/>
  <c r="AY34" i="3"/>
  <c r="AY35" i="3"/>
  <c r="AY36" i="3"/>
  <c r="AY37" i="3"/>
  <c r="AY38" i="3"/>
  <c r="AY39" i="3"/>
  <c r="AY40" i="3"/>
  <c r="AY41" i="3"/>
  <c r="AY42" i="3"/>
  <c r="AY43" i="3"/>
  <c r="AY44" i="3"/>
  <c r="AY45" i="3"/>
  <c r="AY46" i="3"/>
  <c r="AY47" i="3"/>
  <c r="AY48" i="3"/>
  <c r="AY49" i="3"/>
  <c r="AY50" i="3"/>
  <c r="AY51" i="3"/>
  <c r="AY52" i="3"/>
  <c r="AY53" i="3"/>
  <c r="AY54" i="3"/>
  <c r="AY55" i="3"/>
  <c r="AY56" i="3"/>
  <c r="AY57" i="3"/>
  <c r="AY58" i="3"/>
  <c r="AY59" i="3"/>
  <c r="AY60" i="3"/>
  <c r="AY61" i="3"/>
  <c r="AY62" i="3"/>
  <c r="AY63" i="3"/>
  <c r="AY64" i="3"/>
  <c r="AY65" i="3"/>
  <c r="AY66" i="3"/>
  <c r="AY67" i="3"/>
  <c r="AY68" i="3"/>
  <c r="AY69" i="3"/>
  <c r="AY70" i="3"/>
  <c r="AY71" i="3"/>
  <c r="AY72" i="3"/>
  <c r="AY73" i="3"/>
  <c r="AY74" i="3"/>
  <c r="AY75" i="3"/>
  <c r="AY76" i="3"/>
  <c r="AY77" i="3"/>
  <c r="AY78" i="3"/>
  <c r="AY79" i="3"/>
  <c r="AY80" i="3"/>
  <c r="AY81" i="3"/>
  <c r="AY82" i="3"/>
  <c r="AY83" i="3"/>
  <c r="AY84" i="3"/>
  <c r="AY85" i="3"/>
  <c r="AY86" i="3"/>
  <c r="AY87" i="3"/>
  <c r="AY88" i="3"/>
  <c r="AY89" i="3"/>
  <c r="AY90" i="3"/>
  <c r="AY91" i="3"/>
  <c r="AY92" i="3"/>
  <c r="AY93" i="3"/>
  <c r="AY94" i="3"/>
  <c r="AY95" i="3"/>
  <c r="AY96" i="3"/>
  <c r="AY97" i="3"/>
  <c r="AY98" i="3"/>
  <c r="AY99" i="3"/>
  <c r="AY100" i="3"/>
  <c r="AY101" i="3"/>
  <c r="AY102" i="3"/>
  <c r="AY103" i="3"/>
  <c r="AY104" i="3"/>
  <c r="AY105" i="3"/>
  <c r="AY106" i="3"/>
  <c r="AY107" i="3"/>
  <c r="AY108" i="3"/>
  <c r="AY109" i="3"/>
  <c r="AY110" i="3"/>
  <c r="AY111" i="3"/>
  <c r="AY112" i="3"/>
  <c r="AY113" i="3"/>
  <c r="AY114" i="3"/>
  <c r="AY115" i="3"/>
  <c r="AY116" i="3"/>
  <c r="AY117" i="3"/>
  <c r="AY118" i="3"/>
  <c r="AY119" i="3"/>
  <c r="AY120" i="3"/>
  <c r="AY121" i="3"/>
  <c r="AY122" i="3"/>
  <c r="AY123" i="3"/>
  <c r="AY124" i="3"/>
  <c r="AY125" i="3"/>
  <c r="AY126" i="3"/>
  <c r="AY127" i="3"/>
  <c r="AY128" i="3"/>
  <c r="AY129" i="3"/>
  <c r="AY130" i="3"/>
  <c r="AY131" i="3"/>
  <c r="AY132" i="3"/>
  <c r="AY133" i="3"/>
  <c r="AY134" i="3"/>
  <c r="AY135" i="3"/>
  <c r="AY136" i="3"/>
  <c r="AY137" i="3"/>
  <c r="AY138" i="3"/>
  <c r="AY139" i="3"/>
  <c r="AY140" i="3"/>
  <c r="AY141" i="3"/>
  <c r="AY142" i="3"/>
  <c r="AY143" i="3"/>
  <c r="AY144" i="3"/>
  <c r="AY145" i="3"/>
  <c r="AY146" i="3"/>
  <c r="AY147" i="3"/>
  <c r="AY148" i="3"/>
  <c r="AY149" i="3"/>
  <c r="AY150" i="3"/>
  <c r="AY151" i="3"/>
  <c r="AY152" i="3"/>
  <c r="AY153" i="3"/>
  <c r="AY154" i="3"/>
  <c r="AY155" i="3"/>
  <c r="AY156" i="3"/>
  <c r="AY157" i="3"/>
  <c r="AY158" i="3"/>
  <c r="AY159" i="3"/>
  <c r="AY160" i="3"/>
  <c r="AY161" i="3"/>
  <c r="AY162" i="3"/>
  <c r="AY163" i="3"/>
  <c r="AY164" i="3"/>
  <c r="AY165" i="3"/>
  <c r="AY166" i="3"/>
  <c r="AY167" i="3"/>
  <c r="AY168" i="3"/>
  <c r="AY169" i="3"/>
  <c r="AY170" i="3"/>
  <c r="AY171" i="3"/>
  <c r="AY172" i="3"/>
  <c r="AY173" i="3"/>
  <c r="AY174" i="3"/>
  <c r="AY175" i="3"/>
  <c r="AY176" i="3"/>
  <c r="AY177" i="3"/>
  <c r="AY178" i="3"/>
  <c r="AY179" i="3"/>
  <c r="AY180" i="3"/>
  <c r="AY181" i="3"/>
  <c r="AY182" i="3"/>
  <c r="AY183" i="3"/>
  <c r="AY184" i="3"/>
  <c r="AY185" i="3"/>
  <c r="AY186" i="3"/>
  <c r="AY187" i="3"/>
  <c r="AY188" i="3"/>
  <c r="AY189" i="3"/>
  <c r="AY190" i="3"/>
  <c r="AY191" i="3"/>
  <c r="AY192" i="3"/>
  <c r="AY193" i="3"/>
  <c r="AY194" i="3"/>
  <c r="AY195" i="3"/>
  <c r="AY196" i="3"/>
  <c r="AY197" i="3"/>
  <c r="AY198" i="3"/>
  <c r="AY199" i="3"/>
  <c r="AY200" i="3"/>
  <c r="AY201" i="3"/>
  <c r="AY202" i="3"/>
  <c r="AY203" i="3"/>
  <c r="AY204" i="3"/>
  <c r="AY205" i="3"/>
  <c r="AY206" i="3"/>
  <c r="AY207" i="3"/>
  <c r="AY208" i="3"/>
  <c r="AY209" i="3"/>
  <c r="AY210" i="3"/>
  <c r="AY211" i="3"/>
  <c r="AY212" i="3"/>
  <c r="AY213" i="3"/>
  <c r="AY214" i="3"/>
  <c r="AY215" i="3"/>
  <c r="AY216" i="3"/>
  <c r="AY217" i="3"/>
  <c r="AY218" i="3"/>
  <c r="AY219" i="3"/>
  <c r="AY220" i="3"/>
  <c r="AY221" i="3"/>
  <c r="AY222" i="3"/>
  <c r="AY223" i="3"/>
  <c r="AY224" i="3"/>
  <c r="AY225" i="3"/>
  <c r="AY226" i="3"/>
  <c r="AY227" i="3"/>
  <c r="AY228" i="3"/>
  <c r="AY229" i="3"/>
  <c r="AY230" i="3"/>
  <c r="AY231" i="3"/>
  <c r="AY232" i="3"/>
  <c r="AY233" i="3"/>
  <c r="AY234" i="3"/>
  <c r="AY235" i="3"/>
  <c r="AY236" i="3"/>
  <c r="AY237" i="3"/>
  <c r="AY238" i="3"/>
  <c r="AY239" i="3"/>
  <c r="AY240" i="3"/>
  <c r="AY241" i="3"/>
  <c r="AY242" i="3"/>
  <c r="AY243" i="3"/>
  <c r="AY244" i="3"/>
  <c r="AY245" i="3"/>
  <c r="AY246" i="3"/>
  <c r="AY247" i="3"/>
  <c r="AY248" i="3"/>
  <c r="AY249" i="3"/>
  <c r="AY250" i="3"/>
  <c r="AY251" i="3"/>
  <c r="AY252" i="3"/>
  <c r="AY253" i="3"/>
  <c r="AY254" i="3"/>
  <c r="AY255" i="3"/>
  <c r="AY256" i="3"/>
  <c r="AY257" i="3"/>
  <c r="AY258" i="3"/>
  <c r="AY259" i="3"/>
  <c r="AY260" i="3"/>
  <c r="AY261" i="3"/>
  <c r="AY262" i="3"/>
  <c r="AY263" i="3"/>
  <c r="AY264" i="3"/>
  <c r="AY265" i="3"/>
  <c r="AY266" i="3"/>
  <c r="AY267" i="3"/>
  <c r="AY268" i="3"/>
  <c r="AY269" i="3"/>
  <c r="AY270" i="3"/>
  <c r="AY271" i="3"/>
  <c r="AY272" i="3"/>
  <c r="AY273" i="3"/>
  <c r="AY274" i="3"/>
  <c r="AY275" i="3"/>
  <c r="AY276" i="3"/>
  <c r="AY277" i="3"/>
  <c r="AY278" i="3"/>
  <c r="AY279" i="3"/>
  <c r="AY280" i="3"/>
  <c r="AY281" i="3"/>
  <c r="AY282" i="3"/>
  <c r="AY283" i="3"/>
  <c r="AY284" i="3"/>
  <c r="AY285" i="3"/>
  <c r="AY286" i="3"/>
  <c r="AY287" i="3"/>
  <c r="AY288" i="3"/>
  <c r="AY289" i="3"/>
  <c r="AY290" i="3"/>
  <c r="AY291" i="3"/>
  <c r="AY292" i="3"/>
  <c r="AY293" i="3"/>
  <c r="AY294" i="3"/>
  <c r="AY295" i="3"/>
  <c r="AY296" i="3"/>
  <c r="AY297" i="3"/>
  <c r="AY298" i="3"/>
  <c r="AY299" i="3"/>
  <c r="AY300" i="3"/>
  <c r="AY301" i="3"/>
  <c r="AY302" i="3"/>
  <c r="AY303" i="3"/>
  <c r="AY304" i="3"/>
  <c r="AY305" i="3"/>
  <c r="AY306" i="3"/>
  <c r="AY307" i="3"/>
  <c r="AY308" i="3"/>
  <c r="AY309" i="3"/>
  <c r="AY310" i="3"/>
  <c r="AY311" i="3"/>
  <c r="AY312" i="3"/>
  <c r="AY313" i="3"/>
  <c r="AY314" i="3"/>
  <c r="AY315" i="3"/>
  <c r="AY316" i="3"/>
  <c r="AY317" i="3"/>
  <c r="AY318" i="3"/>
  <c r="AY319" i="3"/>
  <c r="AY320" i="3"/>
  <c r="AY321" i="3"/>
  <c r="AY322" i="3"/>
  <c r="AY323" i="3"/>
  <c r="AY324" i="3"/>
  <c r="AY325" i="3"/>
  <c r="AY326" i="3"/>
  <c r="AY327" i="3"/>
  <c r="AY328" i="3"/>
  <c r="AY329" i="3"/>
  <c r="AY330" i="3"/>
  <c r="AY331" i="3"/>
  <c r="AY332" i="3"/>
  <c r="AY333" i="3"/>
  <c r="AY334" i="3"/>
  <c r="AY335" i="3"/>
  <c r="AY336" i="3"/>
  <c r="AY337" i="3"/>
  <c r="AY338" i="3"/>
  <c r="AY339" i="3"/>
  <c r="AY340" i="3"/>
  <c r="AY341" i="3"/>
  <c r="AY342" i="3"/>
  <c r="AY343" i="3"/>
  <c r="AY344" i="3"/>
  <c r="AY345" i="3"/>
  <c r="AY346" i="3"/>
  <c r="AY347" i="3"/>
  <c r="AY348" i="3"/>
  <c r="AY349" i="3"/>
  <c r="AY350" i="3"/>
  <c r="AY351" i="3"/>
  <c r="AY352" i="3"/>
  <c r="AY353" i="3"/>
  <c r="AY354" i="3"/>
  <c r="AY355" i="3"/>
  <c r="AY356" i="3"/>
  <c r="AY357" i="3"/>
  <c r="AY358" i="3"/>
  <c r="AY359" i="3"/>
  <c r="AY360" i="3"/>
  <c r="AY361" i="3"/>
  <c r="AY362" i="3"/>
  <c r="AY363" i="3"/>
  <c r="AY364" i="3"/>
  <c r="AY365" i="3"/>
  <c r="AY366" i="3"/>
  <c r="AY367" i="3"/>
  <c r="AY368" i="3"/>
  <c r="AY369" i="3"/>
  <c r="AY370" i="3"/>
  <c r="AY371" i="3"/>
  <c r="AY372" i="3"/>
  <c r="AY373" i="3"/>
  <c r="AY374" i="3"/>
  <c r="AY375" i="3"/>
  <c r="AY376" i="3"/>
  <c r="AY377" i="3"/>
  <c r="AY378" i="3"/>
  <c r="AY379" i="3"/>
  <c r="AY380" i="3"/>
  <c r="AY381" i="3"/>
  <c r="AY382" i="3"/>
  <c r="AY3" i="3"/>
  <c r="AG3" i="14"/>
  <c r="AG4" i="14"/>
  <c r="AG5" i="14"/>
  <c r="AG6" i="14"/>
  <c r="AG7" i="14"/>
  <c r="AG8" i="14"/>
  <c r="AG9" i="14"/>
  <c r="AG10" i="14"/>
  <c r="AG11" i="14"/>
  <c r="AG12" i="14"/>
  <c r="AG13" i="14"/>
  <c r="AG14" i="14"/>
  <c r="AG15" i="14"/>
  <c r="AG16" i="14"/>
  <c r="AG17" i="14"/>
  <c r="AG18" i="14"/>
  <c r="AG19" i="14"/>
  <c r="AG20" i="14"/>
  <c r="AG21" i="14"/>
  <c r="AG22" i="14"/>
  <c r="AG23" i="14"/>
  <c r="AG24" i="14"/>
  <c r="AG25" i="14"/>
  <c r="AG26" i="14"/>
  <c r="AG27" i="14"/>
  <c r="AG28" i="14"/>
  <c r="AG29" i="14"/>
  <c r="AG30" i="14"/>
  <c r="AG31" i="14"/>
  <c r="AG32" i="14"/>
  <c r="AG33" i="14"/>
  <c r="AG34" i="14"/>
  <c r="AG35" i="14"/>
  <c r="AG36" i="14"/>
  <c r="AG37" i="14"/>
  <c r="AG38" i="14"/>
  <c r="AG39" i="14"/>
  <c r="AG40" i="14"/>
  <c r="AG41" i="14"/>
  <c r="AG42" i="14"/>
  <c r="AG43" i="14"/>
  <c r="AG44" i="14"/>
  <c r="AG45" i="14"/>
  <c r="AG46" i="14"/>
  <c r="AG47" i="14"/>
  <c r="AG48" i="14"/>
  <c r="AG49" i="14"/>
  <c r="AG50" i="14"/>
  <c r="AG51" i="14"/>
  <c r="AG52" i="14"/>
  <c r="AG53" i="14"/>
  <c r="AG54" i="14"/>
  <c r="AG55" i="14"/>
  <c r="AG56" i="14"/>
  <c r="AG57" i="14"/>
  <c r="AG58" i="14"/>
  <c r="AG59" i="14"/>
  <c r="AG60" i="14"/>
  <c r="AG61" i="14"/>
  <c r="AG62" i="14"/>
  <c r="AG63" i="14"/>
  <c r="AG64" i="14"/>
  <c r="AG65" i="14"/>
  <c r="AG66" i="14"/>
  <c r="AG67" i="14"/>
  <c r="AG68" i="14"/>
  <c r="AG69" i="14"/>
  <c r="AG70" i="14"/>
  <c r="AG71" i="14"/>
  <c r="AG72" i="14"/>
  <c r="AG73" i="14"/>
  <c r="AG74" i="14"/>
  <c r="AG75" i="14"/>
  <c r="AG76" i="14"/>
  <c r="AG77" i="14"/>
  <c r="AG78" i="14"/>
  <c r="AG79" i="14"/>
  <c r="AG80" i="14"/>
  <c r="AG81" i="14"/>
  <c r="AG82" i="14"/>
  <c r="AG83" i="14"/>
  <c r="AG84" i="14"/>
  <c r="AG85" i="14"/>
  <c r="AG86" i="14"/>
  <c r="AG87" i="14"/>
  <c r="AG88" i="14"/>
  <c r="AG89" i="14"/>
  <c r="AG90" i="14"/>
  <c r="AG91" i="14"/>
  <c r="AG92" i="14"/>
  <c r="AG93" i="14"/>
  <c r="AG94" i="14"/>
  <c r="AG95" i="14"/>
  <c r="AG96" i="14"/>
  <c r="AG97" i="14"/>
  <c r="AG98" i="14"/>
  <c r="AG99" i="14"/>
  <c r="AG100" i="14"/>
  <c r="AG101" i="14"/>
  <c r="AG102" i="14"/>
  <c r="AG103" i="14"/>
  <c r="AG104" i="14"/>
  <c r="AG105" i="14"/>
  <c r="AG106" i="14"/>
  <c r="AG107" i="14"/>
  <c r="AG108" i="14"/>
  <c r="AG109" i="14"/>
  <c r="AG110" i="14"/>
  <c r="AG111" i="14"/>
  <c r="AG112" i="14"/>
  <c r="AG113" i="14"/>
  <c r="AG114" i="14"/>
  <c r="AG115" i="14"/>
  <c r="AG116" i="14"/>
  <c r="AG117" i="14"/>
  <c r="AG118" i="14"/>
  <c r="AG119" i="14"/>
  <c r="AG120" i="14"/>
  <c r="AG121" i="14"/>
  <c r="AG122" i="14"/>
  <c r="AG123" i="14"/>
  <c r="AG124" i="14"/>
  <c r="AG125" i="14"/>
  <c r="AG126" i="14"/>
  <c r="AG127" i="14"/>
  <c r="AG128" i="14"/>
  <c r="AG129" i="14"/>
  <c r="AG130" i="14"/>
  <c r="AG131" i="14"/>
  <c r="AG132" i="14"/>
  <c r="AG133" i="14"/>
  <c r="AG134" i="14"/>
  <c r="AG135" i="14"/>
  <c r="AG136" i="14"/>
  <c r="AG137" i="14"/>
  <c r="AG138" i="14"/>
  <c r="AG139" i="14"/>
  <c r="AG140" i="14"/>
  <c r="AG141" i="14"/>
  <c r="AG142" i="14"/>
  <c r="AG143" i="14"/>
  <c r="AG144" i="14"/>
  <c r="AG145" i="14"/>
  <c r="AG146" i="14"/>
  <c r="AG147" i="14"/>
  <c r="AG148" i="14"/>
  <c r="AG149" i="14"/>
  <c r="AG150" i="14"/>
  <c r="AG151" i="14"/>
  <c r="AG152" i="14"/>
  <c r="AG153" i="14"/>
  <c r="AG154" i="14"/>
  <c r="AG155" i="14"/>
  <c r="AG156" i="14"/>
  <c r="AG157" i="14"/>
  <c r="AG158" i="14"/>
  <c r="AG159" i="14"/>
  <c r="AG160" i="14"/>
  <c r="AG161" i="14"/>
  <c r="AG162" i="14"/>
  <c r="AG163" i="14"/>
  <c r="AG164" i="14"/>
  <c r="AG165" i="14"/>
  <c r="AG166" i="14"/>
  <c r="AG167" i="14"/>
  <c r="AG168" i="14"/>
  <c r="AG169" i="14"/>
  <c r="AG170" i="14"/>
  <c r="AG171" i="14"/>
  <c r="AG172" i="14"/>
  <c r="AG173" i="14"/>
  <c r="AG174" i="14"/>
  <c r="AG175" i="14"/>
  <c r="AG176" i="14"/>
  <c r="AG177" i="14"/>
  <c r="AG178" i="14"/>
  <c r="AG179" i="14"/>
  <c r="AG180" i="14"/>
  <c r="AG181" i="14"/>
  <c r="AG182" i="14"/>
  <c r="AG183" i="14"/>
  <c r="AG184" i="14"/>
  <c r="AG185" i="14"/>
  <c r="AG186" i="14"/>
  <c r="AG187" i="14"/>
  <c r="AG188" i="14"/>
  <c r="AG189" i="14"/>
  <c r="AG190" i="14"/>
  <c r="AG191" i="14"/>
  <c r="AG192" i="14"/>
  <c r="AG193" i="14"/>
  <c r="AG194" i="14"/>
  <c r="AG195" i="14"/>
  <c r="AG196" i="14"/>
  <c r="AG197" i="14"/>
  <c r="AG198" i="14"/>
  <c r="AG199" i="14"/>
  <c r="AG200" i="14"/>
  <c r="AG201" i="14"/>
  <c r="AG202" i="14"/>
  <c r="AG203" i="14"/>
  <c r="AG204" i="14"/>
  <c r="AG205" i="14"/>
  <c r="AG206" i="14"/>
  <c r="AG207" i="14"/>
  <c r="AG208" i="14"/>
  <c r="AG209" i="14"/>
  <c r="AG210" i="14"/>
  <c r="AG211" i="14"/>
  <c r="AG212" i="14"/>
  <c r="AG213" i="14"/>
  <c r="AG214" i="14"/>
  <c r="AG215" i="14"/>
  <c r="AG216" i="14"/>
  <c r="AG217" i="14"/>
  <c r="AG218" i="14"/>
  <c r="AG219" i="14"/>
  <c r="AG220" i="14"/>
  <c r="AG221" i="14"/>
  <c r="AG222" i="14"/>
  <c r="AG223" i="14"/>
  <c r="AG224" i="14"/>
  <c r="AG225" i="14"/>
  <c r="AG226" i="14"/>
  <c r="AG227" i="14"/>
  <c r="AG228" i="14"/>
  <c r="AG229" i="14"/>
  <c r="AG230" i="14"/>
  <c r="AG231" i="14"/>
  <c r="AG232" i="14"/>
  <c r="AG233" i="14"/>
  <c r="AG234" i="14"/>
  <c r="AG235" i="14"/>
  <c r="AG236" i="14"/>
  <c r="AG237" i="14"/>
  <c r="AG238" i="14"/>
  <c r="AG239" i="14"/>
  <c r="AG240" i="14"/>
  <c r="AG241" i="14"/>
  <c r="AG242" i="14"/>
  <c r="AG243" i="14"/>
  <c r="AG244" i="14"/>
  <c r="AG245" i="14"/>
  <c r="AG246" i="14"/>
  <c r="AG247" i="14"/>
  <c r="AG248" i="14"/>
  <c r="AG249" i="14"/>
  <c r="AG250" i="14"/>
  <c r="AG251" i="14"/>
  <c r="AG252" i="14"/>
  <c r="AG253" i="14"/>
  <c r="AG254" i="14"/>
  <c r="AG255" i="14"/>
  <c r="AG256" i="14"/>
  <c r="AG257" i="14"/>
  <c r="AG258" i="14"/>
  <c r="AG259" i="14"/>
  <c r="AG260" i="14"/>
  <c r="AG261" i="14"/>
  <c r="AG262" i="14"/>
  <c r="AG263" i="14"/>
  <c r="AG264" i="14"/>
  <c r="AG265" i="14"/>
  <c r="AG266" i="14"/>
  <c r="AG267" i="14"/>
  <c r="AG268" i="14"/>
  <c r="AG269" i="14"/>
  <c r="AG270" i="14"/>
  <c r="AG271" i="14"/>
  <c r="AG272" i="14"/>
  <c r="AG273" i="14"/>
  <c r="AG274" i="14"/>
  <c r="AG275" i="14"/>
  <c r="AG276" i="14"/>
  <c r="AG277" i="14"/>
  <c r="AG278" i="14"/>
  <c r="AG279" i="14"/>
  <c r="AG280" i="14"/>
  <c r="AG281" i="14"/>
  <c r="AG282" i="14"/>
  <c r="AG283" i="14"/>
  <c r="AG284" i="14"/>
  <c r="AG285" i="14"/>
  <c r="AG286" i="14"/>
  <c r="AG287" i="14"/>
  <c r="AG288" i="14"/>
  <c r="AG289" i="14"/>
  <c r="AG290" i="14"/>
  <c r="AG291" i="14"/>
  <c r="AG292" i="14"/>
  <c r="AG293" i="14"/>
  <c r="AG294" i="14"/>
  <c r="AG295" i="14"/>
  <c r="AG296" i="14"/>
  <c r="AG297" i="14"/>
  <c r="AG298" i="14"/>
  <c r="AG299" i="14"/>
  <c r="AG300" i="14"/>
  <c r="AG301" i="14"/>
  <c r="AG302" i="14"/>
  <c r="AG303" i="14"/>
  <c r="AG304" i="14"/>
  <c r="AG305" i="14"/>
  <c r="AG306" i="14"/>
  <c r="AG307" i="14"/>
  <c r="AG308" i="14"/>
  <c r="AG309" i="14"/>
  <c r="AG310" i="14"/>
  <c r="AG311" i="14"/>
  <c r="AG312" i="14"/>
  <c r="AG313" i="14"/>
  <c r="AG314" i="14"/>
  <c r="AG315" i="14"/>
  <c r="AG316" i="14"/>
  <c r="AG317" i="14"/>
  <c r="AG318" i="14"/>
  <c r="AG319" i="14"/>
  <c r="AG320" i="14"/>
  <c r="AG321" i="14"/>
  <c r="AG322" i="14"/>
  <c r="AG323" i="14"/>
  <c r="AG324" i="14"/>
  <c r="AG325" i="14"/>
  <c r="AG326" i="14"/>
  <c r="AG327" i="14"/>
  <c r="AG328" i="14"/>
  <c r="AG329" i="14"/>
  <c r="AG330" i="14"/>
  <c r="AG331" i="14"/>
  <c r="AG332" i="14"/>
  <c r="AG333" i="14"/>
  <c r="AG334" i="14"/>
  <c r="AG335" i="14"/>
  <c r="AG336" i="14"/>
  <c r="AG337" i="14"/>
  <c r="AG338" i="14"/>
  <c r="AG339" i="14"/>
  <c r="AG340" i="14"/>
  <c r="AG341" i="14"/>
  <c r="AG342" i="14"/>
  <c r="AG343" i="14"/>
  <c r="AG344" i="14"/>
  <c r="AG345" i="14"/>
  <c r="AG346" i="14"/>
  <c r="AG347" i="14"/>
  <c r="AG348" i="14"/>
  <c r="AG349" i="14"/>
  <c r="AG350" i="14"/>
  <c r="AG351" i="14"/>
  <c r="AG352" i="14"/>
  <c r="AG353" i="14"/>
  <c r="AG354" i="14"/>
  <c r="AG355" i="14"/>
  <c r="AG356" i="14"/>
  <c r="AG357" i="14"/>
  <c r="AG358" i="14"/>
  <c r="AG359" i="14"/>
  <c r="AG360" i="14"/>
  <c r="AG361" i="14"/>
  <c r="AG362" i="14"/>
  <c r="AG363" i="14"/>
  <c r="AG364" i="14"/>
  <c r="AG365" i="14"/>
  <c r="AG366" i="14"/>
  <c r="AG367" i="14"/>
  <c r="AG368" i="14"/>
  <c r="AG369" i="14"/>
  <c r="AG370" i="14"/>
  <c r="AG371" i="14"/>
  <c r="AG372" i="14"/>
  <c r="AG373" i="14"/>
  <c r="AG374" i="14"/>
  <c r="AG375" i="14"/>
  <c r="AG376" i="14"/>
  <c r="AG377" i="14"/>
  <c r="AG378" i="14"/>
  <c r="AG379" i="14"/>
  <c r="AG380" i="14"/>
  <c r="AG381" i="14"/>
  <c r="AG382" i="14"/>
  <c r="AG383" i="14"/>
  <c r="AG384" i="14"/>
  <c r="AG385" i="14"/>
  <c r="AG386" i="14"/>
  <c r="AG387" i="14"/>
  <c r="AG388" i="14"/>
  <c r="AG389" i="14"/>
  <c r="AG390" i="14"/>
  <c r="AG391" i="14"/>
  <c r="AG392" i="14"/>
  <c r="AG393" i="14"/>
  <c r="AG394" i="14"/>
  <c r="AG395" i="14"/>
  <c r="AG396" i="14"/>
  <c r="AG397" i="14"/>
  <c r="AG398" i="14"/>
  <c r="AG399" i="14"/>
  <c r="AG400" i="14"/>
  <c r="AG401" i="14"/>
  <c r="AG402" i="14"/>
  <c r="AG403" i="14"/>
  <c r="AG404" i="14"/>
  <c r="AG405" i="14"/>
  <c r="AG406" i="14"/>
  <c r="AG407" i="14"/>
  <c r="AG408" i="14"/>
  <c r="AG409" i="14"/>
  <c r="AG410" i="14"/>
  <c r="AG411" i="14"/>
  <c r="AG412" i="14"/>
  <c r="AG413" i="14"/>
  <c r="AG414" i="14"/>
  <c r="AG415" i="14"/>
  <c r="AG416" i="14"/>
  <c r="AG417" i="14"/>
  <c r="AG418" i="14"/>
  <c r="AG419" i="14"/>
  <c r="AG420" i="14"/>
  <c r="AG421" i="14"/>
  <c r="AG422" i="14"/>
  <c r="AG423" i="14"/>
  <c r="AG424" i="14"/>
  <c r="AG425" i="14"/>
  <c r="AG426" i="14"/>
  <c r="AG427" i="14"/>
  <c r="AG428" i="14"/>
  <c r="AG429" i="14"/>
  <c r="AG430" i="14"/>
  <c r="AG431" i="14"/>
  <c r="AG432" i="14"/>
  <c r="AG433" i="14"/>
  <c r="AG434" i="14"/>
  <c r="AG435" i="14"/>
  <c r="AG436" i="14"/>
  <c r="AG437" i="14"/>
  <c r="AG438" i="14"/>
  <c r="AG439" i="14"/>
  <c r="AG440" i="14"/>
  <c r="AG441" i="14"/>
  <c r="AG442" i="14"/>
  <c r="AG443" i="14"/>
  <c r="AG444" i="14"/>
  <c r="AG445" i="14"/>
  <c r="AG446" i="14"/>
  <c r="AG447" i="14"/>
  <c r="AG448" i="14"/>
  <c r="AG449" i="14"/>
  <c r="AG450" i="14"/>
  <c r="AG451" i="14"/>
  <c r="AG452" i="14"/>
  <c r="AG453" i="14"/>
  <c r="AG454" i="14"/>
  <c r="AG455" i="14"/>
  <c r="AG456" i="14"/>
  <c r="AG457" i="14"/>
  <c r="AG458" i="14"/>
  <c r="AG459" i="14"/>
  <c r="AG460" i="14"/>
  <c r="AG461" i="14"/>
  <c r="AG462" i="14"/>
  <c r="AG463" i="14"/>
  <c r="AG464" i="14"/>
  <c r="AG465" i="14"/>
  <c r="AG466" i="14"/>
  <c r="AG467" i="14"/>
  <c r="AG468" i="14"/>
  <c r="AG469" i="14"/>
  <c r="AG470" i="14"/>
  <c r="AG471" i="14"/>
  <c r="AG472" i="14"/>
  <c r="AG473" i="14"/>
  <c r="AG474" i="14"/>
  <c r="AG475" i="14"/>
  <c r="AG476" i="14"/>
  <c r="AG477" i="14"/>
  <c r="AG478" i="14"/>
  <c r="AG479" i="14"/>
  <c r="AG480" i="14"/>
  <c r="AG481" i="14"/>
  <c r="AG482" i="14"/>
  <c r="AG483" i="14"/>
  <c r="AG484" i="14"/>
  <c r="AG485" i="14"/>
  <c r="AG486" i="14"/>
  <c r="AG487" i="14"/>
  <c r="AG488" i="14"/>
  <c r="AG489" i="14"/>
  <c r="AG490" i="14"/>
  <c r="AG491" i="14"/>
  <c r="AG2" i="14"/>
  <c r="U3" i="13"/>
  <c r="V3" i="13"/>
  <c r="U4" i="13"/>
  <c r="V4" i="13"/>
  <c r="U5" i="13"/>
  <c r="V5" i="13"/>
  <c r="U6" i="13"/>
  <c r="V6" i="13"/>
  <c r="U7" i="13"/>
  <c r="V7" i="13"/>
  <c r="U8" i="13"/>
  <c r="V8" i="13"/>
  <c r="U9" i="13"/>
  <c r="V9" i="13"/>
  <c r="U10" i="13"/>
  <c r="V10" i="13"/>
  <c r="U11" i="13"/>
  <c r="V11" i="13"/>
  <c r="U12" i="13"/>
  <c r="V12" i="13"/>
  <c r="U13" i="13"/>
  <c r="V13" i="13"/>
  <c r="U14" i="13"/>
  <c r="V14" i="13"/>
  <c r="U15" i="13"/>
  <c r="V15" i="13"/>
  <c r="U16" i="13"/>
  <c r="V16" i="13"/>
  <c r="U17" i="13"/>
  <c r="V17" i="13"/>
  <c r="U18" i="13"/>
  <c r="V18" i="13"/>
  <c r="U19" i="13"/>
  <c r="V19" i="13"/>
  <c r="U20" i="13"/>
  <c r="V20" i="13"/>
  <c r="U21" i="13"/>
  <c r="V21" i="13"/>
  <c r="U22" i="13"/>
  <c r="V22" i="13"/>
  <c r="U23" i="13"/>
  <c r="V23" i="13"/>
  <c r="U24" i="13"/>
  <c r="V24" i="13"/>
  <c r="U25" i="13"/>
  <c r="V25" i="13"/>
  <c r="U26" i="13"/>
  <c r="V26" i="13"/>
  <c r="U27" i="13"/>
  <c r="V27" i="13"/>
  <c r="U28" i="13"/>
  <c r="V28" i="13"/>
  <c r="U29" i="13"/>
  <c r="V29" i="13"/>
  <c r="U30" i="13"/>
  <c r="V30" i="13"/>
  <c r="U31" i="13"/>
  <c r="V31" i="13"/>
  <c r="U32" i="13"/>
  <c r="V32" i="13"/>
  <c r="U33" i="13"/>
  <c r="V33" i="13"/>
  <c r="U34" i="13"/>
  <c r="V34" i="13"/>
  <c r="U35" i="13"/>
  <c r="V35" i="13"/>
  <c r="U36" i="13"/>
  <c r="V36" i="13"/>
  <c r="U37" i="13"/>
  <c r="V37" i="13"/>
  <c r="U38" i="13"/>
  <c r="V38" i="13"/>
  <c r="U39" i="13"/>
  <c r="V39" i="13"/>
  <c r="U40" i="13"/>
  <c r="V40" i="13"/>
  <c r="U41" i="13"/>
  <c r="V41" i="13"/>
  <c r="U42" i="13"/>
  <c r="V42" i="13"/>
  <c r="U43" i="13"/>
  <c r="V43" i="13"/>
  <c r="U44" i="13"/>
  <c r="V44" i="13"/>
  <c r="U45" i="13"/>
  <c r="V45" i="13"/>
  <c r="U46" i="13"/>
  <c r="V46" i="13"/>
  <c r="U47" i="13"/>
  <c r="V47" i="13"/>
  <c r="U48" i="13"/>
  <c r="V48" i="13"/>
  <c r="U49" i="13"/>
  <c r="V49" i="13"/>
  <c r="U50" i="13"/>
  <c r="V50" i="13"/>
  <c r="U51" i="13"/>
  <c r="V51" i="13"/>
  <c r="U52" i="13"/>
  <c r="V52" i="13"/>
  <c r="U53" i="13"/>
  <c r="V53" i="13"/>
  <c r="U54" i="13"/>
  <c r="V54" i="13"/>
  <c r="U55" i="13"/>
  <c r="V55" i="13"/>
  <c r="U56" i="13"/>
  <c r="V56" i="13"/>
  <c r="U57" i="13"/>
  <c r="V57" i="13"/>
  <c r="U58" i="13"/>
  <c r="V58" i="13"/>
  <c r="U59" i="13"/>
  <c r="V59" i="13"/>
  <c r="U60" i="13"/>
  <c r="V60" i="13"/>
  <c r="U61" i="13"/>
  <c r="V61" i="13"/>
  <c r="U62" i="13"/>
  <c r="V62" i="13"/>
  <c r="U63" i="13"/>
  <c r="V63" i="13"/>
  <c r="U64" i="13"/>
  <c r="V64" i="13"/>
  <c r="U65" i="13"/>
  <c r="V65" i="13"/>
  <c r="U66" i="13"/>
  <c r="V66" i="13"/>
  <c r="U67" i="13"/>
  <c r="V67" i="13"/>
  <c r="U68" i="13"/>
  <c r="V68" i="13"/>
  <c r="U69" i="13"/>
  <c r="V69" i="13"/>
  <c r="U70" i="13"/>
  <c r="V70" i="13"/>
  <c r="U71" i="13"/>
  <c r="V71" i="13"/>
  <c r="U72" i="13"/>
  <c r="V72" i="13"/>
  <c r="U73" i="13"/>
  <c r="V73" i="13"/>
  <c r="U74" i="13"/>
  <c r="V74" i="13"/>
  <c r="U75" i="13"/>
  <c r="V75" i="13"/>
  <c r="U76" i="13"/>
  <c r="V76" i="13"/>
  <c r="U77" i="13"/>
  <c r="V77" i="13"/>
  <c r="U78" i="13"/>
  <c r="V78" i="13"/>
  <c r="U79" i="13"/>
  <c r="V79" i="13"/>
  <c r="U80" i="13"/>
  <c r="V80" i="13"/>
  <c r="U81" i="13"/>
  <c r="V81" i="13"/>
  <c r="U82" i="13"/>
  <c r="V82" i="13"/>
  <c r="U83" i="13"/>
  <c r="V83" i="13"/>
  <c r="U84" i="13"/>
  <c r="V84" i="13"/>
  <c r="U85" i="13"/>
  <c r="V85" i="13"/>
  <c r="U86" i="13"/>
  <c r="V86" i="13"/>
  <c r="U87" i="13"/>
  <c r="V87" i="13"/>
  <c r="U88" i="13"/>
  <c r="V88" i="13"/>
  <c r="U89" i="13"/>
  <c r="V89" i="13"/>
  <c r="U90" i="13"/>
  <c r="V90" i="13"/>
  <c r="U91" i="13"/>
  <c r="V91" i="13"/>
  <c r="U92" i="13"/>
  <c r="V92" i="13"/>
  <c r="U93" i="13"/>
  <c r="V93" i="13"/>
  <c r="U94" i="13"/>
  <c r="V94" i="13"/>
  <c r="U95" i="13"/>
  <c r="V95" i="13"/>
  <c r="U96" i="13"/>
  <c r="V96" i="13"/>
  <c r="U97" i="13"/>
  <c r="V97" i="13"/>
  <c r="U98" i="13"/>
  <c r="V98" i="13"/>
  <c r="U99" i="13"/>
  <c r="V99" i="13"/>
  <c r="U100" i="13"/>
  <c r="V100" i="13"/>
  <c r="U101" i="13"/>
  <c r="V101" i="13"/>
  <c r="U102" i="13"/>
  <c r="V102" i="13"/>
  <c r="U103" i="13"/>
  <c r="V103" i="13"/>
  <c r="U104" i="13"/>
  <c r="V104" i="13"/>
  <c r="U105" i="13"/>
  <c r="V105" i="13"/>
  <c r="U106" i="13"/>
  <c r="V106" i="13"/>
  <c r="U107" i="13"/>
  <c r="V107" i="13"/>
  <c r="U108" i="13"/>
  <c r="V108" i="13"/>
  <c r="U109" i="13"/>
  <c r="V109" i="13"/>
  <c r="U110" i="13"/>
  <c r="V110" i="13"/>
  <c r="U111" i="13"/>
  <c r="V111" i="13"/>
  <c r="U112" i="13"/>
  <c r="V112" i="13"/>
  <c r="U113" i="13"/>
  <c r="V113" i="13"/>
  <c r="U114" i="13"/>
  <c r="V114" i="13"/>
  <c r="U115" i="13"/>
  <c r="V115" i="13"/>
  <c r="U116" i="13"/>
  <c r="V116" i="13"/>
  <c r="U117" i="13"/>
  <c r="V117" i="13"/>
  <c r="U118" i="13"/>
  <c r="V118" i="13"/>
  <c r="U119" i="13"/>
  <c r="V119" i="13"/>
  <c r="U120" i="13"/>
  <c r="V120" i="13"/>
  <c r="U121" i="13"/>
  <c r="V121" i="13"/>
  <c r="U122" i="13"/>
  <c r="V122" i="13"/>
  <c r="U123" i="13"/>
  <c r="V123" i="13"/>
  <c r="U124" i="13"/>
  <c r="V124" i="13"/>
  <c r="U125" i="13"/>
  <c r="V125" i="13"/>
  <c r="U126" i="13"/>
  <c r="V126" i="13"/>
  <c r="U127" i="13"/>
  <c r="V127" i="13"/>
  <c r="U128" i="13"/>
  <c r="V128" i="13"/>
  <c r="U129" i="13"/>
  <c r="V129" i="13"/>
  <c r="U130" i="13"/>
  <c r="V130" i="13"/>
  <c r="U131" i="13"/>
  <c r="V131" i="13"/>
  <c r="U132" i="13"/>
  <c r="V132" i="13"/>
  <c r="U133" i="13"/>
  <c r="V133" i="13"/>
  <c r="U134" i="13"/>
  <c r="V134" i="13"/>
  <c r="U135" i="13"/>
  <c r="V135" i="13"/>
  <c r="U136" i="13"/>
  <c r="V136" i="13"/>
  <c r="U137" i="13"/>
  <c r="V137" i="13"/>
  <c r="U138" i="13"/>
  <c r="V138" i="13"/>
  <c r="U139" i="13"/>
  <c r="V139" i="13"/>
  <c r="U140" i="13"/>
  <c r="V140" i="13"/>
  <c r="U141" i="13"/>
  <c r="V141" i="13"/>
  <c r="U142" i="13"/>
  <c r="V142" i="13"/>
  <c r="U143" i="13"/>
  <c r="V143" i="13"/>
  <c r="V2" i="13"/>
  <c r="U2" i="13"/>
  <c r="N8" i="39"/>
  <c r="N9" i="39"/>
  <c r="N10" i="39"/>
  <c r="N11" i="39"/>
  <c r="N12" i="39"/>
  <c r="N13" i="39"/>
  <c r="N14" i="39"/>
  <c r="N15" i="39"/>
  <c r="N16" i="39"/>
  <c r="N17" i="39"/>
  <c r="N18" i="39"/>
  <c r="N19" i="39"/>
  <c r="N20" i="39"/>
  <c r="N21" i="39"/>
  <c r="N22" i="39"/>
  <c r="N23" i="39"/>
  <c r="N24" i="39"/>
  <c r="N25" i="39"/>
  <c r="N26" i="39"/>
  <c r="N27" i="39"/>
  <c r="N28" i="39"/>
  <c r="N29" i="39"/>
  <c r="N30" i="39"/>
  <c r="N31" i="39"/>
  <c r="N32" i="39"/>
  <c r="N33" i="39"/>
  <c r="N34" i="39"/>
  <c r="N35" i="39"/>
  <c r="N36" i="39"/>
  <c r="N37" i="39"/>
  <c r="N38" i="39"/>
  <c r="N39" i="39"/>
  <c r="N40" i="39"/>
  <c r="N41" i="39"/>
  <c r="N42" i="39"/>
  <c r="N43" i="39"/>
  <c r="N44" i="39"/>
  <c r="N45" i="39"/>
  <c r="N46" i="39"/>
  <c r="N47" i="39"/>
  <c r="N48" i="39"/>
  <c r="N49" i="39"/>
  <c r="N50" i="39"/>
  <c r="N51" i="39"/>
  <c r="N52" i="39"/>
  <c r="N7" i="39"/>
  <c r="B4" i="39"/>
  <c r="J92" i="22" a="1"/>
  <c r="I92" i="22" a="1"/>
  <c r="H92" i="22" a="1"/>
  <c r="G92" i="22" a="1"/>
  <c r="F92" i="22" a="1"/>
  <c r="E92" i="22" a="1"/>
  <c r="J91" i="22" a="1"/>
  <c r="I91" i="22" a="1"/>
  <c r="H91" i="22" a="1"/>
  <c r="G91" i="22" a="1"/>
  <c r="F91" i="22" a="1"/>
  <c r="E91" i="22" a="1"/>
  <c r="J90" i="22" a="1"/>
  <c r="I90" i="22" a="1"/>
  <c r="H90" i="22" a="1"/>
  <c r="G90" i="22" a="1"/>
  <c r="F90" i="22" a="1"/>
  <c r="E90" i="22" a="1"/>
  <c r="J89" i="22" a="1"/>
  <c r="I89" i="22" a="1"/>
  <c r="H89" i="22" a="1"/>
  <c r="G89" i="22" a="1"/>
  <c r="F89" i="22" a="1"/>
  <c r="E89" i="22" a="1"/>
  <c r="J88" i="22" a="1"/>
  <c r="I88" i="22" a="1"/>
  <c r="H88" i="22" a="1"/>
  <c r="G88" i="22" a="1"/>
  <c r="F88" i="22" a="1"/>
  <c r="E88" i="22" a="1"/>
  <c r="H72" i="22"/>
  <c r="I72" i="22"/>
  <c r="J72" i="22"/>
  <c r="K72" i="22"/>
  <c r="L72" i="22"/>
  <c r="M72" i="22"/>
  <c r="N72" i="22"/>
  <c r="O72" i="22"/>
  <c r="P72" i="22"/>
  <c r="Q72" i="22"/>
  <c r="R72" i="22"/>
  <c r="S72" i="22"/>
  <c r="T72" i="22"/>
  <c r="U72" i="22"/>
  <c r="V72" i="22"/>
  <c r="H73" i="22"/>
  <c r="I73" i="22"/>
  <c r="J73" i="22"/>
  <c r="K73" i="22"/>
  <c r="L73" i="22"/>
  <c r="M73" i="22"/>
  <c r="N73" i="22"/>
  <c r="O73" i="22"/>
  <c r="P73" i="22"/>
  <c r="Q73" i="22"/>
  <c r="R73" i="22"/>
  <c r="S73" i="22"/>
  <c r="T73" i="22"/>
  <c r="U73" i="22"/>
  <c r="V73" i="22"/>
  <c r="AE491" i="14"/>
  <c r="AD491" i="14"/>
  <c r="AA491" i="14"/>
  <c r="Z491" i="14"/>
  <c r="Y491" i="14"/>
  <c r="AF491" i="14" s="1"/>
  <c r="W491" i="14"/>
  <c r="X491" i="14" s="1"/>
  <c r="AE490" i="14"/>
  <c r="AD490" i="14"/>
  <c r="AA490" i="14"/>
  <c r="Z490" i="14"/>
  <c r="Y490" i="14"/>
  <c r="AF490" i="14" s="1"/>
  <c r="W490" i="14"/>
  <c r="X490" i="14" s="1"/>
  <c r="AE489" i="14"/>
  <c r="AD489" i="14"/>
  <c r="AA489" i="14"/>
  <c r="Z489" i="14"/>
  <c r="Y489" i="14"/>
  <c r="AF489" i="14" s="1"/>
  <c r="W489" i="14"/>
  <c r="X489" i="14" s="1"/>
  <c r="AE488" i="14"/>
  <c r="AD488" i="14"/>
  <c r="AA488" i="14"/>
  <c r="Z488" i="14"/>
  <c r="Y488" i="14"/>
  <c r="AF488" i="14" s="1"/>
  <c r="W488" i="14"/>
  <c r="X488" i="14" s="1"/>
  <c r="AE487" i="14"/>
  <c r="AD487" i="14"/>
  <c r="AA487" i="14"/>
  <c r="Z487" i="14"/>
  <c r="Y487" i="14"/>
  <c r="AF487" i="14" s="1"/>
  <c r="W487" i="14"/>
  <c r="X487" i="14" s="1"/>
  <c r="AE486" i="14"/>
  <c r="AD486" i="14"/>
  <c r="AA486" i="14"/>
  <c r="Z486" i="14"/>
  <c r="Y486" i="14"/>
  <c r="AF486" i="14" s="1"/>
  <c r="W486" i="14"/>
  <c r="X486" i="14" s="1"/>
  <c r="AE485" i="14"/>
  <c r="AD485" i="14"/>
  <c r="AA485" i="14"/>
  <c r="Z485" i="14"/>
  <c r="Y485" i="14"/>
  <c r="AF485" i="14" s="1"/>
  <c r="W485" i="14"/>
  <c r="X485" i="14" s="1"/>
  <c r="AE484" i="14"/>
  <c r="AD484" i="14"/>
  <c r="AA484" i="14"/>
  <c r="Z484" i="14"/>
  <c r="Y484" i="14"/>
  <c r="AF484" i="14" s="1"/>
  <c r="W484" i="14"/>
  <c r="X484" i="14" s="1"/>
  <c r="AE483" i="14"/>
  <c r="AD483" i="14"/>
  <c r="AA483" i="14"/>
  <c r="Z483" i="14"/>
  <c r="Y483" i="14"/>
  <c r="AF483" i="14" s="1"/>
  <c r="W483" i="14"/>
  <c r="X483" i="14" s="1"/>
  <c r="AE482" i="14"/>
  <c r="AD482" i="14"/>
  <c r="AA482" i="14"/>
  <c r="Z482" i="14"/>
  <c r="Y482" i="14"/>
  <c r="AF482" i="14" s="1"/>
  <c r="W482" i="14"/>
  <c r="X482" i="14" s="1"/>
  <c r="AE481" i="14"/>
  <c r="AD481" i="14"/>
  <c r="AA481" i="14"/>
  <c r="Z481" i="14"/>
  <c r="Y481" i="14"/>
  <c r="AF481" i="14" s="1"/>
  <c r="W481" i="14"/>
  <c r="X481" i="14" s="1"/>
  <c r="AE480" i="14"/>
  <c r="AD480" i="14"/>
  <c r="AA480" i="14"/>
  <c r="Z480" i="14"/>
  <c r="Y480" i="14"/>
  <c r="AF480" i="14" s="1"/>
  <c r="W480" i="14"/>
  <c r="X480" i="14" s="1"/>
  <c r="AE479" i="14"/>
  <c r="AD479" i="14"/>
  <c r="AA479" i="14"/>
  <c r="Z479" i="14"/>
  <c r="Y479" i="14"/>
  <c r="AF479" i="14" s="1"/>
  <c r="W479" i="14"/>
  <c r="X479" i="14" s="1"/>
  <c r="AE478" i="14"/>
  <c r="AD478" i="14"/>
  <c r="AA478" i="14"/>
  <c r="Z478" i="14"/>
  <c r="Y478" i="14"/>
  <c r="AF478" i="14" s="1"/>
  <c r="W478" i="14"/>
  <c r="X478" i="14" s="1"/>
  <c r="AE477" i="14"/>
  <c r="AD477" i="14"/>
  <c r="AA477" i="14"/>
  <c r="Z477" i="14"/>
  <c r="Y477" i="14"/>
  <c r="AF477" i="14" s="1"/>
  <c r="W477" i="14"/>
  <c r="X477" i="14" s="1"/>
  <c r="AE476" i="14"/>
  <c r="AD476" i="14"/>
  <c r="AA476" i="14"/>
  <c r="Z476" i="14"/>
  <c r="Y476" i="14"/>
  <c r="AF476" i="14" s="1"/>
  <c r="W476" i="14"/>
  <c r="X476" i="14" s="1"/>
  <c r="AE475" i="14"/>
  <c r="AD475" i="14"/>
  <c r="AA475" i="14"/>
  <c r="Z475" i="14"/>
  <c r="Y475" i="14"/>
  <c r="AF475" i="14" s="1"/>
  <c r="W475" i="14"/>
  <c r="X475" i="14" s="1"/>
  <c r="AE474" i="14"/>
  <c r="AD474" i="14"/>
  <c r="AA474" i="14"/>
  <c r="Z474" i="14"/>
  <c r="Y474" i="14"/>
  <c r="AF474" i="14" s="1"/>
  <c r="W474" i="14"/>
  <c r="X474" i="14" s="1"/>
  <c r="AE473" i="14"/>
  <c r="AD473" i="14"/>
  <c r="AA473" i="14"/>
  <c r="Z473" i="14"/>
  <c r="Y473" i="14"/>
  <c r="AF473" i="14" s="1"/>
  <c r="W473" i="14"/>
  <c r="X473" i="14" s="1"/>
  <c r="AE472" i="14"/>
  <c r="AD472" i="14"/>
  <c r="AA472" i="14"/>
  <c r="Z472" i="14"/>
  <c r="Y472" i="14"/>
  <c r="AF472" i="14" s="1"/>
  <c r="W472" i="14"/>
  <c r="X472" i="14" s="1"/>
  <c r="AE471" i="14"/>
  <c r="AD471" i="14"/>
  <c r="AA471" i="14"/>
  <c r="Z471" i="14"/>
  <c r="Y471" i="14"/>
  <c r="AF471" i="14" s="1"/>
  <c r="W471" i="14"/>
  <c r="X471" i="14" s="1"/>
  <c r="AE470" i="14"/>
  <c r="AD470" i="14"/>
  <c r="AA470" i="14"/>
  <c r="Z470" i="14"/>
  <c r="Y470" i="14"/>
  <c r="AF470" i="14" s="1"/>
  <c r="W470" i="14"/>
  <c r="X470" i="14" s="1"/>
  <c r="AE469" i="14"/>
  <c r="AD469" i="14"/>
  <c r="AA469" i="14"/>
  <c r="Z469" i="14"/>
  <c r="Y469" i="14"/>
  <c r="AF469" i="14" s="1"/>
  <c r="W469" i="14"/>
  <c r="X469" i="14" s="1"/>
  <c r="AE468" i="14"/>
  <c r="AD468" i="14"/>
  <c r="AA468" i="14"/>
  <c r="Z468" i="14"/>
  <c r="Y468" i="14"/>
  <c r="AF468" i="14" s="1"/>
  <c r="W468" i="14"/>
  <c r="X468" i="14" s="1"/>
  <c r="AE467" i="14"/>
  <c r="AD467" i="14"/>
  <c r="AA467" i="14"/>
  <c r="Z467" i="14"/>
  <c r="Y467" i="14"/>
  <c r="AF467" i="14" s="1"/>
  <c r="W467" i="14"/>
  <c r="X467" i="14" s="1"/>
  <c r="AE466" i="14"/>
  <c r="AD466" i="14"/>
  <c r="AA466" i="14"/>
  <c r="Z466" i="14"/>
  <c r="Y466" i="14"/>
  <c r="AF466" i="14" s="1"/>
  <c r="W466" i="14"/>
  <c r="X466" i="14" s="1"/>
  <c r="AE465" i="14"/>
  <c r="AD465" i="14"/>
  <c r="AA465" i="14"/>
  <c r="Z465" i="14"/>
  <c r="Y465" i="14"/>
  <c r="AF465" i="14" s="1"/>
  <c r="W465" i="14"/>
  <c r="X465" i="14" s="1"/>
  <c r="AE464" i="14"/>
  <c r="AD464" i="14"/>
  <c r="AA464" i="14"/>
  <c r="Z464" i="14"/>
  <c r="Y464" i="14"/>
  <c r="AF464" i="14" s="1"/>
  <c r="W464" i="14"/>
  <c r="X464" i="14" s="1"/>
  <c r="AE463" i="14"/>
  <c r="AD463" i="14"/>
  <c r="AA463" i="14"/>
  <c r="Z463" i="14"/>
  <c r="Y463" i="14"/>
  <c r="AF463" i="14" s="1"/>
  <c r="W463" i="14"/>
  <c r="X463" i="14" s="1"/>
  <c r="AE462" i="14"/>
  <c r="AD462" i="14"/>
  <c r="AA462" i="14"/>
  <c r="Z462" i="14"/>
  <c r="Y462" i="14"/>
  <c r="AF462" i="14" s="1"/>
  <c r="W462" i="14"/>
  <c r="X462" i="14" s="1"/>
  <c r="AE461" i="14"/>
  <c r="AD461" i="14"/>
  <c r="AA461" i="14"/>
  <c r="Z461" i="14"/>
  <c r="Y461" i="14"/>
  <c r="AF461" i="14" s="1"/>
  <c r="W461" i="14"/>
  <c r="X461" i="14" s="1"/>
  <c r="AE460" i="14"/>
  <c r="AD460" i="14"/>
  <c r="AA460" i="14"/>
  <c r="Z460" i="14"/>
  <c r="Y460" i="14"/>
  <c r="AF460" i="14" s="1"/>
  <c r="W460" i="14"/>
  <c r="X460" i="14" s="1"/>
  <c r="AE459" i="14"/>
  <c r="AD459" i="14"/>
  <c r="AA459" i="14"/>
  <c r="Z459" i="14"/>
  <c r="Y459" i="14"/>
  <c r="AF459" i="14" s="1"/>
  <c r="W459" i="14"/>
  <c r="X459" i="14" s="1"/>
  <c r="AE458" i="14"/>
  <c r="AD458" i="14"/>
  <c r="AA458" i="14"/>
  <c r="Z458" i="14"/>
  <c r="Y458" i="14"/>
  <c r="AF458" i="14" s="1"/>
  <c r="W458" i="14"/>
  <c r="X458" i="14" s="1"/>
  <c r="AE457" i="14"/>
  <c r="AD457" i="14"/>
  <c r="AA457" i="14"/>
  <c r="Z457" i="14"/>
  <c r="Y457" i="14"/>
  <c r="AF457" i="14" s="1"/>
  <c r="W457" i="14"/>
  <c r="X457" i="14" s="1"/>
  <c r="AE456" i="14"/>
  <c r="AD456" i="14"/>
  <c r="AA456" i="14"/>
  <c r="Z456" i="14"/>
  <c r="Y456" i="14"/>
  <c r="AF456" i="14" s="1"/>
  <c r="W456" i="14"/>
  <c r="X456" i="14" s="1"/>
  <c r="AE455" i="14"/>
  <c r="AD455" i="14"/>
  <c r="AA455" i="14"/>
  <c r="Z455" i="14"/>
  <c r="Y455" i="14"/>
  <c r="AF455" i="14" s="1"/>
  <c r="W455" i="14"/>
  <c r="X455" i="14" s="1"/>
  <c r="AE454" i="14"/>
  <c r="AD454" i="14"/>
  <c r="AA454" i="14"/>
  <c r="Z454" i="14"/>
  <c r="Y454" i="14"/>
  <c r="AF454" i="14" s="1"/>
  <c r="W454" i="14"/>
  <c r="X454" i="14" s="1"/>
  <c r="AE453" i="14"/>
  <c r="AD453" i="14"/>
  <c r="AA453" i="14"/>
  <c r="Z453" i="14"/>
  <c r="Y453" i="14"/>
  <c r="AF453" i="14" s="1"/>
  <c r="W453" i="14"/>
  <c r="X453" i="14" s="1"/>
  <c r="AE452" i="14"/>
  <c r="AD452" i="14"/>
  <c r="AA452" i="14"/>
  <c r="Z452" i="14"/>
  <c r="Y452" i="14"/>
  <c r="AF452" i="14" s="1"/>
  <c r="W452" i="14"/>
  <c r="X452" i="14" s="1"/>
  <c r="AE451" i="14"/>
  <c r="AD451" i="14"/>
  <c r="AA451" i="14"/>
  <c r="Z451" i="14"/>
  <c r="Y451" i="14"/>
  <c r="AF451" i="14" s="1"/>
  <c r="W451" i="14"/>
  <c r="X451" i="14" s="1"/>
  <c r="AE450" i="14"/>
  <c r="AD450" i="14"/>
  <c r="AA450" i="14"/>
  <c r="Z450" i="14"/>
  <c r="Y450" i="14"/>
  <c r="AF450" i="14" s="1"/>
  <c r="W450" i="14"/>
  <c r="X450" i="14" s="1"/>
  <c r="AE449" i="14"/>
  <c r="AD449" i="14"/>
  <c r="AA449" i="14"/>
  <c r="Z449" i="14"/>
  <c r="Y449" i="14"/>
  <c r="AF449" i="14" s="1"/>
  <c r="W449" i="14"/>
  <c r="X449" i="14" s="1"/>
  <c r="AE448" i="14"/>
  <c r="AD448" i="14"/>
  <c r="AA448" i="14"/>
  <c r="Z448" i="14"/>
  <c r="Y448" i="14"/>
  <c r="AF448" i="14" s="1"/>
  <c r="W448" i="14"/>
  <c r="X448" i="14" s="1"/>
  <c r="AE447" i="14"/>
  <c r="AD447" i="14"/>
  <c r="AA447" i="14"/>
  <c r="Z447" i="14"/>
  <c r="Y447" i="14"/>
  <c r="AF447" i="14" s="1"/>
  <c r="W447" i="14"/>
  <c r="X447" i="14" s="1"/>
  <c r="AE446" i="14"/>
  <c r="AD446" i="14"/>
  <c r="AA446" i="14"/>
  <c r="Z446" i="14"/>
  <c r="Y446" i="14"/>
  <c r="AF446" i="14" s="1"/>
  <c r="W446" i="14"/>
  <c r="X446" i="14" s="1"/>
  <c r="AE445" i="14"/>
  <c r="AD445" i="14"/>
  <c r="AA445" i="14"/>
  <c r="Z445" i="14"/>
  <c r="Y445" i="14"/>
  <c r="AF445" i="14" s="1"/>
  <c r="W445" i="14"/>
  <c r="X445" i="14" s="1"/>
  <c r="AE444" i="14"/>
  <c r="AD444" i="14"/>
  <c r="AA444" i="14"/>
  <c r="Z444" i="14"/>
  <c r="Y444" i="14"/>
  <c r="AF444" i="14" s="1"/>
  <c r="W444" i="14"/>
  <c r="X444" i="14" s="1"/>
  <c r="AE443" i="14"/>
  <c r="AD443" i="14"/>
  <c r="AA443" i="14"/>
  <c r="Z443" i="14"/>
  <c r="Y443" i="14"/>
  <c r="AF443" i="14" s="1"/>
  <c r="W443" i="14"/>
  <c r="X443" i="14" s="1"/>
  <c r="AE442" i="14"/>
  <c r="AD442" i="14"/>
  <c r="AA442" i="14"/>
  <c r="Z442" i="14"/>
  <c r="Y442" i="14"/>
  <c r="AF442" i="14" s="1"/>
  <c r="W442" i="14"/>
  <c r="X442" i="14" s="1"/>
  <c r="AE441" i="14"/>
  <c r="AD441" i="14"/>
  <c r="AA441" i="14"/>
  <c r="Z441" i="14"/>
  <c r="Y441" i="14"/>
  <c r="AF441" i="14" s="1"/>
  <c r="W441" i="14"/>
  <c r="X441" i="14" s="1"/>
  <c r="AE440" i="14"/>
  <c r="AD440" i="14"/>
  <c r="AA440" i="14"/>
  <c r="Z440" i="14"/>
  <c r="Y440" i="14"/>
  <c r="AF440" i="14" s="1"/>
  <c r="W440" i="14"/>
  <c r="X440" i="14" s="1"/>
  <c r="AE439" i="14"/>
  <c r="AD439" i="14"/>
  <c r="AA439" i="14"/>
  <c r="Z439" i="14"/>
  <c r="Y439" i="14"/>
  <c r="AF439" i="14" s="1"/>
  <c r="W439" i="14"/>
  <c r="X439" i="14" s="1"/>
  <c r="AE438" i="14"/>
  <c r="AD438" i="14"/>
  <c r="AA438" i="14"/>
  <c r="Z438" i="14"/>
  <c r="Y438" i="14"/>
  <c r="AF438" i="14" s="1"/>
  <c r="W438" i="14"/>
  <c r="X438" i="14" s="1"/>
  <c r="AE437" i="14"/>
  <c r="AD437" i="14"/>
  <c r="AA437" i="14"/>
  <c r="Z437" i="14"/>
  <c r="Y437" i="14"/>
  <c r="AF437" i="14" s="1"/>
  <c r="W437" i="14"/>
  <c r="X437" i="14" s="1"/>
  <c r="AE436" i="14"/>
  <c r="AD436" i="14"/>
  <c r="AA436" i="14"/>
  <c r="Z436" i="14"/>
  <c r="Y436" i="14"/>
  <c r="AF436" i="14" s="1"/>
  <c r="W436" i="14"/>
  <c r="X436" i="14" s="1"/>
  <c r="AE435" i="14"/>
  <c r="AD435" i="14"/>
  <c r="AA435" i="14"/>
  <c r="Z435" i="14"/>
  <c r="Y435" i="14"/>
  <c r="AF435" i="14" s="1"/>
  <c r="W435" i="14"/>
  <c r="X435" i="14" s="1"/>
  <c r="AE434" i="14"/>
  <c r="AD434" i="14"/>
  <c r="AA434" i="14"/>
  <c r="Z434" i="14"/>
  <c r="Y434" i="14"/>
  <c r="AF434" i="14" s="1"/>
  <c r="W434" i="14"/>
  <c r="X434" i="14" s="1"/>
  <c r="AE433" i="14"/>
  <c r="AD433" i="14"/>
  <c r="AA433" i="14"/>
  <c r="Z433" i="14"/>
  <c r="Y433" i="14"/>
  <c r="AF433" i="14" s="1"/>
  <c r="W433" i="14"/>
  <c r="X433" i="14" s="1"/>
  <c r="AE432" i="14"/>
  <c r="AD432" i="14"/>
  <c r="AA432" i="14"/>
  <c r="Z432" i="14"/>
  <c r="Y432" i="14"/>
  <c r="AF432" i="14" s="1"/>
  <c r="W432" i="14"/>
  <c r="X432" i="14" s="1"/>
  <c r="AE431" i="14"/>
  <c r="AD431" i="14"/>
  <c r="AA431" i="14"/>
  <c r="Z431" i="14"/>
  <c r="Y431" i="14"/>
  <c r="AF431" i="14" s="1"/>
  <c r="W431" i="14"/>
  <c r="X431" i="14" s="1"/>
  <c r="AE430" i="14"/>
  <c r="AD430" i="14"/>
  <c r="AA430" i="14"/>
  <c r="Z430" i="14"/>
  <c r="Y430" i="14"/>
  <c r="AF430" i="14" s="1"/>
  <c r="W430" i="14"/>
  <c r="X430" i="14" s="1"/>
  <c r="AE429" i="14"/>
  <c r="AD429" i="14"/>
  <c r="AA429" i="14"/>
  <c r="Z429" i="14"/>
  <c r="Y429" i="14"/>
  <c r="AF429" i="14" s="1"/>
  <c r="W429" i="14"/>
  <c r="X429" i="14" s="1"/>
  <c r="AE428" i="14"/>
  <c r="AD428" i="14"/>
  <c r="AA428" i="14"/>
  <c r="Z428" i="14"/>
  <c r="Y428" i="14"/>
  <c r="AF428" i="14" s="1"/>
  <c r="W428" i="14"/>
  <c r="X428" i="14" s="1"/>
  <c r="AE427" i="14"/>
  <c r="AD427" i="14"/>
  <c r="AA427" i="14"/>
  <c r="Z427" i="14"/>
  <c r="Y427" i="14"/>
  <c r="AF427" i="14" s="1"/>
  <c r="W427" i="14"/>
  <c r="X427" i="14" s="1"/>
  <c r="AE426" i="14"/>
  <c r="AD426" i="14"/>
  <c r="AA426" i="14"/>
  <c r="Z426" i="14"/>
  <c r="Y426" i="14"/>
  <c r="AF426" i="14" s="1"/>
  <c r="W426" i="14"/>
  <c r="X426" i="14" s="1"/>
  <c r="AE425" i="14"/>
  <c r="AD425" i="14"/>
  <c r="AA425" i="14"/>
  <c r="Z425" i="14"/>
  <c r="Y425" i="14"/>
  <c r="AF425" i="14" s="1"/>
  <c r="W425" i="14"/>
  <c r="X425" i="14" s="1"/>
  <c r="AE424" i="14"/>
  <c r="AD424" i="14"/>
  <c r="AA424" i="14"/>
  <c r="Z424" i="14"/>
  <c r="Y424" i="14"/>
  <c r="AF424" i="14" s="1"/>
  <c r="W424" i="14"/>
  <c r="X424" i="14" s="1"/>
  <c r="AE423" i="14"/>
  <c r="AD423" i="14"/>
  <c r="AA423" i="14"/>
  <c r="Z423" i="14"/>
  <c r="Y423" i="14"/>
  <c r="AF423" i="14" s="1"/>
  <c r="W423" i="14"/>
  <c r="X423" i="14" s="1"/>
  <c r="AE422" i="14"/>
  <c r="AD422" i="14"/>
  <c r="AA422" i="14"/>
  <c r="Z422" i="14"/>
  <c r="Y422" i="14"/>
  <c r="AF422" i="14" s="1"/>
  <c r="W422" i="14"/>
  <c r="X422" i="14" s="1"/>
  <c r="AE421" i="14"/>
  <c r="AD421" i="14"/>
  <c r="AA421" i="14"/>
  <c r="Z421" i="14"/>
  <c r="Y421" i="14"/>
  <c r="AF421" i="14" s="1"/>
  <c r="W421" i="14"/>
  <c r="X421" i="14" s="1"/>
  <c r="AE420" i="14"/>
  <c r="AD420" i="14"/>
  <c r="AA420" i="14"/>
  <c r="Z420" i="14"/>
  <c r="Y420" i="14"/>
  <c r="AF420" i="14" s="1"/>
  <c r="W420" i="14"/>
  <c r="X420" i="14" s="1"/>
  <c r="AE419" i="14"/>
  <c r="AD419" i="14"/>
  <c r="AA419" i="14"/>
  <c r="Z419" i="14"/>
  <c r="Y419" i="14"/>
  <c r="AF419" i="14" s="1"/>
  <c r="W419" i="14"/>
  <c r="X419" i="14" s="1"/>
  <c r="AE418" i="14"/>
  <c r="AD418" i="14"/>
  <c r="AA418" i="14"/>
  <c r="Z418" i="14"/>
  <c r="Y418" i="14"/>
  <c r="AF418" i="14" s="1"/>
  <c r="W418" i="14"/>
  <c r="X418" i="14" s="1"/>
  <c r="AE417" i="14"/>
  <c r="AD417" i="14"/>
  <c r="AA417" i="14"/>
  <c r="Z417" i="14"/>
  <c r="Y417" i="14"/>
  <c r="AF417" i="14" s="1"/>
  <c r="W417" i="14"/>
  <c r="X417" i="14" s="1"/>
  <c r="AE416" i="14"/>
  <c r="AD416" i="14"/>
  <c r="AA416" i="14"/>
  <c r="Z416" i="14"/>
  <c r="Y416" i="14"/>
  <c r="AF416" i="14" s="1"/>
  <c r="W416" i="14"/>
  <c r="X416" i="14" s="1"/>
  <c r="AE415" i="14"/>
  <c r="AD415" i="14"/>
  <c r="AA415" i="14"/>
  <c r="Z415" i="14"/>
  <c r="Y415" i="14"/>
  <c r="AF415" i="14" s="1"/>
  <c r="W415" i="14"/>
  <c r="X415" i="14" s="1"/>
  <c r="AE414" i="14"/>
  <c r="AD414" i="14"/>
  <c r="AA414" i="14"/>
  <c r="Z414" i="14"/>
  <c r="Y414" i="14"/>
  <c r="AF414" i="14" s="1"/>
  <c r="W414" i="14"/>
  <c r="X414" i="14" s="1"/>
  <c r="AE413" i="14"/>
  <c r="AD413" i="14"/>
  <c r="AA413" i="14"/>
  <c r="Z413" i="14"/>
  <c r="Y413" i="14"/>
  <c r="AF413" i="14" s="1"/>
  <c r="W413" i="14"/>
  <c r="X413" i="14" s="1"/>
  <c r="AE412" i="14"/>
  <c r="AD412" i="14"/>
  <c r="AA412" i="14"/>
  <c r="Z412" i="14"/>
  <c r="Y412" i="14"/>
  <c r="AF412" i="14" s="1"/>
  <c r="W412" i="14"/>
  <c r="X412" i="14" s="1"/>
  <c r="AE411" i="14"/>
  <c r="AD411" i="14"/>
  <c r="AA411" i="14"/>
  <c r="Z411" i="14"/>
  <c r="Y411" i="14"/>
  <c r="AF411" i="14" s="1"/>
  <c r="W411" i="14"/>
  <c r="X411" i="14" s="1"/>
  <c r="AE410" i="14"/>
  <c r="AD410" i="14"/>
  <c r="AA410" i="14"/>
  <c r="Z410" i="14"/>
  <c r="Y410" i="14"/>
  <c r="AF410" i="14" s="1"/>
  <c r="W410" i="14"/>
  <c r="X410" i="14" s="1"/>
  <c r="AE409" i="14"/>
  <c r="AD409" i="14"/>
  <c r="AA409" i="14"/>
  <c r="Z409" i="14"/>
  <c r="Y409" i="14"/>
  <c r="AF409" i="14" s="1"/>
  <c r="W409" i="14"/>
  <c r="X409" i="14" s="1"/>
  <c r="AE408" i="14"/>
  <c r="AD408" i="14"/>
  <c r="AA408" i="14"/>
  <c r="Z408" i="14"/>
  <c r="Y408" i="14"/>
  <c r="AF408" i="14" s="1"/>
  <c r="W408" i="14"/>
  <c r="X408" i="14" s="1"/>
  <c r="AE407" i="14"/>
  <c r="AD407" i="14"/>
  <c r="AA407" i="14"/>
  <c r="Z407" i="14"/>
  <c r="Y407" i="14"/>
  <c r="AF407" i="14" s="1"/>
  <c r="W407" i="14"/>
  <c r="X407" i="14" s="1"/>
  <c r="AE406" i="14"/>
  <c r="AD406" i="14"/>
  <c r="AA406" i="14"/>
  <c r="Z406" i="14"/>
  <c r="Y406" i="14"/>
  <c r="AF406" i="14" s="1"/>
  <c r="W406" i="14"/>
  <c r="X406" i="14" s="1"/>
  <c r="AE405" i="14"/>
  <c r="AD405" i="14"/>
  <c r="AA405" i="14"/>
  <c r="Z405" i="14"/>
  <c r="Y405" i="14"/>
  <c r="AF405" i="14" s="1"/>
  <c r="W405" i="14"/>
  <c r="X405" i="14" s="1"/>
  <c r="AE404" i="14"/>
  <c r="AD404" i="14"/>
  <c r="AA404" i="14"/>
  <c r="Z404" i="14"/>
  <c r="Y404" i="14"/>
  <c r="AF404" i="14" s="1"/>
  <c r="W404" i="14"/>
  <c r="X404" i="14" s="1"/>
  <c r="AE403" i="14"/>
  <c r="AD403" i="14"/>
  <c r="AA403" i="14"/>
  <c r="Z403" i="14"/>
  <c r="Y403" i="14"/>
  <c r="AF403" i="14" s="1"/>
  <c r="W403" i="14"/>
  <c r="X403" i="14" s="1"/>
  <c r="AE402" i="14"/>
  <c r="AD402" i="14"/>
  <c r="AA402" i="14"/>
  <c r="Z402" i="14"/>
  <c r="Y402" i="14"/>
  <c r="AF402" i="14" s="1"/>
  <c r="W402" i="14"/>
  <c r="X402" i="14" s="1"/>
  <c r="AE401" i="14"/>
  <c r="AD401" i="14"/>
  <c r="AA401" i="14"/>
  <c r="Z401" i="14"/>
  <c r="Y401" i="14"/>
  <c r="AF401" i="14" s="1"/>
  <c r="W401" i="14"/>
  <c r="X401" i="14" s="1"/>
  <c r="AE400" i="14"/>
  <c r="AD400" i="14"/>
  <c r="AA400" i="14"/>
  <c r="Z400" i="14"/>
  <c r="Y400" i="14"/>
  <c r="AF400" i="14" s="1"/>
  <c r="W400" i="14"/>
  <c r="X400" i="14" s="1"/>
  <c r="AE399" i="14"/>
  <c r="AD399" i="14"/>
  <c r="AA399" i="14"/>
  <c r="Z399" i="14"/>
  <c r="Y399" i="14"/>
  <c r="AF399" i="14" s="1"/>
  <c r="W399" i="14"/>
  <c r="X399" i="14" s="1"/>
  <c r="AE398" i="14"/>
  <c r="AD398" i="14"/>
  <c r="AA398" i="14"/>
  <c r="Z398" i="14"/>
  <c r="Y398" i="14"/>
  <c r="AF398" i="14" s="1"/>
  <c r="W398" i="14"/>
  <c r="X398" i="14" s="1"/>
  <c r="AE397" i="14"/>
  <c r="AD397" i="14"/>
  <c r="AA397" i="14"/>
  <c r="Z397" i="14"/>
  <c r="Y397" i="14"/>
  <c r="AF397" i="14" s="1"/>
  <c r="W397" i="14"/>
  <c r="X397" i="14" s="1"/>
  <c r="AE396" i="14"/>
  <c r="AD396" i="14"/>
  <c r="AA396" i="14"/>
  <c r="Z396" i="14"/>
  <c r="Y396" i="14"/>
  <c r="AF396" i="14" s="1"/>
  <c r="W396" i="14"/>
  <c r="X396" i="14" s="1"/>
  <c r="AE395" i="14"/>
  <c r="AD395" i="14"/>
  <c r="AA395" i="14"/>
  <c r="Z395" i="14"/>
  <c r="Y395" i="14"/>
  <c r="AF395" i="14" s="1"/>
  <c r="W395" i="14"/>
  <c r="X395" i="14" s="1"/>
  <c r="AE394" i="14"/>
  <c r="AD394" i="14"/>
  <c r="AA394" i="14"/>
  <c r="Z394" i="14"/>
  <c r="Y394" i="14"/>
  <c r="AF394" i="14" s="1"/>
  <c r="W394" i="14"/>
  <c r="X394" i="14" s="1"/>
  <c r="AE393" i="14"/>
  <c r="AD393" i="14"/>
  <c r="AA393" i="14"/>
  <c r="Z393" i="14"/>
  <c r="Y393" i="14"/>
  <c r="AF393" i="14" s="1"/>
  <c r="W393" i="14"/>
  <c r="X393" i="14" s="1"/>
  <c r="AE392" i="14"/>
  <c r="AD392" i="14"/>
  <c r="AA392" i="14"/>
  <c r="Z392" i="14"/>
  <c r="Y392" i="14"/>
  <c r="AF392" i="14" s="1"/>
  <c r="W392" i="14"/>
  <c r="X392" i="14" s="1"/>
  <c r="AE391" i="14"/>
  <c r="AD391" i="14"/>
  <c r="AA391" i="14"/>
  <c r="Z391" i="14"/>
  <c r="Y391" i="14"/>
  <c r="AF391" i="14" s="1"/>
  <c r="W391" i="14"/>
  <c r="X391" i="14" s="1"/>
  <c r="AE390" i="14"/>
  <c r="AD390" i="14"/>
  <c r="AA390" i="14"/>
  <c r="Z390" i="14"/>
  <c r="Y390" i="14"/>
  <c r="AF390" i="14" s="1"/>
  <c r="W390" i="14"/>
  <c r="X390" i="14" s="1"/>
  <c r="AE389" i="14"/>
  <c r="AD389" i="14"/>
  <c r="AA389" i="14"/>
  <c r="Z389" i="14"/>
  <c r="Y389" i="14"/>
  <c r="AF389" i="14" s="1"/>
  <c r="W389" i="14"/>
  <c r="X389" i="14" s="1"/>
  <c r="AE388" i="14"/>
  <c r="AD388" i="14"/>
  <c r="AA388" i="14"/>
  <c r="Z388" i="14"/>
  <c r="Y388" i="14"/>
  <c r="AF388" i="14" s="1"/>
  <c r="W388" i="14"/>
  <c r="X388" i="14" s="1"/>
  <c r="AE387" i="14"/>
  <c r="AD387" i="14"/>
  <c r="AA387" i="14"/>
  <c r="Z387" i="14"/>
  <c r="Y387" i="14"/>
  <c r="AF387" i="14" s="1"/>
  <c r="W387" i="14"/>
  <c r="X387" i="14" s="1"/>
  <c r="AE386" i="14"/>
  <c r="AD386" i="14"/>
  <c r="AA386" i="14"/>
  <c r="Z386" i="14"/>
  <c r="Y386" i="14"/>
  <c r="AF386" i="14" s="1"/>
  <c r="W386" i="14"/>
  <c r="X386" i="14" s="1"/>
  <c r="AE385" i="14"/>
  <c r="AD385" i="14"/>
  <c r="AA385" i="14"/>
  <c r="Z385" i="14"/>
  <c r="Y385" i="14"/>
  <c r="AF385" i="14" s="1"/>
  <c r="W385" i="14"/>
  <c r="X385" i="14" s="1"/>
  <c r="AE384" i="14"/>
  <c r="AD384" i="14"/>
  <c r="AA384" i="14"/>
  <c r="Z384" i="14"/>
  <c r="Y384" i="14"/>
  <c r="AF384" i="14" s="1"/>
  <c r="W384" i="14"/>
  <c r="X384" i="14" s="1"/>
  <c r="AE383" i="14"/>
  <c r="AD383" i="14"/>
  <c r="AA383" i="14"/>
  <c r="Z383" i="14"/>
  <c r="Y383" i="14"/>
  <c r="AF383" i="14" s="1"/>
  <c r="W383" i="14"/>
  <c r="X383" i="14" s="1"/>
  <c r="AE382" i="14"/>
  <c r="AD382" i="14"/>
  <c r="AA382" i="14"/>
  <c r="Z382" i="14"/>
  <c r="Y382" i="14"/>
  <c r="AF382" i="14" s="1"/>
  <c r="W382" i="14"/>
  <c r="X382" i="14" s="1"/>
  <c r="AE381" i="14"/>
  <c r="AD381" i="14"/>
  <c r="AA381" i="14"/>
  <c r="Z381" i="14"/>
  <c r="Y381" i="14"/>
  <c r="AF381" i="14" s="1"/>
  <c r="W381" i="14"/>
  <c r="X381" i="14" s="1"/>
  <c r="AE380" i="14"/>
  <c r="AD380" i="14"/>
  <c r="AA380" i="14"/>
  <c r="Z380" i="14"/>
  <c r="Y380" i="14"/>
  <c r="AF380" i="14" s="1"/>
  <c r="W380" i="14"/>
  <c r="X380" i="14" s="1"/>
  <c r="AE379" i="14"/>
  <c r="AD379" i="14"/>
  <c r="AA379" i="14"/>
  <c r="Z379" i="14"/>
  <c r="Y379" i="14"/>
  <c r="AF379" i="14" s="1"/>
  <c r="W379" i="14"/>
  <c r="X379" i="14" s="1"/>
  <c r="AE378" i="14"/>
  <c r="AD378" i="14"/>
  <c r="AA378" i="14"/>
  <c r="Z378" i="14"/>
  <c r="Y378" i="14"/>
  <c r="AF378" i="14" s="1"/>
  <c r="W378" i="14"/>
  <c r="X378" i="14" s="1"/>
  <c r="AE377" i="14"/>
  <c r="AD377" i="14"/>
  <c r="AA377" i="14"/>
  <c r="Z377" i="14"/>
  <c r="Y377" i="14"/>
  <c r="AF377" i="14" s="1"/>
  <c r="W377" i="14"/>
  <c r="X377" i="14" s="1"/>
  <c r="AE376" i="14"/>
  <c r="AD376" i="14"/>
  <c r="AA376" i="14"/>
  <c r="Z376" i="14"/>
  <c r="Y376" i="14"/>
  <c r="AF376" i="14" s="1"/>
  <c r="W376" i="14"/>
  <c r="X376" i="14" s="1"/>
  <c r="AE375" i="14"/>
  <c r="AD375" i="14"/>
  <c r="AA375" i="14"/>
  <c r="Z375" i="14"/>
  <c r="Y375" i="14"/>
  <c r="AF375" i="14" s="1"/>
  <c r="W375" i="14"/>
  <c r="X375" i="14" s="1"/>
  <c r="AE374" i="14"/>
  <c r="AD374" i="14"/>
  <c r="AA374" i="14"/>
  <c r="Z374" i="14"/>
  <c r="Y374" i="14"/>
  <c r="AF374" i="14" s="1"/>
  <c r="W374" i="14"/>
  <c r="X374" i="14" s="1"/>
  <c r="AE373" i="14"/>
  <c r="AD373" i="14"/>
  <c r="AA373" i="14"/>
  <c r="Z373" i="14"/>
  <c r="Y373" i="14"/>
  <c r="AF373" i="14" s="1"/>
  <c r="W373" i="14"/>
  <c r="X373" i="14" s="1"/>
  <c r="AE372" i="14"/>
  <c r="AD372" i="14"/>
  <c r="AA372" i="14"/>
  <c r="Z372" i="14"/>
  <c r="Y372" i="14"/>
  <c r="AF372" i="14" s="1"/>
  <c r="W372" i="14"/>
  <c r="X372" i="14" s="1"/>
  <c r="AE371" i="14"/>
  <c r="AD371" i="14"/>
  <c r="AA371" i="14"/>
  <c r="Z371" i="14"/>
  <c r="Y371" i="14"/>
  <c r="AF371" i="14" s="1"/>
  <c r="W371" i="14"/>
  <c r="X371" i="14" s="1"/>
  <c r="AE370" i="14"/>
  <c r="AD370" i="14"/>
  <c r="AA370" i="14"/>
  <c r="Z370" i="14"/>
  <c r="Y370" i="14"/>
  <c r="AF370" i="14" s="1"/>
  <c r="W370" i="14"/>
  <c r="X370" i="14" s="1"/>
  <c r="AE369" i="14"/>
  <c r="AD369" i="14"/>
  <c r="AA369" i="14"/>
  <c r="Z369" i="14"/>
  <c r="Y369" i="14"/>
  <c r="AF369" i="14" s="1"/>
  <c r="W369" i="14"/>
  <c r="X369" i="14" s="1"/>
  <c r="AE368" i="14"/>
  <c r="AD368" i="14"/>
  <c r="AA368" i="14"/>
  <c r="Z368" i="14"/>
  <c r="Y368" i="14"/>
  <c r="AF368" i="14" s="1"/>
  <c r="W368" i="14"/>
  <c r="X368" i="14" s="1"/>
  <c r="AE367" i="14"/>
  <c r="AD367" i="14"/>
  <c r="AA367" i="14"/>
  <c r="Z367" i="14"/>
  <c r="Y367" i="14"/>
  <c r="AF367" i="14" s="1"/>
  <c r="W367" i="14"/>
  <c r="X367" i="14" s="1"/>
  <c r="AE366" i="14"/>
  <c r="AD366" i="14"/>
  <c r="AA366" i="14"/>
  <c r="Z366" i="14"/>
  <c r="Y366" i="14"/>
  <c r="AF366" i="14" s="1"/>
  <c r="W366" i="14"/>
  <c r="X366" i="14" s="1"/>
  <c r="AE365" i="14"/>
  <c r="AD365" i="14"/>
  <c r="AA365" i="14"/>
  <c r="Z365" i="14"/>
  <c r="Y365" i="14"/>
  <c r="AF365" i="14" s="1"/>
  <c r="W365" i="14"/>
  <c r="X365" i="14" s="1"/>
  <c r="AE364" i="14"/>
  <c r="AD364" i="14"/>
  <c r="AA364" i="14"/>
  <c r="Z364" i="14"/>
  <c r="Y364" i="14"/>
  <c r="AF364" i="14" s="1"/>
  <c r="W364" i="14"/>
  <c r="X364" i="14" s="1"/>
  <c r="AE363" i="14"/>
  <c r="AD363" i="14"/>
  <c r="AA363" i="14"/>
  <c r="Z363" i="14"/>
  <c r="Y363" i="14"/>
  <c r="AF363" i="14" s="1"/>
  <c r="W363" i="14"/>
  <c r="X363" i="14" s="1"/>
  <c r="AE362" i="14"/>
  <c r="AD362" i="14"/>
  <c r="AA362" i="14"/>
  <c r="Z362" i="14"/>
  <c r="Y362" i="14"/>
  <c r="AF362" i="14" s="1"/>
  <c r="W362" i="14"/>
  <c r="X362" i="14" s="1"/>
  <c r="AE361" i="14"/>
  <c r="AD361" i="14"/>
  <c r="AA361" i="14"/>
  <c r="Z361" i="14"/>
  <c r="Y361" i="14"/>
  <c r="AF361" i="14" s="1"/>
  <c r="W361" i="14"/>
  <c r="X361" i="14" s="1"/>
  <c r="AE360" i="14"/>
  <c r="AD360" i="14"/>
  <c r="AA360" i="14"/>
  <c r="Z360" i="14"/>
  <c r="Y360" i="14"/>
  <c r="AF360" i="14" s="1"/>
  <c r="W360" i="14"/>
  <c r="X360" i="14" s="1"/>
  <c r="AE359" i="14"/>
  <c r="AD359" i="14"/>
  <c r="AA359" i="14"/>
  <c r="Z359" i="14"/>
  <c r="Y359" i="14"/>
  <c r="AF359" i="14" s="1"/>
  <c r="W359" i="14"/>
  <c r="X359" i="14" s="1"/>
  <c r="AE358" i="14"/>
  <c r="AD358" i="14"/>
  <c r="AA358" i="14"/>
  <c r="Z358" i="14"/>
  <c r="Y358" i="14"/>
  <c r="AF358" i="14" s="1"/>
  <c r="W358" i="14"/>
  <c r="X358" i="14" s="1"/>
  <c r="AE357" i="14"/>
  <c r="AD357" i="14"/>
  <c r="AA357" i="14"/>
  <c r="Z357" i="14"/>
  <c r="Y357" i="14"/>
  <c r="AF357" i="14" s="1"/>
  <c r="W357" i="14"/>
  <c r="X357" i="14" s="1"/>
  <c r="AE356" i="14"/>
  <c r="AD356" i="14"/>
  <c r="AA356" i="14"/>
  <c r="Z356" i="14"/>
  <c r="Y356" i="14"/>
  <c r="AF356" i="14" s="1"/>
  <c r="W356" i="14"/>
  <c r="X356" i="14" s="1"/>
  <c r="AE355" i="14"/>
  <c r="AD355" i="14"/>
  <c r="AA355" i="14"/>
  <c r="Z355" i="14"/>
  <c r="Y355" i="14"/>
  <c r="AF355" i="14" s="1"/>
  <c r="W355" i="14"/>
  <c r="X355" i="14" s="1"/>
  <c r="AE354" i="14"/>
  <c r="AD354" i="14"/>
  <c r="AA354" i="14"/>
  <c r="Z354" i="14"/>
  <c r="Y354" i="14"/>
  <c r="AF354" i="14" s="1"/>
  <c r="W354" i="14"/>
  <c r="X354" i="14" s="1"/>
  <c r="AE353" i="14"/>
  <c r="AD353" i="14"/>
  <c r="AA353" i="14"/>
  <c r="Z353" i="14"/>
  <c r="Y353" i="14"/>
  <c r="AF353" i="14" s="1"/>
  <c r="W353" i="14"/>
  <c r="X353" i="14" s="1"/>
  <c r="AE352" i="14"/>
  <c r="AD352" i="14"/>
  <c r="AA352" i="14"/>
  <c r="Z352" i="14"/>
  <c r="Y352" i="14"/>
  <c r="AF352" i="14" s="1"/>
  <c r="W352" i="14"/>
  <c r="X352" i="14" s="1"/>
  <c r="AE351" i="14"/>
  <c r="AD351" i="14"/>
  <c r="AA351" i="14"/>
  <c r="Z351" i="14"/>
  <c r="Y351" i="14"/>
  <c r="AF351" i="14" s="1"/>
  <c r="W351" i="14"/>
  <c r="X351" i="14" s="1"/>
  <c r="AE350" i="14"/>
  <c r="AD350" i="14"/>
  <c r="AA350" i="14"/>
  <c r="Z350" i="14"/>
  <c r="Y350" i="14"/>
  <c r="AF350" i="14" s="1"/>
  <c r="W350" i="14"/>
  <c r="X350" i="14" s="1"/>
  <c r="AE349" i="14"/>
  <c r="AD349" i="14"/>
  <c r="AA349" i="14"/>
  <c r="Z349" i="14"/>
  <c r="Y349" i="14"/>
  <c r="AF349" i="14" s="1"/>
  <c r="W349" i="14"/>
  <c r="X349" i="14" s="1"/>
  <c r="AE348" i="14"/>
  <c r="AD348" i="14"/>
  <c r="AA348" i="14"/>
  <c r="Z348" i="14"/>
  <c r="Y348" i="14"/>
  <c r="AF348" i="14" s="1"/>
  <c r="W348" i="14"/>
  <c r="X348" i="14" s="1"/>
  <c r="AE347" i="14"/>
  <c r="AD347" i="14"/>
  <c r="AA347" i="14"/>
  <c r="Z347" i="14"/>
  <c r="Y347" i="14"/>
  <c r="AF347" i="14" s="1"/>
  <c r="W347" i="14"/>
  <c r="X347" i="14" s="1"/>
  <c r="AE346" i="14"/>
  <c r="AD346" i="14"/>
  <c r="AA346" i="14"/>
  <c r="Z346" i="14"/>
  <c r="Y346" i="14"/>
  <c r="AF346" i="14" s="1"/>
  <c r="W346" i="14"/>
  <c r="X346" i="14" s="1"/>
  <c r="AE345" i="14"/>
  <c r="AD345" i="14"/>
  <c r="AA345" i="14"/>
  <c r="Z345" i="14"/>
  <c r="Y345" i="14"/>
  <c r="AF345" i="14" s="1"/>
  <c r="W345" i="14"/>
  <c r="X345" i="14" s="1"/>
  <c r="AE344" i="14"/>
  <c r="AD344" i="14"/>
  <c r="AA344" i="14"/>
  <c r="Z344" i="14"/>
  <c r="Y344" i="14"/>
  <c r="AF344" i="14" s="1"/>
  <c r="W344" i="14"/>
  <c r="X344" i="14" s="1"/>
  <c r="AE343" i="14"/>
  <c r="AD343" i="14"/>
  <c r="AA343" i="14"/>
  <c r="Z343" i="14"/>
  <c r="Y343" i="14"/>
  <c r="AF343" i="14" s="1"/>
  <c r="W343" i="14"/>
  <c r="X343" i="14" s="1"/>
  <c r="AE342" i="14"/>
  <c r="AD342" i="14"/>
  <c r="AA342" i="14"/>
  <c r="Z342" i="14"/>
  <c r="Y342" i="14"/>
  <c r="AF342" i="14" s="1"/>
  <c r="W342" i="14"/>
  <c r="X342" i="14" s="1"/>
  <c r="AE341" i="14"/>
  <c r="AD341" i="14"/>
  <c r="AA341" i="14"/>
  <c r="Z341" i="14"/>
  <c r="Y341" i="14"/>
  <c r="AF341" i="14" s="1"/>
  <c r="W341" i="14"/>
  <c r="X341" i="14" s="1"/>
  <c r="AE340" i="14"/>
  <c r="AD340" i="14"/>
  <c r="AA340" i="14"/>
  <c r="Z340" i="14"/>
  <c r="Y340" i="14"/>
  <c r="AF340" i="14" s="1"/>
  <c r="W340" i="14"/>
  <c r="X340" i="14" s="1"/>
  <c r="AE339" i="14"/>
  <c r="AD339" i="14"/>
  <c r="AA339" i="14"/>
  <c r="Z339" i="14"/>
  <c r="Y339" i="14"/>
  <c r="AF339" i="14" s="1"/>
  <c r="W339" i="14"/>
  <c r="X339" i="14" s="1"/>
  <c r="AE338" i="14"/>
  <c r="AD338" i="14"/>
  <c r="AA338" i="14"/>
  <c r="Z338" i="14"/>
  <c r="Y338" i="14"/>
  <c r="AF338" i="14" s="1"/>
  <c r="W338" i="14"/>
  <c r="X338" i="14" s="1"/>
  <c r="AE337" i="14"/>
  <c r="AD337" i="14"/>
  <c r="AA337" i="14"/>
  <c r="Z337" i="14"/>
  <c r="Y337" i="14"/>
  <c r="AF337" i="14" s="1"/>
  <c r="W337" i="14"/>
  <c r="X337" i="14" s="1"/>
  <c r="AE336" i="14"/>
  <c r="AD336" i="14"/>
  <c r="AA336" i="14"/>
  <c r="Z336" i="14"/>
  <c r="Y336" i="14"/>
  <c r="AF336" i="14" s="1"/>
  <c r="W336" i="14"/>
  <c r="X336" i="14" s="1"/>
  <c r="AE335" i="14"/>
  <c r="AD335" i="14"/>
  <c r="AA335" i="14"/>
  <c r="Z335" i="14"/>
  <c r="Y335" i="14"/>
  <c r="AF335" i="14" s="1"/>
  <c r="W335" i="14"/>
  <c r="X335" i="14" s="1"/>
  <c r="AE334" i="14"/>
  <c r="AD334" i="14"/>
  <c r="AA334" i="14"/>
  <c r="Z334" i="14"/>
  <c r="Y334" i="14"/>
  <c r="AF334" i="14" s="1"/>
  <c r="W334" i="14"/>
  <c r="X334" i="14" s="1"/>
  <c r="AE333" i="14"/>
  <c r="AD333" i="14"/>
  <c r="AA333" i="14"/>
  <c r="Z333" i="14"/>
  <c r="Y333" i="14"/>
  <c r="AF333" i="14" s="1"/>
  <c r="W333" i="14"/>
  <c r="X333" i="14" s="1"/>
  <c r="AE332" i="14"/>
  <c r="AD332" i="14"/>
  <c r="AA332" i="14"/>
  <c r="Z332" i="14"/>
  <c r="Y332" i="14"/>
  <c r="AF332" i="14" s="1"/>
  <c r="W332" i="14"/>
  <c r="X332" i="14" s="1"/>
  <c r="AE331" i="14"/>
  <c r="AD331" i="14"/>
  <c r="AA331" i="14"/>
  <c r="Z331" i="14"/>
  <c r="Y331" i="14"/>
  <c r="AF331" i="14" s="1"/>
  <c r="W331" i="14"/>
  <c r="X331" i="14" s="1"/>
  <c r="AE330" i="14"/>
  <c r="AD330" i="14"/>
  <c r="AA330" i="14"/>
  <c r="Z330" i="14"/>
  <c r="Y330" i="14"/>
  <c r="AF330" i="14" s="1"/>
  <c r="W330" i="14"/>
  <c r="X330" i="14" s="1"/>
  <c r="AE329" i="14"/>
  <c r="AD329" i="14"/>
  <c r="AA329" i="14"/>
  <c r="Z329" i="14"/>
  <c r="Y329" i="14"/>
  <c r="AF329" i="14" s="1"/>
  <c r="W329" i="14"/>
  <c r="X329" i="14" s="1"/>
  <c r="AE328" i="14"/>
  <c r="AD328" i="14"/>
  <c r="AA328" i="14"/>
  <c r="Z328" i="14"/>
  <c r="Y328" i="14"/>
  <c r="AF328" i="14" s="1"/>
  <c r="W328" i="14"/>
  <c r="X328" i="14" s="1"/>
  <c r="AE327" i="14"/>
  <c r="AD327" i="14"/>
  <c r="AA327" i="14"/>
  <c r="Z327" i="14"/>
  <c r="Y327" i="14"/>
  <c r="AF327" i="14" s="1"/>
  <c r="W327" i="14"/>
  <c r="X327" i="14" s="1"/>
  <c r="AE326" i="14"/>
  <c r="AD326" i="14"/>
  <c r="AA326" i="14"/>
  <c r="Z326" i="14"/>
  <c r="Y326" i="14"/>
  <c r="AF326" i="14" s="1"/>
  <c r="W326" i="14"/>
  <c r="X326" i="14" s="1"/>
  <c r="AE325" i="14"/>
  <c r="AD325" i="14"/>
  <c r="AA325" i="14"/>
  <c r="Z325" i="14"/>
  <c r="Y325" i="14"/>
  <c r="AF325" i="14" s="1"/>
  <c r="W325" i="14"/>
  <c r="X325" i="14" s="1"/>
  <c r="AE324" i="14"/>
  <c r="AD324" i="14"/>
  <c r="AA324" i="14"/>
  <c r="Z324" i="14"/>
  <c r="Y324" i="14"/>
  <c r="AF324" i="14" s="1"/>
  <c r="W324" i="14"/>
  <c r="X324" i="14" s="1"/>
  <c r="AE323" i="14"/>
  <c r="AD323" i="14"/>
  <c r="AA323" i="14"/>
  <c r="Z323" i="14"/>
  <c r="Y323" i="14"/>
  <c r="AF323" i="14" s="1"/>
  <c r="W323" i="14"/>
  <c r="X323" i="14" s="1"/>
  <c r="AE322" i="14"/>
  <c r="AD322" i="14"/>
  <c r="AA322" i="14"/>
  <c r="Z322" i="14"/>
  <c r="Y322" i="14"/>
  <c r="AF322" i="14" s="1"/>
  <c r="W322" i="14"/>
  <c r="X322" i="14" s="1"/>
  <c r="AE321" i="14"/>
  <c r="AD321" i="14"/>
  <c r="AA321" i="14"/>
  <c r="Z321" i="14"/>
  <c r="Y321" i="14"/>
  <c r="AF321" i="14" s="1"/>
  <c r="W321" i="14"/>
  <c r="X321" i="14" s="1"/>
  <c r="AE320" i="14"/>
  <c r="AD320" i="14"/>
  <c r="AA320" i="14"/>
  <c r="Z320" i="14"/>
  <c r="Y320" i="14"/>
  <c r="AF320" i="14" s="1"/>
  <c r="W320" i="14"/>
  <c r="X320" i="14" s="1"/>
  <c r="AE319" i="14"/>
  <c r="AD319" i="14"/>
  <c r="AA319" i="14"/>
  <c r="Z319" i="14"/>
  <c r="Y319" i="14"/>
  <c r="AF319" i="14" s="1"/>
  <c r="W319" i="14"/>
  <c r="X319" i="14" s="1"/>
  <c r="AE318" i="14"/>
  <c r="AD318" i="14"/>
  <c r="AA318" i="14"/>
  <c r="Z318" i="14"/>
  <c r="Y318" i="14"/>
  <c r="AF318" i="14" s="1"/>
  <c r="W318" i="14"/>
  <c r="X318" i="14" s="1"/>
  <c r="AE317" i="14"/>
  <c r="AD317" i="14"/>
  <c r="AA317" i="14"/>
  <c r="Z317" i="14"/>
  <c r="Y317" i="14"/>
  <c r="AF317" i="14" s="1"/>
  <c r="W317" i="14"/>
  <c r="X317" i="14" s="1"/>
  <c r="AE316" i="14"/>
  <c r="AD316" i="14"/>
  <c r="AA316" i="14"/>
  <c r="Z316" i="14"/>
  <c r="Y316" i="14"/>
  <c r="AF316" i="14" s="1"/>
  <c r="W316" i="14"/>
  <c r="X316" i="14" s="1"/>
  <c r="AE315" i="14"/>
  <c r="AD315" i="14"/>
  <c r="AA315" i="14"/>
  <c r="Z315" i="14"/>
  <c r="Y315" i="14"/>
  <c r="AF315" i="14" s="1"/>
  <c r="W315" i="14"/>
  <c r="X315" i="14" s="1"/>
  <c r="AE314" i="14"/>
  <c r="AD314" i="14"/>
  <c r="AA314" i="14"/>
  <c r="Z314" i="14"/>
  <c r="Y314" i="14"/>
  <c r="AF314" i="14" s="1"/>
  <c r="W314" i="14"/>
  <c r="X314" i="14" s="1"/>
  <c r="AE313" i="14"/>
  <c r="AD313" i="14"/>
  <c r="AA313" i="14"/>
  <c r="Z313" i="14"/>
  <c r="Y313" i="14"/>
  <c r="AF313" i="14" s="1"/>
  <c r="W313" i="14"/>
  <c r="X313" i="14" s="1"/>
  <c r="AE312" i="14"/>
  <c r="AD312" i="14"/>
  <c r="AA312" i="14"/>
  <c r="Z312" i="14"/>
  <c r="Y312" i="14"/>
  <c r="AF312" i="14" s="1"/>
  <c r="W312" i="14"/>
  <c r="X312" i="14" s="1"/>
  <c r="AE311" i="14"/>
  <c r="AD311" i="14"/>
  <c r="AA311" i="14"/>
  <c r="Z311" i="14"/>
  <c r="Y311" i="14"/>
  <c r="AF311" i="14" s="1"/>
  <c r="W311" i="14"/>
  <c r="X311" i="14" s="1"/>
  <c r="AE310" i="14"/>
  <c r="AD310" i="14"/>
  <c r="AA310" i="14"/>
  <c r="Z310" i="14"/>
  <c r="Y310" i="14"/>
  <c r="AF310" i="14" s="1"/>
  <c r="W310" i="14"/>
  <c r="X310" i="14" s="1"/>
  <c r="AE309" i="14"/>
  <c r="AD309" i="14"/>
  <c r="AA309" i="14"/>
  <c r="Z309" i="14"/>
  <c r="Y309" i="14"/>
  <c r="AF309" i="14" s="1"/>
  <c r="W309" i="14"/>
  <c r="X309" i="14" s="1"/>
  <c r="AE308" i="14"/>
  <c r="AD308" i="14"/>
  <c r="AA308" i="14"/>
  <c r="Z308" i="14"/>
  <c r="Y308" i="14"/>
  <c r="W308" i="14"/>
  <c r="X308" i="14" s="1"/>
  <c r="AE307" i="14"/>
  <c r="AD307" i="14"/>
  <c r="AA307" i="14"/>
  <c r="Z307" i="14"/>
  <c r="Y307" i="14"/>
  <c r="AF307" i="14" s="1"/>
  <c r="W307" i="14"/>
  <c r="X307" i="14" s="1"/>
  <c r="AE306" i="14"/>
  <c r="AD306" i="14"/>
  <c r="AA306" i="14"/>
  <c r="Z306" i="14"/>
  <c r="Y306" i="14"/>
  <c r="AF306" i="14" s="1"/>
  <c r="W306" i="14"/>
  <c r="X306" i="14" s="1"/>
  <c r="AE305" i="14"/>
  <c r="AD305" i="14"/>
  <c r="AA305" i="14"/>
  <c r="Z305" i="14"/>
  <c r="Y305" i="14"/>
  <c r="AF305" i="14" s="1"/>
  <c r="W305" i="14"/>
  <c r="X305" i="14" s="1"/>
  <c r="AE304" i="14"/>
  <c r="AD304" i="14"/>
  <c r="AA304" i="14"/>
  <c r="Z304" i="14"/>
  <c r="Y304" i="14"/>
  <c r="AF304" i="14" s="1"/>
  <c r="W304" i="14"/>
  <c r="X304" i="14" s="1"/>
  <c r="AE303" i="14"/>
  <c r="AD303" i="14"/>
  <c r="AA303" i="14"/>
  <c r="Z303" i="14"/>
  <c r="Y303" i="14"/>
  <c r="AF303" i="14" s="1"/>
  <c r="W303" i="14"/>
  <c r="X303" i="14" s="1"/>
  <c r="AE302" i="14"/>
  <c r="AD302" i="14"/>
  <c r="AA302" i="14"/>
  <c r="Z302" i="14"/>
  <c r="Y302" i="14"/>
  <c r="AF302" i="14" s="1"/>
  <c r="W302" i="14"/>
  <c r="X302" i="14" s="1"/>
  <c r="AE301" i="14"/>
  <c r="AD301" i="14"/>
  <c r="AA301" i="14"/>
  <c r="Z301" i="14"/>
  <c r="Y301" i="14"/>
  <c r="AF301" i="14" s="1"/>
  <c r="W301" i="14"/>
  <c r="X301" i="14" s="1"/>
  <c r="AE300" i="14"/>
  <c r="AD300" i="14"/>
  <c r="AA300" i="14"/>
  <c r="Z300" i="14"/>
  <c r="Y300" i="14"/>
  <c r="AF300" i="14" s="1"/>
  <c r="W300" i="14"/>
  <c r="X300" i="14" s="1"/>
  <c r="AE299" i="14"/>
  <c r="AD299" i="14"/>
  <c r="AA299" i="14"/>
  <c r="Z299" i="14"/>
  <c r="Y299" i="14"/>
  <c r="AF299" i="14" s="1"/>
  <c r="W299" i="14"/>
  <c r="X299" i="14" s="1"/>
  <c r="AE298" i="14"/>
  <c r="AD298" i="14"/>
  <c r="AA298" i="14"/>
  <c r="Z298" i="14"/>
  <c r="Y298" i="14"/>
  <c r="AF298" i="14" s="1"/>
  <c r="W298" i="14"/>
  <c r="X298" i="14" s="1"/>
  <c r="AE297" i="14"/>
  <c r="AD297" i="14"/>
  <c r="AA297" i="14"/>
  <c r="Z297" i="14"/>
  <c r="Y297" i="14"/>
  <c r="AF297" i="14" s="1"/>
  <c r="W297" i="14"/>
  <c r="X297" i="14" s="1"/>
  <c r="AE296" i="14"/>
  <c r="AD296" i="14"/>
  <c r="AA296" i="14"/>
  <c r="Z296" i="14"/>
  <c r="Y296" i="14"/>
  <c r="AF296" i="14" s="1"/>
  <c r="W296" i="14"/>
  <c r="X296" i="14" s="1"/>
  <c r="AE295" i="14"/>
  <c r="AD295" i="14"/>
  <c r="AA295" i="14"/>
  <c r="Z295" i="14"/>
  <c r="Y295" i="14"/>
  <c r="AF295" i="14" s="1"/>
  <c r="W295" i="14"/>
  <c r="X295" i="14" s="1"/>
  <c r="AE294" i="14"/>
  <c r="AD294" i="14"/>
  <c r="AA294" i="14"/>
  <c r="Z294" i="14"/>
  <c r="Y294" i="14"/>
  <c r="AF294" i="14" s="1"/>
  <c r="W294" i="14"/>
  <c r="X294" i="14" s="1"/>
  <c r="AE293" i="14"/>
  <c r="AD293" i="14"/>
  <c r="AA293" i="14"/>
  <c r="Z293" i="14"/>
  <c r="Y293" i="14"/>
  <c r="AF293" i="14" s="1"/>
  <c r="W293" i="14"/>
  <c r="X293" i="14" s="1"/>
  <c r="AE292" i="14"/>
  <c r="AD292" i="14"/>
  <c r="AA292" i="14"/>
  <c r="Z292" i="14"/>
  <c r="Y292" i="14"/>
  <c r="AF292" i="14" s="1"/>
  <c r="W292" i="14"/>
  <c r="X292" i="14" s="1"/>
  <c r="AE291" i="14"/>
  <c r="AD291" i="14"/>
  <c r="AA291" i="14"/>
  <c r="Z291" i="14"/>
  <c r="Y291" i="14"/>
  <c r="AF291" i="14" s="1"/>
  <c r="W291" i="14"/>
  <c r="X291" i="14" s="1"/>
  <c r="AE290" i="14"/>
  <c r="AD290" i="14"/>
  <c r="AA290" i="14"/>
  <c r="Z290" i="14"/>
  <c r="Y290" i="14"/>
  <c r="AF290" i="14" s="1"/>
  <c r="W290" i="14"/>
  <c r="X290" i="14" s="1"/>
  <c r="AE289" i="14"/>
  <c r="AD289" i="14"/>
  <c r="AA289" i="14"/>
  <c r="Z289" i="14"/>
  <c r="Y289" i="14"/>
  <c r="AF289" i="14" s="1"/>
  <c r="W289" i="14"/>
  <c r="X289" i="14" s="1"/>
  <c r="AE288" i="14"/>
  <c r="AD288" i="14"/>
  <c r="AA288" i="14"/>
  <c r="Z288" i="14"/>
  <c r="Y288" i="14"/>
  <c r="AF288" i="14" s="1"/>
  <c r="W288" i="14"/>
  <c r="X288" i="14" s="1"/>
  <c r="AE287" i="14"/>
  <c r="AD287" i="14"/>
  <c r="AA287" i="14"/>
  <c r="Z287" i="14"/>
  <c r="Y287" i="14"/>
  <c r="AF287" i="14" s="1"/>
  <c r="W287" i="14"/>
  <c r="X287" i="14" s="1"/>
  <c r="AE286" i="14"/>
  <c r="AD286" i="14"/>
  <c r="AA286" i="14"/>
  <c r="Z286" i="14"/>
  <c r="Y286" i="14"/>
  <c r="AF286" i="14" s="1"/>
  <c r="W286" i="14"/>
  <c r="X286" i="14" s="1"/>
  <c r="AE285" i="14"/>
  <c r="AD285" i="14"/>
  <c r="AA285" i="14"/>
  <c r="Z285" i="14"/>
  <c r="Y285" i="14"/>
  <c r="AF285" i="14" s="1"/>
  <c r="W285" i="14"/>
  <c r="X285" i="14" s="1"/>
  <c r="AE284" i="14"/>
  <c r="AD284" i="14"/>
  <c r="AA284" i="14"/>
  <c r="Z284" i="14"/>
  <c r="Y284" i="14"/>
  <c r="AF284" i="14" s="1"/>
  <c r="W284" i="14"/>
  <c r="X284" i="14" s="1"/>
  <c r="AE283" i="14"/>
  <c r="AD283" i="14"/>
  <c r="AA283" i="14"/>
  <c r="Z283" i="14"/>
  <c r="Y283" i="14"/>
  <c r="AF283" i="14" s="1"/>
  <c r="W283" i="14"/>
  <c r="X283" i="14" s="1"/>
  <c r="AE282" i="14"/>
  <c r="AD282" i="14"/>
  <c r="AA282" i="14"/>
  <c r="Z282" i="14"/>
  <c r="Y282" i="14"/>
  <c r="AF282" i="14" s="1"/>
  <c r="W282" i="14"/>
  <c r="X282" i="14" s="1"/>
  <c r="AE281" i="14"/>
  <c r="AD281" i="14"/>
  <c r="AA281" i="14"/>
  <c r="Z281" i="14"/>
  <c r="Y281" i="14"/>
  <c r="AF281" i="14" s="1"/>
  <c r="W281" i="14"/>
  <c r="X281" i="14" s="1"/>
  <c r="AE280" i="14"/>
  <c r="AD280" i="14"/>
  <c r="AA280" i="14"/>
  <c r="Z280" i="14"/>
  <c r="Y280" i="14"/>
  <c r="AF280" i="14" s="1"/>
  <c r="W280" i="14"/>
  <c r="X280" i="14" s="1"/>
  <c r="AE279" i="14"/>
  <c r="AD279" i="14"/>
  <c r="AA279" i="14"/>
  <c r="Z279" i="14"/>
  <c r="Y279" i="14"/>
  <c r="AF279" i="14" s="1"/>
  <c r="W279" i="14"/>
  <c r="X279" i="14" s="1"/>
  <c r="AE278" i="14"/>
  <c r="AD278" i="14"/>
  <c r="AA278" i="14"/>
  <c r="Z278" i="14"/>
  <c r="Y278" i="14"/>
  <c r="AF278" i="14" s="1"/>
  <c r="W278" i="14"/>
  <c r="X278" i="14" s="1"/>
  <c r="AE277" i="14"/>
  <c r="AD277" i="14"/>
  <c r="AA277" i="14"/>
  <c r="Z277" i="14"/>
  <c r="Y277" i="14"/>
  <c r="AF277" i="14" s="1"/>
  <c r="W277" i="14"/>
  <c r="X277" i="14" s="1"/>
  <c r="AE276" i="14"/>
  <c r="AD276" i="14"/>
  <c r="AA276" i="14"/>
  <c r="Z276" i="14"/>
  <c r="Y276" i="14"/>
  <c r="AF276" i="14" s="1"/>
  <c r="W276" i="14"/>
  <c r="X276" i="14" s="1"/>
  <c r="AE275" i="14"/>
  <c r="AD275" i="14"/>
  <c r="AA275" i="14"/>
  <c r="Z275" i="14"/>
  <c r="Y275" i="14"/>
  <c r="AF275" i="14" s="1"/>
  <c r="W275" i="14"/>
  <c r="X275" i="14" s="1"/>
  <c r="AE274" i="14"/>
  <c r="AD274" i="14"/>
  <c r="AA274" i="14"/>
  <c r="Z274" i="14"/>
  <c r="Y274" i="14"/>
  <c r="AF274" i="14" s="1"/>
  <c r="W274" i="14"/>
  <c r="X274" i="14" s="1"/>
  <c r="AE273" i="14"/>
  <c r="AD273" i="14"/>
  <c r="AA273" i="14"/>
  <c r="Z273" i="14"/>
  <c r="Y273" i="14"/>
  <c r="AF273" i="14" s="1"/>
  <c r="W273" i="14"/>
  <c r="X273" i="14" s="1"/>
  <c r="AE272" i="14"/>
  <c r="AD272" i="14"/>
  <c r="AA272" i="14"/>
  <c r="Z272" i="14"/>
  <c r="Y272" i="14"/>
  <c r="AF272" i="14" s="1"/>
  <c r="W272" i="14"/>
  <c r="X272" i="14" s="1"/>
  <c r="AE271" i="14"/>
  <c r="AD271" i="14"/>
  <c r="AA271" i="14"/>
  <c r="Z271" i="14"/>
  <c r="Y271" i="14"/>
  <c r="AF271" i="14" s="1"/>
  <c r="W271" i="14"/>
  <c r="X271" i="14" s="1"/>
  <c r="AE270" i="14"/>
  <c r="AD270" i="14"/>
  <c r="AA270" i="14"/>
  <c r="Z270" i="14"/>
  <c r="Y270" i="14"/>
  <c r="AF270" i="14" s="1"/>
  <c r="W270" i="14"/>
  <c r="X270" i="14" s="1"/>
  <c r="AE269" i="14"/>
  <c r="AD269" i="14"/>
  <c r="AA269" i="14"/>
  <c r="Z269" i="14"/>
  <c r="Y269" i="14"/>
  <c r="AF269" i="14" s="1"/>
  <c r="W269" i="14"/>
  <c r="X269" i="14" s="1"/>
  <c r="AE268" i="14"/>
  <c r="AD268" i="14"/>
  <c r="AA268" i="14"/>
  <c r="Z268" i="14"/>
  <c r="Y268" i="14"/>
  <c r="AF268" i="14" s="1"/>
  <c r="W268" i="14"/>
  <c r="X268" i="14" s="1"/>
  <c r="AE267" i="14"/>
  <c r="AD267" i="14"/>
  <c r="AA267" i="14"/>
  <c r="Z267" i="14"/>
  <c r="Y267" i="14"/>
  <c r="AF267" i="14" s="1"/>
  <c r="W267" i="14"/>
  <c r="X267" i="14" s="1"/>
  <c r="AE266" i="14"/>
  <c r="AD266" i="14"/>
  <c r="AA266" i="14"/>
  <c r="Z266" i="14"/>
  <c r="Y266" i="14"/>
  <c r="AF266" i="14" s="1"/>
  <c r="W266" i="14"/>
  <c r="X266" i="14" s="1"/>
  <c r="AE265" i="14"/>
  <c r="AD265" i="14"/>
  <c r="AA265" i="14"/>
  <c r="Z265" i="14"/>
  <c r="Y265" i="14"/>
  <c r="AF265" i="14" s="1"/>
  <c r="W265" i="14"/>
  <c r="X265" i="14" s="1"/>
  <c r="AE264" i="14"/>
  <c r="AD264" i="14"/>
  <c r="AA264" i="14"/>
  <c r="Z264" i="14"/>
  <c r="Y264" i="14"/>
  <c r="AF264" i="14" s="1"/>
  <c r="W264" i="14"/>
  <c r="X264" i="14" s="1"/>
  <c r="AE263" i="14"/>
  <c r="AD263" i="14"/>
  <c r="AA263" i="14"/>
  <c r="Z263" i="14"/>
  <c r="Y263" i="14"/>
  <c r="AF263" i="14" s="1"/>
  <c r="W263" i="14"/>
  <c r="X263" i="14" s="1"/>
  <c r="AE262" i="14"/>
  <c r="AD262" i="14"/>
  <c r="AA262" i="14"/>
  <c r="Z262" i="14"/>
  <c r="Y262" i="14"/>
  <c r="AF262" i="14" s="1"/>
  <c r="W262" i="14"/>
  <c r="X262" i="14" s="1"/>
  <c r="AE261" i="14"/>
  <c r="AD261" i="14"/>
  <c r="AA261" i="14"/>
  <c r="Z261" i="14"/>
  <c r="Y261" i="14"/>
  <c r="AF261" i="14" s="1"/>
  <c r="W261" i="14"/>
  <c r="X261" i="14" s="1"/>
  <c r="AE260" i="14"/>
  <c r="AD260" i="14"/>
  <c r="AA260" i="14"/>
  <c r="Z260" i="14"/>
  <c r="Y260" i="14"/>
  <c r="AF260" i="14" s="1"/>
  <c r="W260" i="14"/>
  <c r="X260" i="14" s="1"/>
  <c r="AE259" i="14"/>
  <c r="AD259" i="14"/>
  <c r="AA259" i="14"/>
  <c r="Z259" i="14"/>
  <c r="Y259" i="14"/>
  <c r="AF259" i="14" s="1"/>
  <c r="W259" i="14"/>
  <c r="X259" i="14" s="1"/>
  <c r="AE258" i="14"/>
  <c r="AD258" i="14"/>
  <c r="AA258" i="14"/>
  <c r="Z258" i="14"/>
  <c r="Y258" i="14"/>
  <c r="AF258" i="14" s="1"/>
  <c r="W258" i="14"/>
  <c r="X258" i="14" s="1"/>
  <c r="AE257" i="14"/>
  <c r="AD257" i="14"/>
  <c r="AA257" i="14"/>
  <c r="Z257" i="14"/>
  <c r="Y257" i="14"/>
  <c r="AF257" i="14" s="1"/>
  <c r="W257" i="14"/>
  <c r="X257" i="14" s="1"/>
  <c r="AE256" i="14"/>
  <c r="AD256" i="14"/>
  <c r="AA256" i="14"/>
  <c r="Z256" i="14"/>
  <c r="Y256" i="14"/>
  <c r="AF256" i="14" s="1"/>
  <c r="W256" i="14"/>
  <c r="X256" i="14" s="1"/>
  <c r="AE255" i="14"/>
  <c r="AD255" i="14"/>
  <c r="AA255" i="14"/>
  <c r="Z255" i="14"/>
  <c r="Y255" i="14"/>
  <c r="AF255" i="14" s="1"/>
  <c r="W255" i="14"/>
  <c r="X255" i="14" s="1"/>
  <c r="AE254" i="14"/>
  <c r="AD254" i="14"/>
  <c r="AA254" i="14"/>
  <c r="Z254" i="14"/>
  <c r="Y254" i="14"/>
  <c r="AF254" i="14" s="1"/>
  <c r="W254" i="14"/>
  <c r="X254" i="14" s="1"/>
  <c r="AE253" i="14"/>
  <c r="AD253" i="14"/>
  <c r="AA253" i="14"/>
  <c r="Z253" i="14"/>
  <c r="Y253" i="14"/>
  <c r="AF253" i="14" s="1"/>
  <c r="W253" i="14"/>
  <c r="X253" i="14" s="1"/>
  <c r="AE252" i="14"/>
  <c r="AD252" i="14"/>
  <c r="AA252" i="14"/>
  <c r="Z252" i="14"/>
  <c r="Y252" i="14"/>
  <c r="AF252" i="14" s="1"/>
  <c r="W252" i="14"/>
  <c r="X252" i="14" s="1"/>
  <c r="AE251" i="14"/>
  <c r="AD251" i="14"/>
  <c r="AA251" i="14"/>
  <c r="Z251" i="14"/>
  <c r="Y251" i="14"/>
  <c r="AF251" i="14" s="1"/>
  <c r="W251" i="14"/>
  <c r="X251" i="14" s="1"/>
  <c r="AE250" i="14"/>
  <c r="AD250" i="14"/>
  <c r="AA250" i="14"/>
  <c r="Z250" i="14"/>
  <c r="Y250" i="14"/>
  <c r="AF250" i="14" s="1"/>
  <c r="W250" i="14"/>
  <c r="X250" i="14" s="1"/>
  <c r="AE249" i="14"/>
  <c r="AD249" i="14"/>
  <c r="AA249" i="14"/>
  <c r="Z249" i="14"/>
  <c r="Y249" i="14"/>
  <c r="AF249" i="14" s="1"/>
  <c r="W249" i="14"/>
  <c r="X249" i="14" s="1"/>
  <c r="AE248" i="14"/>
  <c r="AD248" i="14"/>
  <c r="AA248" i="14"/>
  <c r="Z248" i="14"/>
  <c r="Y248" i="14"/>
  <c r="AF248" i="14" s="1"/>
  <c r="W248" i="14"/>
  <c r="X248" i="14" s="1"/>
  <c r="AE247" i="14"/>
  <c r="AD247" i="14"/>
  <c r="AA247" i="14"/>
  <c r="Z247" i="14"/>
  <c r="Y247" i="14"/>
  <c r="AF247" i="14" s="1"/>
  <c r="W247" i="14"/>
  <c r="X247" i="14" s="1"/>
  <c r="AE246" i="14"/>
  <c r="AD246" i="14"/>
  <c r="AA246" i="14"/>
  <c r="Z246" i="14"/>
  <c r="Y246" i="14"/>
  <c r="AF246" i="14" s="1"/>
  <c r="W246" i="14"/>
  <c r="X246" i="14" s="1"/>
  <c r="AE245" i="14"/>
  <c r="AD245" i="14"/>
  <c r="AA245" i="14"/>
  <c r="Z245" i="14"/>
  <c r="Y245" i="14"/>
  <c r="AF245" i="14" s="1"/>
  <c r="W245" i="14"/>
  <c r="X245" i="14" s="1"/>
  <c r="AE244" i="14"/>
  <c r="AD244" i="14"/>
  <c r="AA244" i="14"/>
  <c r="Z244" i="14"/>
  <c r="Y244" i="14"/>
  <c r="AF244" i="14" s="1"/>
  <c r="W244" i="14"/>
  <c r="X244" i="14" s="1"/>
  <c r="AE243" i="14"/>
  <c r="AD243" i="14"/>
  <c r="AA243" i="14"/>
  <c r="Z243" i="14"/>
  <c r="Y243" i="14"/>
  <c r="AF243" i="14" s="1"/>
  <c r="W243" i="14"/>
  <c r="X243" i="14" s="1"/>
  <c r="AE242" i="14"/>
  <c r="AD242" i="14"/>
  <c r="AA242" i="14"/>
  <c r="Z242" i="14"/>
  <c r="Y242" i="14"/>
  <c r="AF242" i="14" s="1"/>
  <c r="W242" i="14"/>
  <c r="X242" i="14" s="1"/>
  <c r="AE241" i="14"/>
  <c r="AD241" i="14"/>
  <c r="AA241" i="14"/>
  <c r="Z241" i="14"/>
  <c r="Y241" i="14"/>
  <c r="AF241" i="14" s="1"/>
  <c r="W241" i="14"/>
  <c r="X241" i="14" s="1"/>
  <c r="AE240" i="14"/>
  <c r="AD240" i="14"/>
  <c r="AA240" i="14"/>
  <c r="Z240" i="14"/>
  <c r="Y240" i="14"/>
  <c r="AF240" i="14" s="1"/>
  <c r="W240" i="14"/>
  <c r="X240" i="14" s="1"/>
  <c r="AE239" i="14"/>
  <c r="AD239" i="14"/>
  <c r="AA239" i="14"/>
  <c r="Z239" i="14"/>
  <c r="Y239" i="14"/>
  <c r="AF239" i="14" s="1"/>
  <c r="W239" i="14"/>
  <c r="X239" i="14" s="1"/>
  <c r="AE238" i="14"/>
  <c r="AD238" i="14"/>
  <c r="AA238" i="14"/>
  <c r="Z238" i="14"/>
  <c r="Y238" i="14"/>
  <c r="AF238" i="14" s="1"/>
  <c r="W238" i="14"/>
  <c r="X238" i="14" s="1"/>
  <c r="AE237" i="14"/>
  <c r="AD237" i="14"/>
  <c r="AA237" i="14"/>
  <c r="Z237" i="14"/>
  <c r="Y237" i="14"/>
  <c r="AF237" i="14" s="1"/>
  <c r="W237" i="14"/>
  <c r="X237" i="14" s="1"/>
  <c r="AE236" i="14"/>
  <c r="AD236" i="14"/>
  <c r="AA236" i="14"/>
  <c r="Z236" i="14"/>
  <c r="Y236" i="14"/>
  <c r="AF236" i="14" s="1"/>
  <c r="W236" i="14"/>
  <c r="X236" i="14" s="1"/>
  <c r="AE235" i="14"/>
  <c r="AD235" i="14"/>
  <c r="AA235" i="14"/>
  <c r="Z235" i="14"/>
  <c r="Y235" i="14"/>
  <c r="AF235" i="14" s="1"/>
  <c r="W235" i="14"/>
  <c r="X235" i="14" s="1"/>
  <c r="AE234" i="14"/>
  <c r="AD234" i="14"/>
  <c r="AA234" i="14"/>
  <c r="Z234" i="14"/>
  <c r="Y234" i="14"/>
  <c r="AF234" i="14" s="1"/>
  <c r="W234" i="14"/>
  <c r="X234" i="14" s="1"/>
  <c r="AE233" i="14"/>
  <c r="AD233" i="14"/>
  <c r="AA233" i="14"/>
  <c r="Z233" i="14"/>
  <c r="Y233" i="14"/>
  <c r="AF233" i="14" s="1"/>
  <c r="W233" i="14"/>
  <c r="X233" i="14" s="1"/>
  <c r="AE232" i="14"/>
  <c r="AD232" i="14"/>
  <c r="AA232" i="14"/>
  <c r="Z232" i="14"/>
  <c r="Y232" i="14"/>
  <c r="AF232" i="14" s="1"/>
  <c r="W232" i="14"/>
  <c r="X232" i="14" s="1"/>
  <c r="AE231" i="14"/>
  <c r="AD231" i="14"/>
  <c r="AA231" i="14"/>
  <c r="Z231" i="14"/>
  <c r="Y231" i="14"/>
  <c r="AF231" i="14" s="1"/>
  <c r="W231" i="14"/>
  <c r="X231" i="14" s="1"/>
  <c r="AE230" i="14"/>
  <c r="AD230" i="14"/>
  <c r="AA230" i="14"/>
  <c r="Z230" i="14"/>
  <c r="Y230" i="14"/>
  <c r="AF230" i="14" s="1"/>
  <c r="W230" i="14"/>
  <c r="X230" i="14" s="1"/>
  <c r="AE229" i="14"/>
  <c r="AD229" i="14"/>
  <c r="AA229" i="14"/>
  <c r="Z229" i="14"/>
  <c r="Y229" i="14"/>
  <c r="AF229" i="14" s="1"/>
  <c r="W229" i="14"/>
  <c r="X229" i="14" s="1"/>
  <c r="AE228" i="14"/>
  <c r="AD228" i="14"/>
  <c r="AA228" i="14"/>
  <c r="Z228" i="14"/>
  <c r="Y228" i="14"/>
  <c r="AF228" i="14" s="1"/>
  <c r="W228" i="14"/>
  <c r="X228" i="14" s="1"/>
  <c r="AE227" i="14"/>
  <c r="AD227" i="14"/>
  <c r="AA227" i="14"/>
  <c r="Z227" i="14"/>
  <c r="Y227" i="14"/>
  <c r="AF227" i="14" s="1"/>
  <c r="W227" i="14"/>
  <c r="X227" i="14" s="1"/>
  <c r="AE226" i="14"/>
  <c r="AD226" i="14"/>
  <c r="AA226" i="14"/>
  <c r="Z226" i="14"/>
  <c r="Y226" i="14"/>
  <c r="AF226" i="14" s="1"/>
  <c r="W226" i="14"/>
  <c r="X226" i="14" s="1"/>
  <c r="AE225" i="14"/>
  <c r="AD225" i="14"/>
  <c r="AA225" i="14"/>
  <c r="Z225" i="14"/>
  <c r="Y225" i="14"/>
  <c r="AF225" i="14" s="1"/>
  <c r="W225" i="14"/>
  <c r="X225" i="14" s="1"/>
  <c r="AE224" i="14"/>
  <c r="AD224" i="14"/>
  <c r="AA224" i="14"/>
  <c r="Z224" i="14"/>
  <c r="Y224" i="14"/>
  <c r="AF224" i="14" s="1"/>
  <c r="W224" i="14"/>
  <c r="X224" i="14" s="1"/>
  <c r="AE223" i="14"/>
  <c r="AD223" i="14"/>
  <c r="AA223" i="14"/>
  <c r="Z223" i="14"/>
  <c r="Y223" i="14"/>
  <c r="AF223" i="14" s="1"/>
  <c r="W223" i="14"/>
  <c r="X223" i="14" s="1"/>
  <c r="AE222" i="14"/>
  <c r="AD222" i="14"/>
  <c r="AA222" i="14"/>
  <c r="Z222" i="14"/>
  <c r="Y222" i="14"/>
  <c r="AF222" i="14" s="1"/>
  <c r="W222" i="14"/>
  <c r="X222" i="14" s="1"/>
  <c r="AE221" i="14"/>
  <c r="AD221" i="14"/>
  <c r="AA221" i="14"/>
  <c r="Z221" i="14"/>
  <c r="Y221" i="14"/>
  <c r="AF221" i="14" s="1"/>
  <c r="W221" i="14"/>
  <c r="X221" i="14" s="1"/>
  <c r="AE220" i="14"/>
  <c r="AD220" i="14"/>
  <c r="AA220" i="14"/>
  <c r="Z220" i="14"/>
  <c r="Y220" i="14"/>
  <c r="AF220" i="14" s="1"/>
  <c r="W220" i="14"/>
  <c r="X220" i="14" s="1"/>
  <c r="AE219" i="14"/>
  <c r="AD219" i="14"/>
  <c r="AA219" i="14"/>
  <c r="Z219" i="14"/>
  <c r="Y219" i="14"/>
  <c r="AF219" i="14" s="1"/>
  <c r="W219" i="14"/>
  <c r="X219" i="14" s="1"/>
  <c r="AE218" i="14"/>
  <c r="AD218" i="14"/>
  <c r="AA218" i="14"/>
  <c r="Z218" i="14"/>
  <c r="Y218" i="14"/>
  <c r="AF218" i="14" s="1"/>
  <c r="W218" i="14"/>
  <c r="X218" i="14" s="1"/>
  <c r="AE217" i="14"/>
  <c r="AD217" i="14"/>
  <c r="AA217" i="14"/>
  <c r="Z217" i="14"/>
  <c r="Y217" i="14"/>
  <c r="AF217" i="14" s="1"/>
  <c r="W217" i="14"/>
  <c r="X217" i="14" s="1"/>
  <c r="AE216" i="14"/>
  <c r="AD216" i="14"/>
  <c r="AA216" i="14"/>
  <c r="Z216" i="14"/>
  <c r="Y216" i="14"/>
  <c r="AF216" i="14" s="1"/>
  <c r="W216" i="14"/>
  <c r="X216" i="14" s="1"/>
  <c r="AE215" i="14"/>
  <c r="AD215" i="14"/>
  <c r="AA215" i="14"/>
  <c r="Z215" i="14"/>
  <c r="Y215" i="14"/>
  <c r="AF215" i="14" s="1"/>
  <c r="W215" i="14"/>
  <c r="X215" i="14" s="1"/>
  <c r="AE214" i="14"/>
  <c r="AD214" i="14"/>
  <c r="AA214" i="14"/>
  <c r="Z214" i="14"/>
  <c r="Y214" i="14"/>
  <c r="AF214" i="14" s="1"/>
  <c r="W214" i="14"/>
  <c r="X214" i="14" s="1"/>
  <c r="AE213" i="14"/>
  <c r="AD213" i="14"/>
  <c r="AA213" i="14"/>
  <c r="Z213" i="14"/>
  <c r="Y213" i="14"/>
  <c r="AF213" i="14" s="1"/>
  <c r="W213" i="14"/>
  <c r="X213" i="14" s="1"/>
  <c r="AE212" i="14"/>
  <c r="AD212" i="14"/>
  <c r="AA212" i="14"/>
  <c r="Z212" i="14"/>
  <c r="Y212" i="14"/>
  <c r="AF212" i="14" s="1"/>
  <c r="W212" i="14"/>
  <c r="X212" i="14" s="1"/>
  <c r="AE211" i="14"/>
  <c r="AD211" i="14"/>
  <c r="AA211" i="14"/>
  <c r="Z211" i="14"/>
  <c r="Y211" i="14"/>
  <c r="AF211" i="14" s="1"/>
  <c r="W211" i="14"/>
  <c r="X211" i="14" s="1"/>
  <c r="AE210" i="14"/>
  <c r="AD210" i="14"/>
  <c r="AA210" i="14"/>
  <c r="Z210" i="14"/>
  <c r="Y210" i="14"/>
  <c r="AF210" i="14" s="1"/>
  <c r="W210" i="14"/>
  <c r="X210" i="14" s="1"/>
  <c r="AE209" i="14"/>
  <c r="AD209" i="14"/>
  <c r="AA209" i="14"/>
  <c r="Z209" i="14"/>
  <c r="Y209" i="14"/>
  <c r="AF209" i="14" s="1"/>
  <c r="W209" i="14"/>
  <c r="X209" i="14" s="1"/>
  <c r="AE208" i="14"/>
  <c r="AD208" i="14"/>
  <c r="AA208" i="14"/>
  <c r="Z208" i="14"/>
  <c r="Y208" i="14"/>
  <c r="W208" i="14"/>
  <c r="X208" i="14" s="1"/>
  <c r="AE207" i="14"/>
  <c r="AD207" i="14"/>
  <c r="AA207" i="14"/>
  <c r="Z207" i="14"/>
  <c r="Y207" i="14"/>
  <c r="AF207" i="14" s="1"/>
  <c r="W207" i="14"/>
  <c r="X207" i="14" s="1"/>
  <c r="AE206" i="14"/>
  <c r="AD206" i="14"/>
  <c r="AA206" i="14"/>
  <c r="Z206" i="14"/>
  <c r="Y206" i="14"/>
  <c r="AF206" i="14" s="1"/>
  <c r="W206" i="14"/>
  <c r="X206" i="14" s="1"/>
  <c r="AE205" i="14"/>
  <c r="AD205" i="14"/>
  <c r="AA205" i="14"/>
  <c r="Z205" i="14"/>
  <c r="Y205" i="14"/>
  <c r="AF205" i="14" s="1"/>
  <c r="W205" i="14"/>
  <c r="X205" i="14" s="1"/>
  <c r="AE204" i="14"/>
  <c r="AD204" i="14"/>
  <c r="AA204" i="14"/>
  <c r="Z204" i="14"/>
  <c r="Y204" i="14"/>
  <c r="AF204" i="14" s="1"/>
  <c r="W204" i="14"/>
  <c r="X204" i="14" s="1"/>
  <c r="AE203" i="14"/>
  <c r="AD203" i="14"/>
  <c r="AA203" i="14"/>
  <c r="Z203" i="14"/>
  <c r="Y203" i="14"/>
  <c r="W203" i="14"/>
  <c r="X203" i="14" s="1"/>
  <c r="AE202" i="14"/>
  <c r="AD202" i="14"/>
  <c r="AA202" i="14"/>
  <c r="Z202" i="14"/>
  <c r="Y202" i="14"/>
  <c r="AF202" i="14" s="1"/>
  <c r="W202" i="14"/>
  <c r="X202" i="14" s="1"/>
  <c r="AE201" i="14"/>
  <c r="AD201" i="14"/>
  <c r="AA201" i="14"/>
  <c r="Z201" i="14"/>
  <c r="Y201" i="14"/>
  <c r="AF201" i="14" s="1"/>
  <c r="W201" i="14"/>
  <c r="X201" i="14" s="1"/>
  <c r="AE200" i="14"/>
  <c r="AD200" i="14"/>
  <c r="AA200" i="14"/>
  <c r="Z200" i="14"/>
  <c r="Y200" i="14"/>
  <c r="AF200" i="14" s="1"/>
  <c r="W200" i="14"/>
  <c r="X200" i="14" s="1"/>
  <c r="AE199" i="14"/>
  <c r="AD199" i="14"/>
  <c r="AA199" i="14"/>
  <c r="Z199" i="14"/>
  <c r="Y199" i="14"/>
  <c r="AF199" i="14" s="1"/>
  <c r="W199" i="14"/>
  <c r="X199" i="14" s="1"/>
  <c r="AE198" i="14"/>
  <c r="AD198" i="14"/>
  <c r="AA198" i="14"/>
  <c r="Z198" i="14"/>
  <c r="Y198" i="14"/>
  <c r="AF198" i="14" s="1"/>
  <c r="W198" i="14"/>
  <c r="X198" i="14" s="1"/>
  <c r="AE197" i="14"/>
  <c r="AD197" i="14"/>
  <c r="AA197" i="14"/>
  <c r="Z197" i="14"/>
  <c r="Y197" i="14"/>
  <c r="AF197" i="14" s="1"/>
  <c r="W197" i="14"/>
  <c r="X197" i="14" s="1"/>
  <c r="AE196" i="14"/>
  <c r="AD196" i="14"/>
  <c r="AA196" i="14"/>
  <c r="Z196" i="14"/>
  <c r="Y196" i="14"/>
  <c r="AF196" i="14" s="1"/>
  <c r="W196" i="14"/>
  <c r="X196" i="14" s="1"/>
  <c r="AE195" i="14"/>
  <c r="AD195" i="14"/>
  <c r="AA195" i="14"/>
  <c r="Z195" i="14"/>
  <c r="Y195" i="14"/>
  <c r="AF195" i="14" s="1"/>
  <c r="W195" i="14"/>
  <c r="X195" i="14" s="1"/>
  <c r="AE194" i="14"/>
  <c r="AD194" i="14"/>
  <c r="AA194" i="14"/>
  <c r="Z194" i="14"/>
  <c r="Y194" i="14"/>
  <c r="AF194" i="14" s="1"/>
  <c r="W194" i="14"/>
  <c r="X194" i="14" s="1"/>
  <c r="AE193" i="14"/>
  <c r="AD193" i="14"/>
  <c r="AA193" i="14"/>
  <c r="Z193" i="14"/>
  <c r="Y193" i="14"/>
  <c r="AF193" i="14" s="1"/>
  <c r="W193" i="14"/>
  <c r="X193" i="14" s="1"/>
  <c r="AE192" i="14"/>
  <c r="AD192" i="14"/>
  <c r="AA192" i="14"/>
  <c r="Z192" i="14"/>
  <c r="Y192" i="14"/>
  <c r="AF192" i="14" s="1"/>
  <c r="W192" i="14"/>
  <c r="X192" i="14" s="1"/>
  <c r="AE191" i="14"/>
  <c r="AD191" i="14"/>
  <c r="AA191" i="14"/>
  <c r="Z191" i="14"/>
  <c r="Y191" i="14"/>
  <c r="AF191" i="14" s="1"/>
  <c r="W191" i="14"/>
  <c r="X191" i="14" s="1"/>
  <c r="AE190" i="14"/>
  <c r="AD190" i="14"/>
  <c r="AA190" i="14"/>
  <c r="Z190" i="14"/>
  <c r="Y190" i="14"/>
  <c r="AF190" i="14" s="1"/>
  <c r="W190" i="14"/>
  <c r="X190" i="14" s="1"/>
  <c r="AE189" i="14"/>
  <c r="AD189" i="14"/>
  <c r="AA189" i="14"/>
  <c r="Z189" i="14"/>
  <c r="Y189" i="14"/>
  <c r="AF189" i="14" s="1"/>
  <c r="W189" i="14"/>
  <c r="X189" i="14" s="1"/>
  <c r="AE188" i="14"/>
  <c r="AD188" i="14"/>
  <c r="AA188" i="14"/>
  <c r="Z188" i="14"/>
  <c r="Y188" i="14"/>
  <c r="AF188" i="14" s="1"/>
  <c r="W188" i="14"/>
  <c r="X188" i="14" s="1"/>
  <c r="AE187" i="14"/>
  <c r="AD187" i="14"/>
  <c r="AA187" i="14"/>
  <c r="Z187" i="14"/>
  <c r="Y187" i="14"/>
  <c r="AF187" i="14" s="1"/>
  <c r="W187" i="14"/>
  <c r="X187" i="14" s="1"/>
  <c r="AE186" i="14"/>
  <c r="AD186" i="14"/>
  <c r="AA186" i="14"/>
  <c r="Z186" i="14"/>
  <c r="Y186" i="14"/>
  <c r="AF186" i="14" s="1"/>
  <c r="W186" i="14"/>
  <c r="X186" i="14" s="1"/>
  <c r="AE185" i="14"/>
  <c r="AD185" i="14"/>
  <c r="AA185" i="14"/>
  <c r="Z185" i="14"/>
  <c r="Y185" i="14"/>
  <c r="AF185" i="14" s="1"/>
  <c r="W185" i="14"/>
  <c r="X185" i="14" s="1"/>
  <c r="AE184" i="14"/>
  <c r="AD184" i="14"/>
  <c r="AA184" i="14"/>
  <c r="Z184" i="14"/>
  <c r="Y184" i="14"/>
  <c r="AF184" i="14" s="1"/>
  <c r="W184" i="14"/>
  <c r="X184" i="14" s="1"/>
  <c r="AE183" i="14"/>
  <c r="AD183" i="14"/>
  <c r="AA183" i="14"/>
  <c r="Z183" i="14"/>
  <c r="Y183" i="14"/>
  <c r="AF183" i="14" s="1"/>
  <c r="W183" i="14"/>
  <c r="X183" i="14" s="1"/>
  <c r="AE182" i="14"/>
  <c r="AD182" i="14"/>
  <c r="AA182" i="14"/>
  <c r="Z182" i="14"/>
  <c r="Y182" i="14"/>
  <c r="AF182" i="14" s="1"/>
  <c r="W182" i="14"/>
  <c r="X182" i="14" s="1"/>
  <c r="AE181" i="14"/>
  <c r="AD181" i="14"/>
  <c r="AA181" i="14"/>
  <c r="Z181" i="14"/>
  <c r="Y181" i="14"/>
  <c r="AF181" i="14" s="1"/>
  <c r="W181" i="14"/>
  <c r="X181" i="14" s="1"/>
  <c r="AE180" i="14"/>
  <c r="AD180" i="14"/>
  <c r="AA180" i="14"/>
  <c r="Z180" i="14"/>
  <c r="Y180" i="14"/>
  <c r="AF180" i="14" s="1"/>
  <c r="W180" i="14"/>
  <c r="X180" i="14" s="1"/>
  <c r="AE179" i="14"/>
  <c r="AD179" i="14"/>
  <c r="AA179" i="14"/>
  <c r="Z179" i="14"/>
  <c r="Y179" i="14"/>
  <c r="AF179" i="14" s="1"/>
  <c r="W179" i="14"/>
  <c r="X179" i="14" s="1"/>
  <c r="AE178" i="14"/>
  <c r="AD178" i="14"/>
  <c r="AA178" i="14"/>
  <c r="Z178" i="14"/>
  <c r="Y178" i="14"/>
  <c r="AF178" i="14" s="1"/>
  <c r="W178" i="14"/>
  <c r="X178" i="14" s="1"/>
  <c r="AE177" i="14"/>
  <c r="AD177" i="14"/>
  <c r="AA177" i="14"/>
  <c r="Z177" i="14"/>
  <c r="Y177" i="14"/>
  <c r="AF177" i="14" s="1"/>
  <c r="W177" i="14"/>
  <c r="X177" i="14" s="1"/>
  <c r="AE176" i="14"/>
  <c r="AD176" i="14"/>
  <c r="AA176" i="14"/>
  <c r="Z176" i="14"/>
  <c r="Y176" i="14"/>
  <c r="AF176" i="14" s="1"/>
  <c r="W176" i="14"/>
  <c r="X176" i="14" s="1"/>
  <c r="AE175" i="14"/>
  <c r="AD175" i="14"/>
  <c r="AA175" i="14"/>
  <c r="Z175" i="14"/>
  <c r="Y175" i="14"/>
  <c r="AF175" i="14" s="1"/>
  <c r="W175" i="14"/>
  <c r="X175" i="14" s="1"/>
  <c r="AE174" i="14"/>
  <c r="AD174" i="14"/>
  <c r="AA174" i="14"/>
  <c r="Z174" i="14"/>
  <c r="Y174" i="14"/>
  <c r="AF174" i="14" s="1"/>
  <c r="W174" i="14"/>
  <c r="X174" i="14" s="1"/>
  <c r="AE173" i="14"/>
  <c r="AD173" i="14"/>
  <c r="AA173" i="14"/>
  <c r="Z173" i="14"/>
  <c r="Y173" i="14"/>
  <c r="AF173" i="14" s="1"/>
  <c r="W173" i="14"/>
  <c r="X173" i="14" s="1"/>
  <c r="AE172" i="14"/>
  <c r="AD172" i="14"/>
  <c r="AA172" i="14"/>
  <c r="Z172" i="14"/>
  <c r="Y172" i="14"/>
  <c r="AF172" i="14" s="1"/>
  <c r="W172" i="14"/>
  <c r="X172" i="14" s="1"/>
  <c r="AE171" i="14"/>
  <c r="AD171" i="14"/>
  <c r="AA171" i="14"/>
  <c r="Z171" i="14"/>
  <c r="Y171" i="14"/>
  <c r="AF171" i="14" s="1"/>
  <c r="W171" i="14"/>
  <c r="X171" i="14" s="1"/>
  <c r="AE170" i="14"/>
  <c r="AD170" i="14"/>
  <c r="AA170" i="14"/>
  <c r="Z170" i="14"/>
  <c r="Y170" i="14"/>
  <c r="AF170" i="14" s="1"/>
  <c r="W170" i="14"/>
  <c r="X170" i="14" s="1"/>
  <c r="AE169" i="14"/>
  <c r="AD169" i="14"/>
  <c r="AA169" i="14"/>
  <c r="Z169" i="14"/>
  <c r="Y169" i="14"/>
  <c r="AF169" i="14" s="1"/>
  <c r="W169" i="14"/>
  <c r="X169" i="14" s="1"/>
  <c r="AE168" i="14"/>
  <c r="AD168" i="14"/>
  <c r="AA168" i="14"/>
  <c r="Z168" i="14"/>
  <c r="Y168" i="14"/>
  <c r="AF168" i="14" s="1"/>
  <c r="W168" i="14"/>
  <c r="X168" i="14" s="1"/>
  <c r="AE167" i="14"/>
  <c r="AD167" i="14"/>
  <c r="AA167" i="14"/>
  <c r="Z167" i="14"/>
  <c r="Y167" i="14"/>
  <c r="AF167" i="14" s="1"/>
  <c r="W167" i="14"/>
  <c r="X167" i="14" s="1"/>
  <c r="AE166" i="14"/>
  <c r="AD166" i="14"/>
  <c r="AA166" i="14"/>
  <c r="Z166" i="14"/>
  <c r="Y166" i="14"/>
  <c r="AF166" i="14" s="1"/>
  <c r="W166" i="14"/>
  <c r="X166" i="14" s="1"/>
  <c r="AE165" i="14"/>
  <c r="AD165" i="14"/>
  <c r="AA165" i="14"/>
  <c r="Z165" i="14"/>
  <c r="Y165" i="14"/>
  <c r="AF165" i="14" s="1"/>
  <c r="W165" i="14"/>
  <c r="X165" i="14" s="1"/>
  <c r="AE164" i="14"/>
  <c r="AD164" i="14"/>
  <c r="AA164" i="14"/>
  <c r="Z164" i="14"/>
  <c r="Y164" i="14"/>
  <c r="AF164" i="14" s="1"/>
  <c r="W164" i="14"/>
  <c r="X164" i="14" s="1"/>
  <c r="AE163" i="14"/>
  <c r="AD163" i="14"/>
  <c r="AA163" i="14"/>
  <c r="Z163" i="14"/>
  <c r="Y163" i="14"/>
  <c r="AF163" i="14" s="1"/>
  <c r="W163" i="14"/>
  <c r="X163" i="14" s="1"/>
  <c r="AE162" i="14"/>
  <c r="AD162" i="14"/>
  <c r="AA162" i="14"/>
  <c r="Z162" i="14"/>
  <c r="Y162" i="14"/>
  <c r="AF162" i="14" s="1"/>
  <c r="W162" i="14"/>
  <c r="X162" i="14" s="1"/>
  <c r="AE161" i="14"/>
  <c r="AD161" i="14"/>
  <c r="AA161" i="14"/>
  <c r="Z161" i="14"/>
  <c r="Y161" i="14"/>
  <c r="AF161" i="14" s="1"/>
  <c r="W161" i="14"/>
  <c r="X161" i="14" s="1"/>
  <c r="AE160" i="14"/>
  <c r="AD160" i="14"/>
  <c r="AA160" i="14"/>
  <c r="Z160" i="14"/>
  <c r="Y160" i="14"/>
  <c r="AF160" i="14" s="1"/>
  <c r="W160" i="14"/>
  <c r="X160" i="14" s="1"/>
  <c r="AE159" i="14"/>
  <c r="AD159" i="14"/>
  <c r="AA159" i="14"/>
  <c r="Z159" i="14"/>
  <c r="Y159" i="14"/>
  <c r="AF159" i="14" s="1"/>
  <c r="W159" i="14"/>
  <c r="X159" i="14" s="1"/>
  <c r="AE158" i="14"/>
  <c r="AD158" i="14"/>
  <c r="AA158" i="14"/>
  <c r="Z158" i="14"/>
  <c r="Y158" i="14"/>
  <c r="AF158" i="14" s="1"/>
  <c r="W158" i="14"/>
  <c r="X158" i="14" s="1"/>
  <c r="AE157" i="14"/>
  <c r="AD157" i="14"/>
  <c r="AA157" i="14"/>
  <c r="Z157" i="14"/>
  <c r="Y157" i="14"/>
  <c r="AF157" i="14" s="1"/>
  <c r="W157" i="14"/>
  <c r="X157" i="14" s="1"/>
  <c r="AE156" i="14"/>
  <c r="AD156" i="14"/>
  <c r="AA156" i="14"/>
  <c r="Z156" i="14"/>
  <c r="Y156" i="14"/>
  <c r="AF156" i="14" s="1"/>
  <c r="W156" i="14"/>
  <c r="X156" i="14" s="1"/>
  <c r="AE155" i="14"/>
  <c r="AD155" i="14"/>
  <c r="AA155" i="14"/>
  <c r="Z155" i="14"/>
  <c r="Y155" i="14"/>
  <c r="AF155" i="14" s="1"/>
  <c r="W155" i="14"/>
  <c r="X155" i="14" s="1"/>
  <c r="AE154" i="14"/>
  <c r="AD154" i="14"/>
  <c r="AA154" i="14"/>
  <c r="Z154" i="14"/>
  <c r="Y154" i="14"/>
  <c r="AF154" i="14" s="1"/>
  <c r="W154" i="14"/>
  <c r="X154" i="14" s="1"/>
  <c r="AE153" i="14"/>
  <c r="AD153" i="14"/>
  <c r="AA153" i="14"/>
  <c r="Z153" i="14"/>
  <c r="Y153" i="14"/>
  <c r="AF153" i="14" s="1"/>
  <c r="W153" i="14"/>
  <c r="X153" i="14" s="1"/>
  <c r="AE152" i="14"/>
  <c r="AD152" i="14"/>
  <c r="AA152" i="14"/>
  <c r="Z152" i="14"/>
  <c r="Y152" i="14"/>
  <c r="AF152" i="14" s="1"/>
  <c r="W152" i="14"/>
  <c r="X152" i="14" s="1"/>
  <c r="AE151" i="14"/>
  <c r="AD151" i="14"/>
  <c r="AA151" i="14"/>
  <c r="Z151" i="14"/>
  <c r="Y151" i="14"/>
  <c r="AF151" i="14" s="1"/>
  <c r="W151" i="14"/>
  <c r="X151" i="14" s="1"/>
  <c r="AE150" i="14"/>
  <c r="AD150" i="14"/>
  <c r="AA150" i="14"/>
  <c r="Z150" i="14"/>
  <c r="Y150" i="14"/>
  <c r="AF150" i="14" s="1"/>
  <c r="W150" i="14"/>
  <c r="X150" i="14" s="1"/>
  <c r="AE149" i="14"/>
  <c r="AD149" i="14"/>
  <c r="AA149" i="14"/>
  <c r="Z149" i="14"/>
  <c r="Y149" i="14"/>
  <c r="AF149" i="14" s="1"/>
  <c r="W149" i="14"/>
  <c r="X149" i="14" s="1"/>
  <c r="AE148" i="14"/>
  <c r="AD148" i="14"/>
  <c r="AA148" i="14"/>
  <c r="Z148" i="14"/>
  <c r="Y148" i="14"/>
  <c r="AF148" i="14" s="1"/>
  <c r="W148" i="14"/>
  <c r="X148" i="14" s="1"/>
  <c r="AE147" i="14"/>
  <c r="AD147" i="14"/>
  <c r="AA147" i="14"/>
  <c r="Z147" i="14"/>
  <c r="Y147" i="14"/>
  <c r="AF147" i="14" s="1"/>
  <c r="W147" i="14"/>
  <c r="X147" i="14" s="1"/>
  <c r="AE146" i="14"/>
  <c r="AD146" i="14"/>
  <c r="AA146" i="14"/>
  <c r="Z146" i="14"/>
  <c r="Y146" i="14"/>
  <c r="AF146" i="14" s="1"/>
  <c r="W146" i="14"/>
  <c r="X146" i="14" s="1"/>
  <c r="AE145" i="14"/>
  <c r="AD145" i="14"/>
  <c r="AA145" i="14"/>
  <c r="Z145" i="14"/>
  <c r="Y145" i="14"/>
  <c r="AF145" i="14" s="1"/>
  <c r="W145" i="14"/>
  <c r="X145" i="14" s="1"/>
  <c r="AE144" i="14"/>
  <c r="AD144" i="14"/>
  <c r="AA144" i="14"/>
  <c r="Z144" i="14"/>
  <c r="Y144" i="14"/>
  <c r="AF144" i="14" s="1"/>
  <c r="W144" i="14"/>
  <c r="X144" i="14" s="1"/>
  <c r="AE143" i="14"/>
  <c r="AD143" i="14"/>
  <c r="AA143" i="14"/>
  <c r="Z143" i="14"/>
  <c r="Y143" i="14"/>
  <c r="AF143" i="14" s="1"/>
  <c r="W143" i="14"/>
  <c r="X143" i="14" s="1"/>
  <c r="AE142" i="14"/>
  <c r="AD142" i="14"/>
  <c r="AA142" i="14"/>
  <c r="Z142" i="14"/>
  <c r="Y142" i="14"/>
  <c r="AF142" i="14" s="1"/>
  <c r="W142" i="14"/>
  <c r="X142" i="14" s="1"/>
  <c r="AE141" i="14"/>
  <c r="AD141" i="14"/>
  <c r="AA141" i="14"/>
  <c r="Z141" i="14"/>
  <c r="Y141" i="14"/>
  <c r="AF141" i="14" s="1"/>
  <c r="W141" i="14"/>
  <c r="X141" i="14" s="1"/>
  <c r="AE140" i="14"/>
  <c r="AD140" i="14"/>
  <c r="AA140" i="14"/>
  <c r="Z140" i="14"/>
  <c r="Y140" i="14"/>
  <c r="AF140" i="14" s="1"/>
  <c r="W140" i="14"/>
  <c r="X140" i="14" s="1"/>
  <c r="AE139" i="14"/>
  <c r="AD139" i="14"/>
  <c r="AA139" i="14"/>
  <c r="Z139" i="14"/>
  <c r="Y139" i="14"/>
  <c r="AF139" i="14" s="1"/>
  <c r="W139" i="14"/>
  <c r="X139" i="14" s="1"/>
  <c r="AE138" i="14"/>
  <c r="AD138" i="14"/>
  <c r="AA138" i="14"/>
  <c r="Z138" i="14"/>
  <c r="Y138" i="14"/>
  <c r="AF138" i="14" s="1"/>
  <c r="W138" i="14"/>
  <c r="X138" i="14" s="1"/>
  <c r="AE137" i="14"/>
  <c r="AD137" i="14"/>
  <c r="AA137" i="14"/>
  <c r="Z137" i="14"/>
  <c r="Y137" i="14"/>
  <c r="AF137" i="14" s="1"/>
  <c r="W137" i="14"/>
  <c r="X137" i="14" s="1"/>
  <c r="AE136" i="14"/>
  <c r="AD136" i="14"/>
  <c r="AA136" i="14"/>
  <c r="Z136" i="14"/>
  <c r="Y136" i="14"/>
  <c r="AF136" i="14" s="1"/>
  <c r="W136" i="14"/>
  <c r="X136" i="14" s="1"/>
  <c r="AE135" i="14"/>
  <c r="AD135" i="14"/>
  <c r="AA135" i="14"/>
  <c r="Z135" i="14"/>
  <c r="Y135" i="14"/>
  <c r="AF135" i="14" s="1"/>
  <c r="W135" i="14"/>
  <c r="X135" i="14" s="1"/>
  <c r="AE134" i="14"/>
  <c r="AD134" i="14"/>
  <c r="AA134" i="14"/>
  <c r="Z134" i="14"/>
  <c r="Y134" i="14"/>
  <c r="AF134" i="14" s="1"/>
  <c r="W134" i="14"/>
  <c r="X134" i="14" s="1"/>
  <c r="AE133" i="14"/>
  <c r="AD133" i="14"/>
  <c r="AA133" i="14"/>
  <c r="Z133" i="14"/>
  <c r="Y133" i="14"/>
  <c r="AF133" i="14" s="1"/>
  <c r="W133" i="14"/>
  <c r="X133" i="14" s="1"/>
  <c r="AE132" i="14"/>
  <c r="AD132" i="14"/>
  <c r="AA132" i="14"/>
  <c r="Z132" i="14"/>
  <c r="Y132" i="14"/>
  <c r="AF132" i="14" s="1"/>
  <c r="W132" i="14"/>
  <c r="X132" i="14" s="1"/>
  <c r="AE131" i="14"/>
  <c r="AD131" i="14"/>
  <c r="AA131" i="14"/>
  <c r="Z131" i="14"/>
  <c r="Y131" i="14"/>
  <c r="AF131" i="14" s="1"/>
  <c r="W131" i="14"/>
  <c r="X131" i="14" s="1"/>
  <c r="AE130" i="14"/>
  <c r="AD130" i="14"/>
  <c r="AA130" i="14"/>
  <c r="Z130" i="14"/>
  <c r="Y130" i="14"/>
  <c r="AF130" i="14" s="1"/>
  <c r="W130" i="14"/>
  <c r="X130" i="14" s="1"/>
  <c r="AE129" i="14"/>
  <c r="AD129" i="14"/>
  <c r="AA129" i="14"/>
  <c r="Z129" i="14"/>
  <c r="Y129" i="14"/>
  <c r="AF129" i="14" s="1"/>
  <c r="W129" i="14"/>
  <c r="X129" i="14" s="1"/>
  <c r="AE128" i="14"/>
  <c r="AD128" i="14"/>
  <c r="AA128" i="14"/>
  <c r="Z128" i="14"/>
  <c r="Y128" i="14"/>
  <c r="AF128" i="14" s="1"/>
  <c r="W128" i="14"/>
  <c r="X128" i="14" s="1"/>
  <c r="AE127" i="14"/>
  <c r="AD127" i="14"/>
  <c r="AA127" i="14"/>
  <c r="Z127" i="14"/>
  <c r="Y127" i="14"/>
  <c r="AF127" i="14" s="1"/>
  <c r="W127" i="14"/>
  <c r="X127" i="14" s="1"/>
  <c r="AE126" i="14"/>
  <c r="AD126" i="14"/>
  <c r="AA126" i="14"/>
  <c r="Z126" i="14"/>
  <c r="Y126" i="14"/>
  <c r="AF126" i="14" s="1"/>
  <c r="W126" i="14"/>
  <c r="X126" i="14" s="1"/>
  <c r="AE125" i="14"/>
  <c r="AD125" i="14"/>
  <c r="AA125" i="14"/>
  <c r="Z125" i="14"/>
  <c r="Y125" i="14"/>
  <c r="AF125" i="14" s="1"/>
  <c r="W125" i="14"/>
  <c r="X125" i="14" s="1"/>
  <c r="AE124" i="14"/>
  <c r="AD124" i="14"/>
  <c r="AA124" i="14"/>
  <c r="Z124" i="14"/>
  <c r="Y124" i="14"/>
  <c r="AF124" i="14" s="1"/>
  <c r="W124" i="14"/>
  <c r="X124" i="14" s="1"/>
  <c r="AE123" i="14"/>
  <c r="AD123" i="14"/>
  <c r="AA123" i="14"/>
  <c r="Z123" i="14"/>
  <c r="Y123" i="14"/>
  <c r="AF123" i="14" s="1"/>
  <c r="W123" i="14"/>
  <c r="X123" i="14" s="1"/>
  <c r="AE122" i="14"/>
  <c r="AD122" i="14"/>
  <c r="AA122" i="14"/>
  <c r="Z122" i="14"/>
  <c r="Y122" i="14"/>
  <c r="AF122" i="14" s="1"/>
  <c r="W122" i="14"/>
  <c r="X122" i="14" s="1"/>
  <c r="AE121" i="14"/>
  <c r="AD121" i="14"/>
  <c r="AA121" i="14"/>
  <c r="Z121" i="14"/>
  <c r="Y121" i="14"/>
  <c r="AF121" i="14" s="1"/>
  <c r="W121" i="14"/>
  <c r="X121" i="14" s="1"/>
  <c r="AE120" i="14"/>
  <c r="AD120" i="14"/>
  <c r="AA120" i="14"/>
  <c r="Z120" i="14"/>
  <c r="Y120" i="14"/>
  <c r="AF120" i="14" s="1"/>
  <c r="W120" i="14"/>
  <c r="X120" i="14" s="1"/>
  <c r="AE119" i="14"/>
  <c r="AD119" i="14"/>
  <c r="AA119" i="14"/>
  <c r="Z119" i="14"/>
  <c r="Y119" i="14"/>
  <c r="AF119" i="14" s="1"/>
  <c r="W119" i="14"/>
  <c r="X119" i="14" s="1"/>
  <c r="AE118" i="14"/>
  <c r="AD118" i="14"/>
  <c r="AA118" i="14"/>
  <c r="Z118" i="14"/>
  <c r="Y118" i="14"/>
  <c r="AF118" i="14" s="1"/>
  <c r="W118" i="14"/>
  <c r="X118" i="14" s="1"/>
  <c r="AE117" i="14"/>
  <c r="AD117" i="14"/>
  <c r="AA117" i="14"/>
  <c r="Z117" i="14"/>
  <c r="Y117" i="14"/>
  <c r="AF117" i="14" s="1"/>
  <c r="W117" i="14"/>
  <c r="X117" i="14" s="1"/>
  <c r="AE116" i="14"/>
  <c r="AD116" i="14"/>
  <c r="AA116" i="14"/>
  <c r="Z116" i="14"/>
  <c r="Y116" i="14"/>
  <c r="AF116" i="14" s="1"/>
  <c r="W116" i="14"/>
  <c r="X116" i="14" s="1"/>
  <c r="AE115" i="14"/>
  <c r="AD115" i="14"/>
  <c r="AA115" i="14"/>
  <c r="Z115" i="14"/>
  <c r="Y115" i="14"/>
  <c r="AF115" i="14" s="1"/>
  <c r="W115" i="14"/>
  <c r="X115" i="14" s="1"/>
  <c r="AE114" i="14"/>
  <c r="AD114" i="14"/>
  <c r="AA114" i="14"/>
  <c r="Z114" i="14"/>
  <c r="Y114" i="14"/>
  <c r="AF114" i="14" s="1"/>
  <c r="W114" i="14"/>
  <c r="X114" i="14" s="1"/>
  <c r="AE113" i="14"/>
  <c r="AD113" i="14"/>
  <c r="AA113" i="14"/>
  <c r="Z113" i="14"/>
  <c r="Y113" i="14"/>
  <c r="AF113" i="14" s="1"/>
  <c r="W113" i="14"/>
  <c r="X113" i="14" s="1"/>
  <c r="AE112" i="14"/>
  <c r="AD112" i="14"/>
  <c r="AA112" i="14"/>
  <c r="Z112" i="14"/>
  <c r="Y112" i="14"/>
  <c r="AF112" i="14" s="1"/>
  <c r="W112" i="14"/>
  <c r="X112" i="14" s="1"/>
  <c r="AE111" i="14"/>
  <c r="AD111" i="14"/>
  <c r="AA111" i="14"/>
  <c r="Z111" i="14"/>
  <c r="Y111" i="14"/>
  <c r="AF111" i="14" s="1"/>
  <c r="W111" i="14"/>
  <c r="X111" i="14" s="1"/>
  <c r="AE110" i="14"/>
  <c r="AD110" i="14"/>
  <c r="AA110" i="14"/>
  <c r="Z110" i="14"/>
  <c r="Y110" i="14"/>
  <c r="AF110" i="14" s="1"/>
  <c r="W110" i="14"/>
  <c r="X110" i="14" s="1"/>
  <c r="AE109" i="14"/>
  <c r="AD109" i="14"/>
  <c r="AA109" i="14"/>
  <c r="Z109" i="14"/>
  <c r="Y109" i="14"/>
  <c r="AF109" i="14" s="1"/>
  <c r="W109" i="14"/>
  <c r="X109" i="14" s="1"/>
  <c r="AE108" i="14"/>
  <c r="AD108" i="14"/>
  <c r="AA108" i="14"/>
  <c r="Z108" i="14"/>
  <c r="Y108" i="14"/>
  <c r="AF108" i="14" s="1"/>
  <c r="W108" i="14"/>
  <c r="X108" i="14" s="1"/>
  <c r="AE107" i="14"/>
  <c r="AD107" i="14"/>
  <c r="AA107" i="14"/>
  <c r="Z107" i="14"/>
  <c r="Y107" i="14"/>
  <c r="AF107" i="14" s="1"/>
  <c r="W107" i="14"/>
  <c r="X107" i="14" s="1"/>
  <c r="AE106" i="14"/>
  <c r="AD106" i="14"/>
  <c r="AA106" i="14"/>
  <c r="Z106" i="14"/>
  <c r="Y106" i="14"/>
  <c r="AF106" i="14" s="1"/>
  <c r="W106" i="14"/>
  <c r="X106" i="14" s="1"/>
  <c r="AE105" i="14"/>
  <c r="AD105" i="14"/>
  <c r="AA105" i="14"/>
  <c r="Z105" i="14"/>
  <c r="Y105" i="14"/>
  <c r="AF105" i="14" s="1"/>
  <c r="W105" i="14"/>
  <c r="X105" i="14" s="1"/>
  <c r="AE104" i="14"/>
  <c r="AD104" i="14"/>
  <c r="AA104" i="14"/>
  <c r="Z104" i="14"/>
  <c r="Y104" i="14"/>
  <c r="AF104" i="14" s="1"/>
  <c r="W104" i="14"/>
  <c r="X104" i="14" s="1"/>
  <c r="AE103" i="14"/>
  <c r="AD103" i="14"/>
  <c r="AA103" i="14"/>
  <c r="Z103" i="14"/>
  <c r="Y103" i="14"/>
  <c r="AF103" i="14" s="1"/>
  <c r="W103" i="14"/>
  <c r="X103" i="14" s="1"/>
  <c r="AE102" i="14"/>
  <c r="AD102" i="14"/>
  <c r="AA102" i="14"/>
  <c r="Z102" i="14"/>
  <c r="Y102" i="14"/>
  <c r="AF102" i="14" s="1"/>
  <c r="W102" i="14"/>
  <c r="X102" i="14" s="1"/>
  <c r="AE101" i="14"/>
  <c r="AD101" i="14"/>
  <c r="AA101" i="14"/>
  <c r="Z101" i="14"/>
  <c r="Y101" i="14"/>
  <c r="AF101" i="14" s="1"/>
  <c r="W101" i="14"/>
  <c r="X101" i="14" s="1"/>
  <c r="AE100" i="14"/>
  <c r="AD100" i="14"/>
  <c r="AA100" i="14"/>
  <c r="Z100" i="14"/>
  <c r="Y100" i="14"/>
  <c r="AF100" i="14" s="1"/>
  <c r="W100" i="14"/>
  <c r="X100" i="14" s="1"/>
  <c r="AE99" i="14"/>
  <c r="AD99" i="14"/>
  <c r="AA99" i="14"/>
  <c r="Z99" i="14"/>
  <c r="Y99" i="14"/>
  <c r="AF99" i="14" s="1"/>
  <c r="W99" i="14"/>
  <c r="X99" i="14" s="1"/>
  <c r="AE98" i="14"/>
  <c r="AD98" i="14"/>
  <c r="AA98" i="14"/>
  <c r="Z98" i="14"/>
  <c r="Y98" i="14"/>
  <c r="AF98" i="14" s="1"/>
  <c r="W98" i="14"/>
  <c r="X98" i="14" s="1"/>
  <c r="AE97" i="14"/>
  <c r="AD97" i="14"/>
  <c r="AA97" i="14"/>
  <c r="Z97" i="14"/>
  <c r="Y97" i="14"/>
  <c r="AF97" i="14" s="1"/>
  <c r="W97" i="14"/>
  <c r="X97" i="14" s="1"/>
  <c r="AE96" i="14"/>
  <c r="AD96" i="14"/>
  <c r="AA96" i="14"/>
  <c r="Z96" i="14"/>
  <c r="Y96" i="14"/>
  <c r="AF96" i="14" s="1"/>
  <c r="W96" i="14"/>
  <c r="X96" i="14" s="1"/>
  <c r="AE95" i="14"/>
  <c r="AD95" i="14"/>
  <c r="AA95" i="14"/>
  <c r="Z95" i="14"/>
  <c r="Y95" i="14"/>
  <c r="AF95" i="14" s="1"/>
  <c r="W95" i="14"/>
  <c r="X95" i="14" s="1"/>
  <c r="AE94" i="14"/>
  <c r="AD94" i="14"/>
  <c r="AA94" i="14"/>
  <c r="Z94" i="14"/>
  <c r="Y94" i="14"/>
  <c r="AF94" i="14" s="1"/>
  <c r="W94" i="14"/>
  <c r="X94" i="14" s="1"/>
  <c r="AE93" i="14"/>
  <c r="AD93" i="14"/>
  <c r="AA93" i="14"/>
  <c r="Z93" i="14"/>
  <c r="Y93" i="14"/>
  <c r="AF93" i="14" s="1"/>
  <c r="W93" i="14"/>
  <c r="X93" i="14" s="1"/>
  <c r="AE92" i="14"/>
  <c r="AD92" i="14"/>
  <c r="AA92" i="14"/>
  <c r="Z92" i="14"/>
  <c r="Y92" i="14"/>
  <c r="AF92" i="14" s="1"/>
  <c r="W92" i="14"/>
  <c r="X92" i="14" s="1"/>
  <c r="AE91" i="14"/>
  <c r="AD91" i="14"/>
  <c r="AA91" i="14"/>
  <c r="Z91" i="14"/>
  <c r="Y91" i="14"/>
  <c r="AF91" i="14" s="1"/>
  <c r="W91" i="14"/>
  <c r="X91" i="14" s="1"/>
  <c r="AE90" i="14"/>
  <c r="AD90" i="14"/>
  <c r="AA90" i="14"/>
  <c r="Z90" i="14"/>
  <c r="Y90" i="14"/>
  <c r="AF90" i="14" s="1"/>
  <c r="W90" i="14"/>
  <c r="X90" i="14" s="1"/>
  <c r="AE89" i="14"/>
  <c r="AD89" i="14"/>
  <c r="AA89" i="14"/>
  <c r="Z89" i="14"/>
  <c r="Y89" i="14"/>
  <c r="AF89" i="14" s="1"/>
  <c r="W89" i="14"/>
  <c r="X89" i="14" s="1"/>
  <c r="AE88" i="14"/>
  <c r="AD88" i="14"/>
  <c r="AA88" i="14"/>
  <c r="Z88" i="14"/>
  <c r="Y88" i="14"/>
  <c r="AF88" i="14" s="1"/>
  <c r="W88" i="14"/>
  <c r="X88" i="14" s="1"/>
  <c r="AE87" i="14"/>
  <c r="AD87" i="14"/>
  <c r="AA87" i="14"/>
  <c r="Z87" i="14"/>
  <c r="Y87" i="14"/>
  <c r="AF87" i="14" s="1"/>
  <c r="W87" i="14"/>
  <c r="X87" i="14" s="1"/>
  <c r="AE86" i="14"/>
  <c r="AD86" i="14"/>
  <c r="AA86" i="14"/>
  <c r="Z86" i="14"/>
  <c r="Y86" i="14"/>
  <c r="AF86" i="14" s="1"/>
  <c r="W86" i="14"/>
  <c r="X86" i="14" s="1"/>
  <c r="AE85" i="14"/>
  <c r="AD85" i="14"/>
  <c r="AA85" i="14"/>
  <c r="Z85" i="14"/>
  <c r="Y85" i="14"/>
  <c r="AF85" i="14" s="1"/>
  <c r="W85" i="14"/>
  <c r="X85" i="14" s="1"/>
  <c r="AE84" i="14"/>
  <c r="AD84" i="14"/>
  <c r="AA84" i="14"/>
  <c r="Z84" i="14"/>
  <c r="Y84" i="14"/>
  <c r="AF84" i="14" s="1"/>
  <c r="W84" i="14"/>
  <c r="X84" i="14" s="1"/>
  <c r="AE83" i="14"/>
  <c r="AD83" i="14"/>
  <c r="AA83" i="14"/>
  <c r="Z83" i="14"/>
  <c r="Y83" i="14"/>
  <c r="AF83" i="14" s="1"/>
  <c r="W83" i="14"/>
  <c r="X83" i="14" s="1"/>
  <c r="AE82" i="14"/>
  <c r="AD82" i="14"/>
  <c r="AA82" i="14"/>
  <c r="Z82" i="14"/>
  <c r="Y82" i="14"/>
  <c r="AF82" i="14" s="1"/>
  <c r="W82" i="14"/>
  <c r="X82" i="14" s="1"/>
  <c r="AE81" i="14"/>
  <c r="AD81" i="14"/>
  <c r="AA81" i="14"/>
  <c r="Z81" i="14"/>
  <c r="Y81" i="14"/>
  <c r="AF81" i="14" s="1"/>
  <c r="W81" i="14"/>
  <c r="X81" i="14" s="1"/>
  <c r="AE80" i="14"/>
  <c r="AD80" i="14"/>
  <c r="AA80" i="14"/>
  <c r="Z80" i="14"/>
  <c r="Y80" i="14"/>
  <c r="AF80" i="14" s="1"/>
  <c r="W80" i="14"/>
  <c r="X80" i="14" s="1"/>
  <c r="AE79" i="14"/>
  <c r="AD79" i="14"/>
  <c r="AA79" i="14"/>
  <c r="Z79" i="14"/>
  <c r="Y79" i="14"/>
  <c r="AF79" i="14" s="1"/>
  <c r="W79" i="14"/>
  <c r="X79" i="14" s="1"/>
  <c r="AE78" i="14"/>
  <c r="AD78" i="14"/>
  <c r="AA78" i="14"/>
  <c r="Z78" i="14"/>
  <c r="Y78" i="14"/>
  <c r="AF78" i="14" s="1"/>
  <c r="W78" i="14"/>
  <c r="X78" i="14" s="1"/>
  <c r="AE77" i="14"/>
  <c r="AD77" i="14"/>
  <c r="AA77" i="14"/>
  <c r="Z77" i="14"/>
  <c r="Y77" i="14"/>
  <c r="AF77" i="14" s="1"/>
  <c r="W77" i="14"/>
  <c r="X77" i="14" s="1"/>
  <c r="AE76" i="14"/>
  <c r="AD76" i="14"/>
  <c r="AA76" i="14"/>
  <c r="Z76" i="14"/>
  <c r="Y76" i="14"/>
  <c r="AF76" i="14" s="1"/>
  <c r="W76" i="14"/>
  <c r="X76" i="14" s="1"/>
  <c r="AE75" i="14"/>
  <c r="AD75" i="14"/>
  <c r="AA75" i="14"/>
  <c r="Z75" i="14"/>
  <c r="Y75" i="14"/>
  <c r="AF75" i="14" s="1"/>
  <c r="W75" i="14"/>
  <c r="X75" i="14" s="1"/>
  <c r="AE74" i="14"/>
  <c r="AD74" i="14"/>
  <c r="AA74" i="14"/>
  <c r="Z74" i="14"/>
  <c r="Y74" i="14"/>
  <c r="AF74" i="14" s="1"/>
  <c r="W74" i="14"/>
  <c r="X74" i="14" s="1"/>
  <c r="AE73" i="14"/>
  <c r="AD73" i="14"/>
  <c r="AA73" i="14"/>
  <c r="Z73" i="14"/>
  <c r="Y73" i="14"/>
  <c r="AF73" i="14" s="1"/>
  <c r="W73" i="14"/>
  <c r="X73" i="14" s="1"/>
  <c r="AE72" i="14"/>
  <c r="AD72" i="14"/>
  <c r="AA72" i="14"/>
  <c r="Z72" i="14"/>
  <c r="Y72" i="14"/>
  <c r="AF72" i="14" s="1"/>
  <c r="W72" i="14"/>
  <c r="X72" i="14" s="1"/>
  <c r="AE71" i="14"/>
  <c r="AD71" i="14"/>
  <c r="AA71" i="14"/>
  <c r="Z71" i="14"/>
  <c r="Y71" i="14"/>
  <c r="AF71" i="14" s="1"/>
  <c r="W71" i="14"/>
  <c r="X71" i="14" s="1"/>
  <c r="AE70" i="14"/>
  <c r="AD70" i="14"/>
  <c r="AA70" i="14"/>
  <c r="Z70" i="14"/>
  <c r="Y70" i="14"/>
  <c r="AF70" i="14" s="1"/>
  <c r="W70" i="14"/>
  <c r="X70" i="14" s="1"/>
  <c r="AE69" i="14"/>
  <c r="AD69" i="14"/>
  <c r="AA69" i="14"/>
  <c r="Z69" i="14"/>
  <c r="Y69" i="14"/>
  <c r="AF69" i="14" s="1"/>
  <c r="W69" i="14"/>
  <c r="X69" i="14" s="1"/>
  <c r="AE68" i="14"/>
  <c r="AD68" i="14"/>
  <c r="AA68" i="14"/>
  <c r="Z68" i="14"/>
  <c r="Y68" i="14"/>
  <c r="AF68" i="14" s="1"/>
  <c r="W68" i="14"/>
  <c r="X68" i="14" s="1"/>
  <c r="AE67" i="14"/>
  <c r="AD67" i="14"/>
  <c r="AA67" i="14"/>
  <c r="Z67" i="14"/>
  <c r="Y67" i="14"/>
  <c r="AF67" i="14" s="1"/>
  <c r="W67" i="14"/>
  <c r="X67" i="14" s="1"/>
  <c r="AE66" i="14"/>
  <c r="AD66" i="14"/>
  <c r="AA66" i="14"/>
  <c r="Z66" i="14"/>
  <c r="Y66" i="14"/>
  <c r="AF66" i="14" s="1"/>
  <c r="W66" i="14"/>
  <c r="X66" i="14" s="1"/>
  <c r="AE65" i="14"/>
  <c r="AD65" i="14"/>
  <c r="AA65" i="14"/>
  <c r="Z65" i="14"/>
  <c r="Y65" i="14"/>
  <c r="AF65" i="14" s="1"/>
  <c r="W65" i="14"/>
  <c r="X65" i="14" s="1"/>
  <c r="AE64" i="14"/>
  <c r="AD64" i="14"/>
  <c r="AA64" i="14"/>
  <c r="Z64" i="14"/>
  <c r="Y64" i="14"/>
  <c r="AF64" i="14" s="1"/>
  <c r="W64" i="14"/>
  <c r="X64" i="14" s="1"/>
  <c r="AE63" i="14"/>
  <c r="AD63" i="14"/>
  <c r="AA63" i="14"/>
  <c r="Z63" i="14"/>
  <c r="Y63" i="14"/>
  <c r="AF63" i="14" s="1"/>
  <c r="W63" i="14"/>
  <c r="X63" i="14" s="1"/>
  <c r="AE62" i="14"/>
  <c r="AD62" i="14"/>
  <c r="AA62" i="14"/>
  <c r="Z62" i="14"/>
  <c r="Y62" i="14"/>
  <c r="AF62" i="14" s="1"/>
  <c r="W62" i="14"/>
  <c r="X62" i="14" s="1"/>
  <c r="AE61" i="14"/>
  <c r="AD61" i="14"/>
  <c r="AA61" i="14"/>
  <c r="Z61" i="14"/>
  <c r="Y61" i="14"/>
  <c r="AF61" i="14" s="1"/>
  <c r="W61" i="14"/>
  <c r="X61" i="14" s="1"/>
  <c r="AE60" i="14"/>
  <c r="AD60" i="14"/>
  <c r="AA60" i="14"/>
  <c r="Z60" i="14"/>
  <c r="Y60" i="14"/>
  <c r="AF60" i="14" s="1"/>
  <c r="W60" i="14"/>
  <c r="X60" i="14" s="1"/>
  <c r="AE59" i="14"/>
  <c r="AD59" i="14"/>
  <c r="AA59" i="14"/>
  <c r="Z59" i="14"/>
  <c r="Y59" i="14"/>
  <c r="AF59" i="14" s="1"/>
  <c r="W59" i="14"/>
  <c r="X59" i="14" s="1"/>
  <c r="AE58" i="14"/>
  <c r="AD58" i="14"/>
  <c r="AA58" i="14"/>
  <c r="Z58" i="14"/>
  <c r="Y58" i="14"/>
  <c r="AF58" i="14" s="1"/>
  <c r="W58" i="14"/>
  <c r="X58" i="14" s="1"/>
  <c r="AE57" i="14"/>
  <c r="AD57" i="14"/>
  <c r="AA57" i="14"/>
  <c r="Z57" i="14"/>
  <c r="Y57" i="14"/>
  <c r="AF57" i="14" s="1"/>
  <c r="W57" i="14"/>
  <c r="X57" i="14" s="1"/>
  <c r="AE56" i="14"/>
  <c r="AD56" i="14"/>
  <c r="AA56" i="14"/>
  <c r="Z56" i="14"/>
  <c r="Y56" i="14"/>
  <c r="AF56" i="14" s="1"/>
  <c r="W56" i="14"/>
  <c r="X56" i="14" s="1"/>
  <c r="AE55" i="14"/>
  <c r="AD55" i="14"/>
  <c r="AA55" i="14"/>
  <c r="Z55" i="14"/>
  <c r="Y55" i="14"/>
  <c r="AF55" i="14" s="1"/>
  <c r="W55" i="14"/>
  <c r="X55" i="14" s="1"/>
  <c r="AE54" i="14"/>
  <c r="AD54" i="14"/>
  <c r="AA54" i="14"/>
  <c r="Z54" i="14"/>
  <c r="Y54" i="14"/>
  <c r="AF54" i="14" s="1"/>
  <c r="W54" i="14"/>
  <c r="X54" i="14" s="1"/>
  <c r="AE53" i="14"/>
  <c r="AD53" i="14"/>
  <c r="AA53" i="14"/>
  <c r="Z53" i="14"/>
  <c r="Y53" i="14"/>
  <c r="AF53" i="14" s="1"/>
  <c r="W53" i="14"/>
  <c r="X53" i="14" s="1"/>
  <c r="AE52" i="14"/>
  <c r="AD52" i="14"/>
  <c r="AA52" i="14"/>
  <c r="Z52" i="14"/>
  <c r="Y52" i="14"/>
  <c r="AF52" i="14" s="1"/>
  <c r="W52" i="14"/>
  <c r="X52" i="14" s="1"/>
  <c r="AE51" i="14"/>
  <c r="AD51" i="14"/>
  <c r="AA51" i="14"/>
  <c r="Z51" i="14"/>
  <c r="Y51" i="14"/>
  <c r="AF51" i="14" s="1"/>
  <c r="W51" i="14"/>
  <c r="X51" i="14" s="1"/>
  <c r="AE50" i="14"/>
  <c r="AD50" i="14"/>
  <c r="AA50" i="14"/>
  <c r="Z50" i="14"/>
  <c r="Y50" i="14"/>
  <c r="AF50" i="14" s="1"/>
  <c r="W50" i="14"/>
  <c r="X50" i="14" s="1"/>
  <c r="AE49" i="14"/>
  <c r="AD49" i="14"/>
  <c r="AA49" i="14"/>
  <c r="Z49" i="14"/>
  <c r="Y49" i="14"/>
  <c r="AF49" i="14" s="1"/>
  <c r="W49" i="14"/>
  <c r="X49" i="14" s="1"/>
  <c r="AE48" i="14"/>
  <c r="AD48" i="14"/>
  <c r="AA48" i="14"/>
  <c r="Z48" i="14"/>
  <c r="Y48" i="14"/>
  <c r="AF48" i="14" s="1"/>
  <c r="W48" i="14"/>
  <c r="X48" i="14" s="1"/>
  <c r="AE47" i="14"/>
  <c r="AD47" i="14"/>
  <c r="AA47" i="14"/>
  <c r="Z47" i="14"/>
  <c r="Y47" i="14"/>
  <c r="AF47" i="14" s="1"/>
  <c r="W47" i="14"/>
  <c r="X47" i="14" s="1"/>
  <c r="D24" i="40"/>
  <c r="C24" i="40"/>
  <c r="E24" i="40"/>
  <c r="D23" i="40"/>
  <c r="C23" i="40"/>
  <c r="D22" i="40"/>
  <c r="C22" i="40"/>
  <c r="D21" i="40"/>
  <c r="D20" i="40"/>
  <c r="D19" i="40"/>
  <c r="D18" i="40"/>
  <c r="C18" i="40"/>
  <c r="D17" i="40"/>
  <c r="C17" i="40"/>
  <c r="D16" i="40"/>
  <c r="C16" i="40"/>
  <c r="D15" i="40"/>
  <c r="C15" i="40"/>
  <c r="D14" i="40"/>
  <c r="C14" i="40"/>
  <c r="D13" i="40"/>
  <c r="D12" i="40"/>
  <c r="C12" i="40"/>
  <c r="D11" i="40"/>
  <c r="C11" i="40"/>
  <c r="C9" i="40"/>
  <c r="C7" i="40"/>
  <c r="Y25" i="22"/>
  <c r="Y24" i="22"/>
  <c r="Y23" i="22"/>
  <c r="Y22" i="22"/>
  <c r="A80" i="38"/>
  <c r="A79" i="38"/>
  <c r="A78" i="38"/>
  <c r="A77" i="38"/>
  <c r="A76" i="38"/>
  <c r="A75" i="38"/>
  <c r="A74" i="38"/>
  <c r="A73" i="38"/>
  <c r="A72" i="38"/>
  <c r="A71" i="38"/>
  <c r="A70" i="38"/>
  <c r="A69" i="38"/>
  <c r="A68" i="38"/>
  <c r="A67" i="38"/>
  <c r="A66" i="38"/>
  <c r="A65" i="38"/>
  <c r="A64" i="38"/>
  <c r="A63" i="38"/>
  <c r="A62" i="38"/>
  <c r="A61" i="38"/>
  <c r="A60" i="38"/>
  <c r="A59" i="38"/>
  <c r="A58" i="38"/>
  <c r="A57" i="38"/>
  <c r="A56" i="38"/>
  <c r="A55" i="38"/>
  <c r="A54" i="38"/>
  <c r="A53" i="38"/>
  <c r="A52" i="38"/>
  <c r="A51" i="38"/>
  <c r="A50" i="38"/>
  <c r="A49" i="38"/>
  <c r="A48" i="38"/>
  <c r="A47" i="38"/>
  <c r="A46" i="38"/>
  <c r="A45" i="38"/>
  <c r="A44" i="38"/>
  <c r="A43" i="38"/>
  <c r="A42" i="38"/>
  <c r="A41" i="38"/>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A9" i="38"/>
  <c r="A8" i="38"/>
  <c r="A7" i="38"/>
  <c r="A6" i="38"/>
  <c r="A5" i="38"/>
  <c r="AE137" i="5"/>
  <c r="AE136" i="5"/>
  <c r="AE135" i="5"/>
  <c r="AE134" i="5"/>
  <c r="AE133" i="5"/>
  <c r="AE132" i="5"/>
  <c r="AE131" i="5"/>
  <c r="AE130" i="5"/>
  <c r="AE129" i="5"/>
  <c r="AE128" i="5"/>
  <c r="AE127" i="5"/>
  <c r="AE126" i="5"/>
  <c r="AE125" i="5"/>
  <c r="AE124" i="5"/>
  <c r="AE123" i="5"/>
  <c r="AE122" i="5"/>
  <c r="AE121" i="5"/>
  <c r="AE120" i="5"/>
  <c r="AE119" i="5"/>
  <c r="AE118" i="5"/>
  <c r="AE117" i="5"/>
  <c r="AE116" i="5"/>
  <c r="AE115" i="5"/>
  <c r="AE114" i="5"/>
  <c r="AE113" i="5"/>
  <c r="AE112" i="5"/>
  <c r="AE111" i="5"/>
  <c r="AE110" i="5"/>
  <c r="AE109" i="5"/>
  <c r="AE108" i="5"/>
  <c r="AE107" i="5"/>
  <c r="AE106" i="5"/>
  <c r="AE105" i="5"/>
  <c r="AE104" i="5"/>
  <c r="AE103" i="5"/>
  <c r="AE102" i="5"/>
  <c r="AE101" i="5"/>
  <c r="AE100" i="5"/>
  <c r="AE99" i="5"/>
  <c r="AE98" i="5"/>
  <c r="AE97" i="5"/>
  <c r="AE96" i="5"/>
  <c r="AE95" i="5"/>
  <c r="AE94" i="5"/>
  <c r="AE93" i="5"/>
  <c r="AE92" i="5"/>
  <c r="AE91" i="5"/>
  <c r="AE90" i="5"/>
  <c r="AE89" i="5"/>
  <c r="AE88" i="5"/>
  <c r="AE87" i="5"/>
  <c r="AE86" i="5"/>
  <c r="AE85" i="5"/>
  <c r="AE84" i="5"/>
  <c r="AE83" i="5"/>
  <c r="AE82" i="5"/>
  <c r="AE81" i="5"/>
  <c r="AE80" i="5"/>
  <c r="AE79" i="5"/>
  <c r="AE78" i="5"/>
  <c r="AE77" i="5"/>
  <c r="AE76" i="5"/>
  <c r="AE75" i="5"/>
  <c r="AE74" i="5"/>
  <c r="AE73" i="5"/>
  <c r="AE72" i="5"/>
  <c r="AE71" i="5"/>
  <c r="AE70" i="5"/>
  <c r="AE69" i="5"/>
  <c r="AE68" i="5"/>
  <c r="AE67" i="5"/>
  <c r="AE66" i="5"/>
  <c r="AE65" i="5"/>
  <c r="AE64" i="5"/>
  <c r="AE63" i="5"/>
  <c r="AE62" i="5"/>
  <c r="AE61" i="5"/>
  <c r="AE60" i="5"/>
  <c r="AE59" i="5"/>
  <c r="AE58" i="5"/>
  <c r="AE57" i="5"/>
  <c r="AE56" i="5"/>
  <c r="AE55" i="5"/>
  <c r="AE54" i="5"/>
  <c r="AE53" i="5"/>
  <c r="AE52" i="5"/>
  <c r="AE51" i="5"/>
  <c r="AE50" i="5"/>
  <c r="AE49" i="5"/>
  <c r="AE48" i="5"/>
  <c r="AE47" i="5"/>
  <c r="AE46" i="5"/>
  <c r="AE45" i="5"/>
  <c r="AE44" i="5"/>
  <c r="AE43" i="5"/>
  <c r="AE42" i="5"/>
  <c r="AE41" i="5"/>
  <c r="AE40" i="5"/>
  <c r="AE39" i="5"/>
  <c r="AE38" i="5"/>
  <c r="AE37" i="5"/>
  <c r="AE36" i="5"/>
  <c r="AE35" i="5"/>
  <c r="AE34" i="5"/>
  <c r="AE33" i="5"/>
  <c r="AE32" i="5"/>
  <c r="AE31" i="5"/>
  <c r="AE30" i="5"/>
  <c r="AE29" i="5"/>
  <c r="AE28" i="5"/>
  <c r="AE27" i="5"/>
  <c r="AE26" i="5"/>
  <c r="AE25" i="5"/>
  <c r="AE24" i="5"/>
  <c r="AE23" i="5"/>
  <c r="AE22" i="5"/>
  <c r="AE21" i="5"/>
  <c r="AE20" i="5"/>
  <c r="AE19" i="5"/>
  <c r="AE18" i="5"/>
  <c r="AE17" i="5"/>
  <c r="AE16" i="5"/>
  <c r="AE15" i="5"/>
  <c r="AE14" i="5"/>
  <c r="AE13" i="5"/>
  <c r="AE12" i="5"/>
  <c r="AE11" i="5"/>
  <c r="AE10" i="5"/>
  <c r="AE9" i="5"/>
  <c r="AE8" i="5"/>
  <c r="AE7" i="5"/>
  <c r="AE6" i="5"/>
  <c r="AE5" i="5"/>
  <c r="AE4" i="5"/>
  <c r="AE3" i="5"/>
  <c r="AB137" i="5"/>
  <c r="AA137" i="5"/>
  <c r="AB136" i="5"/>
  <c r="AA136" i="5"/>
  <c r="AB135" i="5"/>
  <c r="AA135" i="5"/>
  <c r="AB134" i="5"/>
  <c r="AA134" i="5"/>
  <c r="AB133" i="5"/>
  <c r="AA133" i="5"/>
  <c r="AB132" i="5"/>
  <c r="AA132" i="5"/>
  <c r="AB131" i="5"/>
  <c r="AA131" i="5"/>
  <c r="AB130" i="5"/>
  <c r="AA130" i="5"/>
  <c r="AB129" i="5"/>
  <c r="AA129" i="5"/>
  <c r="AB128" i="5"/>
  <c r="AA128" i="5"/>
  <c r="AB127" i="5"/>
  <c r="AA127" i="5"/>
  <c r="AB126" i="5"/>
  <c r="AA126" i="5"/>
  <c r="AB125" i="5"/>
  <c r="AA125" i="5"/>
  <c r="AB124" i="5"/>
  <c r="AA124" i="5"/>
  <c r="AB123" i="5"/>
  <c r="AA123" i="5"/>
  <c r="AB122" i="5"/>
  <c r="AA122" i="5"/>
  <c r="AB121" i="5"/>
  <c r="AA121" i="5"/>
  <c r="AB120" i="5"/>
  <c r="AA120" i="5"/>
  <c r="AB119" i="5"/>
  <c r="AA119" i="5"/>
  <c r="AB118" i="5"/>
  <c r="AA118" i="5"/>
  <c r="AB117" i="5"/>
  <c r="AA117" i="5"/>
  <c r="AB116" i="5"/>
  <c r="AA116" i="5"/>
  <c r="AB115" i="5"/>
  <c r="AA115" i="5"/>
  <c r="AB114" i="5"/>
  <c r="AA114" i="5"/>
  <c r="AB113" i="5"/>
  <c r="AA113" i="5"/>
  <c r="AB112" i="5"/>
  <c r="AA112" i="5"/>
  <c r="AB111" i="5"/>
  <c r="AA111" i="5"/>
  <c r="AB110" i="5"/>
  <c r="AA110" i="5"/>
  <c r="AB109" i="5"/>
  <c r="AA109" i="5"/>
  <c r="AB108" i="5"/>
  <c r="AA108" i="5"/>
  <c r="AB107" i="5"/>
  <c r="AA107" i="5"/>
  <c r="AB106" i="5"/>
  <c r="AA106" i="5"/>
  <c r="AB105" i="5"/>
  <c r="AA105" i="5"/>
  <c r="AB104" i="5"/>
  <c r="AA104" i="5"/>
  <c r="AB103" i="5"/>
  <c r="AA103" i="5"/>
  <c r="AB102" i="5"/>
  <c r="AA102" i="5"/>
  <c r="AB101" i="5"/>
  <c r="AA101" i="5"/>
  <c r="AB100" i="5"/>
  <c r="AA100" i="5"/>
  <c r="AB99" i="5"/>
  <c r="AA99" i="5"/>
  <c r="AB98" i="5"/>
  <c r="AA98" i="5"/>
  <c r="AB97" i="5"/>
  <c r="AA97" i="5"/>
  <c r="AB96" i="5"/>
  <c r="AA96" i="5"/>
  <c r="AB95" i="5"/>
  <c r="AA95" i="5"/>
  <c r="AB94" i="5"/>
  <c r="AA94" i="5"/>
  <c r="AB93" i="5"/>
  <c r="AA93" i="5"/>
  <c r="AB92" i="5"/>
  <c r="AA92" i="5"/>
  <c r="AB91" i="5"/>
  <c r="AA91" i="5"/>
  <c r="AB90" i="5"/>
  <c r="AA90" i="5"/>
  <c r="AB89" i="5"/>
  <c r="AA89" i="5"/>
  <c r="AB88" i="5"/>
  <c r="AA88" i="5"/>
  <c r="AB87" i="5"/>
  <c r="AA87" i="5"/>
  <c r="AB86" i="5"/>
  <c r="AA86" i="5"/>
  <c r="AB85" i="5"/>
  <c r="AA85" i="5"/>
  <c r="AB84" i="5"/>
  <c r="AA84" i="5"/>
  <c r="AB83" i="5"/>
  <c r="AA83" i="5"/>
  <c r="AB82" i="5"/>
  <c r="AA82" i="5"/>
  <c r="AB81" i="5"/>
  <c r="AA81" i="5"/>
  <c r="AB80" i="5"/>
  <c r="AA80" i="5"/>
  <c r="AB79" i="5"/>
  <c r="AA79" i="5"/>
  <c r="AB78" i="5"/>
  <c r="AA78" i="5"/>
  <c r="AB77" i="5"/>
  <c r="AA77" i="5"/>
  <c r="AB76" i="5"/>
  <c r="AA76" i="5"/>
  <c r="AB75" i="5"/>
  <c r="AA75" i="5"/>
  <c r="AB74" i="5"/>
  <c r="AA74" i="5"/>
  <c r="AB73" i="5"/>
  <c r="AA73" i="5"/>
  <c r="AB72" i="5"/>
  <c r="AA72" i="5"/>
  <c r="AB71" i="5"/>
  <c r="AA71" i="5"/>
  <c r="AB70" i="5"/>
  <c r="AA70" i="5"/>
  <c r="AB69" i="5"/>
  <c r="AA69" i="5"/>
  <c r="AB68" i="5"/>
  <c r="AA68" i="5"/>
  <c r="AB67" i="5"/>
  <c r="AA67" i="5"/>
  <c r="AB66" i="5"/>
  <c r="AA66" i="5"/>
  <c r="AB65" i="5"/>
  <c r="AA65" i="5"/>
  <c r="AB64" i="5"/>
  <c r="AA64" i="5"/>
  <c r="AB63" i="5"/>
  <c r="AA63" i="5"/>
  <c r="AB62" i="5"/>
  <c r="AA62" i="5"/>
  <c r="AB61" i="5"/>
  <c r="AA61" i="5"/>
  <c r="AB60" i="5"/>
  <c r="AA60" i="5"/>
  <c r="AB59" i="5"/>
  <c r="AA59" i="5"/>
  <c r="AB58" i="5"/>
  <c r="AA58" i="5"/>
  <c r="AB57" i="5"/>
  <c r="AA57" i="5"/>
  <c r="AB56" i="5"/>
  <c r="AA56" i="5"/>
  <c r="AB55" i="5"/>
  <c r="AA55" i="5"/>
  <c r="AB54" i="5"/>
  <c r="AA54" i="5"/>
  <c r="AB53" i="5"/>
  <c r="AA53" i="5"/>
  <c r="AB52" i="5"/>
  <c r="AA52" i="5"/>
  <c r="AB51" i="5"/>
  <c r="AA51" i="5"/>
  <c r="AB50" i="5"/>
  <c r="AA50" i="5"/>
  <c r="AB49" i="5"/>
  <c r="AA49" i="5"/>
  <c r="AB48" i="5"/>
  <c r="AA48" i="5"/>
  <c r="AB47" i="5"/>
  <c r="AA47" i="5"/>
  <c r="AB46" i="5"/>
  <c r="AA46" i="5"/>
  <c r="AB45" i="5"/>
  <c r="AA45" i="5"/>
  <c r="AB44" i="5"/>
  <c r="AA44" i="5"/>
  <c r="AB43" i="5"/>
  <c r="AA43" i="5"/>
  <c r="AB42" i="5"/>
  <c r="AA42" i="5"/>
  <c r="AB41" i="5"/>
  <c r="AA41" i="5"/>
  <c r="AB40" i="5"/>
  <c r="AA40" i="5"/>
  <c r="AB39" i="5"/>
  <c r="AA39" i="5"/>
  <c r="AB38" i="5"/>
  <c r="AA38" i="5"/>
  <c r="AB37" i="5"/>
  <c r="AA37" i="5"/>
  <c r="AB36" i="5"/>
  <c r="AA36" i="5"/>
  <c r="AB35" i="5"/>
  <c r="AA35" i="5"/>
  <c r="AB34" i="5"/>
  <c r="AA34" i="5"/>
  <c r="AB33" i="5"/>
  <c r="AA33" i="5"/>
  <c r="AB32" i="5"/>
  <c r="AA32" i="5"/>
  <c r="AB31" i="5"/>
  <c r="AA31" i="5"/>
  <c r="AB30" i="5"/>
  <c r="AA30" i="5"/>
  <c r="AB29" i="5"/>
  <c r="AA29" i="5"/>
  <c r="AB28" i="5"/>
  <c r="AA28" i="5"/>
  <c r="AB27" i="5"/>
  <c r="AA27" i="5"/>
  <c r="AB26" i="5"/>
  <c r="AA26" i="5"/>
  <c r="AB25" i="5"/>
  <c r="AA25" i="5"/>
  <c r="AB24" i="5"/>
  <c r="AA24" i="5"/>
  <c r="AB23" i="5"/>
  <c r="AA23" i="5"/>
  <c r="AB22" i="5"/>
  <c r="AA22" i="5"/>
  <c r="AB21" i="5"/>
  <c r="AA21" i="5"/>
  <c r="AB20" i="5"/>
  <c r="AA20" i="5"/>
  <c r="AB19" i="5"/>
  <c r="AA19" i="5"/>
  <c r="AB18" i="5"/>
  <c r="AA18" i="5"/>
  <c r="AB17" i="5"/>
  <c r="AA17" i="5"/>
  <c r="AB16" i="5"/>
  <c r="AA16" i="5"/>
  <c r="AB15" i="5"/>
  <c r="AA15" i="5"/>
  <c r="AB14" i="5"/>
  <c r="AA14" i="5"/>
  <c r="AB13" i="5"/>
  <c r="AA13" i="5"/>
  <c r="AB12" i="5"/>
  <c r="AA12" i="5"/>
  <c r="AB11" i="5"/>
  <c r="AA11" i="5"/>
  <c r="AB10" i="5"/>
  <c r="AA10" i="5"/>
  <c r="AB9" i="5"/>
  <c r="AA9" i="5"/>
  <c r="AB8" i="5"/>
  <c r="AA8" i="5"/>
  <c r="AB7" i="5"/>
  <c r="AA7" i="5"/>
  <c r="AB6" i="5"/>
  <c r="AA6" i="5"/>
  <c r="AB5" i="5"/>
  <c r="AA5" i="5"/>
  <c r="AB4" i="5"/>
  <c r="AA4" i="5"/>
  <c r="AB3" i="5"/>
  <c r="AA3" i="5"/>
  <c r="AE2" i="5"/>
  <c r="AA2" i="5"/>
  <c r="AB2" i="5"/>
  <c r="D60" i="35"/>
  <c r="D59" i="35"/>
  <c r="D58" i="35"/>
  <c r="D57" i="35"/>
  <c r="D56" i="35"/>
  <c r="D55" i="35"/>
  <c r="D54" i="35"/>
  <c r="D53" i="35"/>
  <c r="D52" i="35"/>
  <c r="D51" i="35"/>
  <c r="D50" i="35"/>
  <c r="D49" i="35"/>
  <c r="D48" i="35"/>
  <c r="D47" i="35"/>
  <c r="D46" i="35"/>
  <c r="D45" i="35"/>
  <c r="D44" i="35"/>
  <c r="D43" i="35"/>
  <c r="D42" i="35"/>
  <c r="D41" i="35"/>
  <c r="D40" i="35"/>
  <c r="D39" i="35"/>
  <c r="D38" i="35"/>
  <c r="D37" i="35"/>
  <c r="D36" i="35"/>
  <c r="D35" i="35"/>
  <c r="D34" i="35"/>
  <c r="D33" i="35"/>
  <c r="D32" i="35"/>
  <c r="D31" i="35"/>
  <c r="D30" i="35"/>
  <c r="D29" i="35"/>
  <c r="D28" i="35"/>
  <c r="D27" i="35"/>
  <c r="D26" i="35"/>
  <c r="D25" i="35"/>
  <c r="D24" i="35"/>
  <c r="D23" i="35"/>
  <c r="D22" i="35"/>
  <c r="D21" i="35"/>
  <c r="D20" i="35"/>
  <c r="D19" i="35"/>
  <c r="D18" i="35"/>
  <c r="D17" i="35"/>
  <c r="D16" i="35"/>
  <c r="D15" i="35"/>
  <c r="D14" i="35"/>
  <c r="D13" i="35"/>
  <c r="D12" i="35"/>
  <c r="D11" i="35"/>
  <c r="D10" i="35"/>
  <c r="D9" i="35"/>
  <c r="D8" i="35"/>
  <c r="AH111" i="17"/>
  <c r="AG111" i="17"/>
  <c r="AF111" i="17"/>
  <c r="AE111" i="17"/>
  <c r="AH110" i="17"/>
  <c r="AG110" i="17"/>
  <c r="AF110" i="17"/>
  <c r="AE110" i="17"/>
  <c r="AH109" i="17"/>
  <c r="AG109" i="17"/>
  <c r="AF109" i="17"/>
  <c r="AE109" i="17"/>
  <c r="AH108" i="17"/>
  <c r="AG108" i="17"/>
  <c r="AF108" i="17"/>
  <c r="AE108" i="17"/>
  <c r="AH107" i="17"/>
  <c r="AG107" i="17"/>
  <c r="AF107" i="17"/>
  <c r="AE107" i="17"/>
  <c r="AH106" i="17"/>
  <c r="AG106" i="17"/>
  <c r="AF106" i="17"/>
  <c r="AE106" i="17"/>
  <c r="AH105" i="17"/>
  <c r="AG105" i="17"/>
  <c r="AF105" i="17"/>
  <c r="AE105" i="17"/>
  <c r="AH104" i="17"/>
  <c r="AG104" i="17"/>
  <c r="AF104" i="17"/>
  <c r="AE104" i="17"/>
  <c r="AH103" i="17"/>
  <c r="AG103" i="17"/>
  <c r="AF103" i="17"/>
  <c r="AE103" i="17"/>
  <c r="AH102" i="17"/>
  <c r="AG102" i="17"/>
  <c r="AF102" i="17"/>
  <c r="AE102" i="17"/>
  <c r="AH101" i="17"/>
  <c r="AG101" i="17"/>
  <c r="AF101" i="17"/>
  <c r="AE101" i="17"/>
  <c r="AH100" i="17"/>
  <c r="AG100" i="17"/>
  <c r="AF100" i="17"/>
  <c r="AE100" i="17"/>
  <c r="AH99" i="17"/>
  <c r="AG99" i="17"/>
  <c r="AF99" i="17"/>
  <c r="AE99" i="17"/>
  <c r="AH98" i="17"/>
  <c r="AG98" i="17"/>
  <c r="AF98" i="17"/>
  <c r="AE98" i="17"/>
  <c r="AH97" i="17"/>
  <c r="AG97" i="17"/>
  <c r="AF97" i="17"/>
  <c r="AE97" i="17"/>
  <c r="AH96" i="17"/>
  <c r="AG96" i="17"/>
  <c r="AF96" i="17"/>
  <c r="AE96" i="17"/>
  <c r="AH95" i="17"/>
  <c r="AG95" i="17"/>
  <c r="AF95" i="17"/>
  <c r="AE95" i="17"/>
  <c r="AH94" i="17"/>
  <c r="AG94" i="17"/>
  <c r="AF94" i="17"/>
  <c r="AE94" i="17"/>
  <c r="AH93" i="17"/>
  <c r="AG93" i="17"/>
  <c r="AF93" i="17"/>
  <c r="AE93" i="17"/>
  <c r="AH92" i="17"/>
  <c r="AG92" i="17"/>
  <c r="AF92" i="17"/>
  <c r="AE92" i="17"/>
  <c r="AH91" i="17"/>
  <c r="AG91" i="17"/>
  <c r="AF91" i="17"/>
  <c r="AE91" i="17"/>
  <c r="AH90" i="17"/>
  <c r="AG90" i="17"/>
  <c r="AF90" i="17"/>
  <c r="AE90" i="17"/>
  <c r="AH89" i="17"/>
  <c r="AG89" i="17"/>
  <c r="AF89" i="17"/>
  <c r="AE89" i="17"/>
  <c r="AH88" i="17"/>
  <c r="AG88" i="17"/>
  <c r="AF88" i="17"/>
  <c r="AE88" i="17"/>
  <c r="AH87" i="17"/>
  <c r="AG87" i="17"/>
  <c r="AF87" i="17"/>
  <c r="AE87" i="17"/>
  <c r="AH86" i="17"/>
  <c r="AG86" i="17"/>
  <c r="AF86" i="17"/>
  <c r="AE86" i="17"/>
  <c r="AH85" i="17"/>
  <c r="AG85" i="17"/>
  <c r="AF85" i="17"/>
  <c r="AE85" i="17"/>
  <c r="AH84" i="17"/>
  <c r="AG84" i="17"/>
  <c r="AF84" i="17"/>
  <c r="AE84" i="17"/>
  <c r="AH83" i="17"/>
  <c r="AG83" i="17"/>
  <c r="AF83" i="17"/>
  <c r="AE83" i="17"/>
  <c r="AH82" i="17"/>
  <c r="AG82" i="17"/>
  <c r="AF82" i="17"/>
  <c r="AE82" i="17"/>
  <c r="AH81" i="17"/>
  <c r="AG81" i="17"/>
  <c r="AF81" i="17"/>
  <c r="AE81" i="17"/>
  <c r="AH80" i="17"/>
  <c r="AG80" i="17"/>
  <c r="AF80" i="17"/>
  <c r="AE80" i="17"/>
  <c r="AH79" i="17"/>
  <c r="AG79" i="17"/>
  <c r="AF79" i="17"/>
  <c r="AE79" i="17"/>
  <c r="AH78" i="17"/>
  <c r="AG78" i="17"/>
  <c r="AF78" i="17"/>
  <c r="AE78" i="17"/>
  <c r="AH77" i="17"/>
  <c r="AE77" i="17"/>
  <c r="AH76" i="17"/>
  <c r="AG76" i="17"/>
  <c r="AF76" i="17"/>
  <c r="AE76" i="17"/>
  <c r="AH75" i="17"/>
  <c r="AG75" i="17"/>
  <c r="AF75" i="17"/>
  <c r="AE75" i="17"/>
  <c r="AH74" i="17"/>
  <c r="AG74" i="17"/>
  <c r="AF74" i="17"/>
  <c r="AE74" i="17"/>
  <c r="AH73" i="17"/>
  <c r="AG73" i="17"/>
  <c r="AF73" i="17"/>
  <c r="AE73" i="17"/>
  <c r="AH72" i="17"/>
  <c r="AG72" i="17"/>
  <c r="AF72" i="17"/>
  <c r="AE72" i="17"/>
  <c r="AH71" i="17"/>
  <c r="AG71" i="17"/>
  <c r="AF71" i="17"/>
  <c r="AE71" i="17"/>
  <c r="AH70" i="17"/>
  <c r="AG70" i="17"/>
  <c r="AF70" i="17"/>
  <c r="AE70" i="17"/>
  <c r="AH69" i="17"/>
  <c r="AG69" i="17"/>
  <c r="AF69" i="17"/>
  <c r="AE69" i="17"/>
  <c r="AH68" i="17"/>
  <c r="AG68" i="17"/>
  <c r="AF68" i="17"/>
  <c r="AE68" i="17"/>
  <c r="AH67" i="17"/>
  <c r="AG67" i="17"/>
  <c r="AF67" i="17"/>
  <c r="AE67" i="17"/>
  <c r="AH66" i="17"/>
  <c r="AG66" i="17"/>
  <c r="AF66" i="17"/>
  <c r="AE66" i="17"/>
  <c r="AH65" i="17"/>
  <c r="AG65" i="17"/>
  <c r="AF65" i="17"/>
  <c r="AE65" i="17"/>
  <c r="AH64" i="17"/>
  <c r="AG64" i="17"/>
  <c r="AF64" i="17"/>
  <c r="AE64" i="17"/>
  <c r="AH63" i="17"/>
  <c r="AG63" i="17"/>
  <c r="AF63" i="17"/>
  <c r="AE63" i="17"/>
  <c r="AH62" i="17"/>
  <c r="AG62" i="17"/>
  <c r="AF62" i="17"/>
  <c r="AE62" i="17"/>
  <c r="AH61" i="17"/>
  <c r="AG61" i="17"/>
  <c r="AF61" i="17"/>
  <c r="AE61" i="17"/>
  <c r="AH60" i="17"/>
  <c r="AG60" i="17"/>
  <c r="AF60" i="17"/>
  <c r="AE60" i="17"/>
  <c r="AH59" i="17"/>
  <c r="AG59" i="17"/>
  <c r="AF59" i="17"/>
  <c r="AE59" i="17"/>
  <c r="AH58" i="17"/>
  <c r="AG58" i="17"/>
  <c r="AF58" i="17"/>
  <c r="AE58" i="17"/>
  <c r="AH57" i="17"/>
  <c r="AG57" i="17"/>
  <c r="AF57" i="17"/>
  <c r="AE57" i="17"/>
  <c r="AH56" i="17"/>
  <c r="AG56" i="17"/>
  <c r="AF56" i="17"/>
  <c r="AE56" i="17"/>
  <c r="AH55" i="17"/>
  <c r="AG55" i="17"/>
  <c r="AF55" i="17"/>
  <c r="AE55" i="17"/>
  <c r="AH54" i="17"/>
  <c r="AG54" i="17"/>
  <c r="AF54" i="17"/>
  <c r="AE54" i="17"/>
  <c r="AH53" i="17"/>
  <c r="AG53" i="17"/>
  <c r="AF53" i="17"/>
  <c r="AE53" i="17"/>
  <c r="AH52" i="17"/>
  <c r="AG52" i="17"/>
  <c r="AF52" i="17"/>
  <c r="AE52" i="17"/>
  <c r="AH51" i="17"/>
  <c r="AG51" i="17"/>
  <c r="AF51" i="17"/>
  <c r="AE51" i="17"/>
  <c r="AH50" i="17"/>
  <c r="AG50" i="17"/>
  <c r="AF50" i="17"/>
  <c r="AE50" i="17"/>
  <c r="AH49" i="17"/>
  <c r="AG49" i="17"/>
  <c r="AF49" i="17"/>
  <c r="AE49" i="17"/>
  <c r="AH48" i="17"/>
  <c r="AG48" i="17"/>
  <c r="AF48" i="17"/>
  <c r="AE48" i="17"/>
  <c r="AH47" i="17"/>
  <c r="AG47" i="17"/>
  <c r="AF47" i="17"/>
  <c r="AE47" i="17"/>
  <c r="AH46" i="17"/>
  <c r="AG46" i="17"/>
  <c r="AF46" i="17"/>
  <c r="AE46" i="17"/>
  <c r="AH45" i="17"/>
  <c r="AG45" i="17"/>
  <c r="AF45" i="17"/>
  <c r="AE45" i="17"/>
  <c r="AH44" i="17"/>
  <c r="AG44" i="17"/>
  <c r="AF44" i="17"/>
  <c r="AE44" i="17"/>
  <c r="AH43" i="17"/>
  <c r="AG43" i="17"/>
  <c r="AF43" i="17"/>
  <c r="AE43" i="17"/>
  <c r="AH42" i="17"/>
  <c r="AG42" i="17"/>
  <c r="AF42" i="17"/>
  <c r="AE42" i="17"/>
  <c r="AH41" i="17"/>
  <c r="AG41" i="17"/>
  <c r="AF41" i="17"/>
  <c r="AE41" i="17"/>
  <c r="AH40" i="17"/>
  <c r="AG40" i="17"/>
  <c r="AF40" i="17"/>
  <c r="AE40" i="17"/>
  <c r="AH39" i="17"/>
  <c r="AG39" i="17"/>
  <c r="AF39" i="17"/>
  <c r="AE39" i="17"/>
  <c r="AH38" i="17"/>
  <c r="AG38" i="17"/>
  <c r="AF38" i="17"/>
  <c r="AE38" i="17"/>
  <c r="AH37" i="17"/>
  <c r="AG37" i="17"/>
  <c r="AF37" i="17"/>
  <c r="AE37" i="17"/>
  <c r="AH36" i="17"/>
  <c r="AG36" i="17"/>
  <c r="AF36" i="17"/>
  <c r="AE36" i="17"/>
  <c r="AH35" i="17"/>
  <c r="AG35" i="17"/>
  <c r="AF35" i="17"/>
  <c r="AE35" i="17"/>
  <c r="AH34" i="17"/>
  <c r="AG34" i="17"/>
  <c r="AF34" i="17"/>
  <c r="AE34" i="17"/>
  <c r="AH33" i="17"/>
  <c r="AG33" i="17"/>
  <c r="AF33" i="17"/>
  <c r="AE33" i="17"/>
  <c r="AH32" i="17"/>
  <c r="AG32" i="17"/>
  <c r="AF32" i="17"/>
  <c r="AE32" i="17"/>
  <c r="AH31" i="17"/>
  <c r="AG31" i="17"/>
  <c r="AF31" i="17"/>
  <c r="AE31" i="17"/>
  <c r="AH30" i="17"/>
  <c r="AG30" i="17"/>
  <c r="AF30" i="17"/>
  <c r="AE30" i="17"/>
  <c r="AH29" i="17"/>
  <c r="AG29" i="17"/>
  <c r="AF29" i="17"/>
  <c r="AE29" i="17"/>
  <c r="AH28" i="17"/>
  <c r="AG28" i="17"/>
  <c r="AF28" i="17"/>
  <c r="AE28" i="17"/>
  <c r="AH27" i="17"/>
  <c r="AG27" i="17"/>
  <c r="AF27" i="17"/>
  <c r="AE27" i="17"/>
  <c r="AH26" i="17"/>
  <c r="AG26" i="17"/>
  <c r="AF26" i="17"/>
  <c r="AE26" i="17"/>
  <c r="AH25" i="17"/>
  <c r="AG25" i="17"/>
  <c r="AF25" i="17"/>
  <c r="AE25" i="17"/>
  <c r="AH24" i="17"/>
  <c r="AG24" i="17"/>
  <c r="AF24" i="17"/>
  <c r="AE24" i="17"/>
  <c r="AH23" i="17"/>
  <c r="AG23" i="17"/>
  <c r="AF23" i="17"/>
  <c r="AE23" i="17"/>
  <c r="AH22" i="17"/>
  <c r="AG22" i="17"/>
  <c r="AF22" i="17"/>
  <c r="AE22" i="17"/>
  <c r="AH21" i="17"/>
  <c r="AG21" i="17"/>
  <c r="AF21" i="17"/>
  <c r="AE21" i="17"/>
  <c r="AH20" i="17"/>
  <c r="AG20" i="17"/>
  <c r="AF20" i="17"/>
  <c r="AE20" i="17"/>
  <c r="AH19" i="17"/>
  <c r="AG19" i="17"/>
  <c r="AF19" i="17"/>
  <c r="AE19" i="17"/>
  <c r="AH18" i="17"/>
  <c r="AG18" i="17"/>
  <c r="AF18" i="17"/>
  <c r="AE18" i="17"/>
  <c r="AH17" i="17"/>
  <c r="AG17" i="17"/>
  <c r="AF17" i="17"/>
  <c r="AE17" i="17"/>
  <c r="AH16" i="17"/>
  <c r="AG16" i="17"/>
  <c r="AF16" i="17"/>
  <c r="AE16" i="17"/>
  <c r="AH15" i="17"/>
  <c r="AG15" i="17"/>
  <c r="AF15" i="17"/>
  <c r="AE15" i="17"/>
  <c r="AH14" i="17"/>
  <c r="AG14" i="17"/>
  <c r="AF14" i="17"/>
  <c r="AE14" i="17"/>
  <c r="AH13" i="17"/>
  <c r="AG13" i="17"/>
  <c r="AF13" i="17"/>
  <c r="AE13" i="17"/>
  <c r="AH12" i="17"/>
  <c r="AG12" i="17"/>
  <c r="AF12" i="17"/>
  <c r="AE12" i="17"/>
  <c r="AH11" i="17"/>
  <c r="AG11" i="17"/>
  <c r="AF11" i="17"/>
  <c r="AE11" i="17"/>
  <c r="AH10" i="17"/>
  <c r="AG10" i="17"/>
  <c r="AF10" i="17"/>
  <c r="AE10" i="17"/>
  <c r="AH9" i="17"/>
  <c r="AG9" i="17"/>
  <c r="AF9" i="17"/>
  <c r="AE9" i="17"/>
  <c r="AH8" i="17"/>
  <c r="AG8" i="17"/>
  <c r="AF8" i="17"/>
  <c r="AE8" i="17"/>
  <c r="AH7" i="17"/>
  <c r="AG7" i="17"/>
  <c r="AF7" i="17"/>
  <c r="AE7" i="17"/>
  <c r="AH6" i="17"/>
  <c r="AG6" i="17"/>
  <c r="AF6" i="17"/>
  <c r="AE6" i="17"/>
  <c r="AH5" i="17"/>
  <c r="AG5" i="17"/>
  <c r="AF5" i="17"/>
  <c r="AE5" i="17"/>
  <c r="AH4" i="17"/>
  <c r="AG4" i="17"/>
  <c r="AF4" i="17"/>
  <c r="AE4" i="17"/>
  <c r="AH3" i="17"/>
  <c r="AG3" i="17"/>
  <c r="AF3" i="17"/>
  <c r="AE3" i="17"/>
  <c r="AE2" i="17"/>
  <c r="AF2" i="17"/>
  <c r="AG2" i="17"/>
  <c r="AH2" i="17"/>
  <c r="E7" i="35"/>
  <c r="E6" i="35"/>
  <c r="E5" i="35"/>
  <c r="S60" i="35"/>
  <c r="R60" i="35"/>
  <c r="M60" i="35"/>
  <c r="E60" i="35"/>
  <c r="A60" i="35"/>
  <c r="S59" i="35"/>
  <c r="R59" i="35"/>
  <c r="M59" i="35"/>
  <c r="E59" i="35"/>
  <c r="A59" i="35"/>
  <c r="S58" i="35"/>
  <c r="R58" i="35"/>
  <c r="M58" i="35"/>
  <c r="E58" i="35"/>
  <c r="A58" i="35"/>
  <c r="S57" i="35"/>
  <c r="R57" i="35"/>
  <c r="M57" i="35"/>
  <c r="E57" i="35"/>
  <c r="A57" i="35"/>
  <c r="S56" i="35"/>
  <c r="R56" i="35"/>
  <c r="M56" i="35"/>
  <c r="E56" i="35"/>
  <c r="A56" i="35"/>
  <c r="S55" i="35"/>
  <c r="R55" i="35"/>
  <c r="M55" i="35"/>
  <c r="E55" i="35"/>
  <c r="A55" i="35"/>
  <c r="S54" i="35"/>
  <c r="R54" i="35"/>
  <c r="M54" i="35"/>
  <c r="E54" i="35"/>
  <c r="A54" i="35"/>
  <c r="S53" i="35"/>
  <c r="R53" i="35"/>
  <c r="M53" i="35"/>
  <c r="E53" i="35"/>
  <c r="A53" i="35"/>
  <c r="S52" i="35"/>
  <c r="R52" i="35"/>
  <c r="M52" i="35"/>
  <c r="E52" i="35"/>
  <c r="A52" i="35"/>
  <c r="S51" i="35"/>
  <c r="R51" i="35"/>
  <c r="M51" i="35"/>
  <c r="E51" i="35"/>
  <c r="A51" i="35"/>
  <c r="S50" i="35"/>
  <c r="R50" i="35"/>
  <c r="M50" i="35"/>
  <c r="E50" i="35"/>
  <c r="A50" i="35"/>
  <c r="S49" i="35"/>
  <c r="R49" i="35"/>
  <c r="M49" i="35"/>
  <c r="E49" i="35"/>
  <c r="A49" i="35"/>
  <c r="S48" i="35"/>
  <c r="R48" i="35"/>
  <c r="M48" i="35"/>
  <c r="E48" i="35"/>
  <c r="A48" i="35"/>
  <c r="S47" i="35"/>
  <c r="R47" i="35"/>
  <c r="M47" i="35"/>
  <c r="E47" i="35"/>
  <c r="A47" i="35"/>
  <c r="S46" i="35"/>
  <c r="R46" i="35"/>
  <c r="M46" i="35"/>
  <c r="E46" i="35"/>
  <c r="A46" i="35"/>
  <c r="S45" i="35"/>
  <c r="R45" i="35"/>
  <c r="M45" i="35"/>
  <c r="E45" i="35"/>
  <c r="A45" i="35"/>
  <c r="S44" i="35"/>
  <c r="R44" i="35"/>
  <c r="M44" i="35"/>
  <c r="E44" i="35"/>
  <c r="A44" i="35"/>
  <c r="S43" i="35"/>
  <c r="R43" i="35"/>
  <c r="M43" i="35"/>
  <c r="E43" i="35"/>
  <c r="A43" i="35"/>
  <c r="S42" i="35"/>
  <c r="R42" i="35"/>
  <c r="M42" i="35"/>
  <c r="E42" i="35"/>
  <c r="A42" i="35"/>
  <c r="S41" i="35"/>
  <c r="R41" i="35"/>
  <c r="M41" i="35"/>
  <c r="E41" i="35"/>
  <c r="A41" i="35"/>
  <c r="S40" i="35"/>
  <c r="R40" i="35"/>
  <c r="M40" i="35"/>
  <c r="E40" i="35"/>
  <c r="A40" i="35"/>
  <c r="S39" i="35"/>
  <c r="R39" i="35"/>
  <c r="M39" i="35"/>
  <c r="E39" i="35"/>
  <c r="A39" i="35"/>
  <c r="S38" i="35"/>
  <c r="R38" i="35"/>
  <c r="M38" i="35"/>
  <c r="E38" i="35"/>
  <c r="A38" i="35"/>
  <c r="S37" i="35"/>
  <c r="R37" i="35"/>
  <c r="M37" i="35"/>
  <c r="E37" i="35"/>
  <c r="A37" i="35"/>
  <c r="S36" i="35"/>
  <c r="R36" i="35"/>
  <c r="M36" i="35"/>
  <c r="E36" i="35"/>
  <c r="A36" i="35"/>
  <c r="S35" i="35"/>
  <c r="R35" i="35"/>
  <c r="M35" i="35"/>
  <c r="E35" i="35"/>
  <c r="A35" i="35"/>
  <c r="S34" i="35"/>
  <c r="R34" i="35"/>
  <c r="M34" i="35"/>
  <c r="E34" i="35"/>
  <c r="A34" i="35"/>
  <c r="S33" i="35"/>
  <c r="R33" i="35"/>
  <c r="M33" i="35"/>
  <c r="E33" i="35"/>
  <c r="A33" i="35"/>
  <c r="S32" i="35"/>
  <c r="R32" i="35"/>
  <c r="M32" i="35"/>
  <c r="E32" i="35"/>
  <c r="A32" i="35"/>
  <c r="S31" i="35"/>
  <c r="R31" i="35"/>
  <c r="M31" i="35"/>
  <c r="E31" i="35"/>
  <c r="A31" i="35"/>
  <c r="S30" i="35"/>
  <c r="R30" i="35"/>
  <c r="M30" i="35"/>
  <c r="E30" i="35"/>
  <c r="A30" i="35"/>
  <c r="S29" i="35"/>
  <c r="R29" i="35"/>
  <c r="M29" i="35"/>
  <c r="E29" i="35"/>
  <c r="A29" i="35"/>
  <c r="S28" i="35"/>
  <c r="R28" i="35"/>
  <c r="M28" i="35"/>
  <c r="E28" i="35"/>
  <c r="A28" i="35"/>
  <c r="S27" i="35"/>
  <c r="R27" i="35"/>
  <c r="M27" i="35"/>
  <c r="E27" i="35"/>
  <c r="A27" i="35"/>
  <c r="S26" i="35"/>
  <c r="R26" i="35"/>
  <c r="M26" i="35"/>
  <c r="E26" i="35"/>
  <c r="A26" i="35"/>
  <c r="S25" i="35"/>
  <c r="R25" i="35"/>
  <c r="M25" i="35"/>
  <c r="E25" i="35"/>
  <c r="A25" i="35"/>
  <c r="S24" i="35"/>
  <c r="R24" i="35"/>
  <c r="M24" i="35"/>
  <c r="E24" i="35"/>
  <c r="A24" i="35"/>
  <c r="S23" i="35"/>
  <c r="R23" i="35"/>
  <c r="M23" i="35"/>
  <c r="E23" i="35"/>
  <c r="A23" i="35"/>
  <c r="S22" i="35"/>
  <c r="R22" i="35"/>
  <c r="M22" i="35"/>
  <c r="E22" i="35"/>
  <c r="A22" i="35"/>
  <c r="S21" i="35"/>
  <c r="R21" i="35"/>
  <c r="M21" i="35"/>
  <c r="E21" i="35"/>
  <c r="A21" i="35"/>
  <c r="S20" i="35"/>
  <c r="R20" i="35"/>
  <c r="M20" i="35"/>
  <c r="E20" i="35"/>
  <c r="A20" i="35"/>
  <c r="S19" i="35"/>
  <c r="R19" i="35"/>
  <c r="M19" i="35"/>
  <c r="E19" i="35"/>
  <c r="A19" i="35"/>
  <c r="S18" i="35"/>
  <c r="R18" i="35"/>
  <c r="M18" i="35"/>
  <c r="E18" i="35"/>
  <c r="A18" i="35"/>
  <c r="S17" i="35"/>
  <c r="R17" i="35"/>
  <c r="M17" i="35"/>
  <c r="E17" i="35"/>
  <c r="A17" i="35"/>
  <c r="S16" i="35"/>
  <c r="R16" i="35"/>
  <c r="M16" i="35"/>
  <c r="E16" i="35"/>
  <c r="A16" i="35"/>
  <c r="S15" i="35"/>
  <c r="R15" i="35"/>
  <c r="M15" i="35"/>
  <c r="E15" i="35"/>
  <c r="A15" i="35"/>
  <c r="S14" i="35"/>
  <c r="R14" i="35"/>
  <c r="M14" i="35"/>
  <c r="E14" i="35"/>
  <c r="A14" i="35"/>
  <c r="S13" i="35"/>
  <c r="R13" i="35"/>
  <c r="M13" i="35"/>
  <c r="E13" i="35"/>
  <c r="A13" i="35"/>
  <c r="S12" i="35"/>
  <c r="R12" i="35"/>
  <c r="M12" i="35"/>
  <c r="E12" i="35"/>
  <c r="A12" i="35"/>
  <c r="S11" i="35"/>
  <c r="R11" i="35"/>
  <c r="M11" i="35"/>
  <c r="E11" i="35"/>
  <c r="A11" i="35"/>
  <c r="S10" i="35"/>
  <c r="R10" i="35"/>
  <c r="M10" i="35"/>
  <c r="E10" i="35"/>
  <c r="A10" i="35"/>
  <c r="S9" i="35"/>
  <c r="R9" i="35"/>
  <c r="M9" i="35"/>
  <c r="E9" i="35"/>
  <c r="A9" i="35"/>
  <c r="S8" i="35"/>
  <c r="R8" i="35"/>
  <c r="M8" i="35"/>
  <c r="E8" i="35"/>
  <c r="A8" i="35"/>
  <c r="R7" i="35"/>
  <c r="S7" i="35" s="1"/>
  <c r="M7" i="35"/>
  <c r="A7" i="35"/>
  <c r="R6" i="35"/>
  <c r="S6" i="35" s="1"/>
  <c r="M6" i="35"/>
  <c r="A6" i="35"/>
  <c r="R5" i="35"/>
  <c r="S5" i="35" s="1"/>
  <c r="M5" i="35"/>
  <c r="A5" i="35"/>
  <c r="AI62" i="25"/>
  <c r="AI61" i="25"/>
  <c r="AI60" i="25"/>
  <c r="AI59" i="25"/>
  <c r="AI58" i="25"/>
  <c r="AI57" i="25"/>
  <c r="AI56" i="25"/>
  <c r="AI55" i="25"/>
  <c r="AI54" i="25"/>
  <c r="AI53" i="25"/>
  <c r="AI52" i="25"/>
  <c r="AI51" i="25"/>
  <c r="AI50" i="25"/>
  <c r="AI49" i="25"/>
  <c r="AI48" i="25"/>
  <c r="AI47" i="25"/>
  <c r="AI46" i="25"/>
  <c r="AI45" i="25"/>
  <c r="AI44" i="25"/>
  <c r="AI43" i="25"/>
  <c r="AI42" i="25"/>
  <c r="AI41" i="25"/>
  <c r="AI40" i="25"/>
  <c r="AI39" i="25"/>
  <c r="AI38" i="25"/>
  <c r="AI37" i="25"/>
  <c r="AI36" i="25"/>
  <c r="AI35" i="25"/>
  <c r="AI34" i="25"/>
  <c r="AI33" i="25"/>
  <c r="AI32" i="25"/>
  <c r="AI31" i="25"/>
  <c r="AI30" i="25"/>
  <c r="AI29" i="25"/>
  <c r="AI28" i="25"/>
  <c r="AI27" i="25"/>
  <c r="AI26" i="25"/>
  <c r="AI25" i="25"/>
  <c r="AI24" i="25"/>
  <c r="AI23" i="25"/>
  <c r="AI22" i="25"/>
  <c r="AI21" i="25"/>
  <c r="AI20" i="25"/>
  <c r="AI19" i="25"/>
  <c r="AI18" i="25"/>
  <c r="AI17" i="25"/>
  <c r="AI16" i="25"/>
  <c r="AI15" i="25"/>
  <c r="AI14" i="25"/>
  <c r="AI13" i="25"/>
  <c r="AI12" i="25"/>
  <c r="AI11" i="25"/>
  <c r="AI10" i="25"/>
  <c r="AI9" i="25"/>
  <c r="AI8" i="25"/>
  <c r="AI7" i="25"/>
  <c r="U62" i="25"/>
  <c r="U61" i="25"/>
  <c r="U60" i="25"/>
  <c r="U59" i="25"/>
  <c r="U58" i="25"/>
  <c r="U57" i="25"/>
  <c r="U56" i="25"/>
  <c r="U55" i="25"/>
  <c r="U54" i="25"/>
  <c r="U53" i="25"/>
  <c r="U52" i="25"/>
  <c r="U51" i="25"/>
  <c r="U50" i="25"/>
  <c r="U49" i="25"/>
  <c r="U48" i="25"/>
  <c r="U47" i="25"/>
  <c r="U46" i="25"/>
  <c r="U45" i="25"/>
  <c r="U44" i="25"/>
  <c r="U43" i="25"/>
  <c r="U42" i="25"/>
  <c r="U41" i="25"/>
  <c r="U40" i="25"/>
  <c r="U39" i="25"/>
  <c r="U38" i="25"/>
  <c r="U37" i="25"/>
  <c r="U36" i="25"/>
  <c r="U35" i="25"/>
  <c r="U34" i="25"/>
  <c r="U33" i="25"/>
  <c r="U32" i="25"/>
  <c r="U31" i="25"/>
  <c r="U30" i="25"/>
  <c r="U29" i="25"/>
  <c r="U28" i="25"/>
  <c r="U27" i="25"/>
  <c r="U26" i="25"/>
  <c r="U25" i="25"/>
  <c r="U24" i="25"/>
  <c r="U23" i="25"/>
  <c r="U22" i="25"/>
  <c r="U21" i="25"/>
  <c r="U20" i="25"/>
  <c r="U19" i="25"/>
  <c r="U18" i="25"/>
  <c r="U17" i="25"/>
  <c r="U16" i="25"/>
  <c r="U15" i="25"/>
  <c r="U14" i="25"/>
  <c r="U13" i="25"/>
  <c r="U12" i="25"/>
  <c r="U11" i="25"/>
  <c r="U10" i="25"/>
  <c r="U9" i="25"/>
  <c r="U8" i="25"/>
  <c r="U7" i="25"/>
  <c r="R62" i="25" a="1"/>
  <c r="R61" i="25" a="1"/>
  <c r="R60" i="25" a="1"/>
  <c r="R59" i="25" a="1"/>
  <c r="R58" i="25" a="1"/>
  <c r="R57" i="25" a="1"/>
  <c r="R56" i="25" a="1"/>
  <c r="R55" i="25" a="1"/>
  <c r="R54" i="25" a="1"/>
  <c r="R53" i="25" a="1"/>
  <c r="R52" i="25" a="1"/>
  <c r="R51" i="25" a="1"/>
  <c r="R50" i="25" a="1"/>
  <c r="R49" i="25" a="1"/>
  <c r="R48" i="25" a="1"/>
  <c r="R47" i="25" a="1"/>
  <c r="R46" i="25" a="1"/>
  <c r="R45" i="25" a="1"/>
  <c r="R44" i="25" a="1"/>
  <c r="R43" i="25" a="1"/>
  <c r="R42" i="25" a="1"/>
  <c r="R41" i="25" a="1"/>
  <c r="R40" i="25" a="1"/>
  <c r="R39" i="25" a="1"/>
  <c r="R38" i="25" a="1"/>
  <c r="R37" i="25" a="1"/>
  <c r="R36" i="25" a="1"/>
  <c r="R35" i="25" a="1"/>
  <c r="R34" i="25" a="1"/>
  <c r="R33" i="25" a="1"/>
  <c r="R32" i="25" a="1"/>
  <c r="R31" i="25" a="1"/>
  <c r="R30" i="25" a="1"/>
  <c r="R29" i="25" a="1"/>
  <c r="R28" i="25" a="1"/>
  <c r="R27" i="25" a="1"/>
  <c r="R26" i="25" a="1"/>
  <c r="R25" i="25" a="1"/>
  <c r="R24" i="25" a="1"/>
  <c r="R23" i="25" a="1"/>
  <c r="R22" i="25" a="1"/>
  <c r="R21" i="25" a="1"/>
  <c r="R20" i="25" a="1"/>
  <c r="R19" i="25" a="1"/>
  <c r="R18" i="25" a="1"/>
  <c r="R17" i="25" a="1"/>
  <c r="R16" i="25" a="1"/>
  <c r="R15" i="25" a="1"/>
  <c r="R14" i="25" a="1"/>
  <c r="R13" i="25" a="1"/>
  <c r="R12" i="25" a="1"/>
  <c r="R11" i="25" a="1"/>
  <c r="R10" i="25" a="1"/>
  <c r="R9" i="25" a="1"/>
  <c r="R8" i="25" a="1"/>
  <c r="R7" i="25" a="1"/>
  <c r="D5" i="22"/>
  <c r="A109" i="34"/>
  <c r="A110" i="34"/>
  <c r="A112" i="34"/>
  <c r="A113" i="34"/>
  <c r="A114" i="34"/>
  <c r="A115" i="34"/>
  <c r="A116" i="34"/>
  <c r="A117" i="34"/>
  <c r="A99" i="34"/>
  <c r="A100" i="34"/>
  <c r="A102" i="34"/>
  <c r="A103" i="34"/>
  <c r="A105" i="34"/>
  <c r="A106" i="34"/>
  <c r="A107" i="34"/>
  <c r="A108" i="34"/>
  <c r="A98" i="34" a="1"/>
  <c r="A97" i="34" a="1"/>
  <c r="A96" i="34" a="1"/>
  <c r="A95" i="34" a="1"/>
  <c r="A94" i="34" a="1"/>
  <c r="A93" i="34" a="1"/>
  <c r="A92" i="34" a="1"/>
  <c r="A91" i="34" a="1"/>
  <c r="A90" i="34" a="1"/>
  <c r="A89" i="34" a="1"/>
  <c r="A88" i="34" a="1"/>
  <c r="A87" i="34" a="1"/>
  <c r="A86" i="34" a="1"/>
  <c r="A85" i="34" a="1"/>
  <c r="A84" i="34" a="1"/>
  <c r="A80" i="34"/>
  <c r="A81" i="34"/>
  <c r="A82" i="34"/>
  <c r="A83" i="34"/>
  <c r="A79" i="34" a="1"/>
  <c r="A78" i="34" a="1"/>
  <c r="A77" i="34" a="1"/>
  <c r="A76" i="34" a="1"/>
  <c r="A75" i="34" a="1"/>
  <c r="A74" i="34" a="1"/>
  <c r="A73" i="34" a="1"/>
  <c r="A72" i="34" a="1"/>
  <c r="A60" i="34"/>
  <c r="A61" i="34"/>
  <c r="A62" i="34"/>
  <c r="A63" i="34"/>
  <c r="AC13" i="27"/>
  <c r="AD13" i="27" s="1"/>
  <c r="AE13" i="27" s="1"/>
  <c r="AC12" i="27"/>
  <c r="AD12" i="27" s="1"/>
  <c r="AE12" i="27" s="1"/>
  <c r="AC11" i="27"/>
  <c r="AD11" i="27" s="1"/>
  <c r="AE11" i="27" s="1"/>
  <c r="AC10" i="27"/>
  <c r="AD10" i="27" s="1"/>
  <c r="AE10" i="27" s="1"/>
  <c r="AC9" i="27"/>
  <c r="AD9" i="27" s="1"/>
  <c r="AE9" i="27" s="1"/>
  <c r="AC8" i="27"/>
  <c r="AC7" i="27"/>
  <c r="AC6" i="27"/>
  <c r="AD6" i="27"/>
  <c r="AE6" i="27"/>
  <c r="AA60" i="26"/>
  <c r="Z60" i="26"/>
  <c r="Y60" i="26"/>
  <c r="AA59" i="26"/>
  <c r="Z59" i="26"/>
  <c r="Y59" i="26"/>
  <c r="AA58" i="26"/>
  <c r="Z58" i="26"/>
  <c r="Y58" i="26"/>
  <c r="AA57" i="26"/>
  <c r="Z57" i="26"/>
  <c r="Y57" i="26"/>
  <c r="AA56" i="26"/>
  <c r="Z56" i="26"/>
  <c r="Y56" i="26"/>
  <c r="AA55" i="26"/>
  <c r="Z55" i="26"/>
  <c r="Y55" i="26"/>
  <c r="AA54" i="26"/>
  <c r="Z54" i="26"/>
  <c r="Y54" i="26"/>
  <c r="AA53" i="26"/>
  <c r="Z53" i="26"/>
  <c r="Y53" i="26"/>
  <c r="AA52" i="26"/>
  <c r="Z52" i="26"/>
  <c r="Y52" i="26"/>
  <c r="AA51" i="26"/>
  <c r="Z51" i="26"/>
  <c r="Y51" i="26"/>
  <c r="AA50" i="26"/>
  <c r="Z50" i="26"/>
  <c r="Y50" i="26"/>
  <c r="AA49" i="26"/>
  <c r="Z49" i="26"/>
  <c r="Y49" i="26"/>
  <c r="AA48" i="26"/>
  <c r="Z48" i="26"/>
  <c r="Y48" i="26"/>
  <c r="AA47" i="26"/>
  <c r="Z47" i="26"/>
  <c r="Y47" i="26"/>
  <c r="AA46" i="26"/>
  <c r="Z46" i="26"/>
  <c r="Y46" i="26"/>
  <c r="AA45" i="26"/>
  <c r="Z45" i="26"/>
  <c r="Y45" i="26"/>
  <c r="AA44" i="26"/>
  <c r="Z44" i="26"/>
  <c r="Y44" i="26"/>
  <c r="AA43" i="26"/>
  <c r="Z43" i="26"/>
  <c r="Y43" i="26"/>
  <c r="AA42" i="26"/>
  <c r="Z42" i="26"/>
  <c r="Y42" i="26"/>
  <c r="AA41" i="26"/>
  <c r="Z41" i="26"/>
  <c r="Y41" i="26"/>
  <c r="AA40" i="26"/>
  <c r="Z40" i="26"/>
  <c r="Y40" i="26"/>
  <c r="AA39" i="26"/>
  <c r="Z39" i="26"/>
  <c r="Y39" i="26"/>
  <c r="AA38" i="26"/>
  <c r="Z38" i="26"/>
  <c r="Y38" i="26"/>
  <c r="AA37" i="26"/>
  <c r="Z37" i="26"/>
  <c r="Y37" i="26"/>
  <c r="AA36" i="26"/>
  <c r="Z36" i="26"/>
  <c r="Y36" i="26"/>
  <c r="AA35" i="26"/>
  <c r="Z35" i="26"/>
  <c r="Y35" i="26"/>
  <c r="AA34" i="26"/>
  <c r="Z34" i="26"/>
  <c r="Y34" i="26"/>
  <c r="AA33" i="26"/>
  <c r="Z33" i="26"/>
  <c r="Y33" i="26"/>
  <c r="AA32" i="26"/>
  <c r="Z32" i="26"/>
  <c r="Y32" i="26"/>
  <c r="AA31" i="26"/>
  <c r="Z31" i="26"/>
  <c r="Y31" i="26"/>
  <c r="AA30" i="26"/>
  <c r="Z30" i="26"/>
  <c r="Y30" i="26"/>
  <c r="AA29" i="26"/>
  <c r="Z29" i="26"/>
  <c r="Y29" i="26"/>
  <c r="AA28" i="26"/>
  <c r="Z28" i="26"/>
  <c r="Y28" i="26"/>
  <c r="AA27" i="26"/>
  <c r="Z27" i="26"/>
  <c r="Y27" i="26"/>
  <c r="AA26" i="26"/>
  <c r="Z26" i="26"/>
  <c r="Y26" i="26"/>
  <c r="AA25" i="26"/>
  <c r="Z25" i="26"/>
  <c r="Y25" i="26"/>
  <c r="AA24" i="26"/>
  <c r="Z24" i="26"/>
  <c r="Y24" i="26"/>
  <c r="AA23" i="26"/>
  <c r="Z23" i="26"/>
  <c r="Y23" i="26"/>
  <c r="AA22" i="26"/>
  <c r="Z22" i="26"/>
  <c r="Y22" i="26"/>
  <c r="AA21" i="26"/>
  <c r="Z21" i="26"/>
  <c r="Y21" i="26"/>
  <c r="AA20" i="26"/>
  <c r="Z20" i="26"/>
  <c r="Y20" i="26"/>
  <c r="AA19" i="26"/>
  <c r="Z19" i="26"/>
  <c r="Y19" i="26"/>
  <c r="AA18" i="26"/>
  <c r="Z18" i="26"/>
  <c r="Y18" i="26"/>
  <c r="AA17" i="26"/>
  <c r="Z17" i="26"/>
  <c r="Y17" i="26"/>
  <c r="AA16" i="26"/>
  <c r="Z16" i="26"/>
  <c r="Y16" i="26"/>
  <c r="AA15" i="26"/>
  <c r="Z15" i="26"/>
  <c r="Y15" i="26"/>
  <c r="AA14" i="26"/>
  <c r="Z14" i="26"/>
  <c r="Y14" i="26"/>
  <c r="AA13" i="26"/>
  <c r="Z13" i="26"/>
  <c r="Y13" i="26"/>
  <c r="AA12" i="26"/>
  <c r="Z12" i="26"/>
  <c r="Y12" i="26"/>
  <c r="AA11" i="26"/>
  <c r="Z11" i="26"/>
  <c r="Y11" i="26"/>
  <c r="AA10" i="26"/>
  <c r="Z10" i="26"/>
  <c r="Y10" i="26"/>
  <c r="AA9" i="26"/>
  <c r="Z9" i="26"/>
  <c r="Y9" i="26"/>
  <c r="AA8" i="26"/>
  <c r="Z8" i="26"/>
  <c r="Y8" i="26"/>
  <c r="AA7" i="26"/>
  <c r="Z7" i="26"/>
  <c r="Y7" i="26"/>
  <c r="AA6" i="26"/>
  <c r="Z6" i="26"/>
  <c r="Y6" i="26"/>
  <c r="Z5" i="26"/>
  <c r="Y5" i="26"/>
  <c r="Z4" i="26"/>
  <c r="Y4" i="26"/>
  <c r="V60" i="26"/>
  <c r="U60" i="26"/>
  <c r="T60" i="26"/>
  <c r="V59" i="26"/>
  <c r="U59" i="26"/>
  <c r="T59" i="26"/>
  <c r="V58" i="26"/>
  <c r="U58" i="26"/>
  <c r="T58" i="26"/>
  <c r="V57" i="26"/>
  <c r="U57" i="26"/>
  <c r="T57" i="26"/>
  <c r="V56" i="26"/>
  <c r="U56" i="26"/>
  <c r="T56" i="26"/>
  <c r="V55" i="26"/>
  <c r="U55" i="26"/>
  <c r="T55" i="26"/>
  <c r="V54" i="26"/>
  <c r="U54" i="26"/>
  <c r="T54" i="26"/>
  <c r="V53" i="26"/>
  <c r="U53" i="26"/>
  <c r="T53" i="26"/>
  <c r="V52" i="26"/>
  <c r="U52" i="26"/>
  <c r="T52" i="26"/>
  <c r="V51" i="26"/>
  <c r="U51" i="26"/>
  <c r="T51" i="26"/>
  <c r="V50" i="26"/>
  <c r="U50" i="26"/>
  <c r="T50" i="26"/>
  <c r="V49" i="26"/>
  <c r="U49" i="26"/>
  <c r="T49" i="26"/>
  <c r="V48" i="26"/>
  <c r="U48" i="26"/>
  <c r="T48" i="26"/>
  <c r="V47" i="26"/>
  <c r="U47" i="26"/>
  <c r="T47" i="26"/>
  <c r="V46" i="26"/>
  <c r="U46" i="26"/>
  <c r="T46" i="26"/>
  <c r="V45" i="26"/>
  <c r="U45" i="26"/>
  <c r="T45" i="26"/>
  <c r="V44" i="26"/>
  <c r="U44" i="26"/>
  <c r="T44" i="26"/>
  <c r="V43" i="26"/>
  <c r="U43" i="26"/>
  <c r="T43" i="26"/>
  <c r="V42" i="26"/>
  <c r="U42" i="26"/>
  <c r="T42" i="26"/>
  <c r="V41" i="26"/>
  <c r="U41" i="26"/>
  <c r="T41" i="26"/>
  <c r="V40" i="26"/>
  <c r="U40" i="26"/>
  <c r="T40" i="26"/>
  <c r="V39" i="26"/>
  <c r="U39" i="26"/>
  <c r="T39" i="26"/>
  <c r="V38" i="26"/>
  <c r="U38" i="26"/>
  <c r="T38" i="26"/>
  <c r="V37" i="26"/>
  <c r="U37" i="26"/>
  <c r="T37" i="26"/>
  <c r="V36" i="26"/>
  <c r="U36" i="26"/>
  <c r="T36" i="26"/>
  <c r="V35" i="26"/>
  <c r="U35" i="26"/>
  <c r="T35" i="26"/>
  <c r="V34" i="26"/>
  <c r="U34" i="26"/>
  <c r="T34" i="26"/>
  <c r="V33" i="26"/>
  <c r="U33" i="26"/>
  <c r="T33" i="26"/>
  <c r="V32" i="26"/>
  <c r="U32" i="26"/>
  <c r="T32" i="26"/>
  <c r="V31" i="26"/>
  <c r="U31" i="26"/>
  <c r="T31" i="26"/>
  <c r="V30" i="26"/>
  <c r="U30" i="26"/>
  <c r="T30" i="26"/>
  <c r="V29" i="26"/>
  <c r="U29" i="26"/>
  <c r="T29" i="26"/>
  <c r="V28" i="26"/>
  <c r="U28" i="26"/>
  <c r="T28" i="26"/>
  <c r="V27" i="26"/>
  <c r="U27" i="26"/>
  <c r="T27" i="26"/>
  <c r="V26" i="26"/>
  <c r="U26" i="26"/>
  <c r="T26" i="26"/>
  <c r="V25" i="26"/>
  <c r="U25" i="26"/>
  <c r="T25" i="26"/>
  <c r="V24" i="26"/>
  <c r="U24" i="26"/>
  <c r="T24" i="26"/>
  <c r="V23" i="26"/>
  <c r="U23" i="26"/>
  <c r="T23" i="26"/>
  <c r="V22" i="26"/>
  <c r="U22" i="26"/>
  <c r="T22" i="26"/>
  <c r="V21" i="26"/>
  <c r="U21" i="26"/>
  <c r="T21" i="26"/>
  <c r="V20" i="26"/>
  <c r="U20" i="26"/>
  <c r="T20" i="26"/>
  <c r="V19" i="26"/>
  <c r="U19" i="26"/>
  <c r="T19" i="26"/>
  <c r="V18" i="26"/>
  <c r="U18" i="26"/>
  <c r="T18" i="26"/>
  <c r="V17" i="26"/>
  <c r="U17" i="26"/>
  <c r="T17" i="26"/>
  <c r="V16" i="26"/>
  <c r="U16" i="26"/>
  <c r="T16" i="26"/>
  <c r="V15" i="26"/>
  <c r="U15" i="26"/>
  <c r="T15" i="26"/>
  <c r="V14" i="26"/>
  <c r="U14" i="26"/>
  <c r="T14" i="26"/>
  <c r="V13" i="26"/>
  <c r="U13" i="26"/>
  <c r="T13" i="26"/>
  <c r="V12" i="26"/>
  <c r="U12" i="26"/>
  <c r="T12" i="26"/>
  <c r="V11" i="26"/>
  <c r="U11" i="26"/>
  <c r="T11" i="26"/>
  <c r="V10" i="26"/>
  <c r="U10" i="26"/>
  <c r="T10" i="26"/>
  <c r="V9" i="26"/>
  <c r="U9" i="26"/>
  <c r="T9" i="26"/>
  <c r="V8" i="26"/>
  <c r="U8" i="26"/>
  <c r="T8" i="26"/>
  <c r="V7" i="26"/>
  <c r="U7" i="26"/>
  <c r="T7" i="26"/>
  <c r="V6" i="26"/>
  <c r="U6" i="26"/>
  <c r="T6" i="26"/>
  <c r="V5" i="26"/>
  <c r="U5" i="26"/>
  <c r="T5" i="26"/>
  <c r="AA5" i="26" s="1"/>
  <c r="V4" i="26"/>
  <c r="U4" i="26"/>
  <c r="T4" i="26"/>
  <c r="AA4" i="26" s="1"/>
  <c r="Y3" i="26"/>
  <c r="Z3" i="26"/>
  <c r="T3" i="26"/>
  <c r="U3" i="26"/>
  <c r="V3" i="26"/>
  <c r="AE46" i="14"/>
  <c r="AD46" i="14"/>
  <c r="AE45" i="14"/>
  <c r="AD45" i="14"/>
  <c r="AE44" i="14"/>
  <c r="AD44" i="14"/>
  <c r="AE43" i="14"/>
  <c r="AD43" i="14"/>
  <c r="AE42" i="14"/>
  <c r="AD42" i="14"/>
  <c r="AE41" i="14"/>
  <c r="AD41" i="14"/>
  <c r="AE40" i="14"/>
  <c r="AD40" i="14"/>
  <c r="AE39" i="14"/>
  <c r="AD39" i="14"/>
  <c r="AE38" i="14"/>
  <c r="AD38" i="14"/>
  <c r="AE37" i="14"/>
  <c r="AD37" i="14"/>
  <c r="AE36" i="14"/>
  <c r="AD36" i="14"/>
  <c r="AE35" i="14"/>
  <c r="AD35" i="14"/>
  <c r="AE34" i="14"/>
  <c r="AD34" i="14"/>
  <c r="AE33" i="14"/>
  <c r="AD33" i="14"/>
  <c r="AE32" i="14"/>
  <c r="AD32" i="14"/>
  <c r="AE31" i="14"/>
  <c r="AD31" i="14"/>
  <c r="AE30" i="14"/>
  <c r="AD30" i="14"/>
  <c r="AE29" i="14"/>
  <c r="AD29" i="14"/>
  <c r="AE28" i="14"/>
  <c r="AD28" i="14"/>
  <c r="AE27" i="14"/>
  <c r="AD27" i="14"/>
  <c r="AE26" i="14"/>
  <c r="AD26" i="14"/>
  <c r="AE25" i="14"/>
  <c r="AD25" i="14"/>
  <c r="AE24" i="14"/>
  <c r="AD24" i="14"/>
  <c r="AE23" i="14"/>
  <c r="AD23" i="14"/>
  <c r="AE22" i="14"/>
  <c r="AD22" i="14"/>
  <c r="AE21" i="14"/>
  <c r="AD21" i="14"/>
  <c r="AE20" i="14"/>
  <c r="AD20" i="14"/>
  <c r="AE19" i="14"/>
  <c r="AD19" i="14"/>
  <c r="AE18" i="14"/>
  <c r="AD18" i="14"/>
  <c r="AE17" i="14"/>
  <c r="AD17" i="14"/>
  <c r="AE16" i="14"/>
  <c r="AD16" i="14"/>
  <c r="AE15" i="14"/>
  <c r="AD15" i="14"/>
  <c r="AE14" i="14"/>
  <c r="AD14" i="14"/>
  <c r="AE13" i="14"/>
  <c r="AD13" i="14"/>
  <c r="AE12" i="14"/>
  <c r="AD12" i="14"/>
  <c r="AE11" i="14"/>
  <c r="AD11" i="14"/>
  <c r="AE10" i="14"/>
  <c r="AD10" i="14"/>
  <c r="AE9" i="14"/>
  <c r="AD9" i="14"/>
  <c r="AE8" i="14"/>
  <c r="AD8" i="14"/>
  <c r="AE7" i="14"/>
  <c r="AD7" i="14"/>
  <c r="AE6" i="14"/>
  <c r="AD6" i="14"/>
  <c r="AE5" i="14"/>
  <c r="AD5" i="14"/>
  <c r="AE4" i="14"/>
  <c r="AD4" i="14"/>
  <c r="AE3" i="14"/>
  <c r="AD3" i="14"/>
  <c r="AA46" i="14"/>
  <c r="Z46" i="14"/>
  <c r="Y46" i="14"/>
  <c r="AF46" i="14" s="1"/>
  <c r="AA45" i="14"/>
  <c r="Z45" i="14"/>
  <c r="Y45" i="14"/>
  <c r="AF45" i="14" s="1"/>
  <c r="AA44" i="14"/>
  <c r="Z44" i="14"/>
  <c r="Y44" i="14"/>
  <c r="AF44" i="14" s="1"/>
  <c r="AA43" i="14"/>
  <c r="Z43" i="14"/>
  <c r="Y43" i="14"/>
  <c r="AF43" i="14" s="1"/>
  <c r="AA42" i="14"/>
  <c r="Z42" i="14"/>
  <c r="Y42" i="14"/>
  <c r="AF42" i="14" s="1"/>
  <c r="AA41" i="14"/>
  <c r="Z41" i="14"/>
  <c r="Y41" i="14"/>
  <c r="AF41" i="14" s="1"/>
  <c r="AA40" i="14"/>
  <c r="Z40" i="14"/>
  <c r="Y40" i="14"/>
  <c r="AF40" i="14" s="1"/>
  <c r="AA39" i="14"/>
  <c r="Z39" i="14"/>
  <c r="Y39" i="14"/>
  <c r="AF39" i="14" s="1"/>
  <c r="AA38" i="14"/>
  <c r="Z38" i="14"/>
  <c r="Y38" i="14"/>
  <c r="AF38" i="14" s="1"/>
  <c r="AA37" i="14"/>
  <c r="Z37" i="14"/>
  <c r="Y37" i="14"/>
  <c r="AF37" i="14" s="1"/>
  <c r="AA36" i="14"/>
  <c r="Z36" i="14"/>
  <c r="Y36" i="14"/>
  <c r="AF36" i="14" s="1"/>
  <c r="AA35" i="14"/>
  <c r="Z35" i="14"/>
  <c r="Y35" i="14"/>
  <c r="AF35" i="14" s="1"/>
  <c r="AA34" i="14"/>
  <c r="Z34" i="14"/>
  <c r="Y34" i="14"/>
  <c r="AF34" i="14" s="1"/>
  <c r="AA33" i="14"/>
  <c r="Z33" i="14"/>
  <c r="Y33" i="14"/>
  <c r="AF33" i="14" s="1"/>
  <c r="AA32" i="14"/>
  <c r="Z32" i="14"/>
  <c r="Y32" i="14"/>
  <c r="AF32" i="14" s="1"/>
  <c r="AA31" i="14"/>
  <c r="Z31" i="14"/>
  <c r="Y31" i="14"/>
  <c r="AF31" i="14" s="1"/>
  <c r="AA30" i="14"/>
  <c r="Z30" i="14"/>
  <c r="Y30" i="14"/>
  <c r="AF30" i="14" s="1"/>
  <c r="AA29" i="14"/>
  <c r="Z29" i="14"/>
  <c r="Y29" i="14"/>
  <c r="AF29" i="14" s="1"/>
  <c r="AA28" i="14"/>
  <c r="Z28" i="14"/>
  <c r="Y28" i="14"/>
  <c r="AF28" i="14" s="1"/>
  <c r="AA27" i="14"/>
  <c r="Z27" i="14"/>
  <c r="Y27" i="14"/>
  <c r="AF27" i="14" s="1"/>
  <c r="AA26" i="14"/>
  <c r="Z26" i="14"/>
  <c r="Y26" i="14"/>
  <c r="AF26" i="14" s="1"/>
  <c r="AA25" i="14"/>
  <c r="Z25" i="14"/>
  <c r="Y25" i="14"/>
  <c r="AF25" i="14" s="1"/>
  <c r="AA24" i="14"/>
  <c r="Z24" i="14"/>
  <c r="Y24" i="14"/>
  <c r="AF24" i="14" s="1"/>
  <c r="AA23" i="14"/>
  <c r="Z23" i="14"/>
  <c r="Y23" i="14"/>
  <c r="AF23" i="14" s="1"/>
  <c r="AA22" i="14"/>
  <c r="Z22" i="14"/>
  <c r="Y22" i="14"/>
  <c r="AF22" i="14" s="1"/>
  <c r="AA21" i="14"/>
  <c r="Z21" i="14"/>
  <c r="Y21" i="14"/>
  <c r="AF21" i="14" s="1"/>
  <c r="AA20" i="14"/>
  <c r="Z20" i="14"/>
  <c r="Y20" i="14"/>
  <c r="AF20" i="14" s="1"/>
  <c r="AA19" i="14"/>
  <c r="Z19" i="14"/>
  <c r="Y19" i="14"/>
  <c r="AF19" i="14" s="1"/>
  <c r="AA18" i="14"/>
  <c r="Z18" i="14"/>
  <c r="Y18" i="14"/>
  <c r="AF18" i="14" s="1"/>
  <c r="AA17" i="14"/>
  <c r="Z17" i="14"/>
  <c r="Y17" i="14"/>
  <c r="AF17" i="14" s="1"/>
  <c r="AA16" i="14"/>
  <c r="Z16" i="14"/>
  <c r="Y16" i="14"/>
  <c r="AF16" i="14" s="1"/>
  <c r="AA15" i="14"/>
  <c r="Z15" i="14"/>
  <c r="Y15" i="14"/>
  <c r="AF15" i="14" s="1"/>
  <c r="AA14" i="14"/>
  <c r="Z14" i="14"/>
  <c r="Y14" i="14"/>
  <c r="AF14" i="14" s="1"/>
  <c r="AA13" i="14"/>
  <c r="Z13" i="14"/>
  <c r="Y13" i="14"/>
  <c r="AF13" i="14" s="1"/>
  <c r="AA12" i="14"/>
  <c r="Z12" i="14"/>
  <c r="Y12" i="14"/>
  <c r="AF12" i="14" s="1"/>
  <c r="AA11" i="14"/>
  <c r="Z11" i="14"/>
  <c r="Y11" i="14"/>
  <c r="AF11" i="14" s="1"/>
  <c r="AA10" i="14"/>
  <c r="Z10" i="14"/>
  <c r="Y10" i="14"/>
  <c r="AF10" i="14" s="1"/>
  <c r="AA9" i="14"/>
  <c r="Z9" i="14"/>
  <c r="Y9" i="14"/>
  <c r="AF9" i="14" s="1"/>
  <c r="AA8" i="14"/>
  <c r="Z8" i="14"/>
  <c r="Y8" i="14"/>
  <c r="AF8" i="14" s="1"/>
  <c r="AA7" i="14"/>
  <c r="Z7" i="14"/>
  <c r="Y7" i="14"/>
  <c r="AF7" i="14" s="1"/>
  <c r="AA6" i="14"/>
  <c r="Z6" i="14"/>
  <c r="Y6" i="14"/>
  <c r="AF6" i="14" s="1"/>
  <c r="AA5" i="14"/>
  <c r="Z5" i="14"/>
  <c r="Y5" i="14"/>
  <c r="AF5" i="14" s="1"/>
  <c r="AA4" i="14"/>
  <c r="Z4" i="14"/>
  <c r="Y4" i="14"/>
  <c r="AF4" i="14" s="1"/>
  <c r="AA3" i="14"/>
  <c r="Z3" i="14"/>
  <c r="Y3" i="14"/>
  <c r="AF3" i="14" s="1"/>
  <c r="AD2" i="14"/>
  <c r="AE2" i="14"/>
  <c r="Y2" i="14"/>
  <c r="Z2" i="14"/>
  <c r="AA2" i="14"/>
  <c r="AN62" i="25" a="1"/>
  <c r="AM62" i="25"/>
  <c r="AL62" i="25"/>
  <c r="AK62" i="25"/>
  <c r="AN61" i="25" a="1"/>
  <c r="AM61" i="25"/>
  <c r="AL61" i="25"/>
  <c r="AK61" i="25"/>
  <c r="AN60" i="25" a="1"/>
  <c r="AM60" i="25"/>
  <c r="AL60" i="25"/>
  <c r="AK60" i="25"/>
  <c r="AN59" i="25" a="1"/>
  <c r="AM59" i="25"/>
  <c r="AL59" i="25"/>
  <c r="AK59" i="25"/>
  <c r="AN58" i="25" a="1"/>
  <c r="AM58" i="25"/>
  <c r="AL58" i="25"/>
  <c r="AK58" i="25"/>
  <c r="AN57" i="25" a="1"/>
  <c r="AM57" i="25"/>
  <c r="AL57" i="25"/>
  <c r="AK57" i="25"/>
  <c r="AN56" i="25" a="1"/>
  <c r="AM56" i="25"/>
  <c r="AL56" i="25"/>
  <c r="AK56" i="25"/>
  <c r="AN55" i="25" a="1"/>
  <c r="AM55" i="25"/>
  <c r="AL55" i="25"/>
  <c r="AK55" i="25"/>
  <c r="AN54" i="25" a="1"/>
  <c r="AM54" i="25"/>
  <c r="AL54" i="25"/>
  <c r="AK54" i="25"/>
  <c r="AN53" i="25" a="1"/>
  <c r="AM53" i="25"/>
  <c r="AL53" i="25"/>
  <c r="AK53" i="25"/>
  <c r="AN52" i="25" a="1"/>
  <c r="AM52" i="25"/>
  <c r="AL52" i="25"/>
  <c r="AK52" i="25"/>
  <c r="AN51" i="25" a="1"/>
  <c r="AM51" i="25"/>
  <c r="AL51" i="25"/>
  <c r="AK51" i="25"/>
  <c r="AN50" i="25" a="1"/>
  <c r="AM50" i="25"/>
  <c r="AL50" i="25"/>
  <c r="AK50" i="25"/>
  <c r="AN49" i="25" a="1"/>
  <c r="AM49" i="25"/>
  <c r="AL49" i="25"/>
  <c r="AK49" i="25"/>
  <c r="AN48" i="25" a="1"/>
  <c r="AM48" i="25"/>
  <c r="AL48" i="25"/>
  <c r="AK48" i="25"/>
  <c r="AN47" i="25" a="1"/>
  <c r="AM47" i="25"/>
  <c r="AL47" i="25"/>
  <c r="AK47" i="25"/>
  <c r="AN46" i="25" a="1"/>
  <c r="AM46" i="25"/>
  <c r="AL46" i="25"/>
  <c r="AK46" i="25"/>
  <c r="AN45" i="25" a="1"/>
  <c r="AM45" i="25"/>
  <c r="AL45" i="25"/>
  <c r="AK45" i="25"/>
  <c r="AN44" i="25" a="1"/>
  <c r="AM44" i="25"/>
  <c r="AL44" i="25"/>
  <c r="AK44" i="25"/>
  <c r="AN43" i="25" a="1"/>
  <c r="AM43" i="25"/>
  <c r="AL43" i="25"/>
  <c r="AK43" i="25"/>
  <c r="AN42" i="25" a="1"/>
  <c r="AM42" i="25"/>
  <c r="AL42" i="25"/>
  <c r="AK42" i="25"/>
  <c r="AN41" i="25" a="1"/>
  <c r="AM41" i="25"/>
  <c r="AL41" i="25"/>
  <c r="AK41" i="25"/>
  <c r="AN40" i="25" a="1"/>
  <c r="AM40" i="25"/>
  <c r="AL40" i="25"/>
  <c r="AK40" i="25"/>
  <c r="AN39" i="25" a="1"/>
  <c r="AM39" i="25"/>
  <c r="AL39" i="25"/>
  <c r="AK39" i="25"/>
  <c r="AN38" i="25" a="1"/>
  <c r="AM38" i="25"/>
  <c r="AL38" i="25"/>
  <c r="AK38" i="25"/>
  <c r="AN37" i="25" a="1"/>
  <c r="AM37" i="25"/>
  <c r="AL37" i="25"/>
  <c r="AK37" i="25"/>
  <c r="AN36" i="25" a="1"/>
  <c r="AM36" i="25"/>
  <c r="AL36" i="25"/>
  <c r="AK36" i="25"/>
  <c r="AN35" i="25" a="1"/>
  <c r="AM35" i="25"/>
  <c r="AL35" i="25"/>
  <c r="AK35" i="25"/>
  <c r="AN34" i="25" a="1"/>
  <c r="AM34" i="25"/>
  <c r="AL34" i="25"/>
  <c r="AK34" i="25"/>
  <c r="AN33" i="25" a="1"/>
  <c r="AM33" i="25"/>
  <c r="AL33" i="25"/>
  <c r="AK33" i="25"/>
  <c r="AN32" i="25" a="1"/>
  <c r="AM32" i="25"/>
  <c r="AL32" i="25"/>
  <c r="AK32" i="25"/>
  <c r="AN31" i="25" a="1"/>
  <c r="AM31" i="25"/>
  <c r="AL31" i="25"/>
  <c r="AK31" i="25"/>
  <c r="AN30" i="25" a="1"/>
  <c r="AM30" i="25"/>
  <c r="AL30" i="25"/>
  <c r="AK30" i="25"/>
  <c r="AN29" i="25" a="1"/>
  <c r="AM29" i="25"/>
  <c r="AL29" i="25"/>
  <c r="AK29" i="25"/>
  <c r="AN28" i="25" a="1"/>
  <c r="AM28" i="25"/>
  <c r="AL28" i="25"/>
  <c r="AK28" i="25"/>
  <c r="AN27" i="25" a="1"/>
  <c r="AM27" i="25"/>
  <c r="AL27" i="25"/>
  <c r="AK27" i="25"/>
  <c r="AN26" i="25" a="1"/>
  <c r="AM26" i="25"/>
  <c r="AL26" i="25"/>
  <c r="AK26" i="25"/>
  <c r="AN25" i="25" a="1"/>
  <c r="AM25" i="25"/>
  <c r="AL25" i="25"/>
  <c r="AK25" i="25"/>
  <c r="AN24" i="25" a="1"/>
  <c r="AM24" i="25"/>
  <c r="AL24" i="25"/>
  <c r="AK24" i="25"/>
  <c r="AN23" i="25" a="1"/>
  <c r="AM23" i="25"/>
  <c r="AL23" i="25"/>
  <c r="AK23" i="25"/>
  <c r="AN22" i="25" a="1"/>
  <c r="AM22" i="25"/>
  <c r="AL22" i="25"/>
  <c r="AK22" i="25"/>
  <c r="AN21" i="25" a="1"/>
  <c r="AM21" i="25"/>
  <c r="AL21" i="25"/>
  <c r="AK21" i="25"/>
  <c r="AN20" i="25" a="1"/>
  <c r="AM20" i="25"/>
  <c r="AL20" i="25"/>
  <c r="AK20" i="25"/>
  <c r="AN19" i="25" a="1"/>
  <c r="AM19" i="25"/>
  <c r="AL19" i="25"/>
  <c r="AK19" i="25"/>
  <c r="AN18" i="25" a="1"/>
  <c r="AM18" i="25"/>
  <c r="AL18" i="25"/>
  <c r="AK18" i="25"/>
  <c r="AN17" i="25" a="1"/>
  <c r="AM17" i="25"/>
  <c r="AL17" i="25"/>
  <c r="AK17" i="25"/>
  <c r="AN16" i="25" a="1"/>
  <c r="AM16" i="25"/>
  <c r="AL16" i="25"/>
  <c r="AK16" i="25"/>
  <c r="AN15" i="25" a="1"/>
  <c r="AM15" i="25"/>
  <c r="AL15" i="25"/>
  <c r="AK15" i="25"/>
  <c r="AN14" i="25" a="1"/>
  <c r="AM14" i="25"/>
  <c r="AL14" i="25"/>
  <c r="AK14" i="25"/>
  <c r="AN13" i="25" a="1"/>
  <c r="AM13" i="25"/>
  <c r="AL13" i="25"/>
  <c r="AK13" i="25"/>
  <c r="AN12" i="25" a="1"/>
  <c r="AM12" i="25"/>
  <c r="AL12" i="25"/>
  <c r="AK12" i="25"/>
  <c r="AN11" i="25" a="1"/>
  <c r="AM11" i="25"/>
  <c r="AL11" i="25"/>
  <c r="AK11" i="25"/>
  <c r="AN10" i="25" a="1"/>
  <c r="AM10" i="25"/>
  <c r="AL10" i="25"/>
  <c r="AK10" i="25"/>
  <c r="AN9" i="25" a="1"/>
  <c r="AM9" i="25"/>
  <c r="AL9" i="25"/>
  <c r="AK9" i="25"/>
  <c r="AN8" i="25" a="1"/>
  <c r="AM8" i="25"/>
  <c r="AL8" i="25"/>
  <c r="AK8" i="25"/>
  <c r="AN7" i="25" a="1"/>
  <c r="AM7" i="25"/>
  <c r="AL7" i="25"/>
  <c r="AK7" i="25"/>
  <c r="AM6" i="25"/>
  <c r="AL6" i="25"/>
  <c r="AK6" i="25"/>
  <c r="AM5" i="25"/>
  <c r="AL5" i="25"/>
  <c r="AK5" i="25"/>
  <c r="AM4" i="25"/>
  <c r="AL4" i="25"/>
  <c r="AK4" i="25"/>
  <c r="AK3" i="25"/>
  <c r="AL3" i="25"/>
  <c r="AM3" i="25"/>
  <c r="D6" i="32"/>
  <c r="D5" i="32"/>
  <c r="AA44" i="32"/>
  <c r="Z44" i="32"/>
  <c r="Y44" i="32"/>
  <c r="X44" i="32"/>
  <c r="W44" i="32"/>
  <c r="V44" i="32"/>
  <c r="U44" i="32"/>
  <c r="T44" i="32"/>
  <c r="G44" i="32"/>
  <c r="D44" i="32"/>
  <c r="B44" i="32"/>
  <c r="A44" i="32"/>
  <c r="AA43" i="32"/>
  <c r="Z43" i="32"/>
  <c r="Y43" i="32"/>
  <c r="X43" i="32"/>
  <c r="W43" i="32"/>
  <c r="V43" i="32"/>
  <c r="U43" i="32"/>
  <c r="T43" i="32"/>
  <c r="G43" i="32"/>
  <c r="D43" i="32"/>
  <c r="B43" i="32"/>
  <c r="A43" i="32"/>
  <c r="AA42" i="32"/>
  <c r="Z42" i="32"/>
  <c r="Y42" i="32"/>
  <c r="X42" i="32"/>
  <c r="W42" i="32"/>
  <c r="V42" i="32"/>
  <c r="U42" i="32"/>
  <c r="T42" i="32"/>
  <c r="G42" i="32"/>
  <c r="D42" i="32"/>
  <c r="B42" i="32"/>
  <c r="A42" i="32"/>
  <c r="AA41" i="32"/>
  <c r="Z41" i="32"/>
  <c r="Y41" i="32"/>
  <c r="X41" i="32"/>
  <c r="W41" i="32"/>
  <c r="V41" i="32"/>
  <c r="U41" i="32"/>
  <c r="T41" i="32"/>
  <c r="G41" i="32"/>
  <c r="D41" i="32"/>
  <c r="B41" i="32"/>
  <c r="A41" i="32"/>
  <c r="AA40" i="32"/>
  <c r="Z40" i="32"/>
  <c r="Y40" i="32"/>
  <c r="X40" i="32"/>
  <c r="W40" i="32"/>
  <c r="V40" i="32"/>
  <c r="U40" i="32"/>
  <c r="T40" i="32"/>
  <c r="G40" i="32"/>
  <c r="D40" i="32"/>
  <c r="B40" i="32"/>
  <c r="A40" i="32"/>
  <c r="AA39" i="32"/>
  <c r="Z39" i="32"/>
  <c r="Y39" i="32"/>
  <c r="X39" i="32"/>
  <c r="W39" i="32"/>
  <c r="V39" i="32"/>
  <c r="U39" i="32"/>
  <c r="T39" i="32"/>
  <c r="G39" i="32"/>
  <c r="D39" i="32"/>
  <c r="B39" i="32"/>
  <c r="A39" i="32"/>
  <c r="AA38" i="32"/>
  <c r="Z38" i="32"/>
  <c r="Y38" i="32"/>
  <c r="X38" i="32"/>
  <c r="W38" i="32"/>
  <c r="V38" i="32"/>
  <c r="U38" i="32"/>
  <c r="T38" i="32"/>
  <c r="G38" i="32"/>
  <c r="D38" i="32"/>
  <c r="B38" i="32"/>
  <c r="A38" i="32"/>
  <c r="AA37" i="32"/>
  <c r="Z37" i="32"/>
  <c r="Y37" i="32"/>
  <c r="X37" i="32"/>
  <c r="W37" i="32"/>
  <c r="V37" i="32"/>
  <c r="U37" i="32"/>
  <c r="T37" i="32"/>
  <c r="G37" i="32"/>
  <c r="D37" i="32"/>
  <c r="B37" i="32"/>
  <c r="A37" i="32"/>
  <c r="AA36" i="32"/>
  <c r="Z36" i="32"/>
  <c r="Y36" i="32"/>
  <c r="X36" i="32"/>
  <c r="W36" i="32"/>
  <c r="V36" i="32"/>
  <c r="U36" i="32"/>
  <c r="T36" i="32"/>
  <c r="G36" i="32"/>
  <c r="D36" i="32"/>
  <c r="B36" i="32"/>
  <c r="A36" i="32"/>
  <c r="AA35" i="32"/>
  <c r="Z35" i="32"/>
  <c r="Y35" i="32"/>
  <c r="X35" i="32"/>
  <c r="W35" i="32"/>
  <c r="V35" i="32"/>
  <c r="U35" i="32"/>
  <c r="T35" i="32"/>
  <c r="G35" i="32"/>
  <c r="D35" i="32"/>
  <c r="B35" i="32"/>
  <c r="A35" i="32"/>
  <c r="AA34" i="32"/>
  <c r="Z34" i="32"/>
  <c r="Y34" i="32"/>
  <c r="X34" i="32"/>
  <c r="W34" i="32"/>
  <c r="V34" i="32"/>
  <c r="U34" i="32"/>
  <c r="T34" i="32"/>
  <c r="G34" i="32"/>
  <c r="D34" i="32"/>
  <c r="B34" i="32"/>
  <c r="A34" i="32"/>
  <c r="AA33" i="32"/>
  <c r="Z33" i="32"/>
  <c r="Y33" i="32"/>
  <c r="X33" i="32"/>
  <c r="W33" i="32"/>
  <c r="V33" i="32"/>
  <c r="U33" i="32"/>
  <c r="T33" i="32"/>
  <c r="G33" i="32"/>
  <c r="D33" i="32"/>
  <c r="B33" i="32"/>
  <c r="A33" i="32"/>
  <c r="AA32" i="32"/>
  <c r="Z32" i="32"/>
  <c r="Y32" i="32"/>
  <c r="X32" i="32"/>
  <c r="W32" i="32"/>
  <c r="V32" i="32"/>
  <c r="U32" i="32"/>
  <c r="T32" i="32"/>
  <c r="G32" i="32"/>
  <c r="D32" i="32"/>
  <c r="B32" i="32"/>
  <c r="A32" i="32"/>
  <c r="AA31" i="32"/>
  <c r="Z31" i="32"/>
  <c r="Y31" i="32"/>
  <c r="X31" i="32"/>
  <c r="W31" i="32"/>
  <c r="V31" i="32"/>
  <c r="U31" i="32"/>
  <c r="T31" i="32"/>
  <c r="G31" i="32"/>
  <c r="D31" i="32"/>
  <c r="B31" i="32"/>
  <c r="A31" i="32"/>
  <c r="AA30" i="32"/>
  <c r="Z30" i="32"/>
  <c r="Y30" i="32"/>
  <c r="X30" i="32"/>
  <c r="W30" i="32"/>
  <c r="V30" i="32"/>
  <c r="U30" i="32"/>
  <c r="T30" i="32"/>
  <c r="G30" i="32"/>
  <c r="D30" i="32"/>
  <c r="B30" i="32"/>
  <c r="A30" i="32"/>
  <c r="AA29" i="32"/>
  <c r="Z29" i="32"/>
  <c r="Y29" i="32"/>
  <c r="X29" i="32"/>
  <c r="W29" i="32"/>
  <c r="V29" i="32"/>
  <c r="U29" i="32"/>
  <c r="T29" i="32"/>
  <c r="G29" i="32"/>
  <c r="D29" i="32"/>
  <c r="B29" i="32"/>
  <c r="A29" i="32"/>
  <c r="AA28" i="32"/>
  <c r="Z28" i="32"/>
  <c r="Y28" i="32"/>
  <c r="X28" i="32"/>
  <c r="W28" i="32"/>
  <c r="V28" i="32"/>
  <c r="U28" i="32"/>
  <c r="T28" i="32"/>
  <c r="G28" i="32"/>
  <c r="D28" i="32"/>
  <c r="B28" i="32"/>
  <c r="A28" i="32"/>
  <c r="AA27" i="32"/>
  <c r="Z27" i="32"/>
  <c r="Y27" i="32"/>
  <c r="X27" i="32"/>
  <c r="W27" i="32"/>
  <c r="V27" i="32"/>
  <c r="U27" i="32"/>
  <c r="T27" i="32"/>
  <c r="G27" i="32"/>
  <c r="D27" i="32"/>
  <c r="B27" i="32"/>
  <c r="A27" i="32"/>
  <c r="AA26" i="32"/>
  <c r="Z26" i="32"/>
  <c r="Y26" i="32"/>
  <c r="X26" i="32"/>
  <c r="W26" i="32"/>
  <c r="V26" i="32"/>
  <c r="U26" i="32"/>
  <c r="T26" i="32"/>
  <c r="G26" i="32"/>
  <c r="D26" i="32"/>
  <c r="B26" i="32"/>
  <c r="A26" i="32"/>
  <c r="AA25" i="32"/>
  <c r="Z25" i="32"/>
  <c r="Y25" i="32"/>
  <c r="X25" i="32"/>
  <c r="W25" i="32"/>
  <c r="V25" i="32"/>
  <c r="U25" i="32"/>
  <c r="T25" i="32"/>
  <c r="G25" i="32"/>
  <c r="D25" i="32"/>
  <c r="B25" i="32"/>
  <c r="A25" i="32"/>
  <c r="AA24" i="32"/>
  <c r="Z24" i="32"/>
  <c r="Y24" i="32"/>
  <c r="X24" i="32"/>
  <c r="W24" i="32"/>
  <c r="V24" i="32"/>
  <c r="U24" i="32"/>
  <c r="T24" i="32"/>
  <c r="G24" i="32"/>
  <c r="D24" i="32"/>
  <c r="B24" i="32"/>
  <c r="A24" i="32"/>
  <c r="AA23" i="32"/>
  <c r="Z23" i="32"/>
  <c r="Y23" i="32"/>
  <c r="X23" i="32"/>
  <c r="W23" i="32"/>
  <c r="V23" i="32"/>
  <c r="U23" i="32"/>
  <c r="T23" i="32"/>
  <c r="G23" i="32"/>
  <c r="D23" i="32"/>
  <c r="B23" i="32"/>
  <c r="A23" i="32"/>
  <c r="AA22" i="32"/>
  <c r="Z22" i="32"/>
  <c r="Y22" i="32"/>
  <c r="X22" i="32"/>
  <c r="W22" i="32"/>
  <c r="V22" i="32"/>
  <c r="U22" i="32"/>
  <c r="T22" i="32"/>
  <c r="G22" i="32"/>
  <c r="D22" i="32"/>
  <c r="B22" i="32"/>
  <c r="A22" i="32"/>
  <c r="AA21" i="32"/>
  <c r="Z21" i="32"/>
  <c r="Y21" i="32"/>
  <c r="X21" i="32"/>
  <c r="W21" i="32"/>
  <c r="V21" i="32"/>
  <c r="U21" i="32"/>
  <c r="T21" i="32"/>
  <c r="G21" i="32"/>
  <c r="D21" i="32"/>
  <c r="B21" i="32"/>
  <c r="A21" i="32"/>
  <c r="AA20" i="32"/>
  <c r="Z20" i="32"/>
  <c r="Y20" i="32"/>
  <c r="X20" i="32"/>
  <c r="W20" i="32"/>
  <c r="V20" i="32"/>
  <c r="U20" i="32"/>
  <c r="T20" i="32"/>
  <c r="G20" i="32"/>
  <c r="D20" i="32"/>
  <c r="B20" i="32"/>
  <c r="A20" i="32"/>
  <c r="AA19" i="32"/>
  <c r="Z19" i="32"/>
  <c r="Y19" i="32"/>
  <c r="X19" i="32"/>
  <c r="W19" i="32"/>
  <c r="V19" i="32"/>
  <c r="U19" i="32"/>
  <c r="T19" i="32"/>
  <c r="G19" i="32"/>
  <c r="D19" i="32"/>
  <c r="B19" i="32"/>
  <c r="A19" i="32"/>
  <c r="AA18" i="32"/>
  <c r="Z18" i="32"/>
  <c r="Y18" i="32"/>
  <c r="X18" i="32"/>
  <c r="W18" i="32"/>
  <c r="V18" i="32"/>
  <c r="U18" i="32"/>
  <c r="T18" i="32"/>
  <c r="G18" i="32"/>
  <c r="D18" i="32"/>
  <c r="B18" i="32"/>
  <c r="A18" i="32"/>
  <c r="AA17" i="32"/>
  <c r="Z17" i="32"/>
  <c r="Y17" i="32"/>
  <c r="X17" i="32"/>
  <c r="W17" i="32"/>
  <c r="V17" i="32"/>
  <c r="U17" i="32"/>
  <c r="T17" i="32"/>
  <c r="G17" i="32"/>
  <c r="D17" i="32"/>
  <c r="B17" i="32"/>
  <c r="A17" i="32"/>
  <c r="AA16" i="32"/>
  <c r="Z16" i="32"/>
  <c r="Y16" i="32"/>
  <c r="X16" i="32"/>
  <c r="W16" i="32"/>
  <c r="V16" i="32"/>
  <c r="U16" i="32"/>
  <c r="T16" i="32"/>
  <c r="G16" i="32"/>
  <c r="D16" i="32"/>
  <c r="B16" i="32"/>
  <c r="A16" i="32"/>
  <c r="AA15" i="32"/>
  <c r="Z15" i="32"/>
  <c r="Y15" i="32"/>
  <c r="X15" i="32"/>
  <c r="W15" i="32"/>
  <c r="V15" i="32"/>
  <c r="U15" i="32"/>
  <c r="T15" i="32"/>
  <c r="G15" i="32"/>
  <c r="D15" i="32"/>
  <c r="B15" i="32"/>
  <c r="A15" i="32"/>
  <c r="AA14" i="32"/>
  <c r="Z14" i="32"/>
  <c r="Y14" i="32"/>
  <c r="X14" i="32"/>
  <c r="W14" i="32"/>
  <c r="V14" i="32"/>
  <c r="U14" i="32"/>
  <c r="T14" i="32"/>
  <c r="G14" i="32"/>
  <c r="D14" i="32"/>
  <c r="B14" i="32"/>
  <c r="A14" i="32"/>
  <c r="AA13" i="32"/>
  <c r="Z13" i="32"/>
  <c r="Y13" i="32"/>
  <c r="X13" i="32"/>
  <c r="W13" i="32"/>
  <c r="V13" i="32"/>
  <c r="U13" i="32"/>
  <c r="T13" i="32"/>
  <c r="G13" i="32"/>
  <c r="D13" i="32"/>
  <c r="B13" i="32"/>
  <c r="A13" i="32"/>
  <c r="AA12" i="32"/>
  <c r="Z12" i="32"/>
  <c r="Y12" i="32"/>
  <c r="X12" i="32"/>
  <c r="W12" i="32"/>
  <c r="V12" i="32"/>
  <c r="U12" i="32"/>
  <c r="T12" i="32"/>
  <c r="G12" i="32"/>
  <c r="D12" i="32"/>
  <c r="B12" i="32"/>
  <c r="A12" i="32"/>
  <c r="AA11" i="32"/>
  <c r="Z11" i="32"/>
  <c r="Y11" i="32"/>
  <c r="X11" i="32"/>
  <c r="W11" i="32"/>
  <c r="V11" i="32"/>
  <c r="U11" i="32"/>
  <c r="T11" i="32"/>
  <c r="G11" i="32"/>
  <c r="D11" i="32"/>
  <c r="B11" i="32"/>
  <c r="A11" i="32"/>
  <c r="AA10" i="32"/>
  <c r="Z10" i="32"/>
  <c r="Y10" i="32"/>
  <c r="X10" i="32"/>
  <c r="W10" i="32"/>
  <c r="V10" i="32"/>
  <c r="U10" i="32"/>
  <c r="T10" i="32"/>
  <c r="G10" i="32"/>
  <c r="D10" i="32"/>
  <c r="B10" i="32"/>
  <c r="A10" i="32"/>
  <c r="AA9" i="32"/>
  <c r="Z9" i="32"/>
  <c r="Y9" i="32"/>
  <c r="X9" i="32"/>
  <c r="W9" i="32"/>
  <c r="V9" i="32"/>
  <c r="U9" i="32"/>
  <c r="T9" i="32"/>
  <c r="G9" i="32"/>
  <c r="D9" i="32"/>
  <c r="B9" i="32"/>
  <c r="A9" i="32"/>
  <c r="AA8" i="32"/>
  <c r="Z8" i="32"/>
  <c r="Y8" i="32"/>
  <c r="X8" i="32"/>
  <c r="W8" i="32"/>
  <c r="V8" i="32"/>
  <c r="U8" i="32"/>
  <c r="T8" i="32"/>
  <c r="G8" i="32"/>
  <c r="D8" i="32"/>
  <c r="B8" i="32"/>
  <c r="A8" i="32"/>
  <c r="AA7" i="32"/>
  <c r="Z7" i="32"/>
  <c r="Y7" i="32"/>
  <c r="X7" i="32"/>
  <c r="W7" i="32"/>
  <c r="V7" i="32"/>
  <c r="U7" i="32"/>
  <c r="T7" i="32"/>
  <c r="G7" i="32"/>
  <c r="D7" i="32"/>
  <c r="B7" i="32"/>
  <c r="A7" i="32"/>
  <c r="AA6" i="32"/>
  <c r="Z6" i="32"/>
  <c r="Y6" i="32"/>
  <c r="X6" i="32"/>
  <c r="W6" i="32"/>
  <c r="V6" i="32"/>
  <c r="U6" i="32"/>
  <c r="T6" i="32"/>
  <c r="A6" i="32"/>
  <c r="T5" i="32"/>
  <c r="U5" i="32"/>
  <c r="V5" i="32"/>
  <c r="W5" i="32"/>
  <c r="X5" i="32"/>
  <c r="Y5" i="32"/>
  <c r="Z5" i="32"/>
  <c r="AA5" i="32"/>
  <c r="A5" i="32"/>
  <c r="S92" i="27"/>
  <c r="U92" i="27"/>
  <c r="V92" i="27"/>
  <c r="W92" i="27"/>
  <c r="Y92" i="27"/>
  <c r="Z92" i="27"/>
  <c r="AA92" i="27"/>
  <c r="AE92" i="27"/>
  <c r="AF92" i="27"/>
  <c r="AG92" i="27"/>
  <c r="AH92" i="27"/>
  <c r="AI92" i="27"/>
  <c r="AO92" i="27"/>
  <c r="AP92" i="27"/>
  <c r="AQ92" i="27"/>
  <c r="AR92" i="27"/>
  <c r="B92" i="27"/>
  <c r="C92" i="27"/>
  <c r="D92" i="27"/>
  <c r="E92" i="27"/>
  <c r="F92" i="27"/>
  <c r="G92" i="27"/>
  <c r="H92" i="27"/>
  <c r="I92" i="27"/>
  <c r="J92" i="27"/>
  <c r="K92" i="27"/>
  <c r="L92" i="27"/>
  <c r="M92" i="27"/>
  <c r="N92" i="27"/>
  <c r="O92" i="27"/>
  <c r="Q92" i="27"/>
  <c r="R92" i="27"/>
  <c r="S164" i="22" a="1"/>
  <c r="S163" i="22" a="1"/>
  <c r="S162" i="22" a="1"/>
  <c r="S161" i="22" a="1"/>
  <c r="S160" i="22" a="1"/>
  <c r="T160" i="22"/>
  <c r="U160" i="22" a="1"/>
  <c r="X160" i="22" a="1"/>
  <c r="Y160" i="22" a="1"/>
  <c r="AH160" i="22" a="1"/>
  <c r="AI160" i="22" a="1"/>
  <c r="AO160" i="22"/>
  <c r="AP160" i="22"/>
  <c r="AR160" i="22"/>
  <c r="AU15" i="30"/>
  <c r="AU14" i="30"/>
  <c r="AU13" i="30"/>
  <c r="AU12" i="30"/>
  <c r="AU11" i="30"/>
  <c r="AU10" i="30"/>
  <c r="AU9" i="30"/>
  <c r="AU8" i="30"/>
  <c r="AU7" i="30"/>
  <c r="AU6" i="30"/>
  <c r="AU4" i="30"/>
  <c r="AU5" i="30" a="1"/>
  <c r="X25" i="22" a="1"/>
  <c r="X24" i="22" a="1"/>
  <c r="X23" i="22" a="1"/>
  <c r="X22" i="22" a="1"/>
  <c r="X21" i="22" a="1"/>
  <c r="X20" i="22" a="1"/>
  <c r="X19" i="22" a="1"/>
  <c r="X18" i="22" a="1"/>
  <c r="AJ160" i="22" s="1" a="1"/>
  <c r="B82" i="27"/>
  <c r="B29" i="27"/>
  <c r="X92" i="27" s="1"/>
  <c r="B23" i="27"/>
  <c r="B24" i="27"/>
  <c r="AA4" i="27"/>
  <c r="AA5" i="27"/>
  <c r="AA6" i="27"/>
  <c r="AA7" i="27"/>
  <c r="AA8" i="27"/>
  <c r="AA9" i="27" a="1"/>
  <c r="AA10" i="27" a="1"/>
  <c r="Q143" i="28"/>
  <c r="Q142" i="28"/>
  <c r="Q141" i="28"/>
  <c r="Q140" i="28"/>
  <c r="Q139" i="28"/>
  <c r="Q138" i="28"/>
  <c r="Q137" i="28"/>
  <c r="Q136" i="28"/>
  <c r="Q135" i="28"/>
  <c r="Q134" i="28"/>
  <c r="Q133" i="28"/>
  <c r="Q132" i="28"/>
  <c r="Q131" i="28"/>
  <c r="Q130" i="28"/>
  <c r="Q129" i="28"/>
  <c r="Q128" i="28"/>
  <c r="Q127" i="28"/>
  <c r="Q126" i="28"/>
  <c r="Q125" i="28"/>
  <c r="Q124" i="28"/>
  <c r="Q123" i="28"/>
  <c r="Q122" i="28"/>
  <c r="Q121" i="28"/>
  <c r="Q120" i="28"/>
  <c r="Q119" i="28"/>
  <c r="Q118" i="28"/>
  <c r="Q117" i="28"/>
  <c r="Q116" i="28"/>
  <c r="Q115" i="28"/>
  <c r="Q114" i="28"/>
  <c r="Q113" i="28"/>
  <c r="Q112" i="28"/>
  <c r="Q111" i="28"/>
  <c r="Q110" i="28"/>
  <c r="Q109" i="28"/>
  <c r="Q108" i="28"/>
  <c r="Q107" i="28"/>
  <c r="Q106" i="28"/>
  <c r="Q105" i="28"/>
  <c r="Q104" i="28"/>
  <c r="Q103" i="28"/>
  <c r="Q102" i="28"/>
  <c r="Q101" i="28"/>
  <c r="Q100" i="28"/>
  <c r="Q99" i="28"/>
  <c r="Q98" i="28"/>
  <c r="Q97" i="28"/>
  <c r="Q96" i="28"/>
  <c r="Q95" i="28"/>
  <c r="Q94" i="28"/>
  <c r="Q93" i="28"/>
  <c r="Q92" i="28"/>
  <c r="Q91" i="28"/>
  <c r="Q90" i="28"/>
  <c r="Q89" i="28"/>
  <c r="Q88" i="28"/>
  <c r="Q87" i="28"/>
  <c r="Q86" i="28"/>
  <c r="Q85" i="28"/>
  <c r="Q84" i="28"/>
  <c r="Q83" i="28"/>
  <c r="Q82" i="28"/>
  <c r="Q81" i="28"/>
  <c r="Q80" i="28"/>
  <c r="Q79" i="28"/>
  <c r="Q78" i="28"/>
  <c r="Q77" i="28"/>
  <c r="Q76" i="28"/>
  <c r="Q75" i="28"/>
  <c r="Q74" i="28"/>
  <c r="Q73" i="28"/>
  <c r="Q72" i="28"/>
  <c r="Q71" i="28"/>
  <c r="Q70" i="28"/>
  <c r="Q69" i="28"/>
  <c r="Q68" i="28"/>
  <c r="Q67" i="28"/>
  <c r="Q66" i="28"/>
  <c r="Q65" i="28"/>
  <c r="Q64" i="28"/>
  <c r="Q63" i="28"/>
  <c r="Q62" i="28"/>
  <c r="Q61" i="28"/>
  <c r="Q60" i="28"/>
  <c r="Q59" i="28"/>
  <c r="Q58" i="28"/>
  <c r="Q57" i="28"/>
  <c r="Q56" i="28"/>
  <c r="Q55" i="28"/>
  <c r="Q54" i="28"/>
  <c r="Q53" i="28"/>
  <c r="Q52" i="28"/>
  <c r="Q51" i="28"/>
  <c r="Q50" i="28"/>
  <c r="Q49" i="28"/>
  <c r="Q48" i="28"/>
  <c r="Q47" i="28"/>
  <c r="Q46" i="28"/>
  <c r="Q45" i="28"/>
  <c r="Q44" i="28"/>
  <c r="Q43" i="28"/>
  <c r="Q42" i="28"/>
  <c r="Q41" i="28"/>
  <c r="Q40" i="28"/>
  <c r="Q39" i="28"/>
  <c r="Q38" i="28"/>
  <c r="Q37" i="28"/>
  <c r="Q36" i="28"/>
  <c r="Q35" i="28"/>
  <c r="Q34" i="28"/>
  <c r="Q33" i="28"/>
  <c r="Q32" i="28"/>
  <c r="Q31" i="28"/>
  <c r="Q30" i="28"/>
  <c r="Q29" i="28"/>
  <c r="Q28" i="28"/>
  <c r="Q27" i="28"/>
  <c r="Q26" i="28"/>
  <c r="Q25" i="28"/>
  <c r="Q24" i="28"/>
  <c r="Q23" i="28"/>
  <c r="Q22" i="28"/>
  <c r="Q21" i="28"/>
  <c r="Q20" i="28"/>
  <c r="Q19" i="28"/>
  <c r="Q18" i="28"/>
  <c r="Q17" i="28"/>
  <c r="Q16" i="28"/>
  <c r="Q15" i="28"/>
  <c r="Q14" i="28"/>
  <c r="Q13" i="28"/>
  <c r="Q12" i="28"/>
  <c r="Q11" i="28"/>
  <c r="Q10" i="28"/>
  <c r="Q9" i="28"/>
  <c r="Q8" i="28"/>
  <c r="Q7" i="28"/>
  <c r="Q6" i="28"/>
  <c r="Q5" i="28"/>
  <c r="Q4" i="28"/>
  <c r="Q3" i="28"/>
  <c r="Q2" i="28"/>
  <c r="R2" i="28"/>
  <c r="G152" i="28"/>
  <c r="F152" i="28"/>
  <c r="E152" i="28"/>
  <c r="D152" i="28"/>
  <c r="C152" i="28"/>
  <c r="A152" i="28"/>
  <c r="B152" i="28" s="1"/>
  <c r="G151" i="28"/>
  <c r="F151" i="28"/>
  <c r="E151" i="28"/>
  <c r="D151" i="28"/>
  <c r="C151" i="28"/>
  <c r="A151" i="28"/>
  <c r="B151" i="28" s="1"/>
  <c r="G150" i="28"/>
  <c r="F150" i="28"/>
  <c r="E150" i="28"/>
  <c r="D150" i="28"/>
  <c r="C150" i="28"/>
  <c r="A150" i="28"/>
  <c r="B150" i="28" s="1"/>
  <c r="G149" i="28"/>
  <c r="F149" i="28"/>
  <c r="E149" i="28"/>
  <c r="D149" i="28"/>
  <c r="C149" i="28"/>
  <c r="A149" i="28"/>
  <c r="B149" i="28" s="1"/>
  <c r="G148" i="28"/>
  <c r="F148" i="28"/>
  <c r="E148" i="28"/>
  <c r="D148" i="28"/>
  <c r="C148" i="28"/>
  <c r="A148" i="28"/>
  <c r="B148" i="28" s="1"/>
  <c r="G147" i="28"/>
  <c r="F147" i="28"/>
  <c r="E147" i="28"/>
  <c r="D147" i="28"/>
  <c r="C147" i="28"/>
  <c r="A147" i="28"/>
  <c r="B147" i="28" s="1"/>
  <c r="G146" i="28"/>
  <c r="F146" i="28"/>
  <c r="E146" i="28"/>
  <c r="D146" i="28"/>
  <c r="C146" i="28"/>
  <c r="A146" i="28"/>
  <c r="B146" i="28" s="1"/>
  <c r="G145" i="28"/>
  <c r="F145" i="28"/>
  <c r="E145" i="28"/>
  <c r="D145" i="28"/>
  <c r="C145" i="28"/>
  <c r="A145" i="28"/>
  <c r="B145" i="28" s="1"/>
  <c r="G144" i="28"/>
  <c r="F144" i="28"/>
  <c r="E144" i="28"/>
  <c r="D144" i="28"/>
  <c r="C144" i="28"/>
  <c r="A144" i="28"/>
  <c r="B144" i="28" s="1"/>
  <c r="G143" i="28"/>
  <c r="F143" i="28"/>
  <c r="E143" i="28"/>
  <c r="D143" i="28"/>
  <c r="C143" i="28"/>
  <c r="A143" i="28"/>
  <c r="B143" i="28" s="1"/>
  <c r="G142" i="28"/>
  <c r="F142" i="28"/>
  <c r="E142" i="28"/>
  <c r="D142" i="28"/>
  <c r="C142" i="28"/>
  <c r="A142" i="28"/>
  <c r="B142" i="28" s="1"/>
  <c r="G141" i="28"/>
  <c r="F141" i="28"/>
  <c r="E141" i="28"/>
  <c r="D141" i="28"/>
  <c r="C141" i="28"/>
  <c r="A141" i="28"/>
  <c r="B141" i="28" s="1"/>
  <c r="G140" i="28"/>
  <c r="F140" i="28"/>
  <c r="E140" i="28"/>
  <c r="D140" i="28"/>
  <c r="C140" i="28"/>
  <c r="A140" i="28"/>
  <c r="B140" i="28" s="1"/>
  <c r="G139" i="28"/>
  <c r="F139" i="28"/>
  <c r="E139" i="28"/>
  <c r="D139" i="28"/>
  <c r="C139" i="28"/>
  <c r="A139" i="28"/>
  <c r="B139" i="28" s="1"/>
  <c r="G138" i="28"/>
  <c r="F138" i="28"/>
  <c r="E138" i="28"/>
  <c r="D138" i="28"/>
  <c r="C138" i="28"/>
  <c r="A138" i="28"/>
  <c r="B138" i="28" s="1"/>
  <c r="G137" i="28"/>
  <c r="F137" i="28"/>
  <c r="E137" i="28"/>
  <c r="D137" i="28"/>
  <c r="C137" i="28"/>
  <c r="A137" i="28"/>
  <c r="B137" i="28" s="1"/>
  <c r="G136" i="28"/>
  <c r="F136" i="28"/>
  <c r="E136" i="28"/>
  <c r="D136" i="28"/>
  <c r="C136" i="28"/>
  <c r="A136" i="28"/>
  <c r="B136" i="28" s="1"/>
  <c r="G135" i="28"/>
  <c r="F135" i="28"/>
  <c r="E135" i="28"/>
  <c r="D135" i="28"/>
  <c r="C135" i="28"/>
  <c r="A135" i="28"/>
  <c r="B135" i="28" s="1"/>
  <c r="G134" i="28"/>
  <c r="F134" i="28"/>
  <c r="E134" i="28"/>
  <c r="D134" i="28"/>
  <c r="C134" i="28"/>
  <c r="A134" i="28"/>
  <c r="B134" i="28" s="1"/>
  <c r="G133" i="28"/>
  <c r="F133" i="28"/>
  <c r="E133" i="28"/>
  <c r="D133" i="28"/>
  <c r="C133" i="28"/>
  <c r="A133" i="28"/>
  <c r="B133" i="28" s="1"/>
  <c r="G132" i="28"/>
  <c r="F132" i="28"/>
  <c r="E132" i="28"/>
  <c r="D132" i="28"/>
  <c r="C132" i="28"/>
  <c r="A132" i="28"/>
  <c r="B132" i="28" s="1"/>
  <c r="G131" i="28"/>
  <c r="F131" i="28"/>
  <c r="E131" i="28"/>
  <c r="D131" i="28"/>
  <c r="C131" i="28"/>
  <c r="A131" i="28"/>
  <c r="B131" i="28" s="1"/>
  <c r="G130" i="28"/>
  <c r="F130" i="28"/>
  <c r="E130" i="28"/>
  <c r="D130" i="28"/>
  <c r="C130" i="28"/>
  <c r="A130" i="28"/>
  <c r="B130" i="28" s="1"/>
  <c r="G129" i="28"/>
  <c r="F129" i="28"/>
  <c r="E129" i="28"/>
  <c r="D129" i="28"/>
  <c r="C129" i="28"/>
  <c r="A129" i="28"/>
  <c r="B129" i="28" s="1"/>
  <c r="G128" i="28"/>
  <c r="F128" i="28"/>
  <c r="E128" i="28"/>
  <c r="D128" i="28"/>
  <c r="A128" i="28"/>
  <c r="B128" i="28" s="1"/>
  <c r="A127" i="28"/>
  <c r="B127" i="28" s="1"/>
  <c r="A126" i="28"/>
  <c r="B126" i="28" s="1"/>
  <c r="A125" i="28"/>
  <c r="B125" i="28" s="1"/>
  <c r="A124" i="28"/>
  <c r="B124" i="28" s="1"/>
  <c r="A123" i="28"/>
  <c r="B123" i="28" s="1"/>
  <c r="A122" i="28"/>
  <c r="B122" i="28" s="1"/>
  <c r="A121" i="28"/>
  <c r="B121" i="28" s="1"/>
  <c r="A120" i="28"/>
  <c r="B120" i="28" s="1"/>
  <c r="A119" i="28"/>
  <c r="B119" i="28" s="1"/>
  <c r="A118" i="28"/>
  <c r="B118" i="28" s="1"/>
  <c r="A117" i="28"/>
  <c r="B117" i="28" s="1"/>
  <c r="A116" i="28"/>
  <c r="B116" i="28" s="1"/>
  <c r="A115" i="28"/>
  <c r="B115" i="28" s="1"/>
  <c r="A114" i="28"/>
  <c r="B114" i="28" s="1"/>
  <c r="A113" i="28"/>
  <c r="B113" i="28" s="1"/>
  <c r="A112" i="28"/>
  <c r="B112" i="28" s="1"/>
  <c r="A111" i="28"/>
  <c r="B111" i="28" s="1"/>
  <c r="A110" i="28"/>
  <c r="B110" i="28" s="1"/>
  <c r="A109" i="28"/>
  <c r="B109" i="28" s="1"/>
  <c r="A108" i="28"/>
  <c r="B108" i="28" s="1"/>
  <c r="A107" i="28"/>
  <c r="B107" i="28" s="1"/>
  <c r="A106" i="28"/>
  <c r="B106" i="28" s="1"/>
  <c r="A105" i="28"/>
  <c r="B105" i="28" s="1"/>
  <c r="A104" i="28"/>
  <c r="B104" i="28" s="1"/>
  <c r="A103" i="28"/>
  <c r="B103" i="28" s="1"/>
  <c r="A102" i="28"/>
  <c r="B102" i="28" s="1"/>
  <c r="A101" i="28"/>
  <c r="B101" i="28" s="1"/>
  <c r="A100" i="28"/>
  <c r="B100" i="28" s="1"/>
  <c r="A99" i="28"/>
  <c r="B99" i="28" s="1"/>
  <c r="A98" i="28"/>
  <c r="B98" i="28" s="1"/>
  <c r="A97" i="28"/>
  <c r="B97" i="28" s="1"/>
  <c r="A96" i="28"/>
  <c r="B96" i="28" s="1"/>
  <c r="A95" i="28"/>
  <c r="B95" i="28" s="1"/>
  <c r="A94" i="28"/>
  <c r="B94" i="28" s="1"/>
  <c r="A93" i="28"/>
  <c r="B93" i="28" s="1"/>
  <c r="A92" i="28"/>
  <c r="B92" i="28" s="1"/>
  <c r="A91" i="28"/>
  <c r="B91" i="28" s="1"/>
  <c r="A90" i="28"/>
  <c r="B90" i="28" s="1"/>
  <c r="A89" i="28"/>
  <c r="B89" i="28" s="1"/>
  <c r="A88" i="28"/>
  <c r="B88" i="28" s="1"/>
  <c r="A87" i="28"/>
  <c r="B87" i="28" s="1"/>
  <c r="A86" i="28"/>
  <c r="B86" i="28" s="1"/>
  <c r="A85" i="28"/>
  <c r="B85" i="28" s="1"/>
  <c r="A84" i="28"/>
  <c r="B84" i="28" s="1"/>
  <c r="A83" i="28"/>
  <c r="B83" i="28" s="1"/>
  <c r="A82" i="28"/>
  <c r="B82" i="28" s="1"/>
  <c r="A81" i="28"/>
  <c r="B81" i="28" s="1"/>
  <c r="A80" i="28"/>
  <c r="B80" i="28" s="1"/>
  <c r="A79" i="28"/>
  <c r="B79" i="28" s="1"/>
  <c r="A78" i="28"/>
  <c r="B78" i="28" s="1"/>
  <c r="A77" i="28"/>
  <c r="B77" i="28" s="1"/>
  <c r="A76" i="28"/>
  <c r="B76" i="28" s="1"/>
  <c r="A75" i="28"/>
  <c r="B75" i="28" s="1"/>
  <c r="A74" i="28"/>
  <c r="B74" i="28" s="1"/>
  <c r="A73" i="28"/>
  <c r="B73" i="28" s="1"/>
  <c r="A72" i="28"/>
  <c r="B72" i="28" s="1"/>
  <c r="A71" i="28"/>
  <c r="B71" i="28" s="1"/>
  <c r="A70" i="28"/>
  <c r="B70" i="28" s="1"/>
  <c r="A69" i="28"/>
  <c r="B69" i="28" s="1"/>
  <c r="A68" i="28"/>
  <c r="B68" i="28" s="1"/>
  <c r="A67" i="28"/>
  <c r="B67" i="28" s="1"/>
  <c r="A66" i="28"/>
  <c r="B66" i="28" s="1"/>
  <c r="A65" i="28"/>
  <c r="B65" i="28" s="1"/>
  <c r="A64" i="28"/>
  <c r="B64" i="28" s="1"/>
  <c r="A63" i="28"/>
  <c r="B63" i="28" s="1"/>
  <c r="A62" i="28"/>
  <c r="B62" i="28" s="1"/>
  <c r="A61" i="28"/>
  <c r="B61" i="28" s="1"/>
  <c r="A60" i="28"/>
  <c r="B60" i="28" s="1"/>
  <c r="A59" i="28"/>
  <c r="B59" i="28" s="1"/>
  <c r="A58" i="28"/>
  <c r="B58" i="28" s="1"/>
  <c r="A57" i="28"/>
  <c r="B57" i="28" s="1"/>
  <c r="A56" i="28"/>
  <c r="B56" i="28" s="1"/>
  <c r="A55" i="28"/>
  <c r="B55" i="28" s="1"/>
  <c r="A54" i="28"/>
  <c r="B54" i="28" s="1"/>
  <c r="A53" i="28"/>
  <c r="B53" i="28" s="1"/>
  <c r="A52" i="28"/>
  <c r="B52" i="28" s="1"/>
  <c r="A51" i="28"/>
  <c r="B51" i="28" s="1"/>
  <c r="A50" i="28"/>
  <c r="B50" i="28" s="1"/>
  <c r="A49" i="28"/>
  <c r="B49" i="28" s="1"/>
  <c r="A48" i="28"/>
  <c r="B48" i="28" s="1"/>
  <c r="A47" i="28"/>
  <c r="B47" i="28" s="1"/>
  <c r="A46" i="28"/>
  <c r="B46" i="28" s="1"/>
  <c r="A45" i="28"/>
  <c r="B45" i="28" s="1"/>
  <c r="A44" i="28"/>
  <c r="B44" i="28" s="1"/>
  <c r="A43" i="28"/>
  <c r="B43" i="28" s="1"/>
  <c r="A42" i="28"/>
  <c r="B42" i="28" s="1"/>
  <c r="A41" i="28"/>
  <c r="B41" i="28" s="1"/>
  <c r="A40" i="28"/>
  <c r="B40" i="28" s="1"/>
  <c r="A39" i="28"/>
  <c r="B39" i="28" s="1"/>
  <c r="A38" i="28"/>
  <c r="B38" i="28" s="1"/>
  <c r="A37" i="28"/>
  <c r="B37" i="28" s="1"/>
  <c r="A36" i="28"/>
  <c r="B36" i="28" s="1"/>
  <c r="A35" i="28"/>
  <c r="B35" i="28" s="1"/>
  <c r="A34" i="28"/>
  <c r="B34" i="28" s="1"/>
  <c r="A33" i="28"/>
  <c r="B33" i="28" s="1"/>
  <c r="A32" i="28"/>
  <c r="B32" i="28" s="1"/>
  <c r="A31" i="28"/>
  <c r="B31" i="28" s="1"/>
  <c r="A30" i="28"/>
  <c r="B30" i="28" s="1"/>
  <c r="A29" i="28"/>
  <c r="B29" i="28" s="1"/>
  <c r="A28" i="28"/>
  <c r="B28" i="28" s="1"/>
  <c r="A27" i="28"/>
  <c r="B27" i="28" s="1"/>
  <c r="A26" i="28"/>
  <c r="B26" i="28" s="1"/>
  <c r="A25" i="28"/>
  <c r="B25" i="28" s="1"/>
  <c r="A24" i="28"/>
  <c r="B24" i="28" s="1"/>
  <c r="A23" i="28"/>
  <c r="B23" i="28" s="1"/>
  <c r="A22" i="28"/>
  <c r="B22" i="28" s="1"/>
  <c r="A21" i="28"/>
  <c r="B21" i="28" s="1"/>
  <c r="A20" i="28"/>
  <c r="B20" i="28" s="1"/>
  <c r="A19" i="28"/>
  <c r="B19" i="28" s="1"/>
  <c r="A18" i="28"/>
  <c r="B18" i="28" s="1"/>
  <c r="A17" i="28"/>
  <c r="B17" i="28" s="1"/>
  <c r="A16" i="28"/>
  <c r="B16" i="28" s="1"/>
  <c r="A15" i="28"/>
  <c r="B15" i="28" s="1"/>
  <c r="A14" i="28"/>
  <c r="B14" i="28" s="1"/>
  <c r="A13" i="28"/>
  <c r="B13" i="28" s="1"/>
  <c r="A12" i="28"/>
  <c r="B12" i="28" s="1"/>
  <c r="A11" i="28"/>
  <c r="B11" i="28" s="1"/>
  <c r="A10" i="28"/>
  <c r="B10" i="28" s="1"/>
  <c r="A9" i="28"/>
  <c r="B9" i="28" s="1"/>
  <c r="A8" i="28"/>
  <c r="B8" i="28" s="1"/>
  <c r="A7" i="28"/>
  <c r="B7" i="28" s="1"/>
  <c r="A6" i="28"/>
  <c r="B6" i="28" s="1"/>
  <c r="A5" i="28"/>
  <c r="B5" i="28" s="1"/>
  <c r="A4" i="28"/>
  <c r="B4" i="28" s="1"/>
  <c r="A3" i="28"/>
  <c r="B3" i="28" s="1"/>
  <c r="A2" i="28"/>
  <c r="B2" i="28"/>
  <c r="AL18" i="22"/>
  <c r="AM18" i="22"/>
  <c r="AN18" i="22"/>
  <c r="A151" i="22" a="1"/>
  <c r="A150" i="22" a="1"/>
  <c r="A149" i="22" a="1"/>
  <c r="A148" i="22" a="1"/>
  <c r="A147" i="22" a="1"/>
  <c r="B115" i="22"/>
  <c r="B119" i="22"/>
  <c r="A106" i="22" a="1"/>
  <c r="A105" i="22" a="1"/>
  <c r="A104" i="22" a="1"/>
  <c r="A103" i="22" a="1"/>
  <c r="A102" i="22" a="1"/>
  <c r="B102" i="22" a="1"/>
  <c r="C102" i="22" a="1"/>
  <c r="D102" i="22" a="1"/>
  <c r="H102" i="22"/>
  <c r="N22" i="22"/>
  <c r="N20" i="22"/>
  <c r="N19" i="22"/>
  <c r="N18" i="22"/>
  <c r="F6" i="22"/>
  <c r="F7" i="22"/>
  <c r="F8" i="22"/>
  <c r="A104" i="34" s="1"/>
  <c r="F9" i="22"/>
  <c r="F10" i="22"/>
  <c r="F11" i="22"/>
  <c r="F12" i="22"/>
  <c r="S60" i="26"/>
  <c r="R60" i="26"/>
  <c r="S59" i="26"/>
  <c r="R59" i="26"/>
  <c r="S58" i="26"/>
  <c r="R58" i="26"/>
  <c r="S57" i="26"/>
  <c r="R57" i="26"/>
  <c r="S56" i="26"/>
  <c r="R56" i="26"/>
  <c r="S55" i="26"/>
  <c r="R55" i="26"/>
  <c r="S54" i="26"/>
  <c r="R54" i="26"/>
  <c r="S53" i="26"/>
  <c r="R53" i="26"/>
  <c r="S52" i="26"/>
  <c r="R52" i="26"/>
  <c r="S51" i="26"/>
  <c r="R51" i="26"/>
  <c r="S50" i="26"/>
  <c r="R50" i="26"/>
  <c r="S49" i="26"/>
  <c r="R49" i="26"/>
  <c r="S48" i="26"/>
  <c r="R48" i="26"/>
  <c r="S47" i="26"/>
  <c r="R47" i="26"/>
  <c r="S46" i="26"/>
  <c r="R46" i="26"/>
  <c r="S45" i="26"/>
  <c r="R45" i="26"/>
  <c r="S44" i="26"/>
  <c r="R44" i="26"/>
  <c r="S43" i="26"/>
  <c r="R43" i="26"/>
  <c r="S42" i="26"/>
  <c r="R42" i="26"/>
  <c r="S41" i="26"/>
  <c r="R41" i="26"/>
  <c r="S40" i="26"/>
  <c r="R40" i="26"/>
  <c r="S39" i="26"/>
  <c r="R39" i="26"/>
  <c r="S38" i="26"/>
  <c r="R38" i="26"/>
  <c r="S37" i="26"/>
  <c r="R37" i="26"/>
  <c r="S36" i="26"/>
  <c r="R36" i="26"/>
  <c r="S35" i="26"/>
  <c r="R35" i="26"/>
  <c r="S34" i="26"/>
  <c r="R34" i="26"/>
  <c r="S33" i="26"/>
  <c r="R33" i="26"/>
  <c r="S32" i="26"/>
  <c r="R32" i="26"/>
  <c r="S31" i="26"/>
  <c r="R31" i="26"/>
  <c r="S30" i="26"/>
  <c r="R30" i="26"/>
  <c r="S29" i="26"/>
  <c r="R29" i="26"/>
  <c r="S28" i="26"/>
  <c r="R28" i="26"/>
  <c r="S27" i="26"/>
  <c r="R27" i="26"/>
  <c r="S26" i="26"/>
  <c r="R26" i="26"/>
  <c r="S25" i="26"/>
  <c r="R25" i="26"/>
  <c r="S24" i="26"/>
  <c r="R24" i="26"/>
  <c r="S23" i="26"/>
  <c r="R23" i="26"/>
  <c r="S22" i="26"/>
  <c r="R22" i="26"/>
  <c r="S21" i="26"/>
  <c r="R21" i="26"/>
  <c r="S20" i="26"/>
  <c r="R20" i="26"/>
  <c r="S19" i="26"/>
  <c r="R19" i="26"/>
  <c r="S18" i="26"/>
  <c r="R18" i="26"/>
  <c r="S17" i="26"/>
  <c r="R17" i="26"/>
  <c r="S16" i="26"/>
  <c r="R16" i="26"/>
  <c r="S15" i="26"/>
  <c r="R15" i="26"/>
  <c r="S14" i="26"/>
  <c r="R14" i="26"/>
  <c r="S13" i="26"/>
  <c r="R13" i="26"/>
  <c r="S12" i="26"/>
  <c r="R12" i="26"/>
  <c r="S11" i="26"/>
  <c r="R11" i="26"/>
  <c r="S10" i="26"/>
  <c r="R10" i="26"/>
  <c r="S9" i="26"/>
  <c r="R9" i="26"/>
  <c r="S8" i="26"/>
  <c r="R8" i="26"/>
  <c r="S7" i="26"/>
  <c r="R7" i="26"/>
  <c r="S6" i="26"/>
  <c r="R6" i="26"/>
  <c r="S5" i="26"/>
  <c r="R5" i="26"/>
  <c r="S4" i="26"/>
  <c r="R4" i="26"/>
  <c r="R3" i="26"/>
  <c r="S3" i="26"/>
  <c r="C20" i="40" s="1"/>
  <c r="X46" i="14"/>
  <c r="W46" i="14"/>
  <c r="X45" i="14"/>
  <c r="W45" i="14"/>
  <c r="X44" i="14"/>
  <c r="W44" i="14"/>
  <c r="X43" i="14"/>
  <c r="W43" i="14"/>
  <c r="X42" i="14"/>
  <c r="W42" i="14"/>
  <c r="X41" i="14"/>
  <c r="W41" i="14"/>
  <c r="X40" i="14"/>
  <c r="W40" i="14"/>
  <c r="X39" i="14"/>
  <c r="W39" i="14"/>
  <c r="X38" i="14"/>
  <c r="W38" i="14"/>
  <c r="X37" i="14"/>
  <c r="W37" i="14"/>
  <c r="X36" i="14"/>
  <c r="W36" i="14"/>
  <c r="X35" i="14"/>
  <c r="W35" i="14"/>
  <c r="X34" i="14"/>
  <c r="W34" i="14"/>
  <c r="X33" i="14"/>
  <c r="W33" i="14"/>
  <c r="X32" i="14"/>
  <c r="W32" i="14"/>
  <c r="X31" i="14"/>
  <c r="W31" i="14"/>
  <c r="X30" i="14"/>
  <c r="W30" i="14"/>
  <c r="X29" i="14"/>
  <c r="W29" i="14"/>
  <c r="X28" i="14"/>
  <c r="W28" i="14"/>
  <c r="X27" i="14"/>
  <c r="W27" i="14"/>
  <c r="X26" i="14"/>
  <c r="W26" i="14"/>
  <c r="X25" i="14"/>
  <c r="W25" i="14"/>
  <c r="X24" i="14"/>
  <c r="W24" i="14"/>
  <c r="X23" i="14"/>
  <c r="W23" i="14"/>
  <c r="X22" i="14"/>
  <c r="W22" i="14"/>
  <c r="X21" i="14"/>
  <c r="W21" i="14"/>
  <c r="X20" i="14"/>
  <c r="W20" i="14"/>
  <c r="X19" i="14"/>
  <c r="W19" i="14"/>
  <c r="X18" i="14"/>
  <c r="W18" i="14"/>
  <c r="X17" i="14"/>
  <c r="W17" i="14"/>
  <c r="X16" i="14"/>
  <c r="W16" i="14"/>
  <c r="X15" i="14"/>
  <c r="W15" i="14"/>
  <c r="X14" i="14"/>
  <c r="W14" i="14"/>
  <c r="X13" i="14"/>
  <c r="W13" i="14"/>
  <c r="X12" i="14"/>
  <c r="W12" i="14"/>
  <c r="X11" i="14"/>
  <c r="W11" i="14"/>
  <c r="X10" i="14"/>
  <c r="W10" i="14"/>
  <c r="X9" i="14"/>
  <c r="W9" i="14"/>
  <c r="X8" i="14"/>
  <c r="W8" i="14"/>
  <c r="X7" i="14"/>
  <c r="W7" i="14"/>
  <c r="X6" i="14"/>
  <c r="W6" i="14"/>
  <c r="X5" i="14"/>
  <c r="W5" i="14"/>
  <c r="X4" i="14"/>
  <c r="W4" i="14"/>
  <c r="X3" i="14"/>
  <c r="W3" i="14"/>
  <c r="W2" i="14"/>
  <c r="X2" i="14" s="1"/>
  <c r="AC111" i="17"/>
  <c r="AB111" i="17"/>
  <c r="AA111" i="17"/>
  <c r="Z111" i="17"/>
  <c r="Y111" i="17"/>
  <c r="X111" i="17"/>
  <c r="W111" i="17"/>
  <c r="V111" i="17"/>
  <c r="U111" i="17"/>
  <c r="T111" i="17"/>
  <c r="AD111" i="17" s="1"/>
  <c r="AD110" i="17"/>
  <c r="AC110" i="17"/>
  <c r="AB110" i="17"/>
  <c r="AA110" i="17"/>
  <c r="Z110" i="17"/>
  <c r="Y110" i="17"/>
  <c r="X110" i="17"/>
  <c r="W110" i="17"/>
  <c r="V110" i="17"/>
  <c r="U110" i="17"/>
  <c r="T110" i="17"/>
  <c r="AC109" i="17"/>
  <c r="AB109" i="17"/>
  <c r="AA109" i="17"/>
  <c r="Z109" i="17"/>
  <c r="Y109" i="17"/>
  <c r="X109" i="17"/>
  <c r="W109" i="17"/>
  <c r="V109" i="17"/>
  <c r="U109" i="17"/>
  <c r="T109" i="17"/>
  <c r="AD109" i="17" s="1"/>
  <c r="AC108" i="17"/>
  <c r="AB108" i="17"/>
  <c r="AA108" i="17"/>
  <c r="Z108" i="17"/>
  <c r="Y108" i="17"/>
  <c r="X108" i="17"/>
  <c r="W108" i="17"/>
  <c r="V108" i="17"/>
  <c r="U108" i="17"/>
  <c r="T108" i="17"/>
  <c r="AD108" i="17" s="1"/>
  <c r="AC107" i="17"/>
  <c r="AB107" i="17"/>
  <c r="AA107" i="17"/>
  <c r="Z107" i="17"/>
  <c r="Y107" i="17"/>
  <c r="X107" i="17"/>
  <c r="W107" i="17"/>
  <c r="V107" i="17"/>
  <c r="U107" i="17"/>
  <c r="T107" i="17"/>
  <c r="AD107" i="17" s="1"/>
  <c r="AC106" i="17"/>
  <c r="AB106" i="17"/>
  <c r="AA106" i="17"/>
  <c r="Z106" i="17"/>
  <c r="Y106" i="17"/>
  <c r="X106" i="17"/>
  <c r="W106" i="17"/>
  <c r="V106" i="17"/>
  <c r="U106" i="17"/>
  <c r="T106" i="17"/>
  <c r="AD106" i="17" s="1"/>
  <c r="AC105" i="17"/>
  <c r="AB105" i="17"/>
  <c r="AA105" i="17"/>
  <c r="Z105" i="17"/>
  <c r="Y105" i="17"/>
  <c r="X105" i="17"/>
  <c r="W105" i="17"/>
  <c r="V105" i="17"/>
  <c r="U105" i="17"/>
  <c r="T105" i="17"/>
  <c r="AD105" i="17" s="1"/>
  <c r="AC104" i="17"/>
  <c r="AB104" i="17"/>
  <c r="AA104" i="17"/>
  <c r="Z104" i="17"/>
  <c r="Y104" i="17"/>
  <c r="X104" i="17"/>
  <c r="W104" i="17"/>
  <c r="V104" i="17"/>
  <c r="U104" i="17"/>
  <c r="T104" i="17"/>
  <c r="AD104" i="17" s="1"/>
  <c r="AC103" i="17"/>
  <c r="AB103" i="17"/>
  <c r="AA103" i="17"/>
  <c r="Z103" i="17"/>
  <c r="Y103" i="17"/>
  <c r="X103" i="17"/>
  <c r="W103" i="17"/>
  <c r="V103" i="17"/>
  <c r="U103" i="17"/>
  <c r="T103" i="17"/>
  <c r="AD103" i="17" s="1"/>
  <c r="AC102" i="17"/>
  <c r="AB102" i="17"/>
  <c r="AA102" i="17"/>
  <c r="Z102" i="17"/>
  <c r="Y102" i="17"/>
  <c r="X102" i="17"/>
  <c r="W102" i="17"/>
  <c r="V102" i="17"/>
  <c r="U102" i="17"/>
  <c r="T102" i="17"/>
  <c r="AD102" i="17" s="1"/>
  <c r="AC101" i="17"/>
  <c r="AB101" i="17"/>
  <c r="AA101" i="17"/>
  <c r="Z101" i="17"/>
  <c r="Y101" i="17"/>
  <c r="X101" i="17"/>
  <c r="W101" i="17"/>
  <c r="V101" i="17"/>
  <c r="U101" i="17"/>
  <c r="T101" i="17"/>
  <c r="AD101" i="17" s="1"/>
  <c r="AC100" i="17"/>
  <c r="AB100" i="17"/>
  <c r="AA100" i="17"/>
  <c r="Z100" i="17"/>
  <c r="Y100" i="17"/>
  <c r="X100" i="17"/>
  <c r="W100" i="17"/>
  <c r="V100" i="17"/>
  <c r="U100" i="17"/>
  <c r="T100" i="17"/>
  <c r="AD100" i="17" s="1"/>
  <c r="AC99" i="17"/>
  <c r="AB99" i="17"/>
  <c r="AA99" i="17"/>
  <c r="Z99" i="17"/>
  <c r="Y99" i="17"/>
  <c r="X99" i="17"/>
  <c r="W99" i="17"/>
  <c r="V99" i="17"/>
  <c r="U99" i="17"/>
  <c r="T99" i="17"/>
  <c r="AD99" i="17" s="1"/>
  <c r="AC98" i="17"/>
  <c r="AB98" i="17"/>
  <c r="AA98" i="17"/>
  <c r="Z98" i="17"/>
  <c r="Y98" i="17"/>
  <c r="X98" i="17"/>
  <c r="W98" i="17"/>
  <c r="V98" i="17"/>
  <c r="U98" i="17"/>
  <c r="T98" i="17"/>
  <c r="AD98" i="17" s="1"/>
  <c r="AC97" i="17"/>
  <c r="AB97" i="17"/>
  <c r="AA97" i="17"/>
  <c r="Z97" i="17"/>
  <c r="Y97" i="17"/>
  <c r="X97" i="17"/>
  <c r="W97" i="17"/>
  <c r="V97" i="17"/>
  <c r="U97" i="17"/>
  <c r="T97" i="17"/>
  <c r="AD97" i="17" s="1"/>
  <c r="AC96" i="17"/>
  <c r="AB96" i="17"/>
  <c r="AA96" i="17"/>
  <c r="Z96" i="17"/>
  <c r="Y96" i="17"/>
  <c r="X96" i="17"/>
  <c r="W96" i="17"/>
  <c r="V96" i="17"/>
  <c r="U96" i="17"/>
  <c r="T96" i="17"/>
  <c r="AD96" i="17" s="1"/>
  <c r="AC95" i="17"/>
  <c r="AB95" i="17"/>
  <c r="AA95" i="17"/>
  <c r="Z95" i="17"/>
  <c r="Y95" i="17"/>
  <c r="X95" i="17"/>
  <c r="W95" i="17"/>
  <c r="V95" i="17"/>
  <c r="U95" i="17"/>
  <c r="T95" i="17"/>
  <c r="AD95" i="17" s="1"/>
  <c r="AC94" i="17"/>
  <c r="AB94" i="17"/>
  <c r="AA94" i="17"/>
  <c r="Z94" i="17"/>
  <c r="Y94" i="17"/>
  <c r="X94" i="17"/>
  <c r="W94" i="17"/>
  <c r="V94" i="17"/>
  <c r="U94" i="17"/>
  <c r="T94" i="17"/>
  <c r="AD94" i="17" s="1"/>
  <c r="AC93" i="17"/>
  <c r="AB93" i="17"/>
  <c r="AA93" i="17"/>
  <c r="Z93" i="17"/>
  <c r="Y93" i="17"/>
  <c r="X93" i="17"/>
  <c r="W93" i="17"/>
  <c r="V93" i="17"/>
  <c r="U93" i="17"/>
  <c r="T93" i="17"/>
  <c r="AD93" i="17" s="1"/>
  <c r="AC92" i="17"/>
  <c r="AB92" i="17"/>
  <c r="AA92" i="17"/>
  <c r="Z92" i="17"/>
  <c r="Y92" i="17"/>
  <c r="X92" i="17"/>
  <c r="W92" i="17"/>
  <c r="V92" i="17"/>
  <c r="U92" i="17"/>
  <c r="T92" i="17"/>
  <c r="AD92" i="17" s="1"/>
  <c r="AC91" i="17"/>
  <c r="AB91" i="17"/>
  <c r="AA91" i="17"/>
  <c r="Z91" i="17"/>
  <c r="Y91" i="17"/>
  <c r="X91" i="17"/>
  <c r="W91" i="17"/>
  <c r="V91" i="17"/>
  <c r="U91" i="17"/>
  <c r="T91" i="17"/>
  <c r="AD91" i="17" s="1"/>
  <c r="AC90" i="17"/>
  <c r="AB90" i="17"/>
  <c r="AA90" i="17"/>
  <c r="Z90" i="17"/>
  <c r="Y90" i="17"/>
  <c r="X90" i="17"/>
  <c r="W90" i="17"/>
  <c r="V90" i="17"/>
  <c r="U90" i="17"/>
  <c r="T90" i="17"/>
  <c r="AD90" i="17" s="1"/>
  <c r="AC89" i="17"/>
  <c r="AB89" i="17"/>
  <c r="AA89" i="17"/>
  <c r="Z89" i="17"/>
  <c r="Y89" i="17"/>
  <c r="X89" i="17"/>
  <c r="W89" i="17"/>
  <c r="V89" i="17"/>
  <c r="U89" i="17"/>
  <c r="T89" i="17"/>
  <c r="AD89" i="17" s="1"/>
  <c r="AC88" i="17"/>
  <c r="AB88" i="17"/>
  <c r="AA88" i="17"/>
  <c r="Z88" i="17"/>
  <c r="Y88" i="17"/>
  <c r="X88" i="17"/>
  <c r="W88" i="17"/>
  <c r="V88" i="17"/>
  <c r="U88" i="17"/>
  <c r="T88" i="17"/>
  <c r="AD88" i="17" s="1"/>
  <c r="AC87" i="17"/>
  <c r="AB87" i="17"/>
  <c r="AA87" i="17"/>
  <c r="Z87" i="17"/>
  <c r="Y87" i="17"/>
  <c r="X87" i="17"/>
  <c r="W87" i="17"/>
  <c r="V87" i="17"/>
  <c r="U87" i="17"/>
  <c r="T87" i="17"/>
  <c r="AD87" i="17" s="1"/>
  <c r="AC86" i="17"/>
  <c r="AB86" i="17"/>
  <c r="AA86" i="17"/>
  <c r="Z86" i="17"/>
  <c r="Y86" i="17"/>
  <c r="X86" i="17"/>
  <c r="W86" i="17"/>
  <c r="V86" i="17"/>
  <c r="U86" i="17"/>
  <c r="T86" i="17"/>
  <c r="AD86" i="17" s="1"/>
  <c r="AC85" i="17"/>
  <c r="AB85" i="17"/>
  <c r="AA85" i="17"/>
  <c r="Z85" i="17"/>
  <c r="Y85" i="17"/>
  <c r="X85" i="17"/>
  <c r="W85" i="17"/>
  <c r="V85" i="17"/>
  <c r="U85" i="17"/>
  <c r="T85" i="17"/>
  <c r="AD85" i="17" s="1"/>
  <c r="AC84" i="17"/>
  <c r="AB84" i="17"/>
  <c r="AA84" i="17"/>
  <c r="Z84" i="17"/>
  <c r="Y84" i="17"/>
  <c r="X84" i="17"/>
  <c r="W84" i="17"/>
  <c r="V84" i="17"/>
  <c r="U84" i="17"/>
  <c r="T84" i="17"/>
  <c r="AD84" i="17" s="1"/>
  <c r="AC83" i="17"/>
  <c r="AB83" i="17"/>
  <c r="AA83" i="17"/>
  <c r="Z83" i="17"/>
  <c r="Y83" i="17"/>
  <c r="X83" i="17"/>
  <c r="W83" i="17"/>
  <c r="V83" i="17"/>
  <c r="U83" i="17"/>
  <c r="T83" i="17"/>
  <c r="AD83" i="17" s="1"/>
  <c r="AC82" i="17"/>
  <c r="AB82" i="17"/>
  <c r="AA82" i="17"/>
  <c r="Z82" i="17"/>
  <c r="Y82" i="17"/>
  <c r="X82" i="17"/>
  <c r="W82" i="17"/>
  <c r="V82" i="17"/>
  <c r="U82" i="17"/>
  <c r="T82" i="17"/>
  <c r="AD82" i="17" s="1"/>
  <c r="AC81" i="17"/>
  <c r="AB81" i="17"/>
  <c r="AA81" i="17"/>
  <c r="Z81" i="17"/>
  <c r="Y81" i="17"/>
  <c r="X81" i="17"/>
  <c r="W81" i="17"/>
  <c r="V81" i="17"/>
  <c r="U81" i="17"/>
  <c r="T81" i="17"/>
  <c r="AD81" i="17" s="1"/>
  <c r="AC80" i="17"/>
  <c r="AB80" i="17"/>
  <c r="AA80" i="17"/>
  <c r="Z80" i="17"/>
  <c r="Y80" i="17"/>
  <c r="X80" i="17"/>
  <c r="W80" i="17"/>
  <c r="V80" i="17"/>
  <c r="U80" i="17"/>
  <c r="T80" i="17"/>
  <c r="AD80" i="17" s="1"/>
  <c r="AC79" i="17"/>
  <c r="AB79" i="17"/>
  <c r="AA79" i="17"/>
  <c r="Z79" i="17"/>
  <c r="Y79" i="17"/>
  <c r="X79" i="17"/>
  <c r="W79" i="17"/>
  <c r="V79" i="17"/>
  <c r="U79" i="17"/>
  <c r="T79" i="17"/>
  <c r="AD79" i="17" s="1"/>
  <c r="AC78" i="17"/>
  <c r="AB78" i="17"/>
  <c r="AA78" i="17"/>
  <c r="Z78" i="17"/>
  <c r="Y78" i="17"/>
  <c r="X78" i="17"/>
  <c r="W78" i="17"/>
  <c r="V78" i="17"/>
  <c r="U78" i="17"/>
  <c r="T78" i="17"/>
  <c r="AD78" i="17" s="1"/>
  <c r="AC77" i="17"/>
  <c r="AB77" i="17"/>
  <c r="AA77" i="17"/>
  <c r="Z77" i="17"/>
  <c r="Y77" i="17"/>
  <c r="X77" i="17"/>
  <c r="W77" i="17"/>
  <c r="V77" i="17"/>
  <c r="U77" i="17"/>
  <c r="T77" i="17"/>
  <c r="AC76" i="17"/>
  <c r="AB76" i="17"/>
  <c r="AA76" i="17"/>
  <c r="Z76" i="17"/>
  <c r="Y76" i="17"/>
  <c r="X76" i="17"/>
  <c r="W76" i="17"/>
  <c r="V76" i="17"/>
  <c r="U76" i="17"/>
  <c r="T76" i="17"/>
  <c r="AD76" i="17" s="1"/>
  <c r="AC75" i="17"/>
  <c r="AB75" i="17"/>
  <c r="AA75" i="17"/>
  <c r="Z75" i="17"/>
  <c r="Y75" i="17"/>
  <c r="X75" i="17"/>
  <c r="W75" i="17"/>
  <c r="V75" i="17"/>
  <c r="U75" i="17"/>
  <c r="T75" i="17"/>
  <c r="AD75" i="17" s="1"/>
  <c r="AC74" i="17"/>
  <c r="AB74" i="17"/>
  <c r="AA74" i="17"/>
  <c r="Z74" i="17"/>
  <c r="Y74" i="17"/>
  <c r="X74" i="17"/>
  <c r="W74" i="17"/>
  <c r="V74" i="17"/>
  <c r="U74" i="17"/>
  <c r="T74" i="17"/>
  <c r="AD74" i="17" s="1"/>
  <c r="AD73" i="17"/>
  <c r="AC73" i="17"/>
  <c r="AB73" i="17"/>
  <c r="AA73" i="17"/>
  <c r="Z73" i="17"/>
  <c r="Y73" i="17"/>
  <c r="X73" i="17"/>
  <c r="W73" i="17"/>
  <c r="V73" i="17"/>
  <c r="U73" i="17"/>
  <c r="T73" i="17"/>
  <c r="AD72" i="17"/>
  <c r="AC72" i="17"/>
  <c r="AB72" i="17"/>
  <c r="AA72" i="17"/>
  <c r="Z72" i="17"/>
  <c r="Y72" i="17"/>
  <c r="X72" i="17"/>
  <c r="W72" i="17"/>
  <c r="V72" i="17"/>
  <c r="U72" i="17"/>
  <c r="T72" i="17"/>
  <c r="AC71" i="17"/>
  <c r="AB71" i="17"/>
  <c r="AA71" i="17"/>
  <c r="Z71" i="17"/>
  <c r="Y71" i="17"/>
  <c r="X71" i="17"/>
  <c r="W71" i="17"/>
  <c r="V71" i="17"/>
  <c r="U71" i="17"/>
  <c r="T71" i="17"/>
  <c r="AD71" i="17" s="1"/>
  <c r="AC70" i="17"/>
  <c r="AB70" i="17"/>
  <c r="AA70" i="17"/>
  <c r="Z70" i="17"/>
  <c r="Y70" i="17"/>
  <c r="X70" i="17"/>
  <c r="W70" i="17"/>
  <c r="V70" i="17"/>
  <c r="U70" i="17"/>
  <c r="T70" i="17"/>
  <c r="AD70" i="17" s="1"/>
  <c r="AC69" i="17"/>
  <c r="AB69" i="17"/>
  <c r="AA69" i="17"/>
  <c r="Z69" i="17"/>
  <c r="Y69" i="17"/>
  <c r="X69" i="17"/>
  <c r="W69" i="17"/>
  <c r="V69" i="17"/>
  <c r="U69" i="17"/>
  <c r="T69" i="17"/>
  <c r="AD69" i="17" s="1"/>
  <c r="AC68" i="17"/>
  <c r="AB68" i="17"/>
  <c r="AA68" i="17"/>
  <c r="Z68" i="17"/>
  <c r="Y68" i="17"/>
  <c r="X68" i="17"/>
  <c r="W68" i="17"/>
  <c r="V68" i="17"/>
  <c r="U68" i="17"/>
  <c r="T68" i="17"/>
  <c r="AD68" i="17" s="1"/>
  <c r="AC67" i="17"/>
  <c r="AB67" i="17"/>
  <c r="AA67" i="17"/>
  <c r="Z67" i="17"/>
  <c r="Y67" i="17"/>
  <c r="X67" i="17"/>
  <c r="W67" i="17"/>
  <c r="V67" i="17"/>
  <c r="U67" i="17"/>
  <c r="T67" i="17"/>
  <c r="AD67" i="17" s="1"/>
  <c r="AC66" i="17"/>
  <c r="AB66" i="17"/>
  <c r="AA66" i="17"/>
  <c r="Z66" i="17"/>
  <c r="Y66" i="17"/>
  <c r="X66" i="17"/>
  <c r="W66" i="17"/>
  <c r="V66" i="17"/>
  <c r="U66" i="17"/>
  <c r="T66" i="17"/>
  <c r="AD66" i="17" s="1"/>
  <c r="AC65" i="17"/>
  <c r="AB65" i="17"/>
  <c r="AA65" i="17"/>
  <c r="Z65" i="17"/>
  <c r="Y65" i="17"/>
  <c r="X65" i="17"/>
  <c r="W65" i="17"/>
  <c r="V65" i="17"/>
  <c r="U65" i="17"/>
  <c r="T65" i="17"/>
  <c r="AD65" i="17" s="1"/>
  <c r="AC64" i="17"/>
  <c r="AB64" i="17"/>
  <c r="AA64" i="17"/>
  <c r="Z64" i="17"/>
  <c r="Y64" i="17"/>
  <c r="X64" i="17"/>
  <c r="W64" i="17"/>
  <c r="V64" i="17"/>
  <c r="U64" i="17"/>
  <c r="T64" i="17"/>
  <c r="AD64" i="17" s="1"/>
  <c r="AC63" i="17"/>
  <c r="AB63" i="17"/>
  <c r="AA63" i="17"/>
  <c r="Z63" i="17"/>
  <c r="Y63" i="17"/>
  <c r="X63" i="17"/>
  <c r="W63" i="17"/>
  <c r="V63" i="17"/>
  <c r="U63" i="17"/>
  <c r="T63" i="17"/>
  <c r="AD63" i="17" s="1"/>
  <c r="AC62" i="17"/>
  <c r="AB62" i="17"/>
  <c r="AA62" i="17"/>
  <c r="Z62" i="17"/>
  <c r="Y62" i="17"/>
  <c r="X62" i="17"/>
  <c r="W62" i="17"/>
  <c r="V62" i="17"/>
  <c r="U62" i="17"/>
  <c r="T62" i="17"/>
  <c r="AD62" i="17" s="1"/>
  <c r="AC61" i="17"/>
  <c r="AB61" i="17"/>
  <c r="AA61" i="17"/>
  <c r="Z61" i="17"/>
  <c r="Y61" i="17"/>
  <c r="X61" i="17"/>
  <c r="W61" i="17"/>
  <c r="V61" i="17"/>
  <c r="U61" i="17"/>
  <c r="T61" i="17"/>
  <c r="AD61" i="17" s="1"/>
  <c r="AC60" i="17"/>
  <c r="AB60" i="17"/>
  <c r="AA60" i="17"/>
  <c r="Z60" i="17"/>
  <c r="Y60" i="17"/>
  <c r="X60" i="17"/>
  <c r="W60" i="17"/>
  <c r="V60" i="17"/>
  <c r="U60" i="17"/>
  <c r="T60" i="17"/>
  <c r="AD60" i="17" s="1"/>
  <c r="AC59" i="17"/>
  <c r="AB59" i="17"/>
  <c r="AA59" i="17"/>
  <c r="Z59" i="17"/>
  <c r="Y59" i="17"/>
  <c r="X59" i="17"/>
  <c r="W59" i="17"/>
  <c r="V59" i="17"/>
  <c r="U59" i="17"/>
  <c r="T59" i="17"/>
  <c r="AD59" i="17" s="1"/>
  <c r="AC58" i="17"/>
  <c r="AB58" i="17"/>
  <c r="AA58" i="17"/>
  <c r="Z58" i="17"/>
  <c r="Y58" i="17"/>
  <c r="X58" i="17"/>
  <c r="W58" i="17"/>
  <c r="V58" i="17"/>
  <c r="U58" i="17"/>
  <c r="T58" i="17"/>
  <c r="AD58" i="17" s="1"/>
  <c r="AC57" i="17"/>
  <c r="AB57" i="17"/>
  <c r="AA57" i="17"/>
  <c r="Z57" i="17"/>
  <c r="Y57" i="17"/>
  <c r="X57" i="17"/>
  <c r="W57" i="17"/>
  <c r="V57" i="17"/>
  <c r="U57" i="17"/>
  <c r="T57" i="17"/>
  <c r="AD57" i="17" s="1"/>
  <c r="AC56" i="17"/>
  <c r="AB56" i="17"/>
  <c r="AA56" i="17"/>
  <c r="Z56" i="17"/>
  <c r="Y56" i="17"/>
  <c r="X56" i="17"/>
  <c r="W56" i="17"/>
  <c r="V56" i="17"/>
  <c r="U56" i="17"/>
  <c r="T56" i="17"/>
  <c r="AD56" i="17" s="1"/>
  <c r="AC55" i="17"/>
  <c r="AB55" i="17"/>
  <c r="AA55" i="17"/>
  <c r="Z55" i="17"/>
  <c r="Y55" i="17"/>
  <c r="X55" i="17"/>
  <c r="W55" i="17"/>
  <c r="V55" i="17"/>
  <c r="U55" i="17"/>
  <c r="T55" i="17"/>
  <c r="AD55" i="17" s="1"/>
  <c r="AC54" i="17"/>
  <c r="AB54" i="17"/>
  <c r="AA54" i="17"/>
  <c r="Z54" i="17"/>
  <c r="Y54" i="17"/>
  <c r="X54" i="17"/>
  <c r="W54" i="17"/>
  <c r="V54" i="17"/>
  <c r="U54" i="17"/>
  <c r="T54" i="17"/>
  <c r="AD54" i="17" s="1"/>
  <c r="AC53" i="17"/>
  <c r="AB53" i="17"/>
  <c r="AA53" i="17"/>
  <c r="Z53" i="17"/>
  <c r="Y53" i="17"/>
  <c r="X53" i="17"/>
  <c r="W53" i="17"/>
  <c r="V53" i="17"/>
  <c r="U53" i="17"/>
  <c r="T53" i="17"/>
  <c r="AD53" i="17" s="1"/>
  <c r="AC52" i="17"/>
  <c r="AB52" i="17"/>
  <c r="AA52" i="17"/>
  <c r="Z52" i="17"/>
  <c r="Y52" i="17"/>
  <c r="X52" i="17"/>
  <c r="W52" i="17"/>
  <c r="V52" i="17"/>
  <c r="U52" i="17"/>
  <c r="T52" i="17"/>
  <c r="AD52" i="17" s="1"/>
  <c r="AC51" i="17"/>
  <c r="AB51" i="17"/>
  <c r="AA51" i="17"/>
  <c r="Z51" i="17"/>
  <c r="Y51" i="17"/>
  <c r="X51" i="17"/>
  <c r="W51" i="17"/>
  <c r="V51" i="17"/>
  <c r="U51" i="17"/>
  <c r="T51" i="17"/>
  <c r="AD51" i="17" s="1"/>
  <c r="AC50" i="17"/>
  <c r="AB50" i="17"/>
  <c r="AA50" i="17"/>
  <c r="Z50" i="17"/>
  <c r="Y50" i="17"/>
  <c r="X50" i="17"/>
  <c r="W50" i="17"/>
  <c r="V50" i="17"/>
  <c r="U50" i="17"/>
  <c r="T50" i="17"/>
  <c r="AD50" i="17" s="1"/>
  <c r="AC49" i="17"/>
  <c r="AB49" i="17"/>
  <c r="AA49" i="17"/>
  <c r="Z49" i="17"/>
  <c r="Y49" i="17"/>
  <c r="X49" i="17"/>
  <c r="W49" i="17"/>
  <c r="V49" i="17"/>
  <c r="U49" i="17"/>
  <c r="T49" i="17"/>
  <c r="AD49" i="17" s="1"/>
  <c r="AC48" i="17"/>
  <c r="AB48" i="17"/>
  <c r="AA48" i="17"/>
  <c r="Z48" i="17"/>
  <c r="Y48" i="17"/>
  <c r="X48" i="17"/>
  <c r="W48" i="17"/>
  <c r="V48" i="17"/>
  <c r="U48" i="17"/>
  <c r="T48" i="17"/>
  <c r="AD48" i="17" s="1"/>
  <c r="AC47" i="17"/>
  <c r="AB47" i="17"/>
  <c r="AA47" i="17"/>
  <c r="Z47" i="17"/>
  <c r="Y47" i="17"/>
  <c r="X47" i="17"/>
  <c r="W47" i="17"/>
  <c r="V47" i="17"/>
  <c r="U47" i="17"/>
  <c r="T47" i="17"/>
  <c r="AD47" i="17" s="1"/>
  <c r="AC46" i="17"/>
  <c r="AB46" i="17"/>
  <c r="AA46" i="17"/>
  <c r="Z46" i="17"/>
  <c r="Y46" i="17"/>
  <c r="X46" i="17"/>
  <c r="W46" i="17"/>
  <c r="V46" i="17"/>
  <c r="U46" i="17"/>
  <c r="T46" i="17"/>
  <c r="AD46" i="17" s="1"/>
  <c r="AD45" i="17"/>
  <c r="AC45" i="17"/>
  <c r="AB45" i="17"/>
  <c r="AA45" i="17"/>
  <c r="Z45" i="17"/>
  <c r="Y45" i="17"/>
  <c r="X45" i="17"/>
  <c r="W45" i="17"/>
  <c r="V45" i="17"/>
  <c r="U45" i="17"/>
  <c r="T45" i="17"/>
  <c r="AC44" i="17"/>
  <c r="AB44" i="17"/>
  <c r="AA44" i="17"/>
  <c r="Z44" i="17"/>
  <c r="Y44" i="17"/>
  <c r="X44" i="17"/>
  <c r="W44" i="17"/>
  <c r="V44" i="17"/>
  <c r="U44" i="17"/>
  <c r="T44" i="17"/>
  <c r="AD44" i="17" s="1"/>
  <c r="AC43" i="17"/>
  <c r="AB43" i="17"/>
  <c r="AA43" i="17"/>
  <c r="Z43" i="17"/>
  <c r="Y43" i="17"/>
  <c r="X43" i="17"/>
  <c r="W43" i="17"/>
  <c r="V43" i="17"/>
  <c r="U43" i="17"/>
  <c r="T43" i="17"/>
  <c r="AD43" i="17" s="1"/>
  <c r="AC42" i="17"/>
  <c r="AB42" i="17"/>
  <c r="AA42" i="17"/>
  <c r="Z42" i="17"/>
  <c r="Y42" i="17"/>
  <c r="X42" i="17"/>
  <c r="W42" i="17"/>
  <c r="V42" i="17"/>
  <c r="U42" i="17"/>
  <c r="T42" i="17"/>
  <c r="AD42" i="17" s="1"/>
  <c r="AC41" i="17"/>
  <c r="AB41" i="17"/>
  <c r="AA41" i="17"/>
  <c r="Z41" i="17"/>
  <c r="Y41" i="17"/>
  <c r="X41" i="17"/>
  <c r="W41" i="17"/>
  <c r="V41" i="17"/>
  <c r="U41" i="17"/>
  <c r="T41" i="17"/>
  <c r="AD41" i="17" s="1"/>
  <c r="AC40" i="17"/>
  <c r="AB40" i="17"/>
  <c r="AA40" i="17"/>
  <c r="Z40" i="17"/>
  <c r="Y40" i="17"/>
  <c r="X40" i="17"/>
  <c r="W40" i="17"/>
  <c r="V40" i="17"/>
  <c r="U40" i="17"/>
  <c r="T40" i="17"/>
  <c r="AD40" i="17" s="1"/>
  <c r="AC39" i="17"/>
  <c r="AB39" i="17"/>
  <c r="AA39" i="17"/>
  <c r="Z39" i="17"/>
  <c r="Y39" i="17"/>
  <c r="X39" i="17"/>
  <c r="W39" i="17"/>
  <c r="V39" i="17"/>
  <c r="U39" i="17"/>
  <c r="T39" i="17"/>
  <c r="AD39" i="17" s="1"/>
  <c r="AC38" i="17"/>
  <c r="AB38" i="17"/>
  <c r="AA38" i="17"/>
  <c r="Z38" i="17"/>
  <c r="Y38" i="17"/>
  <c r="X38" i="17"/>
  <c r="W38" i="17"/>
  <c r="V38" i="17"/>
  <c r="U38" i="17"/>
  <c r="T38" i="17"/>
  <c r="AD38" i="17" s="1"/>
  <c r="AC37" i="17"/>
  <c r="AB37" i="17"/>
  <c r="AA37" i="17"/>
  <c r="Z37" i="17"/>
  <c r="Y37" i="17"/>
  <c r="X37" i="17"/>
  <c r="W37" i="17"/>
  <c r="V37" i="17"/>
  <c r="U37" i="17"/>
  <c r="T37" i="17"/>
  <c r="AD37" i="17" s="1"/>
  <c r="AC36" i="17"/>
  <c r="AB36" i="17"/>
  <c r="AA36" i="17"/>
  <c r="Z36" i="17"/>
  <c r="Y36" i="17"/>
  <c r="X36" i="17"/>
  <c r="W36" i="17"/>
  <c r="V36" i="17"/>
  <c r="U36" i="17"/>
  <c r="T36" i="17"/>
  <c r="AD36" i="17" s="1"/>
  <c r="AC35" i="17"/>
  <c r="AB35" i="17"/>
  <c r="AA35" i="17"/>
  <c r="Z35" i="17"/>
  <c r="Y35" i="17"/>
  <c r="X35" i="17"/>
  <c r="W35" i="17"/>
  <c r="V35" i="17"/>
  <c r="U35" i="17"/>
  <c r="T35" i="17"/>
  <c r="AD35" i="17" s="1"/>
  <c r="AD34" i="17"/>
  <c r="AC34" i="17"/>
  <c r="AB34" i="17"/>
  <c r="AA34" i="17"/>
  <c r="Z34" i="17"/>
  <c r="Y34" i="17"/>
  <c r="X34" i="17"/>
  <c r="W34" i="17"/>
  <c r="V34" i="17"/>
  <c r="U34" i="17"/>
  <c r="T34" i="17"/>
  <c r="AC33" i="17"/>
  <c r="AB33" i="17"/>
  <c r="AA33" i="17"/>
  <c r="Z33" i="17"/>
  <c r="Y33" i="17"/>
  <c r="X33" i="17"/>
  <c r="W33" i="17"/>
  <c r="V33" i="17"/>
  <c r="U33" i="17"/>
  <c r="T33" i="17"/>
  <c r="AD33" i="17" s="1"/>
  <c r="AC32" i="17"/>
  <c r="AB32" i="17"/>
  <c r="AA32" i="17"/>
  <c r="Z32" i="17"/>
  <c r="Y32" i="17"/>
  <c r="X32" i="17"/>
  <c r="W32" i="17"/>
  <c r="V32" i="17"/>
  <c r="U32" i="17"/>
  <c r="T32" i="17"/>
  <c r="AD32" i="17" s="1"/>
  <c r="AC31" i="17"/>
  <c r="AB31" i="17"/>
  <c r="AA31" i="17"/>
  <c r="Z31" i="17"/>
  <c r="Y31" i="17"/>
  <c r="X31" i="17"/>
  <c r="W31" i="17"/>
  <c r="V31" i="17"/>
  <c r="U31" i="17"/>
  <c r="T31" i="17"/>
  <c r="AD31" i="17" s="1"/>
  <c r="AC30" i="17"/>
  <c r="AB30" i="17"/>
  <c r="AA30" i="17"/>
  <c r="Z30" i="17"/>
  <c r="Y30" i="17"/>
  <c r="X30" i="17"/>
  <c r="W30" i="17"/>
  <c r="V30" i="17"/>
  <c r="U30" i="17"/>
  <c r="T30" i="17"/>
  <c r="AD30" i="17" s="1"/>
  <c r="AC29" i="17"/>
  <c r="AB29" i="17"/>
  <c r="AA29" i="17"/>
  <c r="Z29" i="17"/>
  <c r="Y29" i="17"/>
  <c r="X29" i="17"/>
  <c r="W29" i="17"/>
  <c r="V29" i="17"/>
  <c r="U29" i="17"/>
  <c r="T29" i="17"/>
  <c r="AD29" i="17" s="1"/>
  <c r="AC28" i="17"/>
  <c r="AB28" i="17"/>
  <c r="AA28" i="17"/>
  <c r="Z28" i="17"/>
  <c r="Y28" i="17"/>
  <c r="X28" i="17"/>
  <c r="W28" i="17"/>
  <c r="V28" i="17"/>
  <c r="U28" i="17"/>
  <c r="T28" i="17"/>
  <c r="AD28" i="17" s="1"/>
  <c r="AC27" i="17"/>
  <c r="AB27" i="17"/>
  <c r="AA27" i="17"/>
  <c r="Z27" i="17"/>
  <c r="Y27" i="17"/>
  <c r="X27" i="17"/>
  <c r="W27" i="17"/>
  <c r="V27" i="17"/>
  <c r="U27" i="17"/>
  <c r="T27" i="17"/>
  <c r="AD27" i="17" s="1"/>
  <c r="AC26" i="17"/>
  <c r="AB26" i="17"/>
  <c r="AA26" i="17"/>
  <c r="Z26" i="17"/>
  <c r="Y26" i="17"/>
  <c r="X26" i="17"/>
  <c r="W26" i="17"/>
  <c r="V26" i="17"/>
  <c r="U26" i="17"/>
  <c r="T26" i="17"/>
  <c r="AD26" i="17" s="1"/>
  <c r="AC25" i="17"/>
  <c r="AB25" i="17"/>
  <c r="AA25" i="17"/>
  <c r="Z25" i="17"/>
  <c r="Y25" i="17"/>
  <c r="X25" i="17"/>
  <c r="W25" i="17"/>
  <c r="V25" i="17"/>
  <c r="U25" i="17"/>
  <c r="T25" i="17"/>
  <c r="AD25" i="17" s="1"/>
  <c r="AC24" i="17"/>
  <c r="AB24" i="17"/>
  <c r="AA24" i="17"/>
  <c r="Z24" i="17"/>
  <c r="Y24" i="17"/>
  <c r="X24" i="17"/>
  <c r="W24" i="17"/>
  <c r="V24" i="17"/>
  <c r="U24" i="17"/>
  <c r="T24" i="17"/>
  <c r="AD24" i="17" s="1"/>
  <c r="AC23" i="17"/>
  <c r="AB23" i="17"/>
  <c r="AA23" i="17"/>
  <c r="Z23" i="17"/>
  <c r="Y23" i="17"/>
  <c r="X23" i="17"/>
  <c r="W23" i="17"/>
  <c r="V23" i="17"/>
  <c r="U23" i="17"/>
  <c r="T23" i="17"/>
  <c r="AD23" i="17" s="1"/>
  <c r="AC22" i="17"/>
  <c r="AB22" i="17"/>
  <c r="AA22" i="17"/>
  <c r="Z22" i="17"/>
  <c r="Y22" i="17"/>
  <c r="X22" i="17"/>
  <c r="W22" i="17"/>
  <c r="V22" i="17"/>
  <c r="U22" i="17"/>
  <c r="T22" i="17"/>
  <c r="AD22" i="17" s="1"/>
  <c r="AC21" i="17"/>
  <c r="AB21" i="17"/>
  <c r="AA21" i="17"/>
  <c r="Z21" i="17"/>
  <c r="Y21" i="17"/>
  <c r="X21" i="17"/>
  <c r="W21" i="17"/>
  <c r="V21" i="17"/>
  <c r="U21" i="17"/>
  <c r="T21" i="17"/>
  <c r="AD21" i="17" s="1"/>
  <c r="AC20" i="17"/>
  <c r="AB20" i="17"/>
  <c r="AA20" i="17"/>
  <c r="Z20" i="17"/>
  <c r="Y20" i="17"/>
  <c r="X20" i="17"/>
  <c r="W20" i="17"/>
  <c r="V20" i="17"/>
  <c r="U20" i="17"/>
  <c r="T20" i="17"/>
  <c r="AD20" i="17" s="1"/>
  <c r="AC19" i="17"/>
  <c r="AB19" i="17"/>
  <c r="AA19" i="17"/>
  <c r="Z19" i="17"/>
  <c r="Y19" i="17"/>
  <c r="X19" i="17"/>
  <c r="W19" i="17"/>
  <c r="V19" i="17"/>
  <c r="U19" i="17"/>
  <c r="T19" i="17"/>
  <c r="AD19" i="17" s="1"/>
  <c r="AC18" i="17"/>
  <c r="AB18" i="17"/>
  <c r="AA18" i="17"/>
  <c r="Z18" i="17"/>
  <c r="Y18" i="17"/>
  <c r="X18" i="17"/>
  <c r="W18" i="17"/>
  <c r="V18" i="17"/>
  <c r="U18" i="17"/>
  <c r="T18" i="17"/>
  <c r="AD18" i="17" s="1"/>
  <c r="AC17" i="17"/>
  <c r="AB17" i="17"/>
  <c r="AA17" i="17"/>
  <c r="Z17" i="17"/>
  <c r="Y17" i="17"/>
  <c r="X17" i="17"/>
  <c r="W17" i="17"/>
  <c r="V17" i="17"/>
  <c r="U17" i="17"/>
  <c r="T17" i="17"/>
  <c r="AD17" i="17" s="1"/>
  <c r="AC16" i="17"/>
  <c r="AB16" i="17"/>
  <c r="AA16" i="17"/>
  <c r="Z16" i="17"/>
  <c r="Y16" i="17"/>
  <c r="X16" i="17"/>
  <c r="W16" i="17"/>
  <c r="V16" i="17"/>
  <c r="U16" i="17"/>
  <c r="T16" i="17"/>
  <c r="AD16" i="17" s="1"/>
  <c r="AC15" i="17"/>
  <c r="AB15" i="17"/>
  <c r="AA15" i="17"/>
  <c r="Z15" i="17"/>
  <c r="Y15" i="17"/>
  <c r="X15" i="17"/>
  <c r="W15" i="17"/>
  <c r="V15" i="17"/>
  <c r="U15" i="17"/>
  <c r="T15" i="17"/>
  <c r="AD15" i="17" s="1"/>
  <c r="AC14" i="17"/>
  <c r="AB14" i="17"/>
  <c r="AA14" i="17"/>
  <c r="Z14" i="17"/>
  <c r="Y14" i="17"/>
  <c r="X14" i="17"/>
  <c r="W14" i="17"/>
  <c r="V14" i="17"/>
  <c r="U14" i="17"/>
  <c r="T14" i="17"/>
  <c r="AD14" i="17" s="1"/>
  <c r="AD13" i="17"/>
  <c r="AC13" i="17"/>
  <c r="AB13" i="17"/>
  <c r="AA13" i="17"/>
  <c r="Z13" i="17"/>
  <c r="Y13" i="17"/>
  <c r="X13" i="17"/>
  <c r="W13" i="17"/>
  <c r="V13" i="17"/>
  <c r="U13" i="17"/>
  <c r="T13" i="17"/>
  <c r="AC12" i="17"/>
  <c r="AB12" i="17"/>
  <c r="AA12" i="17"/>
  <c r="Z12" i="17"/>
  <c r="Y12" i="17"/>
  <c r="X12" i="17"/>
  <c r="W12" i="17"/>
  <c r="V12" i="17"/>
  <c r="U12" i="17"/>
  <c r="T12" i="17"/>
  <c r="AD12" i="17" s="1"/>
  <c r="AC11" i="17"/>
  <c r="AB11" i="17"/>
  <c r="AA11" i="17"/>
  <c r="Z11" i="17"/>
  <c r="Y11" i="17"/>
  <c r="X11" i="17"/>
  <c r="W11" i="17"/>
  <c r="V11" i="17"/>
  <c r="U11" i="17"/>
  <c r="T11" i="17"/>
  <c r="AD11" i="17" s="1"/>
  <c r="AC10" i="17"/>
  <c r="AB10" i="17"/>
  <c r="AA10" i="17"/>
  <c r="Z10" i="17"/>
  <c r="Y10" i="17"/>
  <c r="X10" i="17"/>
  <c r="W10" i="17"/>
  <c r="V10" i="17"/>
  <c r="U10" i="17"/>
  <c r="T10" i="17"/>
  <c r="AD10" i="17" s="1"/>
  <c r="AC9" i="17"/>
  <c r="AB9" i="17"/>
  <c r="AA9" i="17"/>
  <c r="Z9" i="17"/>
  <c r="Y9" i="17"/>
  <c r="X9" i="17"/>
  <c r="W9" i="17"/>
  <c r="V9" i="17"/>
  <c r="U9" i="17"/>
  <c r="T9" i="17"/>
  <c r="AD9" i="17" s="1"/>
  <c r="AC8" i="17"/>
  <c r="AB8" i="17"/>
  <c r="AA8" i="17"/>
  <c r="Z8" i="17"/>
  <c r="Y8" i="17"/>
  <c r="X8" i="17"/>
  <c r="W8" i="17"/>
  <c r="V8" i="17"/>
  <c r="U8" i="17"/>
  <c r="T8" i="17"/>
  <c r="AD8" i="17" s="1"/>
  <c r="AC7" i="17"/>
  <c r="AB7" i="17"/>
  <c r="AA7" i="17"/>
  <c r="Z7" i="17"/>
  <c r="Y7" i="17"/>
  <c r="X7" i="17"/>
  <c r="W7" i="17"/>
  <c r="V7" i="17"/>
  <c r="U7" i="17"/>
  <c r="T7" i="17"/>
  <c r="AD7" i="17" s="1"/>
  <c r="AC6" i="17"/>
  <c r="AB6" i="17"/>
  <c r="AA6" i="17"/>
  <c r="Z6" i="17"/>
  <c r="Y6" i="17"/>
  <c r="X6" i="17"/>
  <c r="W6" i="17"/>
  <c r="V6" i="17"/>
  <c r="U6" i="17"/>
  <c r="T6" i="17"/>
  <c r="AD6" i="17" s="1"/>
  <c r="AC5" i="17"/>
  <c r="AB5" i="17"/>
  <c r="AA5" i="17"/>
  <c r="Z5" i="17"/>
  <c r="Y5" i="17"/>
  <c r="X5" i="17"/>
  <c r="W5" i="17"/>
  <c r="V5" i="17"/>
  <c r="U5" i="17"/>
  <c r="T5" i="17"/>
  <c r="AD5" i="17" s="1"/>
  <c r="AC4" i="17"/>
  <c r="AB4" i="17"/>
  <c r="AA4" i="17"/>
  <c r="Z4" i="17"/>
  <c r="Y4" i="17"/>
  <c r="X4" i="17"/>
  <c r="W4" i="17"/>
  <c r="V4" i="17"/>
  <c r="U4" i="17"/>
  <c r="T4" i="17"/>
  <c r="AD4" i="17" s="1"/>
  <c r="AC3" i="17"/>
  <c r="AB3" i="17"/>
  <c r="AA3" i="17"/>
  <c r="Z3" i="17"/>
  <c r="Y3" i="17"/>
  <c r="X3" i="17"/>
  <c r="W3" i="17"/>
  <c r="V3" i="17"/>
  <c r="U3" i="17"/>
  <c r="T3" i="17"/>
  <c r="AD3" i="17" s="1"/>
  <c r="T2" i="17"/>
  <c r="U2" i="17"/>
  <c r="V2" i="17"/>
  <c r="W2" i="17"/>
  <c r="X2" i="17"/>
  <c r="Y2" i="17"/>
  <c r="Z2" i="17"/>
  <c r="AA2" i="17"/>
  <c r="AB2" i="17"/>
  <c r="AC2" i="17"/>
  <c r="AD2" i="17"/>
  <c r="B6" i="25"/>
  <c r="B6" i="32" s="1"/>
  <c r="B5" i="25"/>
  <c r="B4" i="25"/>
  <c r="B3" i="25"/>
  <c r="B62" i="25"/>
  <c r="B61" i="25"/>
  <c r="B60" i="25"/>
  <c r="B59" i="25"/>
  <c r="B58" i="25"/>
  <c r="B57" i="25"/>
  <c r="B56" i="25"/>
  <c r="B55" i="25"/>
  <c r="B54" i="25"/>
  <c r="B53" i="25"/>
  <c r="B52" i="25"/>
  <c r="B51" i="25"/>
  <c r="B50" i="25"/>
  <c r="B49" i="25"/>
  <c r="B48" i="25"/>
  <c r="B47" i="25"/>
  <c r="B46" i="25"/>
  <c r="B45" i="25"/>
  <c r="B44" i="25"/>
  <c r="B43" i="25"/>
  <c r="B42" i="25"/>
  <c r="B41" i="25"/>
  <c r="B40" i="25"/>
  <c r="B39" i="25"/>
  <c r="B38" i="25"/>
  <c r="B37" i="25"/>
  <c r="B36" i="25"/>
  <c r="B35" i="25"/>
  <c r="B34" i="25"/>
  <c r="B33" i="25"/>
  <c r="B32" i="25"/>
  <c r="B31" i="25"/>
  <c r="B30" i="25"/>
  <c r="B29" i="25"/>
  <c r="B28" i="25"/>
  <c r="B27" i="25"/>
  <c r="B26" i="25"/>
  <c r="B25" i="25"/>
  <c r="B24" i="25"/>
  <c r="B23" i="25"/>
  <c r="B22" i="25"/>
  <c r="B21" i="25"/>
  <c r="B20" i="25"/>
  <c r="B19" i="25"/>
  <c r="B18" i="25"/>
  <c r="B17" i="25"/>
  <c r="B16" i="25"/>
  <c r="B15" i="25"/>
  <c r="B14" i="25"/>
  <c r="B13" i="25"/>
  <c r="B12" i="25"/>
  <c r="B11" i="25"/>
  <c r="B10" i="25"/>
  <c r="B9" i="25"/>
  <c r="B8" i="25"/>
  <c r="B7" i="25"/>
  <c r="AJ62" i="25"/>
  <c r="AJ61" i="25"/>
  <c r="AJ60" i="25"/>
  <c r="AJ59" i="25"/>
  <c r="AJ58" i="25"/>
  <c r="AJ57" i="25"/>
  <c r="AJ56" i="25"/>
  <c r="AJ55" i="25"/>
  <c r="AJ54" i="25"/>
  <c r="AJ53" i="25"/>
  <c r="AJ52" i="25"/>
  <c r="AJ51" i="25"/>
  <c r="AJ50" i="25"/>
  <c r="AJ49" i="25"/>
  <c r="AJ48" i="25"/>
  <c r="AJ47" i="25"/>
  <c r="AJ46" i="25"/>
  <c r="AJ45" i="25"/>
  <c r="AJ44" i="25"/>
  <c r="AJ43" i="25"/>
  <c r="AJ42" i="25"/>
  <c r="AJ41" i="25"/>
  <c r="AJ40" i="25"/>
  <c r="AJ39" i="25"/>
  <c r="AJ38" i="25"/>
  <c r="AJ37" i="25"/>
  <c r="AJ36" i="25"/>
  <c r="AJ35" i="25"/>
  <c r="AJ34" i="25"/>
  <c r="AJ33" i="25"/>
  <c r="AJ32" i="25"/>
  <c r="AJ31" i="25"/>
  <c r="AJ30" i="25"/>
  <c r="AJ29" i="25"/>
  <c r="AJ28" i="25"/>
  <c r="AJ27" i="25"/>
  <c r="AJ26" i="25"/>
  <c r="AJ25" i="25"/>
  <c r="AJ24" i="25"/>
  <c r="AJ23" i="25"/>
  <c r="AJ22" i="25"/>
  <c r="AJ21" i="25"/>
  <c r="AJ20" i="25"/>
  <c r="AJ19" i="25"/>
  <c r="AJ18" i="25"/>
  <c r="AJ17" i="25"/>
  <c r="AJ16" i="25"/>
  <c r="AJ15" i="25"/>
  <c r="AJ14" i="25"/>
  <c r="AJ13" i="25"/>
  <c r="AJ12" i="25"/>
  <c r="AJ11" i="25"/>
  <c r="AJ10" i="25"/>
  <c r="AJ9" i="25"/>
  <c r="AJ8" i="25"/>
  <c r="AJ7" i="25"/>
  <c r="AJ6" i="25"/>
  <c r="AJ5" i="25"/>
  <c r="AJ4" i="25"/>
  <c r="AH62" i="25"/>
  <c r="AH61" i="25"/>
  <c r="AH60" i="25"/>
  <c r="AH59" i="25"/>
  <c r="AH58" i="25"/>
  <c r="AH57" i="25"/>
  <c r="AH56" i="25"/>
  <c r="AH55" i="25"/>
  <c r="AH54" i="25"/>
  <c r="AH53" i="25"/>
  <c r="AH52" i="25"/>
  <c r="AH51" i="25"/>
  <c r="AH50" i="25"/>
  <c r="AH49" i="25"/>
  <c r="AH48" i="25"/>
  <c r="AH47" i="25"/>
  <c r="AH46" i="25"/>
  <c r="AH45" i="25"/>
  <c r="AH44" i="25"/>
  <c r="AH43" i="25"/>
  <c r="AH42" i="25"/>
  <c r="AH41" i="25"/>
  <c r="AH40" i="25"/>
  <c r="AH39" i="25"/>
  <c r="AH38" i="25"/>
  <c r="AH37" i="25"/>
  <c r="AH36" i="25"/>
  <c r="AH35" i="25"/>
  <c r="AH34" i="25"/>
  <c r="AH33" i="25"/>
  <c r="AH32" i="25"/>
  <c r="AH31" i="25"/>
  <c r="AH30" i="25"/>
  <c r="AH29" i="25"/>
  <c r="AH28" i="25"/>
  <c r="AH27" i="25"/>
  <c r="AH26" i="25"/>
  <c r="AH25" i="25"/>
  <c r="AH24" i="25"/>
  <c r="AH23" i="25"/>
  <c r="AH22" i="25"/>
  <c r="AH21" i="25"/>
  <c r="AH20" i="25"/>
  <c r="AH19" i="25"/>
  <c r="AH18" i="25"/>
  <c r="AH17" i="25"/>
  <c r="AH16" i="25"/>
  <c r="AH15" i="25"/>
  <c r="AH14" i="25"/>
  <c r="AH13" i="25"/>
  <c r="AH12" i="25"/>
  <c r="AH11" i="25"/>
  <c r="AH10" i="25"/>
  <c r="AH9" i="25"/>
  <c r="AH8" i="25"/>
  <c r="AH7" i="25"/>
  <c r="AG62" i="25"/>
  <c r="AG61" i="25"/>
  <c r="AG60" i="25"/>
  <c r="AG59" i="25"/>
  <c r="AG58" i="25"/>
  <c r="AG57" i="25"/>
  <c r="AG56" i="25"/>
  <c r="AG55" i="25"/>
  <c r="AG54" i="25"/>
  <c r="AG53" i="25"/>
  <c r="AG52" i="25"/>
  <c r="AG51" i="25"/>
  <c r="AG50" i="25"/>
  <c r="AG49" i="25"/>
  <c r="AG48" i="25"/>
  <c r="AG47" i="25"/>
  <c r="AG46" i="25"/>
  <c r="AG45" i="25"/>
  <c r="AG44" i="25"/>
  <c r="AG43" i="25"/>
  <c r="AG42" i="25"/>
  <c r="AG41" i="25"/>
  <c r="AG40" i="25"/>
  <c r="AG39" i="25"/>
  <c r="AG38" i="25"/>
  <c r="AG37" i="25"/>
  <c r="AG36" i="25"/>
  <c r="AG35" i="25"/>
  <c r="AG34" i="25"/>
  <c r="AG33" i="25"/>
  <c r="AG32" i="25"/>
  <c r="AG31" i="25"/>
  <c r="AG30" i="25"/>
  <c r="AG29" i="25"/>
  <c r="AG28" i="25"/>
  <c r="AG27" i="25"/>
  <c r="AG26" i="25"/>
  <c r="AG25" i="25"/>
  <c r="AG24" i="25"/>
  <c r="AG23" i="25"/>
  <c r="AG22" i="25"/>
  <c r="AG21" i="25"/>
  <c r="AG20" i="25"/>
  <c r="AG19" i="25"/>
  <c r="AG18" i="25"/>
  <c r="AG17" i="25"/>
  <c r="AG16" i="25"/>
  <c r="AG15" i="25"/>
  <c r="AG14" i="25"/>
  <c r="AG13" i="25"/>
  <c r="AG12" i="25"/>
  <c r="AG11" i="25"/>
  <c r="AG10" i="25"/>
  <c r="AG9" i="25"/>
  <c r="AG8" i="25"/>
  <c r="AG7" i="25"/>
  <c r="AF62" i="25"/>
  <c r="AF61" i="25"/>
  <c r="AF60" i="25"/>
  <c r="AF59" i="25"/>
  <c r="AF58" i="25"/>
  <c r="AF57" i="25"/>
  <c r="AF56" i="25"/>
  <c r="AF55" i="25"/>
  <c r="AF54" i="25"/>
  <c r="AF53" i="25"/>
  <c r="AF52" i="25"/>
  <c r="AF51" i="25"/>
  <c r="AF50" i="25"/>
  <c r="AF49" i="25"/>
  <c r="AF48" i="25"/>
  <c r="AF47" i="25"/>
  <c r="AF46" i="25"/>
  <c r="AF45" i="25"/>
  <c r="AF44" i="25"/>
  <c r="AF43" i="25"/>
  <c r="AF42" i="25"/>
  <c r="AF41" i="25"/>
  <c r="AF40" i="25"/>
  <c r="AF39" i="25"/>
  <c r="AF38" i="25"/>
  <c r="AF37" i="25"/>
  <c r="AF36" i="25"/>
  <c r="AF35" i="25"/>
  <c r="AF34" i="25"/>
  <c r="AF33" i="25"/>
  <c r="AF32" i="25"/>
  <c r="AF31" i="25"/>
  <c r="AF30" i="25"/>
  <c r="AF29" i="25"/>
  <c r="AF28" i="25"/>
  <c r="AF27" i="25"/>
  <c r="AF26" i="25"/>
  <c r="AF25" i="25"/>
  <c r="AF24" i="25"/>
  <c r="AF23" i="25"/>
  <c r="AF22" i="25"/>
  <c r="AF21" i="25"/>
  <c r="AF20" i="25"/>
  <c r="AF19" i="25"/>
  <c r="AF18" i="25"/>
  <c r="AF17" i="25"/>
  <c r="AF16" i="25"/>
  <c r="AF15" i="25"/>
  <c r="AF14" i="25"/>
  <c r="AF13" i="25"/>
  <c r="AF12" i="25"/>
  <c r="AF11" i="25"/>
  <c r="AF10" i="25"/>
  <c r="AF9" i="25"/>
  <c r="AF8" i="25"/>
  <c r="AF7" i="25"/>
  <c r="AE62" i="25"/>
  <c r="AE61" i="25"/>
  <c r="AE60" i="25"/>
  <c r="AE59" i="25"/>
  <c r="AE58" i="25"/>
  <c r="AE57" i="25"/>
  <c r="AE56" i="25"/>
  <c r="AE55" i="25"/>
  <c r="AE54" i="25"/>
  <c r="AE53" i="25"/>
  <c r="AE52" i="25"/>
  <c r="AE51" i="25"/>
  <c r="AE50" i="25"/>
  <c r="AE49" i="25"/>
  <c r="AE48" i="25"/>
  <c r="AE47" i="25"/>
  <c r="AE46" i="25"/>
  <c r="AE45" i="25"/>
  <c r="AE44" i="25"/>
  <c r="AE43" i="25"/>
  <c r="AE42" i="25"/>
  <c r="AE41" i="25"/>
  <c r="AE40" i="25"/>
  <c r="AE39" i="25"/>
  <c r="AE38" i="25"/>
  <c r="AE37" i="25"/>
  <c r="AE36" i="25"/>
  <c r="AE35" i="25"/>
  <c r="AE34" i="25"/>
  <c r="AE33" i="25"/>
  <c r="AE32" i="25"/>
  <c r="AE31" i="25"/>
  <c r="AE30" i="25"/>
  <c r="AE29" i="25"/>
  <c r="AE28" i="25"/>
  <c r="AE27" i="25"/>
  <c r="AE26" i="25"/>
  <c r="AE25" i="25"/>
  <c r="AE24" i="25"/>
  <c r="AE23" i="25"/>
  <c r="AE22" i="25"/>
  <c r="AE21" i="25"/>
  <c r="AE20" i="25"/>
  <c r="AE19" i="25"/>
  <c r="AE18" i="25"/>
  <c r="AE17" i="25"/>
  <c r="AE16" i="25"/>
  <c r="AE15" i="25"/>
  <c r="AE14" i="25"/>
  <c r="AE13" i="25"/>
  <c r="AE12" i="25"/>
  <c r="AE11" i="25"/>
  <c r="AE10" i="25"/>
  <c r="AE9" i="25"/>
  <c r="AE8" i="25"/>
  <c r="AE7" i="25"/>
  <c r="AE6" i="25"/>
  <c r="G6" i="32" s="1"/>
  <c r="AE5" i="25"/>
  <c r="AE4" i="25"/>
  <c r="Z62" i="25"/>
  <c r="Z61" i="25"/>
  <c r="Z60" i="25"/>
  <c r="Z59" i="25"/>
  <c r="Z58" i="25"/>
  <c r="Z57" i="25"/>
  <c r="Z56" i="25"/>
  <c r="Z55" i="25"/>
  <c r="Z54" i="25"/>
  <c r="Z53" i="25"/>
  <c r="Z52" i="25"/>
  <c r="Z51" i="25"/>
  <c r="Z50" i="25"/>
  <c r="Z49" i="25"/>
  <c r="Z48" i="25"/>
  <c r="Z47" i="25"/>
  <c r="Z46" i="25"/>
  <c r="Z45" i="25"/>
  <c r="Z44" i="25"/>
  <c r="Z43" i="25"/>
  <c r="Z42" i="25"/>
  <c r="Z41" i="25"/>
  <c r="Z40" i="25"/>
  <c r="Z39" i="25"/>
  <c r="Z38" i="25"/>
  <c r="Z37" i="25"/>
  <c r="Z36" i="25"/>
  <c r="Z35" i="25"/>
  <c r="Z34" i="25"/>
  <c r="Z33" i="25"/>
  <c r="Z32" i="25"/>
  <c r="Z31" i="25"/>
  <c r="Z30" i="25"/>
  <c r="Z29" i="25"/>
  <c r="Z28" i="25"/>
  <c r="Z27" i="25"/>
  <c r="Z26" i="25"/>
  <c r="Z25" i="25"/>
  <c r="Z24" i="25"/>
  <c r="Z23" i="25"/>
  <c r="Z22" i="25"/>
  <c r="Z21" i="25"/>
  <c r="Z20" i="25"/>
  <c r="Z19" i="25"/>
  <c r="Z18" i="25"/>
  <c r="Z17" i="25"/>
  <c r="Z16" i="25"/>
  <c r="Z15" i="25"/>
  <c r="Z14" i="25"/>
  <c r="Z13" i="25"/>
  <c r="Z12" i="25"/>
  <c r="Z11" i="25"/>
  <c r="Z10" i="25"/>
  <c r="Z9" i="25"/>
  <c r="Z8" i="25"/>
  <c r="Z7" i="25"/>
  <c r="Z6" i="25"/>
  <c r="Z5" i="25"/>
  <c r="Q62" i="25"/>
  <c r="Q61" i="25"/>
  <c r="Q60" i="25"/>
  <c r="Q59" i="25"/>
  <c r="Q58" i="25"/>
  <c r="Q57" i="25"/>
  <c r="Q56" i="25"/>
  <c r="Q55" i="25"/>
  <c r="Q54" i="25"/>
  <c r="Q53" i="25"/>
  <c r="Q52" i="25"/>
  <c r="Q51" i="25"/>
  <c r="Q50" i="25"/>
  <c r="Q49" i="25"/>
  <c r="Q48" i="25"/>
  <c r="Q47" i="25"/>
  <c r="Q46" i="25"/>
  <c r="Q45" i="25"/>
  <c r="Q44" i="25"/>
  <c r="Q43" i="25"/>
  <c r="Q42" i="25"/>
  <c r="Q41" i="25"/>
  <c r="Q40" i="25"/>
  <c r="Q39" i="25"/>
  <c r="Q38" i="25"/>
  <c r="Q37" i="25"/>
  <c r="Q36" i="25"/>
  <c r="Q35" i="25"/>
  <c r="Q34" i="25"/>
  <c r="Q33" i="25"/>
  <c r="Q32" i="25"/>
  <c r="Q31" i="25"/>
  <c r="Q30" i="25"/>
  <c r="Q29" i="25"/>
  <c r="Q28" i="25"/>
  <c r="Q27" i="25"/>
  <c r="Q26" i="25"/>
  <c r="Q25" i="25"/>
  <c r="Q24" i="25"/>
  <c r="Q23" i="25"/>
  <c r="Q22" i="25"/>
  <c r="Q21" i="25"/>
  <c r="Q20" i="25"/>
  <c r="Q19" i="25"/>
  <c r="Q18" i="25"/>
  <c r="Q17" i="25"/>
  <c r="Q16" i="25"/>
  <c r="Q15" i="25"/>
  <c r="Q14" i="25"/>
  <c r="Q13" i="25"/>
  <c r="Q12" i="25"/>
  <c r="Q11" i="25"/>
  <c r="Q10" i="25"/>
  <c r="Q9" i="25"/>
  <c r="Q8" i="25"/>
  <c r="Q7" i="25"/>
  <c r="K62" i="25"/>
  <c r="K61" i="25"/>
  <c r="K60" i="25"/>
  <c r="K59" i="25"/>
  <c r="K58" i="25"/>
  <c r="K57" i="25"/>
  <c r="K56" i="25"/>
  <c r="K55" i="25"/>
  <c r="K54" i="25"/>
  <c r="K53" i="25"/>
  <c r="K52" i="25"/>
  <c r="K51" i="25"/>
  <c r="K50" i="25"/>
  <c r="K49" i="25"/>
  <c r="K48" i="25"/>
  <c r="K47" i="25"/>
  <c r="K46" i="25"/>
  <c r="K45" i="25"/>
  <c r="K44" i="25"/>
  <c r="K43" i="25"/>
  <c r="K42" i="25"/>
  <c r="K41" i="25"/>
  <c r="K40" i="25"/>
  <c r="K39" i="25"/>
  <c r="K38" i="25"/>
  <c r="K37" i="25"/>
  <c r="K36" i="25"/>
  <c r="K35" i="25"/>
  <c r="K34" i="25"/>
  <c r="K33" i="25"/>
  <c r="K32" i="25"/>
  <c r="K31" i="25"/>
  <c r="K30" i="25"/>
  <c r="K29" i="25"/>
  <c r="K28" i="25"/>
  <c r="K27" i="25"/>
  <c r="K26" i="25"/>
  <c r="K25" i="25"/>
  <c r="K24" i="25"/>
  <c r="K23" i="25"/>
  <c r="K22" i="25"/>
  <c r="K21" i="25"/>
  <c r="K20" i="25"/>
  <c r="K19" i="25"/>
  <c r="K18" i="25"/>
  <c r="K17" i="25"/>
  <c r="K16" i="25"/>
  <c r="K15" i="25"/>
  <c r="K14" i="25"/>
  <c r="K13" i="25"/>
  <c r="K12" i="25"/>
  <c r="K11" i="25"/>
  <c r="K10" i="25"/>
  <c r="K9" i="25"/>
  <c r="K8" i="25"/>
  <c r="K7" i="25"/>
  <c r="K6" i="25"/>
  <c r="K5" i="25"/>
  <c r="K4" i="25"/>
  <c r="K3" i="25"/>
  <c r="B144" i="24"/>
  <c r="A144" i="24"/>
  <c r="Q144" i="24" s="1"/>
  <c r="B143" i="24"/>
  <c r="A143" i="24"/>
  <c r="Q143" i="24" s="1"/>
  <c r="B142" i="24"/>
  <c r="A142" i="24"/>
  <c r="Q142" i="24" s="1"/>
  <c r="B141" i="24"/>
  <c r="A141" i="24"/>
  <c r="Q141" i="24" s="1"/>
  <c r="B140" i="24"/>
  <c r="A140" i="24"/>
  <c r="Q140" i="24" s="1"/>
  <c r="B139" i="24"/>
  <c r="A139" i="24"/>
  <c r="Q139" i="24" s="1"/>
  <c r="B138" i="24"/>
  <c r="A138" i="24"/>
  <c r="Q138" i="24" s="1"/>
  <c r="B137" i="24"/>
  <c r="A137" i="24"/>
  <c r="Q137" i="24" s="1"/>
  <c r="B136" i="24"/>
  <c r="A136" i="24"/>
  <c r="Q136" i="24" s="1"/>
  <c r="B135" i="24"/>
  <c r="A135" i="24"/>
  <c r="Q135" i="24" s="1"/>
  <c r="B134" i="24"/>
  <c r="A134" i="24"/>
  <c r="Q134" i="24" s="1"/>
  <c r="B133" i="24"/>
  <c r="A133" i="24"/>
  <c r="Q133" i="24" s="1"/>
  <c r="B132" i="24"/>
  <c r="A132" i="24"/>
  <c r="Q132" i="24" s="1"/>
  <c r="B131" i="24"/>
  <c r="A131" i="24"/>
  <c r="Q131" i="24" s="1"/>
  <c r="B130" i="24"/>
  <c r="A130" i="24"/>
  <c r="Q130" i="24" s="1"/>
  <c r="B129" i="24"/>
  <c r="A129" i="24"/>
  <c r="Q129" i="24" s="1"/>
  <c r="B128" i="24"/>
  <c r="A128" i="24"/>
  <c r="Q128" i="24" s="1"/>
  <c r="B127" i="24"/>
  <c r="A127" i="24"/>
  <c r="Q127" i="24" s="1"/>
  <c r="B126" i="24"/>
  <c r="A126" i="24"/>
  <c r="Q126" i="24" s="1"/>
  <c r="B125" i="24"/>
  <c r="A125" i="24"/>
  <c r="Q125" i="24" s="1"/>
  <c r="B124" i="24"/>
  <c r="A124" i="24"/>
  <c r="Q124" i="24" s="1"/>
  <c r="B123" i="24"/>
  <c r="A123" i="24"/>
  <c r="Q123" i="24" s="1"/>
  <c r="B122" i="24"/>
  <c r="A122" i="24"/>
  <c r="Q122" i="24" s="1"/>
  <c r="B121" i="24"/>
  <c r="A121" i="24"/>
  <c r="Q121" i="24" s="1"/>
  <c r="B120" i="24"/>
  <c r="A120" i="24"/>
  <c r="Q120" i="24" s="1"/>
  <c r="B119" i="24"/>
  <c r="A119" i="24"/>
  <c r="Q119" i="24" s="1"/>
  <c r="B118" i="24"/>
  <c r="A118" i="24"/>
  <c r="Q118" i="24" s="1"/>
  <c r="B117" i="24"/>
  <c r="A117" i="24"/>
  <c r="Q117" i="24" s="1"/>
  <c r="B116" i="24"/>
  <c r="A116" i="24"/>
  <c r="Q116" i="24" s="1"/>
  <c r="B115" i="24"/>
  <c r="A115" i="24"/>
  <c r="Q115" i="24" s="1"/>
  <c r="B114" i="24"/>
  <c r="A114" i="24"/>
  <c r="Q114" i="24" s="1"/>
  <c r="B113" i="24"/>
  <c r="A113" i="24"/>
  <c r="Q113" i="24" s="1"/>
  <c r="B112" i="24"/>
  <c r="A112" i="24"/>
  <c r="Q112" i="24" s="1"/>
  <c r="B111" i="24"/>
  <c r="A111" i="24"/>
  <c r="Q111" i="24" s="1"/>
  <c r="B110" i="24"/>
  <c r="A110" i="24"/>
  <c r="Q110" i="24" s="1"/>
  <c r="B109" i="24"/>
  <c r="A109" i="24"/>
  <c r="Q109" i="24" s="1"/>
  <c r="B108" i="24"/>
  <c r="A108" i="24"/>
  <c r="Q108" i="24" s="1"/>
  <c r="B107" i="24"/>
  <c r="A107" i="24"/>
  <c r="Q107" i="24" s="1"/>
  <c r="B106" i="24"/>
  <c r="A106" i="24"/>
  <c r="Q106" i="24" s="1"/>
  <c r="B105" i="24"/>
  <c r="A105" i="24"/>
  <c r="Q105" i="24" s="1"/>
  <c r="B104" i="24"/>
  <c r="A104" i="24"/>
  <c r="Q104" i="24" s="1"/>
  <c r="B103" i="24"/>
  <c r="A103" i="24"/>
  <c r="Q103" i="24" s="1"/>
  <c r="B102" i="24"/>
  <c r="A102" i="24"/>
  <c r="Q102" i="24" s="1"/>
  <c r="B101" i="24"/>
  <c r="A101" i="24"/>
  <c r="Q101" i="24" s="1"/>
  <c r="B100" i="24"/>
  <c r="A100" i="24"/>
  <c r="Q100" i="24" s="1"/>
  <c r="B99" i="24"/>
  <c r="A99" i="24"/>
  <c r="Q99" i="24" s="1"/>
  <c r="B98" i="24"/>
  <c r="A98" i="24"/>
  <c r="Q98" i="24" s="1"/>
  <c r="B97" i="24"/>
  <c r="A97" i="24"/>
  <c r="Q97" i="24" s="1"/>
  <c r="B96" i="24"/>
  <c r="A96" i="24"/>
  <c r="Q96" i="24" s="1"/>
  <c r="B95" i="24"/>
  <c r="A95" i="24"/>
  <c r="Q95" i="24" s="1"/>
  <c r="B94" i="24"/>
  <c r="A94" i="24"/>
  <c r="Q94" i="24" s="1"/>
  <c r="B93" i="24"/>
  <c r="A93" i="24"/>
  <c r="Q93" i="24" s="1"/>
  <c r="B92" i="24"/>
  <c r="A92" i="24"/>
  <c r="Q92" i="24" s="1"/>
  <c r="B91" i="24"/>
  <c r="A91" i="24"/>
  <c r="Q91" i="24" s="1"/>
  <c r="B90" i="24"/>
  <c r="A90" i="24"/>
  <c r="Q90" i="24" s="1"/>
  <c r="B89" i="24"/>
  <c r="A89" i="24"/>
  <c r="Q89" i="24" s="1"/>
  <c r="B88" i="24"/>
  <c r="A88" i="24"/>
  <c r="Q88" i="24" s="1"/>
  <c r="B87" i="24"/>
  <c r="A87" i="24"/>
  <c r="Q87" i="24" s="1"/>
  <c r="B86" i="24"/>
  <c r="A86" i="24"/>
  <c r="Q86" i="24" s="1"/>
  <c r="B85" i="24"/>
  <c r="A85" i="24"/>
  <c r="Q85" i="24" s="1"/>
  <c r="B84" i="24"/>
  <c r="A84" i="24"/>
  <c r="Q84" i="24" s="1"/>
  <c r="B83" i="24"/>
  <c r="A83" i="24"/>
  <c r="Q83" i="24" s="1"/>
  <c r="B82" i="24"/>
  <c r="A82" i="24"/>
  <c r="Q82" i="24" s="1"/>
  <c r="B81" i="24"/>
  <c r="A81" i="24"/>
  <c r="Q81" i="24" s="1"/>
  <c r="B80" i="24"/>
  <c r="A80" i="24"/>
  <c r="Q80" i="24" s="1"/>
  <c r="B79" i="24"/>
  <c r="A79" i="24"/>
  <c r="Q79" i="24" s="1"/>
  <c r="B78" i="24"/>
  <c r="A78" i="24"/>
  <c r="Q78" i="24" s="1"/>
  <c r="B77" i="24"/>
  <c r="A77" i="24"/>
  <c r="Q77" i="24" s="1"/>
  <c r="B76" i="24"/>
  <c r="A76" i="24"/>
  <c r="Q76" i="24" s="1"/>
  <c r="B75" i="24"/>
  <c r="A75" i="24"/>
  <c r="Q75" i="24" s="1"/>
  <c r="B74" i="24"/>
  <c r="A74" i="24"/>
  <c r="Q74" i="24" s="1"/>
  <c r="B73" i="24"/>
  <c r="A73" i="24"/>
  <c r="Q73" i="24" s="1"/>
  <c r="B72" i="24"/>
  <c r="A72" i="24"/>
  <c r="Q72" i="24" s="1"/>
  <c r="B71" i="24"/>
  <c r="A71" i="24"/>
  <c r="Q71" i="24" s="1"/>
  <c r="B70" i="24"/>
  <c r="A70" i="24"/>
  <c r="Q70" i="24" s="1"/>
  <c r="B69" i="24"/>
  <c r="A69" i="24"/>
  <c r="Q69" i="24" s="1"/>
  <c r="B68" i="24"/>
  <c r="A68" i="24"/>
  <c r="Q68" i="24" s="1"/>
  <c r="B67" i="24"/>
  <c r="A67" i="24"/>
  <c r="Q67" i="24" s="1"/>
  <c r="B66" i="24"/>
  <c r="A66" i="24"/>
  <c r="Q66" i="24" s="1"/>
  <c r="B65" i="24"/>
  <c r="A65" i="24"/>
  <c r="Q65" i="24" s="1"/>
  <c r="B64" i="24"/>
  <c r="A64" i="24"/>
  <c r="Q64" i="24" s="1"/>
  <c r="B63" i="24"/>
  <c r="A63" i="24"/>
  <c r="Q63" i="24" s="1"/>
  <c r="B62" i="24"/>
  <c r="A62" i="24"/>
  <c r="Q62" i="24" s="1"/>
  <c r="B61" i="24"/>
  <c r="A61" i="24"/>
  <c r="Q61" i="24" s="1"/>
  <c r="B60" i="24"/>
  <c r="A60" i="24"/>
  <c r="Q60" i="24" s="1"/>
  <c r="B59" i="24"/>
  <c r="A59" i="24"/>
  <c r="Q59" i="24" s="1"/>
  <c r="B58" i="24"/>
  <c r="A58" i="24"/>
  <c r="Q58" i="24" s="1"/>
  <c r="B57" i="24"/>
  <c r="A57" i="24"/>
  <c r="Q57" i="24" s="1"/>
  <c r="B56" i="24"/>
  <c r="A56" i="24"/>
  <c r="Q56" i="24" s="1"/>
  <c r="B55" i="24"/>
  <c r="A55" i="24"/>
  <c r="Q55" i="24" s="1"/>
  <c r="B54" i="24"/>
  <c r="A54" i="24"/>
  <c r="Q54" i="24" s="1"/>
  <c r="B53" i="24"/>
  <c r="A53" i="24"/>
  <c r="Q53" i="24" s="1"/>
  <c r="B52" i="24"/>
  <c r="A52" i="24"/>
  <c r="Q52" i="24" s="1"/>
  <c r="B51" i="24"/>
  <c r="A51" i="24"/>
  <c r="Q51" i="24" s="1"/>
  <c r="B50" i="24"/>
  <c r="A50" i="24"/>
  <c r="Q50" i="24" s="1"/>
  <c r="B49" i="24"/>
  <c r="A49" i="24"/>
  <c r="B48" i="24"/>
  <c r="A48" i="24"/>
  <c r="Q48" i="24" s="1"/>
  <c r="B47" i="24"/>
  <c r="A47" i="24"/>
  <c r="Q47" i="24" s="1"/>
  <c r="B46" i="24"/>
  <c r="A46" i="24"/>
  <c r="Q46" i="24" s="1"/>
  <c r="B45" i="24"/>
  <c r="A45" i="24"/>
  <c r="Q45" i="24" s="1"/>
  <c r="B44" i="24"/>
  <c r="A44" i="24"/>
  <c r="Q44" i="24" s="1"/>
  <c r="B43" i="24"/>
  <c r="A43" i="24"/>
  <c r="Q43" i="24" s="1"/>
  <c r="B42" i="24"/>
  <c r="A42" i="24"/>
  <c r="Q42" i="24" s="1"/>
  <c r="B41" i="24"/>
  <c r="A41" i="24"/>
  <c r="Q41" i="24" s="1"/>
  <c r="B40" i="24"/>
  <c r="A40" i="24"/>
  <c r="Q40" i="24" s="1"/>
  <c r="B39" i="24"/>
  <c r="A39" i="24"/>
  <c r="Q39" i="24" s="1"/>
  <c r="B38" i="24"/>
  <c r="A38" i="24"/>
  <c r="Q38" i="24" s="1"/>
  <c r="B37" i="24"/>
  <c r="A37" i="24"/>
  <c r="Q37" i="24" s="1"/>
  <c r="B36" i="24"/>
  <c r="A36" i="24"/>
  <c r="Q36" i="24" s="1"/>
  <c r="B35" i="24"/>
  <c r="A35" i="24"/>
  <c r="Q35" i="24" s="1"/>
  <c r="B34" i="24"/>
  <c r="A34" i="24"/>
  <c r="Q34" i="24" s="1"/>
  <c r="B33" i="24"/>
  <c r="A33" i="24"/>
  <c r="Q33" i="24" s="1"/>
  <c r="B32" i="24"/>
  <c r="A32" i="24"/>
  <c r="Q32" i="24" s="1"/>
  <c r="B31" i="24"/>
  <c r="A31" i="24"/>
  <c r="Q31" i="24" s="1"/>
  <c r="B30" i="24"/>
  <c r="A30" i="24"/>
  <c r="Q30" i="24" s="1"/>
  <c r="B29" i="24"/>
  <c r="A29" i="24"/>
  <c r="Q29" i="24" s="1"/>
  <c r="B28" i="24"/>
  <c r="A28" i="24"/>
  <c r="Q28" i="24" s="1"/>
  <c r="B27" i="24"/>
  <c r="A27" i="24"/>
  <c r="Q27" i="24" s="1"/>
  <c r="B26" i="24"/>
  <c r="A26" i="24"/>
  <c r="Q26" i="24" s="1"/>
  <c r="B25" i="24"/>
  <c r="A25" i="24"/>
  <c r="Q25" i="24" s="1"/>
  <c r="B24" i="24"/>
  <c r="A24" i="24"/>
  <c r="Q24" i="24" s="1"/>
  <c r="B23" i="24"/>
  <c r="A23" i="24"/>
  <c r="Q23" i="24" s="1"/>
  <c r="B22" i="24"/>
  <c r="A22" i="24"/>
  <c r="Q22" i="24" s="1"/>
  <c r="B21" i="24"/>
  <c r="A21" i="24"/>
  <c r="Q21" i="24" s="1"/>
  <c r="B20" i="24"/>
  <c r="A20" i="24"/>
  <c r="Q20" i="24" s="1"/>
  <c r="B19" i="24"/>
  <c r="A19" i="24"/>
  <c r="Q19" i="24" s="1"/>
  <c r="B18" i="24"/>
  <c r="A18" i="24"/>
  <c r="Q18" i="24" s="1"/>
  <c r="B17" i="24"/>
  <c r="A17" i="24"/>
  <c r="Q17" i="24" s="1"/>
  <c r="B16" i="24"/>
  <c r="A16" i="24"/>
  <c r="Q16" i="24" s="1"/>
  <c r="B15" i="24"/>
  <c r="A15" i="24"/>
  <c r="Q15" i="24" s="1"/>
  <c r="B14" i="24"/>
  <c r="A14" i="24"/>
  <c r="Q14" i="24" s="1"/>
  <c r="B13" i="24"/>
  <c r="A13" i="24"/>
  <c r="Q13" i="24" s="1"/>
  <c r="B12" i="24"/>
  <c r="A12" i="24"/>
  <c r="Q12" i="24" s="1"/>
  <c r="B11" i="24"/>
  <c r="A11" i="24"/>
  <c r="Q11" i="24" s="1"/>
  <c r="B10" i="24"/>
  <c r="A10" i="24"/>
  <c r="Q10" i="24" s="1"/>
  <c r="B9" i="24"/>
  <c r="A9" i="24"/>
  <c r="Q9" i="24" s="1"/>
  <c r="B8" i="24"/>
  <c r="A8" i="24"/>
  <c r="Q8" i="24" s="1"/>
  <c r="B7" i="24"/>
  <c r="A7" i="24"/>
  <c r="Q7" i="24" s="1"/>
  <c r="B6" i="24"/>
  <c r="A6" i="24"/>
  <c r="Q6" i="24" s="1"/>
  <c r="B5" i="24"/>
  <c r="A5" i="24"/>
  <c r="Q5" i="24" s="1"/>
  <c r="B4" i="24"/>
  <c r="A4" i="24"/>
  <c r="Q4" i="24" s="1"/>
  <c r="A3" i="24"/>
  <c r="Q3" i="24" s="1"/>
  <c r="B3" i="24"/>
  <c r="P3" i="24"/>
  <c r="B1209" i="23"/>
  <c r="H1209" i="23" s="1"/>
  <c r="A1209" i="23"/>
  <c r="B1208" i="23"/>
  <c r="H1208" i="23" s="1"/>
  <c r="A1208" i="23"/>
  <c r="B1207" i="23"/>
  <c r="H1207" i="23" s="1"/>
  <c r="A1207" i="23"/>
  <c r="B1206" i="23"/>
  <c r="H1206" i="23" s="1"/>
  <c r="A1206" i="23"/>
  <c r="B1205" i="23"/>
  <c r="H1205" i="23" s="1"/>
  <c r="A1205" i="23"/>
  <c r="B1204" i="23"/>
  <c r="H1204" i="23" s="1"/>
  <c r="A1204" i="23"/>
  <c r="B1203" i="23"/>
  <c r="H1203" i="23" s="1"/>
  <c r="A1203" i="23"/>
  <c r="B1202" i="23"/>
  <c r="H1202" i="23" s="1"/>
  <c r="A1202" i="23"/>
  <c r="B1201" i="23"/>
  <c r="H1201" i="23" s="1"/>
  <c r="A1201" i="23"/>
  <c r="B1200" i="23"/>
  <c r="H1200" i="23" s="1"/>
  <c r="A1200" i="23"/>
  <c r="B1199" i="23"/>
  <c r="H1199" i="23" s="1"/>
  <c r="A1199" i="23"/>
  <c r="B1198" i="23"/>
  <c r="H1198" i="23" s="1"/>
  <c r="A1198" i="23"/>
  <c r="B1197" i="23"/>
  <c r="H1197" i="23" s="1"/>
  <c r="A1197" i="23"/>
  <c r="B1196" i="23"/>
  <c r="H1196" i="23" s="1"/>
  <c r="A1196" i="23"/>
  <c r="B1195" i="23"/>
  <c r="H1195" i="23" s="1"/>
  <c r="A1195" i="23"/>
  <c r="B1194" i="23"/>
  <c r="H1194" i="23" s="1"/>
  <c r="A1194" i="23"/>
  <c r="B1193" i="23"/>
  <c r="H1193" i="23" s="1"/>
  <c r="A1193" i="23"/>
  <c r="B1192" i="23"/>
  <c r="H1192" i="23" s="1"/>
  <c r="A1192" i="23"/>
  <c r="B1191" i="23"/>
  <c r="H1191" i="23" s="1"/>
  <c r="A1191" i="23"/>
  <c r="B1190" i="23"/>
  <c r="H1190" i="23" s="1"/>
  <c r="A1190" i="23"/>
  <c r="B1189" i="23"/>
  <c r="H1189" i="23" s="1"/>
  <c r="A1189" i="23"/>
  <c r="B1188" i="23"/>
  <c r="H1188" i="23" s="1"/>
  <c r="A1188" i="23"/>
  <c r="B1187" i="23"/>
  <c r="H1187" i="23" s="1"/>
  <c r="A1187" i="23"/>
  <c r="B1186" i="23"/>
  <c r="H1186" i="23" s="1"/>
  <c r="A1186" i="23"/>
  <c r="B1185" i="23"/>
  <c r="H1185" i="23" s="1"/>
  <c r="A1185" i="23"/>
  <c r="B1184" i="23"/>
  <c r="H1184" i="23" s="1"/>
  <c r="A1184" i="23"/>
  <c r="B1183" i="23"/>
  <c r="H1183" i="23" s="1"/>
  <c r="A1183" i="23"/>
  <c r="B1182" i="23"/>
  <c r="H1182" i="23" s="1"/>
  <c r="A1182" i="23"/>
  <c r="B1181" i="23"/>
  <c r="H1181" i="23" s="1"/>
  <c r="A1181" i="23"/>
  <c r="B1180" i="23"/>
  <c r="H1180" i="23" s="1"/>
  <c r="A1180" i="23"/>
  <c r="B1179" i="23"/>
  <c r="H1179" i="23" s="1"/>
  <c r="A1179" i="23"/>
  <c r="B1178" i="23"/>
  <c r="H1178" i="23" s="1"/>
  <c r="A1178" i="23"/>
  <c r="B1177" i="23"/>
  <c r="H1177" i="23" s="1"/>
  <c r="A1177" i="23"/>
  <c r="B1176" i="23"/>
  <c r="H1176" i="23" s="1"/>
  <c r="A1176" i="23"/>
  <c r="B1175" i="23"/>
  <c r="H1175" i="23" s="1"/>
  <c r="A1175" i="23"/>
  <c r="B1174" i="23"/>
  <c r="H1174" i="23" s="1"/>
  <c r="A1174" i="23"/>
  <c r="B1173" i="23"/>
  <c r="H1173" i="23" s="1"/>
  <c r="A1173" i="23"/>
  <c r="B1172" i="23"/>
  <c r="H1172" i="23" s="1"/>
  <c r="A1172" i="23"/>
  <c r="B1171" i="23"/>
  <c r="H1171" i="23" s="1"/>
  <c r="A1171" i="23"/>
  <c r="B1170" i="23"/>
  <c r="H1170" i="23" s="1"/>
  <c r="A1170" i="23"/>
  <c r="B1169" i="23"/>
  <c r="H1169" i="23" s="1"/>
  <c r="A1169" i="23"/>
  <c r="B1168" i="23"/>
  <c r="H1168" i="23" s="1"/>
  <c r="A1168" i="23"/>
  <c r="B1167" i="23"/>
  <c r="H1167" i="23" s="1"/>
  <c r="A1167" i="23"/>
  <c r="B1166" i="23"/>
  <c r="H1166" i="23" s="1"/>
  <c r="A1166" i="23"/>
  <c r="B1165" i="23"/>
  <c r="H1165" i="23" s="1"/>
  <c r="A1165" i="23"/>
  <c r="B1164" i="23"/>
  <c r="H1164" i="23" s="1"/>
  <c r="A1164" i="23"/>
  <c r="B1163" i="23"/>
  <c r="H1163" i="23" s="1"/>
  <c r="A1163" i="23"/>
  <c r="B1162" i="23"/>
  <c r="H1162" i="23" s="1"/>
  <c r="A1162" i="23"/>
  <c r="B1161" i="23"/>
  <c r="H1161" i="23" s="1"/>
  <c r="A1161" i="23"/>
  <c r="B1160" i="23"/>
  <c r="H1160" i="23" s="1"/>
  <c r="A1160" i="23"/>
  <c r="B1159" i="23"/>
  <c r="H1159" i="23" s="1"/>
  <c r="A1159" i="23"/>
  <c r="B1158" i="23"/>
  <c r="H1158" i="23" s="1"/>
  <c r="A1158" i="23"/>
  <c r="B1157" i="23"/>
  <c r="H1157" i="23" s="1"/>
  <c r="A1157" i="23"/>
  <c r="B1156" i="23"/>
  <c r="H1156" i="23" s="1"/>
  <c r="A1156" i="23"/>
  <c r="B1155" i="23"/>
  <c r="H1155" i="23" s="1"/>
  <c r="A1155" i="23"/>
  <c r="B1154" i="23"/>
  <c r="H1154" i="23" s="1"/>
  <c r="A1154" i="23"/>
  <c r="B1153" i="23"/>
  <c r="H1153" i="23" s="1"/>
  <c r="A1153" i="23"/>
  <c r="B1152" i="23"/>
  <c r="H1152" i="23" s="1"/>
  <c r="A1152" i="23"/>
  <c r="B1151" i="23"/>
  <c r="H1151" i="23" s="1"/>
  <c r="A1151" i="23"/>
  <c r="B1150" i="23"/>
  <c r="H1150" i="23" s="1"/>
  <c r="A1150" i="23"/>
  <c r="B1149" i="23"/>
  <c r="H1149" i="23" s="1"/>
  <c r="A1149" i="23"/>
  <c r="B1148" i="23"/>
  <c r="H1148" i="23" s="1"/>
  <c r="A1148" i="23"/>
  <c r="B1147" i="23"/>
  <c r="H1147" i="23" s="1"/>
  <c r="A1147" i="23"/>
  <c r="B1146" i="23"/>
  <c r="H1146" i="23" s="1"/>
  <c r="A1146" i="23"/>
  <c r="B1145" i="23"/>
  <c r="H1145" i="23" s="1"/>
  <c r="A1145" i="23"/>
  <c r="B1144" i="23"/>
  <c r="H1144" i="23" s="1"/>
  <c r="A1144" i="23"/>
  <c r="B1143" i="23"/>
  <c r="H1143" i="23" s="1"/>
  <c r="A1143" i="23"/>
  <c r="B1142" i="23"/>
  <c r="H1142" i="23" s="1"/>
  <c r="A1142" i="23"/>
  <c r="B1141" i="23"/>
  <c r="H1141" i="23" s="1"/>
  <c r="A1141" i="23"/>
  <c r="B1140" i="23"/>
  <c r="H1140" i="23" s="1"/>
  <c r="A1140" i="23"/>
  <c r="B1139" i="23"/>
  <c r="H1139" i="23" s="1"/>
  <c r="A1139" i="23"/>
  <c r="B1138" i="23"/>
  <c r="H1138" i="23" s="1"/>
  <c r="A1138" i="23"/>
  <c r="B1137" i="23"/>
  <c r="H1137" i="23" s="1"/>
  <c r="A1137" i="23"/>
  <c r="B1136" i="23"/>
  <c r="H1136" i="23" s="1"/>
  <c r="A1136" i="23"/>
  <c r="B1135" i="23"/>
  <c r="H1135" i="23" s="1"/>
  <c r="A1135" i="23"/>
  <c r="B1134" i="23"/>
  <c r="H1134" i="23" s="1"/>
  <c r="A1134" i="23"/>
  <c r="B1133" i="23"/>
  <c r="H1133" i="23" s="1"/>
  <c r="A1133" i="23"/>
  <c r="B1132" i="23"/>
  <c r="H1132" i="23" s="1"/>
  <c r="A1132" i="23"/>
  <c r="B1131" i="23"/>
  <c r="H1131" i="23" s="1"/>
  <c r="A1131" i="23"/>
  <c r="B1130" i="23"/>
  <c r="H1130" i="23" s="1"/>
  <c r="A1130" i="23"/>
  <c r="B1129" i="23"/>
  <c r="H1129" i="23" s="1"/>
  <c r="A1129" i="23"/>
  <c r="B1128" i="23"/>
  <c r="H1128" i="23" s="1"/>
  <c r="A1128" i="23"/>
  <c r="B1127" i="23"/>
  <c r="H1127" i="23" s="1"/>
  <c r="A1127" i="23"/>
  <c r="B1126" i="23"/>
  <c r="H1126" i="23" s="1"/>
  <c r="A1126" i="23"/>
  <c r="B1125" i="23"/>
  <c r="H1125" i="23" s="1"/>
  <c r="A1125" i="23"/>
  <c r="B1124" i="23"/>
  <c r="H1124" i="23" s="1"/>
  <c r="A1124" i="23"/>
  <c r="B1123" i="23"/>
  <c r="H1123" i="23" s="1"/>
  <c r="A1123" i="23"/>
  <c r="B1122" i="23"/>
  <c r="H1122" i="23" s="1"/>
  <c r="A1122" i="23"/>
  <c r="B1121" i="23"/>
  <c r="H1121" i="23" s="1"/>
  <c r="A1121" i="23"/>
  <c r="B1120" i="23"/>
  <c r="H1120" i="23" s="1"/>
  <c r="A1120" i="23"/>
  <c r="B1119" i="23"/>
  <c r="H1119" i="23" s="1"/>
  <c r="A1119" i="23"/>
  <c r="B1118" i="23"/>
  <c r="H1118" i="23" s="1"/>
  <c r="A1118" i="23"/>
  <c r="B1117" i="23"/>
  <c r="H1117" i="23" s="1"/>
  <c r="A1117" i="23"/>
  <c r="B1116" i="23"/>
  <c r="H1116" i="23" s="1"/>
  <c r="A1116" i="23"/>
  <c r="B1115" i="23"/>
  <c r="H1115" i="23" s="1"/>
  <c r="A1115" i="23"/>
  <c r="B1114" i="23"/>
  <c r="H1114" i="23" s="1"/>
  <c r="A1114" i="23"/>
  <c r="B1113" i="23"/>
  <c r="H1113" i="23" s="1"/>
  <c r="A1113" i="23"/>
  <c r="B1112" i="23"/>
  <c r="H1112" i="23" s="1"/>
  <c r="A1112" i="23"/>
  <c r="B1111" i="23"/>
  <c r="H1111" i="23" s="1"/>
  <c r="A1111" i="23"/>
  <c r="B1110" i="23"/>
  <c r="H1110" i="23" s="1"/>
  <c r="A1110" i="23"/>
  <c r="B1109" i="23"/>
  <c r="H1109" i="23" s="1"/>
  <c r="A1109" i="23"/>
  <c r="B1108" i="23"/>
  <c r="H1108" i="23" s="1"/>
  <c r="A1108" i="23"/>
  <c r="B1107" i="23"/>
  <c r="H1107" i="23" s="1"/>
  <c r="A1107" i="23"/>
  <c r="B1106" i="23"/>
  <c r="H1106" i="23" s="1"/>
  <c r="A1106" i="23"/>
  <c r="B1105" i="23"/>
  <c r="H1105" i="23" s="1"/>
  <c r="A1105" i="23"/>
  <c r="B1104" i="23"/>
  <c r="H1104" i="23" s="1"/>
  <c r="A1104" i="23"/>
  <c r="B1103" i="23"/>
  <c r="H1103" i="23" s="1"/>
  <c r="A1103" i="23"/>
  <c r="B1102" i="23"/>
  <c r="H1102" i="23" s="1"/>
  <c r="A1102" i="23"/>
  <c r="B1101" i="23"/>
  <c r="H1101" i="23" s="1"/>
  <c r="A1101" i="23"/>
  <c r="B1100" i="23"/>
  <c r="H1100" i="23" s="1"/>
  <c r="A1100" i="23"/>
  <c r="B1099" i="23"/>
  <c r="H1099" i="23" s="1"/>
  <c r="A1099" i="23"/>
  <c r="B1098" i="23"/>
  <c r="H1098" i="23" s="1"/>
  <c r="A1098" i="23"/>
  <c r="B1097" i="23"/>
  <c r="H1097" i="23" s="1"/>
  <c r="A1097" i="23"/>
  <c r="B1096" i="23"/>
  <c r="H1096" i="23" s="1"/>
  <c r="A1096" i="23"/>
  <c r="B1095" i="23"/>
  <c r="H1095" i="23" s="1"/>
  <c r="A1095" i="23"/>
  <c r="B1094" i="23"/>
  <c r="H1094" i="23" s="1"/>
  <c r="A1094" i="23"/>
  <c r="B1093" i="23"/>
  <c r="H1093" i="23" s="1"/>
  <c r="A1093" i="23"/>
  <c r="B1092" i="23"/>
  <c r="H1092" i="23" s="1"/>
  <c r="A1092" i="23"/>
  <c r="B1091" i="23"/>
  <c r="H1091" i="23" s="1"/>
  <c r="A1091" i="23"/>
  <c r="B1090" i="23"/>
  <c r="H1090" i="23" s="1"/>
  <c r="A1090" i="23"/>
  <c r="B1089" i="23"/>
  <c r="H1089" i="23" s="1"/>
  <c r="A1089" i="23"/>
  <c r="B1088" i="23"/>
  <c r="H1088" i="23" s="1"/>
  <c r="A1088" i="23"/>
  <c r="B1087" i="23"/>
  <c r="H1087" i="23" s="1"/>
  <c r="A1087" i="23"/>
  <c r="B1086" i="23"/>
  <c r="H1086" i="23" s="1"/>
  <c r="A1086" i="23"/>
  <c r="B1085" i="23"/>
  <c r="H1085" i="23" s="1"/>
  <c r="A1085" i="23"/>
  <c r="B1084" i="23"/>
  <c r="H1084" i="23" s="1"/>
  <c r="A1084" i="23"/>
  <c r="B1083" i="23"/>
  <c r="H1083" i="23" s="1"/>
  <c r="A1083" i="23"/>
  <c r="B1082" i="23"/>
  <c r="H1082" i="23" s="1"/>
  <c r="A1082" i="23"/>
  <c r="B1081" i="23"/>
  <c r="H1081" i="23" s="1"/>
  <c r="A1081" i="23"/>
  <c r="B1080" i="23"/>
  <c r="H1080" i="23" s="1"/>
  <c r="A1080" i="23"/>
  <c r="B1079" i="23"/>
  <c r="H1079" i="23" s="1"/>
  <c r="A1079" i="23"/>
  <c r="B1078" i="23"/>
  <c r="H1078" i="23" s="1"/>
  <c r="A1078" i="23"/>
  <c r="B1077" i="23"/>
  <c r="H1077" i="23" s="1"/>
  <c r="A1077" i="23"/>
  <c r="B1076" i="23"/>
  <c r="H1076" i="23" s="1"/>
  <c r="A1076" i="23"/>
  <c r="B1075" i="23"/>
  <c r="H1075" i="23" s="1"/>
  <c r="A1075" i="23"/>
  <c r="B1074" i="23"/>
  <c r="H1074" i="23" s="1"/>
  <c r="A1074" i="23"/>
  <c r="B1073" i="23"/>
  <c r="H1073" i="23" s="1"/>
  <c r="A1073" i="23"/>
  <c r="B1072" i="23"/>
  <c r="H1072" i="23" s="1"/>
  <c r="A1072" i="23"/>
  <c r="B1071" i="23"/>
  <c r="H1071" i="23" s="1"/>
  <c r="A1071" i="23"/>
  <c r="B1070" i="23"/>
  <c r="H1070" i="23" s="1"/>
  <c r="A1070" i="23"/>
  <c r="B1069" i="23"/>
  <c r="H1069" i="23" s="1"/>
  <c r="A1069" i="23"/>
  <c r="B1068" i="23"/>
  <c r="H1068" i="23" s="1"/>
  <c r="A1068" i="23"/>
  <c r="B1067" i="23"/>
  <c r="H1067" i="23" s="1"/>
  <c r="A1067" i="23"/>
  <c r="B1066" i="23"/>
  <c r="H1066" i="23" s="1"/>
  <c r="A1066" i="23"/>
  <c r="B1065" i="23"/>
  <c r="H1065" i="23" s="1"/>
  <c r="A1065" i="23"/>
  <c r="B1064" i="23"/>
  <c r="H1064" i="23" s="1"/>
  <c r="A1064" i="23"/>
  <c r="B1063" i="23"/>
  <c r="H1063" i="23" s="1"/>
  <c r="A1063" i="23"/>
  <c r="B1062" i="23"/>
  <c r="H1062" i="23" s="1"/>
  <c r="A1062" i="23"/>
  <c r="B1061" i="23"/>
  <c r="H1061" i="23" s="1"/>
  <c r="A1061" i="23"/>
  <c r="B1060" i="23"/>
  <c r="H1060" i="23" s="1"/>
  <c r="A1060" i="23"/>
  <c r="B1059" i="23"/>
  <c r="H1059" i="23" s="1"/>
  <c r="A1059" i="23"/>
  <c r="B1058" i="23"/>
  <c r="H1058" i="23" s="1"/>
  <c r="A1058" i="23"/>
  <c r="B1057" i="23"/>
  <c r="H1057" i="23" s="1"/>
  <c r="A1057" i="23"/>
  <c r="B1056" i="23"/>
  <c r="H1056" i="23" s="1"/>
  <c r="A1056" i="23"/>
  <c r="B1055" i="23"/>
  <c r="H1055" i="23" s="1"/>
  <c r="A1055" i="23"/>
  <c r="B1054" i="23"/>
  <c r="H1054" i="23" s="1"/>
  <c r="A1054" i="23"/>
  <c r="B1053" i="23"/>
  <c r="H1053" i="23" s="1"/>
  <c r="A1053" i="23"/>
  <c r="B1052" i="23"/>
  <c r="H1052" i="23" s="1"/>
  <c r="A1052" i="23"/>
  <c r="B1051" i="23"/>
  <c r="H1051" i="23" s="1"/>
  <c r="A1051" i="23"/>
  <c r="B1050" i="23"/>
  <c r="H1050" i="23" s="1"/>
  <c r="A1050" i="23"/>
  <c r="B1049" i="23"/>
  <c r="H1049" i="23" s="1"/>
  <c r="A1049" i="23"/>
  <c r="B1048" i="23"/>
  <c r="H1048" i="23" s="1"/>
  <c r="A1048" i="23"/>
  <c r="B1047" i="23"/>
  <c r="H1047" i="23" s="1"/>
  <c r="A1047" i="23"/>
  <c r="B1046" i="23"/>
  <c r="H1046" i="23" s="1"/>
  <c r="A1046" i="23"/>
  <c r="B1045" i="23"/>
  <c r="H1045" i="23" s="1"/>
  <c r="A1045" i="23"/>
  <c r="B1044" i="23"/>
  <c r="H1044" i="23" s="1"/>
  <c r="A1044" i="23"/>
  <c r="B1043" i="23"/>
  <c r="H1043" i="23" s="1"/>
  <c r="A1043" i="23"/>
  <c r="B1042" i="23"/>
  <c r="H1042" i="23" s="1"/>
  <c r="A1042" i="23"/>
  <c r="B1041" i="23"/>
  <c r="H1041" i="23" s="1"/>
  <c r="A1041" i="23"/>
  <c r="B1040" i="23"/>
  <c r="H1040" i="23" s="1"/>
  <c r="A1040" i="23"/>
  <c r="B1039" i="23"/>
  <c r="H1039" i="23" s="1"/>
  <c r="A1039" i="23"/>
  <c r="B1038" i="23"/>
  <c r="H1038" i="23" s="1"/>
  <c r="A1038" i="23"/>
  <c r="B1037" i="23"/>
  <c r="H1037" i="23" s="1"/>
  <c r="A1037" i="23"/>
  <c r="B1036" i="23"/>
  <c r="H1036" i="23" s="1"/>
  <c r="A1036" i="23"/>
  <c r="B1035" i="23"/>
  <c r="H1035" i="23" s="1"/>
  <c r="A1035" i="23"/>
  <c r="B1034" i="23"/>
  <c r="H1034" i="23" s="1"/>
  <c r="A1034" i="23"/>
  <c r="B1033" i="23"/>
  <c r="H1033" i="23" s="1"/>
  <c r="A1033" i="23"/>
  <c r="B1032" i="23"/>
  <c r="H1032" i="23" s="1"/>
  <c r="A1032" i="23"/>
  <c r="B1031" i="23"/>
  <c r="H1031" i="23" s="1"/>
  <c r="A1031" i="23"/>
  <c r="B1030" i="23"/>
  <c r="H1030" i="23" s="1"/>
  <c r="A1030" i="23"/>
  <c r="B1029" i="23"/>
  <c r="H1029" i="23" s="1"/>
  <c r="A1029" i="23"/>
  <c r="B1028" i="23"/>
  <c r="H1028" i="23" s="1"/>
  <c r="A1028" i="23"/>
  <c r="B1027" i="23"/>
  <c r="H1027" i="23" s="1"/>
  <c r="A1027" i="23"/>
  <c r="B1026" i="23"/>
  <c r="H1026" i="23" s="1"/>
  <c r="A1026" i="23"/>
  <c r="B1025" i="23"/>
  <c r="H1025" i="23" s="1"/>
  <c r="A1025" i="23"/>
  <c r="B1024" i="23"/>
  <c r="H1024" i="23" s="1"/>
  <c r="A1024" i="23"/>
  <c r="B1023" i="23"/>
  <c r="H1023" i="23" s="1"/>
  <c r="A1023" i="23"/>
  <c r="B1022" i="23"/>
  <c r="H1022" i="23" s="1"/>
  <c r="A1022" i="23"/>
  <c r="B1021" i="23"/>
  <c r="H1021" i="23" s="1"/>
  <c r="A1021" i="23"/>
  <c r="B1020" i="23"/>
  <c r="H1020" i="23" s="1"/>
  <c r="A1020" i="23"/>
  <c r="B1019" i="23"/>
  <c r="H1019" i="23" s="1"/>
  <c r="A1019" i="23"/>
  <c r="B1018" i="23"/>
  <c r="H1018" i="23" s="1"/>
  <c r="A1018" i="23"/>
  <c r="B1017" i="23"/>
  <c r="H1017" i="23" s="1"/>
  <c r="A1017" i="23"/>
  <c r="B1016" i="23"/>
  <c r="H1016" i="23" s="1"/>
  <c r="A1016" i="23"/>
  <c r="B1015" i="23"/>
  <c r="H1015" i="23" s="1"/>
  <c r="A1015" i="23"/>
  <c r="B1014" i="23"/>
  <c r="H1014" i="23" s="1"/>
  <c r="A1014" i="23"/>
  <c r="B1013" i="23"/>
  <c r="H1013" i="23" s="1"/>
  <c r="A1013" i="23"/>
  <c r="B1012" i="23"/>
  <c r="H1012" i="23" s="1"/>
  <c r="A1012" i="23"/>
  <c r="B1011" i="23"/>
  <c r="H1011" i="23" s="1"/>
  <c r="A1011" i="23"/>
  <c r="B1010" i="23"/>
  <c r="H1010" i="23" s="1"/>
  <c r="A1010" i="23"/>
  <c r="B1009" i="23"/>
  <c r="H1009" i="23" s="1"/>
  <c r="A1009" i="23"/>
  <c r="B1008" i="23"/>
  <c r="H1008" i="23" s="1"/>
  <c r="A1008" i="23"/>
  <c r="B1007" i="23"/>
  <c r="H1007" i="23" s="1"/>
  <c r="A1007" i="23"/>
  <c r="B1006" i="23"/>
  <c r="H1006" i="23" s="1"/>
  <c r="A1006" i="23"/>
  <c r="B1005" i="23"/>
  <c r="H1005" i="23" s="1"/>
  <c r="A1005" i="23"/>
  <c r="B1004" i="23"/>
  <c r="H1004" i="23" s="1"/>
  <c r="A1004" i="23"/>
  <c r="B1003" i="23"/>
  <c r="H1003" i="23" s="1"/>
  <c r="A1003" i="23"/>
  <c r="B1002" i="23"/>
  <c r="H1002" i="23" s="1"/>
  <c r="A1002" i="23"/>
  <c r="B1001" i="23"/>
  <c r="H1001" i="23" s="1"/>
  <c r="A1001" i="23"/>
  <c r="B1000" i="23"/>
  <c r="H1000" i="23" s="1"/>
  <c r="A1000" i="23"/>
  <c r="B999" i="23"/>
  <c r="H999" i="23" s="1"/>
  <c r="A999" i="23"/>
  <c r="B998" i="23"/>
  <c r="H998" i="23" s="1"/>
  <c r="A998" i="23"/>
  <c r="B997" i="23"/>
  <c r="H997" i="23" s="1"/>
  <c r="A997" i="23"/>
  <c r="B996" i="23"/>
  <c r="H996" i="23" s="1"/>
  <c r="A996" i="23"/>
  <c r="B995" i="23"/>
  <c r="H995" i="23" s="1"/>
  <c r="A995" i="23"/>
  <c r="B994" i="23"/>
  <c r="H994" i="23" s="1"/>
  <c r="A994" i="23"/>
  <c r="B993" i="23"/>
  <c r="H993" i="23" s="1"/>
  <c r="A993" i="23"/>
  <c r="B992" i="23"/>
  <c r="H992" i="23" s="1"/>
  <c r="A992" i="23"/>
  <c r="B991" i="23"/>
  <c r="H991" i="23" s="1"/>
  <c r="A991" i="23"/>
  <c r="B990" i="23"/>
  <c r="H990" i="23" s="1"/>
  <c r="A990" i="23"/>
  <c r="B989" i="23"/>
  <c r="H989" i="23" s="1"/>
  <c r="A989" i="23"/>
  <c r="B988" i="23"/>
  <c r="H988" i="23" s="1"/>
  <c r="A988" i="23"/>
  <c r="B987" i="23"/>
  <c r="H987" i="23" s="1"/>
  <c r="A987" i="23"/>
  <c r="B986" i="23"/>
  <c r="H986" i="23" s="1"/>
  <c r="A986" i="23"/>
  <c r="B985" i="23"/>
  <c r="H985" i="23" s="1"/>
  <c r="A985" i="23"/>
  <c r="B984" i="23"/>
  <c r="H984" i="23" s="1"/>
  <c r="A984" i="23"/>
  <c r="B983" i="23"/>
  <c r="H983" i="23" s="1"/>
  <c r="A983" i="23"/>
  <c r="B982" i="23"/>
  <c r="H982" i="23" s="1"/>
  <c r="A982" i="23"/>
  <c r="B981" i="23"/>
  <c r="H981" i="23" s="1"/>
  <c r="A981" i="23"/>
  <c r="B980" i="23"/>
  <c r="H980" i="23" s="1"/>
  <c r="A980" i="23"/>
  <c r="B979" i="23"/>
  <c r="H979" i="23" s="1"/>
  <c r="A979" i="23"/>
  <c r="B978" i="23"/>
  <c r="H978" i="23" s="1"/>
  <c r="A978" i="23"/>
  <c r="B977" i="23"/>
  <c r="H977" i="23" s="1"/>
  <c r="A977" i="23"/>
  <c r="B976" i="23"/>
  <c r="H976" i="23" s="1"/>
  <c r="A976" i="23"/>
  <c r="B975" i="23"/>
  <c r="H975" i="23" s="1"/>
  <c r="A975" i="23"/>
  <c r="B974" i="23"/>
  <c r="H974" i="23" s="1"/>
  <c r="A974" i="23"/>
  <c r="B973" i="23"/>
  <c r="H973" i="23" s="1"/>
  <c r="A973" i="23"/>
  <c r="B972" i="23"/>
  <c r="H972" i="23" s="1"/>
  <c r="A972" i="23"/>
  <c r="B971" i="23"/>
  <c r="H971" i="23" s="1"/>
  <c r="A971" i="23"/>
  <c r="B970" i="23"/>
  <c r="H970" i="23" s="1"/>
  <c r="A970" i="23"/>
  <c r="B969" i="23"/>
  <c r="H969" i="23" s="1"/>
  <c r="A969" i="23"/>
  <c r="B968" i="23"/>
  <c r="H968" i="23" s="1"/>
  <c r="A968" i="23"/>
  <c r="B967" i="23"/>
  <c r="H967" i="23" s="1"/>
  <c r="A967" i="23"/>
  <c r="B966" i="23"/>
  <c r="H966" i="23" s="1"/>
  <c r="A966" i="23"/>
  <c r="B965" i="23"/>
  <c r="H965" i="23" s="1"/>
  <c r="A965" i="23"/>
  <c r="B964" i="23"/>
  <c r="H964" i="23" s="1"/>
  <c r="A964" i="23"/>
  <c r="B963" i="23"/>
  <c r="H963" i="23" s="1"/>
  <c r="A963" i="23"/>
  <c r="B962" i="23"/>
  <c r="H962" i="23" s="1"/>
  <c r="A962" i="23"/>
  <c r="B961" i="23"/>
  <c r="H961" i="23" s="1"/>
  <c r="A961" i="23"/>
  <c r="B960" i="23"/>
  <c r="H960" i="23" s="1"/>
  <c r="A960" i="23"/>
  <c r="B959" i="23"/>
  <c r="H959" i="23" s="1"/>
  <c r="A959" i="23"/>
  <c r="B958" i="23"/>
  <c r="H958" i="23" s="1"/>
  <c r="A958" i="23"/>
  <c r="B957" i="23"/>
  <c r="H957" i="23" s="1"/>
  <c r="A957" i="23"/>
  <c r="B956" i="23"/>
  <c r="H956" i="23" s="1"/>
  <c r="A956" i="23"/>
  <c r="B955" i="23"/>
  <c r="H955" i="23" s="1"/>
  <c r="A955" i="23"/>
  <c r="B954" i="23"/>
  <c r="H954" i="23" s="1"/>
  <c r="A954" i="23"/>
  <c r="B953" i="23"/>
  <c r="H953" i="23" s="1"/>
  <c r="A953" i="23"/>
  <c r="B952" i="23"/>
  <c r="H952" i="23" s="1"/>
  <c r="A952" i="23"/>
  <c r="B951" i="23"/>
  <c r="H951" i="23" s="1"/>
  <c r="A951" i="23"/>
  <c r="B950" i="23"/>
  <c r="H950" i="23" s="1"/>
  <c r="A950" i="23"/>
  <c r="B949" i="23"/>
  <c r="H949" i="23" s="1"/>
  <c r="A949" i="23"/>
  <c r="B948" i="23"/>
  <c r="H948" i="23" s="1"/>
  <c r="A948" i="23"/>
  <c r="B947" i="23"/>
  <c r="H947" i="23" s="1"/>
  <c r="A947" i="23"/>
  <c r="B946" i="23"/>
  <c r="H946" i="23" s="1"/>
  <c r="A946" i="23"/>
  <c r="B945" i="23"/>
  <c r="H945" i="23" s="1"/>
  <c r="A945" i="23"/>
  <c r="B944" i="23"/>
  <c r="H944" i="23" s="1"/>
  <c r="A944" i="23"/>
  <c r="B943" i="23"/>
  <c r="H943" i="23" s="1"/>
  <c r="A943" i="23"/>
  <c r="B942" i="23"/>
  <c r="H942" i="23" s="1"/>
  <c r="A942" i="23"/>
  <c r="B941" i="23"/>
  <c r="H941" i="23" s="1"/>
  <c r="A941" i="23"/>
  <c r="B940" i="23"/>
  <c r="H940" i="23" s="1"/>
  <c r="A940" i="23"/>
  <c r="B939" i="23"/>
  <c r="H939" i="23" s="1"/>
  <c r="A939" i="23"/>
  <c r="B938" i="23"/>
  <c r="H938" i="23" s="1"/>
  <c r="A938" i="23"/>
  <c r="B937" i="23"/>
  <c r="H937" i="23" s="1"/>
  <c r="A937" i="23"/>
  <c r="B936" i="23"/>
  <c r="H936" i="23" s="1"/>
  <c r="A936" i="23"/>
  <c r="B935" i="23"/>
  <c r="H935" i="23" s="1"/>
  <c r="A935" i="23"/>
  <c r="B934" i="23"/>
  <c r="H934" i="23" s="1"/>
  <c r="A934" i="23"/>
  <c r="B933" i="23"/>
  <c r="H933" i="23" s="1"/>
  <c r="A933" i="23"/>
  <c r="B932" i="23"/>
  <c r="H932" i="23" s="1"/>
  <c r="A932" i="23"/>
  <c r="B931" i="23"/>
  <c r="H931" i="23" s="1"/>
  <c r="A931" i="23"/>
  <c r="B930" i="23"/>
  <c r="H930" i="23" s="1"/>
  <c r="A930" i="23"/>
  <c r="B929" i="23"/>
  <c r="H929" i="23" s="1"/>
  <c r="A929" i="23"/>
  <c r="B928" i="23"/>
  <c r="H928" i="23" s="1"/>
  <c r="A928" i="23"/>
  <c r="B927" i="23"/>
  <c r="H927" i="23" s="1"/>
  <c r="A927" i="23"/>
  <c r="B926" i="23"/>
  <c r="H926" i="23" s="1"/>
  <c r="A926" i="23"/>
  <c r="B925" i="23"/>
  <c r="H925" i="23" s="1"/>
  <c r="A925" i="23"/>
  <c r="B924" i="23"/>
  <c r="H924" i="23" s="1"/>
  <c r="A924" i="23"/>
  <c r="B923" i="23"/>
  <c r="H923" i="23" s="1"/>
  <c r="A923" i="23"/>
  <c r="B922" i="23"/>
  <c r="H922" i="23" s="1"/>
  <c r="A922" i="23"/>
  <c r="B921" i="23"/>
  <c r="H921" i="23" s="1"/>
  <c r="A921" i="23"/>
  <c r="B920" i="23"/>
  <c r="H920" i="23" s="1"/>
  <c r="A920" i="23"/>
  <c r="B919" i="23"/>
  <c r="H919" i="23" s="1"/>
  <c r="A919" i="23"/>
  <c r="B918" i="23"/>
  <c r="H918" i="23" s="1"/>
  <c r="A918" i="23"/>
  <c r="B917" i="23"/>
  <c r="H917" i="23" s="1"/>
  <c r="A917" i="23"/>
  <c r="B916" i="23"/>
  <c r="H916" i="23" s="1"/>
  <c r="A916" i="23"/>
  <c r="B915" i="23"/>
  <c r="H915" i="23" s="1"/>
  <c r="A915" i="23"/>
  <c r="B914" i="23"/>
  <c r="H914" i="23" s="1"/>
  <c r="A914" i="23"/>
  <c r="B913" i="23"/>
  <c r="H913" i="23" s="1"/>
  <c r="A913" i="23"/>
  <c r="B912" i="23"/>
  <c r="H912" i="23" s="1"/>
  <c r="A912" i="23"/>
  <c r="B911" i="23"/>
  <c r="H911" i="23" s="1"/>
  <c r="A911" i="23"/>
  <c r="B910" i="23"/>
  <c r="H910" i="23" s="1"/>
  <c r="A910" i="23"/>
  <c r="B909" i="23"/>
  <c r="H909" i="23" s="1"/>
  <c r="A909" i="23"/>
  <c r="B908" i="23"/>
  <c r="H908" i="23" s="1"/>
  <c r="A908" i="23"/>
  <c r="B907" i="23"/>
  <c r="H907" i="23" s="1"/>
  <c r="A907" i="23"/>
  <c r="B906" i="23"/>
  <c r="H906" i="23" s="1"/>
  <c r="A906" i="23"/>
  <c r="B905" i="23"/>
  <c r="H905" i="23" s="1"/>
  <c r="A905" i="23"/>
  <c r="B904" i="23"/>
  <c r="H904" i="23" s="1"/>
  <c r="A904" i="23"/>
  <c r="B903" i="23"/>
  <c r="H903" i="23" s="1"/>
  <c r="A903" i="23"/>
  <c r="B902" i="23"/>
  <c r="H902" i="23" s="1"/>
  <c r="A902" i="23"/>
  <c r="B901" i="23"/>
  <c r="H901" i="23" s="1"/>
  <c r="A901" i="23"/>
  <c r="B900" i="23"/>
  <c r="H900" i="23" s="1"/>
  <c r="A900" i="23"/>
  <c r="B899" i="23"/>
  <c r="H899" i="23" s="1"/>
  <c r="A899" i="23"/>
  <c r="B898" i="23"/>
  <c r="H898" i="23" s="1"/>
  <c r="A898" i="23"/>
  <c r="B897" i="23"/>
  <c r="H897" i="23" s="1"/>
  <c r="A897" i="23"/>
  <c r="B896" i="23"/>
  <c r="H896" i="23" s="1"/>
  <c r="A896" i="23"/>
  <c r="B895" i="23"/>
  <c r="H895" i="23" s="1"/>
  <c r="A895" i="23"/>
  <c r="B894" i="23"/>
  <c r="H894" i="23" s="1"/>
  <c r="A894" i="23"/>
  <c r="B893" i="23"/>
  <c r="H893" i="23" s="1"/>
  <c r="A893" i="23"/>
  <c r="B892" i="23"/>
  <c r="H892" i="23" s="1"/>
  <c r="A892" i="23"/>
  <c r="B891" i="23"/>
  <c r="H891" i="23" s="1"/>
  <c r="A891" i="23"/>
  <c r="B890" i="23"/>
  <c r="H890" i="23" s="1"/>
  <c r="A890" i="23"/>
  <c r="B889" i="23"/>
  <c r="H889" i="23" s="1"/>
  <c r="A889" i="23"/>
  <c r="B888" i="23"/>
  <c r="H888" i="23" s="1"/>
  <c r="A888" i="23"/>
  <c r="B887" i="23"/>
  <c r="H887" i="23" s="1"/>
  <c r="A887" i="23"/>
  <c r="B886" i="23"/>
  <c r="H886" i="23" s="1"/>
  <c r="A886" i="23"/>
  <c r="B885" i="23"/>
  <c r="H885" i="23" s="1"/>
  <c r="A885" i="23"/>
  <c r="B884" i="23"/>
  <c r="H884" i="23" s="1"/>
  <c r="A884" i="23"/>
  <c r="B883" i="23"/>
  <c r="H883" i="23" s="1"/>
  <c r="A883" i="23"/>
  <c r="B882" i="23"/>
  <c r="H882" i="23" s="1"/>
  <c r="A882" i="23"/>
  <c r="B881" i="23"/>
  <c r="H881" i="23" s="1"/>
  <c r="A881" i="23"/>
  <c r="B880" i="23"/>
  <c r="H880" i="23" s="1"/>
  <c r="A880" i="23"/>
  <c r="B879" i="23"/>
  <c r="H879" i="23" s="1"/>
  <c r="A879" i="23"/>
  <c r="B878" i="23"/>
  <c r="H878" i="23" s="1"/>
  <c r="A878" i="23"/>
  <c r="B877" i="23"/>
  <c r="H877" i="23" s="1"/>
  <c r="A877" i="23"/>
  <c r="B876" i="23"/>
  <c r="H876" i="23" s="1"/>
  <c r="A876" i="23"/>
  <c r="B875" i="23"/>
  <c r="H875" i="23" s="1"/>
  <c r="A875" i="23"/>
  <c r="B874" i="23"/>
  <c r="H874" i="23" s="1"/>
  <c r="A874" i="23"/>
  <c r="B873" i="23"/>
  <c r="H873" i="23" s="1"/>
  <c r="A873" i="23"/>
  <c r="B872" i="23"/>
  <c r="H872" i="23" s="1"/>
  <c r="A872" i="23"/>
  <c r="B871" i="23"/>
  <c r="H871" i="23" s="1"/>
  <c r="A871" i="23"/>
  <c r="B870" i="23"/>
  <c r="H870" i="23" s="1"/>
  <c r="A870" i="23"/>
  <c r="B869" i="23"/>
  <c r="H869" i="23" s="1"/>
  <c r="A869" i="23"/>
  <c r="B868" i="23"/>
  <c r="H868" i="23" s="1"/>
  <c r="A868" i="23"/>
  <c r="B867" i="23"/>
  <c r="H867" i="23" s="1"/>
  <c r="A867" i="23"/>
  <c r="B866" i="23"/>
  <c r="H866" i="23" s="1"/>
  <c r="A866" i="23"/>
  <c r="B865" i="23"/>
  <c r="H865" i="23" s="1"/>
  <c r="A865" i="23"/>
  <c r="B864" i="23"/>
  <c r="H864" i="23" s="1"/>
  <c r="A864" i="23"/>
  <c r="B863" i="23"/>
  <c r="H863" i="23" s="1"/>
  <c r="A863" i="23"/>
  <c r="B862" i="23"/>
  <c r="H862" i="23" s="1"/>
  <c r="A862" i="23"/>
  <c r="B861" i="23"/>
  <c r="H861" i="23" s="1"/>
  <c r="A861" i="23"/>
  <c r="B860" i="23"/>
  <c r="H860" i="23" s="1"/>
  <c r="A860" i="23"/>
  <c r="B859" i="23"/>
  <c r="H859" i="23" s="1"/>
  <c r="A859" i="23"/>
  <c r="B858" i="23"/>
  <c r="H858" i="23" s="1"/>
  <c r="A858" i="23"/>
  <c r="B857" i="23"/>
  <c r="H857" i="23" s="1"/>
  <c r="A857" i="23"/>
  <c r="B856" i="23"/>
  <c r="H856" i="23" s="1"/>
  <c r="A856" i="23"/>
  <c r="B855" i="23"/>
  <c r="H855" i="23" s="1"/>
  <c r="A855" i="23"/>
  <c r="B854" i="23"/>
  <c r="H854" i="23" s="1"/>
  <c r="A854" i="23"/>
  <c r="B853" i="23"/>
  <c r="H853" i="23" s="1"/>
  <c r="A853" i="23"/>
  <c r="B852" i="23"/>
  <c r="H852" i="23" s="1"/>
  <c r="A852" i="23"/>
  <c r="B851" i="23"/>
  <c r="H851" i="23" s="1"/>
  <c r="A851" i="23"/>
  <c r="B850" i="23"/>
  <c r="H850" i="23" s="1"/>
  <c r="A850" i="23"/>
  <c r="B849" i="23"/>
  <c r="H849" i="23" s="1"/>
  <c r="A849" i="23"/>
  <c r="B848" i="23"/>
  <c r="H848" i="23" s="1"/>
  <c r="A848" i="23"/>
  <c r="B847" i="23"/>
  <c r="H847" i="23" s="1"/>
  <c r="A847" i="23"/>
  <c r="B846" i="23"/>
  <c r="H846" i="23" s="1"/>
  <c r="A846" i="23"/>
  <c r="B845" i="23"/>
  <c r="H845" i="23" s="1"/>
  <c r="A845" i="23"/>
  <c r="B844" i="23"/>
  <c r="H844" i="23" s="1"/>
  <c r="A844" i="23"/>
  <c r="B843" i="23"/>
  <c r="H843" i="23" s="1"/>
  <c r="A843" i="23"/>
  <c r="B842" i="23"/>
  <c r="H842" i="23" s="1"/>
  <c r="A842" i="23"/>
  <c r="B841" i="23"/>
  <c r="H841" i="23" s="1"/>
  <c r="A841" i="23"/>
  <c r="B840" i="23"/>
  <c r="H840" i="23" s="1"/>
  <c r="A840" i="23"/>
  <c r="B839" i="23"/>
  <c r="H839" i="23" s="1"/>
  <c r="A839" i="23"/>
  <c r="B838" i="23"/>
  <c r="H838" i="23" s="1"/>
  <c r="A838" i="23"/>
  <c r="B837" i="23"/>
  <c r="H837" i="23" s="1"/>
  <c r="A837" i="23"/>
  <c r="B836" i="23"/>
  <c r="H836" i="23" s="1"/>
  <c r="A836" i="23"/>
  <c r="B835" i="23"/>
  <c r="H835" i="23" s="1"/>
  <c r="A835" i="23"/>
  <c r="B834" i="23"/>
  <c r="H834" i="23" s="1"/>
  <c r="A834" i="23"/>
  <c r="B833" i="23"/>
  <c r="H833" i="23" s="1"/>
  <c r="A833" i="23"/>
  <c r="B832" i="23"/>
  <c r="H832" i="23" s="1"/>
  <c r="A832" i="23"/>
  <c r="B831" i="23"/>
  <c r="H831" i="23" s="1"/>
  <c r="A831" i="23"/>
  <c r="B830" i="23"/>
  <c r="H830" i="23" s="1"/>
  <c r="A830" i="23"/>
  <c r="B829" i="23"/>
  <c r="H829" i="23" s="1"/>
  <c r="A829" i="23"/>
  <c r="B828" i="23"/>
  <c r="H828" i="23" s="1"/>
  <c r="A828" i="23"/>
  <c r="B827" i="23"/>
  <c r="H827" i="23" s="1"/>
  <c r="A827" i="23"/>
  <c r="B826" i="23"/>
  <c r="H826" i="23" s="1"/>
  <c r="A826" i="23"/>
  <c r="B825" i="23"/>
  <c r="H825" i="23" s="1"/>
  <c r="A825" i="23"/>
  <c r="B824" i="23"/>
  <c r="H824" i="23" s="1"/>
  <c r="A824" i="23"/>
  <c r="B823" i="23"/>
  <c r="H823" i="23" s="1"/>
  <c r="A823" i="23"/>
  <c r="B822" i="23"/>
  <c r="H822" i="23" s="1"/>
  <c r="A822" i="23"/>
  <c r="B821" i="23"/>
  <c r="H821" i="23" s="1"/>
  <c r="A821" i="23"/>
  <c r="B820" i="23"/>
  <c r="H820" i="23" s="1"/>
  <c r="A820" i="23"/>
  <c r="B819" i="23"/>
  <c r="H819" i="23" s="1"/>
  <c r="A819" i="23"/>
  <c r="B818" i="23"/>
  <c r="H818" i="23" s="1"/>
  <c r="A818" i="23"/>
  <c r="B817" i="23"/>
  <c r="H817" i="23" s="1"/>
  <c r="A817" i="23"/>
  <c r="B816" i="23"/>
  <c r="H816" i="23" s="1"/>
  <c r="A816" i="23"/>
  <c r="B815" i="23"/>
  <c r="H815" i="23" s="1"/>
  <c r="A815" i="23"/>
  <c r="B814" i="23"/>
  <c r="H814" i="23" s="1"/>
  <c r="A814" i="23"/>
  <c r="B813" i="23"/>
  <c r="H813" i="23" s="1"/>
  <c r="A813" i="23"/>
  <c r="B812" i="23"/>
  <c r="H812" i="23" s="1"/>
  <c r="A812" i="23"/>
  <c r="B811" i="23"/>
  <c r="H811" i="23" s="1"/>
  <c r="A811" i="23"/>
  <c r="B810" i="23"/>
  <c r="H810" i="23" s="1"/>
  <c r="A810" i="23"/>
  <c r="B809" i="23"/>
  <c r="H809" i="23" s="1"/>
  <c r="A809" i="23"/>
  <c r="B808" i="23"/>
  <c r="H808" i="23" s="1"/>
  <c r="A808" i="23"/>
  <c r="B807" i="23"/>
  <c r="H807" i="23" s="1"/>
  <c r="A807" i="23"/>
  <c r="B806" i="23"/>
  <c r="H806" i="23" s="1"/>
  <c r="A806" i="23"/>
  <c r="B805" i="23"/>
  <c r="H805" i="23" s="1"/>
  <c r="A805" i="23"/>
  <c r="B804" i="23"/>
  <c r="H804" i="23" s="1"/>
  <c r="A804" i="23"/>
  <c r="B803" i="23"/>
  <c r="H803" i="23" s="1"/>
  <c r="A803" i="23"/>
  <c r="B802" i="23"/>
  <c r="H802" i="23" s="1"/>
  <c r="A802" i="23"/>
  <c r="B801" i="23"/>
  <c r="H801" i="23" s="1"/>
  <c r="A801" i="23"/>
  <c r="B800" i="23"/>
  <c r="H800" i="23" s="1"/>
  <c r="A800" i="23"/>
  <c r="B799" i="23"/>
  <c r="H799" i="23" s="1"/>
  <c r="A799" i="23"/>
  <c r="B798" i="23"/>
  <c r="H798" i="23" s="1"/>
  <c r="A798" i="23"/>
  <c r="B797" i="23"/>
  <c r="H797" i="23" s="1"/>
  <c r="A797" i="23"/>
  <c r="B796" i="23"/>
  <c r="H796" i="23" s="1"/>
  <c r="A796" i="23"/>
  <c r="B795" i="23"/>
  <c r="H795" i="23" s="1"/>
  <c r="A795" i="23"/>
  <c r="B794" i="23"/>
  <c r="H794" i="23" s="1"/>
  <c r="A794" i="23"/>
  <c r="B793" i="23"/>
  <c r="H793" i="23" s="1"/>
  <c r="A793" i="23"/>
  <c r="B792" i="23"/>
  <c r="H792" i="23" s="1"/>
  <c r="A792" i="23"/>
  <c r="B791" i="23"/>
  <c r="H791" i="23" s="1"/>
  <c r="A791" i="23"/>
  <c r="B790" i="23"/>
  <c r="H790" i="23" s="1"/>
  <c r="A790" i="23"/>
  <c r="B789" i="23"/>
  <c r="H789" i="23" s="1"/>
  <c r="A789" i="23"/>
  <c r="B788" i="23"/>
  <c r="H788" i="23" s="1"/>
  <c r="A788" i="23"/>
  <c r="B787" i="23"/>
  <c r="H787" i="23" s="1"/>
  <c r="A787" i="23"/>
  <c r="B786" i="23"/>
  <c r="H786" i="23" s="1"/>
  <c r="A786" i="23"/>
  <c r="B785" i="23"/>
  <c r="H785" i="23" s="1"/>
  <c r="A785" i="23"/>
  <c r="B784" i="23"/>
  <c r="H784" i="23" s="1"/>
  <c r="A784" i="23"/>
  <c r="B783" i="23"/>
  <c r="H783" i="23" s="1"/>
  <c r="A783" i="23"/>
  <c r="B782" i="23"/>
  <c r="H782" i="23" s="1"/>
  <c r="A782" i="23"/>
  <c r="B781" i="23"/>
  <c r="H781" i="23" s="1"/>
  <c r="A781" i="23"/>
  <c r="B780" i="23"/>
  <c r="H780" i="23" s="1"/>
  <c r="A780" i="23"/>
  <c r="B779" i="23"/>
  <c r="H779" i="23" s="1"/>
  <c r="A779" i="23"/>
  <c r="B778" i="23"/>
  <c r="H778" i="23" s="1"/>
  <c r="A778" i="23"/>
  <c r="B777" i="23"/>
  <c r="H777" i="23" s="1"/>
  <c r="A777" i="23"/>
  <c r="B776" i="23"/>
  <c r="H776" i="23" s="1"/>
  <c r="A776" i="23"/>
  <c r="B775" i="23"/>
  <c r="H775" i="23" s="1"/>
  <c r="A775" i="23"/>
  <c r="B774" i="23"/>
  <c r="H774" i="23" s="1"/>
  <c r="A774" i="23"/>
  <c r="B773" i="23"/>
  <c r="H773" i="23" s="1"/>
  <c r="A773" i="23"/>
  <c r="B772" i="23"/>
  <c r="H772" i="23" s="1"/>
  <c r="A772" i="23"/>
  <c r="B771" i="23"/>
  <c r="H771" i="23" s="1"/>
  <c r="A771" i="23"/>
  <c r="B770" i="23"/>
  <c r="H770" i="23" s="1"/>
  <c r="A770" i="23"/>
  <c r="B769" i="23"/>
  <c r="H769" i="23" s="1"/>
  <c r="A769" i="23"/>
  <c r="B768" i="23"/>
  <c r="H768" i="23" s="1"/>
  <c r="A768" i="23"/>
  <c r="B767" i="23"/>
  <c r="H767" i="23" s="1"/>
  <c r="A767" i="23"/>
  <c r="B766" i="23"/>
  <c r="H766" i="23" s="1"/>
  <c r="A766" i="23"/>
  <c r="B765" i="23"/>
  <c r="H765" i="23" s="1"/>
  <c r="A765" i="23"/>
  <c r="B764" i="23"/>
  <c r="H764" i="23" s="1"/>
  <c r="A764" i="23"/>
  <c r="B763" i="23"/>
  <c r="H763" i="23" s="1"/>
  <c r="A763" i="23"/>
  <c r="B762" i="23"/>
  <c r="H762" i="23" s="1"/>
  <c r="A762" i="23"/>
  <c r="B761" i="23"/>
  <c r="H761" i="23" s="1"/>
  <c r="A761" i="23"/>
  <c r="B760" i="23"/>
  <c r="H760" i="23" s="1"/>
  <c r="A760" i="23"/>
  <c r="B759" i="23"/>
  <c r="H759" i="23" s="1"/>
  <c r="A759" i="23"/>
  <c r="B758" i="23"/>
  <c r="H758" i="23" s="1"/>
  <c r="A758" i="23"/>
  <c r="B757" i="23"/>
  <c r="H757" i="23" s="1"/>
  <c r="A757" i="23"/>
  <c r="B756" i="23"/>
  <c r="H756" i="23" s="1"/>
  <c r="A756" i="23"/>
  <c r="B755" i="23"/>
  <c r="H755" i="23" s="1"/>
  <c r="A755" i="23"/>
  <c r="B754" i="23"/>
  <c r="H754" i="23" s="1"/>
  <c r="A754" i="23"/>
  <c r="B753" i="23"/>
  <c r="H753" i="23" s="1"/>
  <c r="A753" i="23"/>
  <c r="B752" i="23"/>
  <c r="H752" i="23" s="1"/>
  <c r="A752" i="23"/>
  <c r="B751" i="23"/>
  <c r="H751" i="23" s="1"/>
  <c r="A751" i="23"/>
  <c r="B750" i="23"/>
  <c r="H750" i="23" s="1"/>
  <c r="A750" i="23"/>
  <c r="B749" i="23"/>
  <c r="H749" i="23" s="1"/>
  <c r="A749" i="23"/>
  <c r="B748" i="23"/>
  <c r="H748" i="23" s="1"/>
  <c r="A748" i="23"/>
  <c r="B747" i="23"/>
  <c r="H747" i="23" s="1"/>
  <c r="A747" i="23"/>
  <c r="B746" i="23"/>
  <c r="H746" i="23" s="1"/>
  <c r="A746" i="23"/>
  <c r="B745" i="23"/>
  <c r="H745" i="23" s="1"/>
  <c r="A745" i="23"/>
  <c r="B744" i="23"/>
  <c r="H744" i="23" s="1"/>
  <c r="A744" i="23"/>
  <c r="B743" i="23"/>
  <c r="H743" i="23" s="1"/>
  <c r="A743" i="23"/>
  <c r="B742" i="23"/>
  <c r="H742" i="23" s="1"/>
  <c r="A742" i="23"/>
  <c r="B741" i="23"/>
  <c r="H741" i="23" s="1"/>
  <c r="A741" i="23"/>
  <c r="B740" i="23"/>
  <c r="H740" i="23" s="1"/>
  <c r="A740" i="23"/>
  <c r="B739" i="23"/>
  <c r="H739" i="23" s="1"/>
  <c r="A739" i="23"/>
  <c r="B738" i="23"/>
  <c r="H738" i="23" s="1"/>
  <c r="A738" i="23"/>
  <c r="B737" i="23"/>
  <c r="H737" i="23" s="1"/>
  <c r="A737" i="23"/>
  <c r="B736" i="23"/>
  <c r="H736" i="23" s="1"/>
  <c r="A736" i="23"/>
  <c r="B735" i="23"/>
  <c r="H735" i="23" s="1"/>
  <c r="A735" i="23"/>
  <c r="B734" i="23"/>
  <c r="H734" i="23" s="1"/>
  <c r="A734" i="23"/>
  <c r="B733" i="23"/>
  <c r="H733" i="23" s="1"/>
  <c r="A733" i="23"/>
  <c r="B732" i="23"/>
  <c r="H732" i="23" s="1"/>
  <c r="A732" i="23"/>
  <c r="B731" i="23"/>
  <c r="H731" i="23" s="1"/>
  <c r="A731" i="23"/>
  <c r="B730" i="23"/>
  <c r="H730" i="23" s="1"/>
  <c r="A730" i="23"/>
  <c r="B729" i="23"/>
  <c r="H729" i="23" s="1"/>
  <c r="A729" i="23"/>
  <c r="B728" i="23"/>
  <c r="H728" i="23" s="1"/>
  <c r="A728" i="23"/>
  <c r="B727" i="23"/>
  <c r="H727" i="23" s="1"/>
  <c r="A727" i="23"/>
  <c r="B726" i="23"/>
  <c r="H726" i="23" s="1"/>
  <c r="A726" i="23"/>
  <c r="B725" i="23"/>
  <c r="H725" i="23" s="1"/>
  <c r="A725" i="23"/>
  <c r="B724" i="23"/>
  <c r="H724" i="23" s="1"/>
  <c r="A724" i="23"/>
  <c r="B723" i="23"/>
  <c r="H723" i="23" s="1"/>
  <c r="A723" i="23"/>
  <c r="B722" i="23"/>
  <c r="H722" i="23" s="1"/>
  <c r="A722" i="23"/>
  <c r="B721" i="23"/>
  <c r="H721" i="23" s="1"/>
  <c r="A721" i="23"/>
  <c r="B720" i="23"/>
  <c r="H720" i="23" s="1"/>
  <c r="A720" i="23"/>
  <c r="B719" i="23"/>
  <c r="H719" i="23" s="1"/>
  <c r="A719" i="23"/>
  <c r="B718" i="23"/>
  <c r="H718" i="23" s="1"/>
  <c r="A718" i="23"/>
  <c r="B717" i="23"/>
  <c r="H717" i="23" s="1"/>
  <c r="A717" i="23"/>
  <c r="B716" i="23"/>
  <c r="H716" i="23" s="1"/>
  <c r="A716" i="23"/>
  <c r="B715" i="23"/>
  <c r="H715" i="23" s="1"/>
  <c r="A715" i="23"/>
  <c r="B714" i="23"/>
  <c r="H714" i="23" s="1"/>
  <c r="A714" i="23"/>
  <c r="B713" i="23"/>
  <c r="H713" i="23" s="1"/>
  <c r="A713" i="23"/>
  <c r="B712" i="23"/>
  <c r="H712" i="23" s="1"/>
  <c r="A712" i="23"/>
  <c r="B711" i="23"/>
  <c r="H711" i="23" s="1"/>
  <c r="A711" i="23"/>
  <c r="B710" i="23"/>
  <c r="H710" i="23" s="1"/>
  <c r="A710" i="23"/>
  <c r="B709" i="23"/>
  <c r="H709" i="23" s="1"/>
  <c r="A709" i="23"/>
  <c r="B708" i="23"/>
  <c r="H708" i="23" s="1"/>
  <c r="A708" i="23"/>
  <c r="B707" i="23"/>
  <c r="H707" i="23" s="1"/>
  <c r="A707" i="23"/>
  <c r="B706" i="23"/>
  <c r="H706" i="23" s="1"/>
  <c r="A706" i="23"/>
  <c r="B705" i="23"/>
  <c r="H705" i="23" s="1"/>
  <c r="A705" i="23"/>
  <c r="B704" i="23"/>
  <c r="H704" i="23" s="1"/>
  <c r="A704" i="23"/>
  <c r="B703" i="23"/>
  <c r="H703" i="23" s="1"/>
  <c r="A703" i="23"/>
  <c r="B702" i="23"/>
  <c r="H702" i="23" s="1"/>
  <c r="A702" i="23"/>
  <c r="B701" i="23"/>
  <c r="H701" i="23" s="1"/>
  <c r="A701" i="23"/>
  <c r="B700" i="23"/>
  <c r="H700" i="23" s="1"/>
  <c r="A700" i="23"/>
  <c r="B699" i="23"/>
  <c r="H699" i="23" s="1"/>
  <c r="A699" i="23"/>
  <c r="B698" i="23"/>
  <c r="H698" i="23" s="1"/>
  <c r="A698" i="23"/>
  <c r="B697" i="23"/>
  <c r="H697" i="23" s="1"/>
  <c r="A697" i="23"/>
  <c r="B696" i="23"/>
  <c r="H696" i="23" s="1"/>
  <c r="A696" i="23"/>
  <c r="B695" i="23"/>
  <c r="H695" i="23" s="1"/>
  <c r="A695" i="23"/>
  <c r="B694" i="23"/>
  <c r="H694" i="23" s="1"/>
  <c r="A694" i="23"/>
  <c r="B693" i="23"/>
  <c r="H693" i="23" s="1"/>
  <c r="A693" i="23"/>
  <c r="B692" i="23"/>
  <c r="H692" i="23" s="1"/>
  <c r="A692" i="23"/>
  <c r="B691" i="23"/>
  <c r="H691" i="23" s="1"/>
  <c r="A691" i="23"/>
  <c r="B690" i="23"/>
  <c r="H690" i="23" s="1"/>
  <c r="A690" i="23"/>
  <c r="B689" i="23"/>
  <c r="H689" i="23" s="1"/>
  <c r="A689" i="23"/>
  <c r="B688" i="23"/>
  <c r="H688" i="23" s="1"/>
  <c r="A688" i="23"/>
  <c r="B687" i="23"/>
  <c r="H687" i="23" s="1"/>
  <c r="A687" i="23"/>
  <c r="B686" i="23"/>
  <c r="H686" i="23" s="1"/>
  <c r="A686" i="23"/>
  <c r="B685" i="23"/>
  <c r="H685" i="23" s="1"/>
  <c r="A685" i="23"/>
  <c r="B684" i="23"/>
  <c r="H684" i="23" s="1"/>
  <c r="A684" i="23"/>
  <c r="B683" i="23"/>
  <c r="H683" i="23" s="1"/>
  <c r="A683" i="23"/>
  <c r="B682" i="23"/>
  <c r="H682" i="23" s="1"/>
  <c r="A682" i="23"/>
  <c r="B681" i="23"/>
  <c r="H681" i="23" s="1"/>
  <c r="A681" i="23"/>
  <c r="B680" i="23"/>
  <c r="H680" i="23" s="1"/>
  <c r="A680" i="23"/>
  <c r="B679" i="23"/>
  <c r="H679" i="23" s="1"/>
  <c r="A679" i="23"/>
  <c r="B678" i="23"/>
  <c r="H678" i="23" s="1"/>
  <c r="A678" i="23"/>
  <c r="B677" i="23"/>
  <c r="H677" i="23" s="1"/>
  <c r="A677" i="23"/>
  <c r="B676" i="23"/>
  <c r="H676" i="23" s="1"/>
  <c r="A676" i="23"/>
  <c r="B675" i="23"/>
  <c r="H675" i="23" s="1"/>
  <c r="A675" i="23"/>
  <c r="B674" i="23"/>
  <c r="H674" i="23" s="1"/>
  <c r="A674" i="23"/>
  <c r="B673" i="23"/>
  <c r="H673" i="23" s="1"/>
  <c r="A673" i="23"/>
  <c r="B672" i="23"/>
  <c r="H672" i="23" s="1"/>
  <c r="A672" i="23"/>
  <c r="B671" i="23"/>
  <c r="H671" i="23" s="1"/>
  <c r="A671" i="23"/>
  <c r="B670" i="23"/>
  <c r="H670" i="23" s="1"/>
  <c r="A670" i="23"/>
  <c r="B669" i="23"/>
  <c r="H669" i="23" s="1"/>
  <c r="A669" i="23"/>
  <c r="B668" i="23"/>
  <c r="H668" i="23" s="1"/>
  <c r="A668" i="23"/>
  <c r="B667" i="23"/>
  <c r="H667" i="23" s="1"/>
  <c r="A667" i="23"/>
  <c r="B666" i="23"/>
  <c r="H666" i="23" s="1"/>
  <c r="A666" i="23"/>
  <c r="B665" i="23"/>
  <c r="H665" i="23" s="1"/>
  <c r="A665" i="23"/>
  <c r="B664" i="23"/>
  <c r="H664" i="23" s="1"/>
  <c r="A664" i="23"/>
  <c r="B663" i="23"/>
  <c r="H663" i="23" s="1"/>
  <c r="A663" i="23"/>
  <c r="B662" i="23"/>
  <c r="H662" i="23" s="1"/>
  <c r="A662" i="23"/>
  <c r="B661" i="23"/>
  <c r="H661" i="23" s="1"/>
  <c r="A661" i="23"/>
  <c r="B660" i="23"/>
  <c r="H660" i="23" s="1"/>
  <c r="A660" i="23"/>
  <c r="B659" i="23"/>
  <c r="H659" i="23" s="1"/>
  <c r="A659" i="23"/>
  <c r="B658" i="23"/>
  <c r="H658" i="23" s="1"/>
  <c r="A658" i="23"/>
  <c r="B657" i="23"/>
  <c r="H657" i="23" s="1"/>
  <c r="A657" i="23"/>
  <c r="B656" i="23"/>
  <c r="H656" i="23" s="1"/>
  <c r="A656" i="23"/>
  <c r="B655" i="23"/>
  <c r="H655" i="23" s="1"/>
  <c r="A655" i="23"/>
  <c r="B654" i="23"/>
  <c r="H654" i="23" s="1"/>
  <c r="A654" i="23"/>
  <c r="B653" i="23"/>
  <c r="H653" i="23" s="1"/>
  <c r="A653" i="23"/>
  <c r="B652" i="23"/>
  <c r="H652" i="23" s="1"/>
  <c r="A652" i="23"/>
  <c r="B651" i="23"/>
  <c r="H651" i="23" s="1"/>
  <c r="A651" i="23"/>
  <c r="B650" i="23"/>
  <c r="H650" i="23" s="1"/>
  <c r="A650" i="23"/>
  <c r="B649" i="23"/>
  <c r="H649" i="23" s="1"/>
  <c r="A649" i="23"/>
  <c r="B648" i="23"/>
  <c r="H648" i="23" s="1"/>
  <c r="A648" i="23"/>
  <c r="B647" i="23"/>
  <c r="H647" i="23" s="1"/>
  <c r="A647" i="23"/>
  <c r="B646" i="23"/>
  <c r="H646" i="23" s="1"/>
  <c r="A646" i="23"/>
  <c r="B645" i="23"/>
  <c r="H645" i="23" s="1"/>
  <c r="A645" i="23"/>
  <c r="B644" i="23"/>
  <c r="H644" i="23" s="1"/>
  <c r="A644" i="23"/>
  <c r="B643" i="23"/>
  <c r="H643" i="23" s="1"/>
  <c r="A643" i="23"/>
  <c r="B642" i="23"/>
  <c r="H642" i="23" s="1"/>
  <c r="A642" i="23"/>
  <c r="B641" i="23"/>
  <c r="H641" i="23" s="1"/>
  <c r="A641" i="23"/>
  <c r="B640" i="23"/>
  <c r="H640" i="23" s="1"/>
  <c r="A640" i="23"/>
  <c r="B639" i="23"/>
  <c r="H639" i="23" s="1"/>
  <c r="A639" i="23"/>
  <c r="B638" i="23"/>
  <c r="H638" i="23" s="1"/>
  <c r="A638" i="23"/>
  <c r="B637" i="23"/>
  <c r="H637" i="23" s="1"/>
  <c r="A637" i="23"/>
  <c r="B636" i="23"/>
  <c r="H636" i="23" s="1"/>
  <c r="A636" i="23"/>
  <c r="B635" i="23"/>
  <c r="H635" i="23" s="1"/>
  <c r="A635" i="23"/>
  <c r="B634" i="23"/>
  <c r="H634" i="23" s="1"/>
  <c r="A634" i="23"/>
  <c r="B633" i="23"/>
  <c r="H633" i="23" s="1"/>
  <c r="A633" i="23"/>
  <c r="B632" i="23"/>
  <c r="H632" i="23" s="1"/>
  <c r="A632" i="23"/>
  <c r="B631" i="23"/>
  <c r="H631" i="23" s="1"/>
  <c r="A631" i="23"/>
  <c r="B630" i="23"/>
  <c r="H630" i="23" s="1"/>
  <c r="A630" i="23"/>
  <c r="B629" i="23"/>
  <c r="H629" i="23" s="1"/>
  <c r="A629" i="23"/>
  <c r="B628" i="23"/>
  <c r="H628" i="23" s="1"/>
  <c r="A628" i="23"/>
  <c r="B627" i="23"/>
  <c r="H627" i="23" s="1"/>
  <c r="A627" i="23"/>
  <c r="B626" i="23"/>
  <c r="H626" i="23" s="1"/>
  <c r="A626" i="23"/>
  <c r="B625" i="23"/>
  <c r="H625" i="23" s="1"/>
  <c r="A625" i="23"/>
  <c r="B624" i="23"/>
  <c r="H624" i="23" s="1"/>
  <c r="A624" i="23"/>
  <c r="B623" i="23"/>
  <c r="H623" i="23" s="1"/>
  <c r="A623" i="23"/>
  <c r="B622" i="23"/>
  <c r="H622" i="23" s="1"/>
  <c r="A622" i="23"/>
  <c r="B621" i="23"/>
  <c r="H621" i="23" s="1"/>
  <c r="A621" i="23"/>
  <c r="B620" i="23"/>
  <c r="H620" i="23" s="1"/>
  <c r="A620" i="23"/>
  <c r="B619" i="23"/>
  <c r="H619" i="23" s="1"/>
  <c r="A619" i="23"/>
  <c r="B618" i="23"/>
  <c r="H618" i="23" s="1"/>
  <c r="A618" i="23"/>
  <c r="B617" i="23"/>
  <c r="H617" i="23" s="1"/>
  <c r="A617" i="23"/>
  <c r="B616" i="23"/>
  <c r="H616" i="23" s="1"/>
  <c r="A616" i="23"/>
  <c r="B615" i="23"/>
  <c r="H615" i="23" s="1"/>
  <c r="A615" i="23"/>
  <c r="B614" i="23"/>
  <c r="H614" i="23" s="1"/>
  <c r="A614" i="23"/>
  <c r="B613" i="23"/>
  <c r="H613" i="23" s="1"/>
  <c r="A613" i="23"/>
  <c r="B612" i="23"/>
  <c r="H612" i="23" s="1"/>
  <c r="A612" i="23"/>
  <c r="B611" i="23"/>
  <c r="H611" i="23" s="1"/>
  <c r="A611" i="23"/>
  <c r="B610" i="23"/>
  <c r="H610" i="23" s="1"/>
  <c r="A610" i="23"/>
  <c r="B609" i="23"/>
  <c r="H609" i="23" s="1"/>
  <c r="A609" i="23"/>
  <c r="B608" i="23"/>
  <c r="H608" i="23" s="1"/>
  <c r="A608" i="23"/>
  <c r="B607" i="23"/>
  <c r="H607" i="23" s="1"/>
  <c r="A607" i="23"/>
  <c r="B606" i="23"/>
  <c r="H606" i="23" s="1"/>
  <c r="A606" i="23"/>
  <c r="B605" i="23"/>
  <c r="H605" i="23" s="1"/>
  <c r="A605" i="23"/>
  <c r="B604" i="23"/>
  <c r="H604" i="23" s="1"/>
  <c r="A604" i="23"/>
  <c r="B603" i="23"/>
  <c r="H603" i="23" s="1"/>
  <c r="A603" i="23"/>
  <c r="B602" i="23"/>
  <c r="H602" i="23" s="1"/>
  <c r="A602" i="23"/>
  <c r="B601" i="23"/>
  <c r="H601" i="23" s="1"/>
  <c r="A601" i="23"/>
  <c r="B600" i="23"/>
  <c r="H600" i="23" s="1"/>
  <c r="A600" i="23"/>
  <c r="B599" i="23"/>
  <c r="H599" i="23" s="1"/>
  <c r="A599" i="23"/>
  <c r="B598" i="23"/>
  <c r="H598" i="23" s="1"/>
  <c r="A598" i="23"/>
  <c r="B597" i="23"/>
  <c r="H597" i="23" s="1"/>
  <c r="A597" i="23"/>
  <c r="B596" i="23"/>
  <c r="H596" i="23" s="1"/>
  <c r="A596" i="23"/>
  <c r="B595" i="23"/>
  <c r="H595" i="23" s="1"/>
  <c r="A595" i="23"/>
  <c r="B594" i="23"/>
  <c r="H594" i="23" s="1"/>
  <c r="A594" i="23"/>
  <c r="B593" i="23"/>
  <c r="H593" i="23" s="1"/>
  <c r="A593" i="23"/>
  <c r="B592" i="23"/>
  <c r="H592" i="23" s="1"/>
  <c r="A592" i="23"/>
  <c r="B591" i="23"/>
  <c r="H591" i="23" s="1"/>
  <c r="A591" i="23"/>
  <c r="B590" i="23"/>
  <c r="H590" i="23" s="1"/>
  <c r="A590" i="23"/>
  <c r="B589" i="23"/>
  <c r="H589" i="23" s="1"/>
  <c r="A589" i="23"/>
  <c r="B588" i="23"/>
  <c r="H588" i="23" s="1"/>
  <c r="A588" i="23"/>
  <c r="B587" i="23"/>
  <c r="H587" i="23" s="1"/>
  <c r="A587" i="23"/>
  <c r="B586" i="23"/>
  <c r="H586" i="23" s="1"/>
  <c r="A586" i="23"/>
  <c r="B585" i="23"/>
  <c r="H585" i="23" s="1"/>
  <c r="A585" i="23"/>
  <c r="B584" i="23"/>
  <c r="H584" i="23" s="1"/>
  <c r="A584" i="23"/>
  <c r="B583" i="23"/>
  <c r="H583" i="23" s="1"/>
  <c r="A583" i="23"/>
  <c r="B582" i="23"/>
  <c r="H582" i="23" s="1"/>
  <c r="A582" i="23"/>
  <c r="B581" i="23"/>
  <c r="H581" i="23" s="1"/>
  <c r="A581" i="23"/>
  <c r="B580" i="23"/>
  <c r="H580" i="23" s="1"/>
  <c r="A580" i="23"/>
  <c r="B579" i="23"/>
  <c r="H579" i="23" s="1"/>
  <c r="A579" i="23"/>
  <c r="B578" i="23"/>
  <c r="H578" i="23" s="1"/>
  <c r="A578" i="23"/>
  <c r="B577" i="23"/>
  <c r="H577" i="23" s="1"/>
  <c r="A577" i="23"/>
  <c r="B576" i="23"/>
  <c r="H576" i="23" s="1"/>
  <c r="A576" i="23"/>
  <c r="B575" i="23"/>
  <c r="H575" i="23" s="1"/>
  <c r="A575" i="23"/>
  <c r="B574" i="23"/>
  <c r="H574" i="23" s="1"/>
  <c r="A574" i="23"/>
  <c r="B573" i="23"/>
  <c r="H573" i="23" s="1"/>
  <c r="A573" i="23"/>
  <c r="B572" i="23"/>
  <c r="H572" i="23" s="1"/>
  <c r="A572" i="23"/>
  <c r="B571" i="23"/>
  <c r="H571" i="23" s="1"/>
  <c r="A571" i="23"/>
  <c r="B570" i="23"/>
  <c r="H570" i="23" s="1"/>
  <c r="A570" i="23"/>
  <c r="B569" i="23"/>
  <c r="H569" i="23" s="1"/>
  <c r="A569" i="23"/>
  <c r="B568" i="23"/>
  <c r="H568" i="23" s="1"/>
  <c r="A568" i="23"/>
  <c r="B567" i="23"/>
  <c r="H567" i="23" s="1"/>
  <c r="A567" i="23"/>
  <c r="B566" i="23"/>
  <c r="H566" i="23" s="1"/>
  <c r="A566" i="23"/>
  <c r="B565" i="23"/>
  <c r="H565" i="23" s="1"/>
  <c r="A565" i="23"/>
  <c r="B564" i="23"/>
  <c r="H564" i="23" s="1"/>
  <c r="A564" i="23"/>
  <c r="B563" i="23"/>
  <c r="H563" i="23" s="1"/>
  <c r="A563" i="23"/>
  <c r="B562" i="23"/>
  <c r="H562" i="23" s="1"/>
  <c r="A562" i="23"/>
  <c r="B561" i="23"/>
  <c r="H561" i="23" s="1"/>
  <c r="A561" i="23"/>
  <c r="B560" i="23"/>
  <c r="H560" i="23" s="1"/>
  <c r="A560" i="23"/>
  <c r="B559" i="23"/>
  <c r="H559" i="23" s="1"/>
  <c r="A559" i="23"/>
  <c r="B558" i="23"/>
  <c r="H558" i="23" s="1"/>
  <c r="A558" i="23"/>
  <c r="B557" i="23"/>
  <c r="H557" i="23" s="1"/>
  <c r="A557" i="23"/>
  <c r="B556" i="23"/>
  <c r="H556" i="23" s="1"/>
  <c r="A556" i="23"/>
  <c r="B555" i="23"/>
  <c r="H555" i="23" s="1"/>
  <c r="A555" i="23"/>
  <c r="B554" i="23"/>
  <c r="H554" i="23" s="1"/>
  <c r="A554" i="23"/>
  <c r="B553" i="23"/>
  <c r="H553" i="23" s="1"/>
  <c r="A553" i="23"/>
  <c r="B552" i="23"/>
  <c r="H552" i="23" s="1"/>
  <c r="A552" i="23"/>
  <c r="B551" i="23"/>
  <c r="H551" i="23" s="1"/>
  <c r="A551" i="23"/>
  <c r="B550" i="23"/>
  <c r="H550" i="23" s="1"/>
  <c r="A550" i="23"/>
  <c r="B549" i="23"/>
  <c r="H549" i="23" s="1"/>
  <c r="A549" i="23"/>
  <c r="B548" i="23"/>
  <c r="H548" i="23" s="1"/>
  <c r="A548" i="23"/>
  <c r="B547" i="23"/>
  <c r="H547" i="23" s="1"/>
  <c r="A547" i="23"/>
  <c r="B546" i="23"/>
  <c r="H546" i="23" s="1"/>
  <c r="A546" i="23"/>
  <c r="B545" i="23"/>
  <c r="H545" i="23" s="1"/>
  <c r="A545" i="23"/>
  <c r="B544" i="23"/>
  <c r="H544" i="23" s="1"/>
  <c r="A544" i="23"/>
  <c r="B543" i="23"/>
  <c r="H543" i="23" s="1"/>
  <c r="A543" i="23"/>
  <c r="B542" i="23"/>
  <c r="H542" i="23" s="1"/>
  <c r="A542" i="23"/>
  <c r="B541" i="23"/>
  <c r="H541" i="23" s="1"/>
  <c r="A541" i="23"/>
  <c r="B540" i="23"/>
  <c r="H540" i="23" s="1"/>
  <c r="A540" i="23"/>
  <c r="B539" i="23"/>
  <c r="H539" i="23" s="1"/>
  <c r="A539" i="23"/>
  <c r="B538" i="23"/>
  <c r="H538" i="23" s="1"/>
  <c r="A538" i="23"/>
  <c r="B537" i="23"/>
  <c r="H537" i="23" s="1"/>
  <c r="A537" i="23"/>
  <c r="B536" i="23"/>
  <c r="H536" i="23" s="1"/>
  <c r="A536" i="23"/>
  <c r="B535" i="23"/>
  <c r="H535" i="23" s="1"/>
  <c r="A535" i="23"/>
  <c r="B534" i="23"/>
  <c r="H534" i="23" s="1"/>
  <c r="A534" i="23"/>
  <c r="B533" i="23"/>
  <c r="H533" i="23" s="1"/>
  <c r="A533" i="23"/>
  <c r="B532" i="23"/>
  <c r="H532" i="23" s="1"/>
  <c r="A532" i="23"/>
  <c r="B531" i="23"/>
  <c r="H531" i="23" s="1"/>
  <c r="A531" i="23"/>
  <c r="B530" i="23"/>
  <c r="H530" i="23" s="1"/>
  <c r="A530" i="23"/>
  <c r="B529" i="23"/>
  <c r="H529" i="23" s="1"/>
  <c r="A529" i="23"/>
  <c r="B528" i="23"/>
  <c r="H528" i="23" s="1"/>
  <c r="A528" i="23"/>
  <c r="B527" i="23"/>
  <c r="H527" i="23" s="1"/>
  <c r="A527" i="23"/>
  <c r="B526" i="23"/>
  <c r="H526" i="23" s="1"/>
  <c r="A526" i="23"/>
  <c r="B525" i="23"/>
  <c r="H525" i="23" s="1"/>
  <c r="A525" i="23"/>
  <c r="B524" i="23"/>
  <c r="H524" i="23" s="1"/>
  <c r="A524" i="23"/>
  <c r="B523" i="23"/>
  <c r="H523" i="23" s="1"/>
  <c r="A523" i="23"/>
  <c r="B522" i="23"/>
  <c r="H522" i="23" s="1"/>
  <c r="A522" i="23"/>
  <c r="B521" i="23"/>
  <c r="H521" i="23" s="1"/>
  <c r="A521" i="23"/>
  <c r="B520" i="23"/>
  <c r="H520" i="23" s="1"/>
  <c r="A520" i="23"/>
  <c r="B519" i="23"/>
  <c r="H519" i="23" s="1"/>
  <c r="A519" i="23"/>
  <c r="B518" i="23"/>
  <c r="H518" i="23" s="1"/>
  <c r="A518" i="23"/>
  <c r="B517" i="23"/>
  <c r="H517" i="23" s="1"/>
  <c r="A517" i="23"/>
  <c r="B516" i="23"/>
  <c r="H516" i="23" s="1"/>
  <c r="A516" i="23"/>
  <c r="B515" i="23"/>
  <c r="H515" i="23" s="1"/>
  <c r="A515" i="23"/>
  <c r="B514" i="23"/>
  <c r="H514" i="23" s="1"/>
  <c r="A514" i="23"/>
  <c r="B513" i="23"/>
  <c r="H513" i="23" s="1"/>
  <c r="A513" i="23"/>
  <c r="B512" i="23"/>
  <c r="H512" i="23" s="1"/>
  <c r="A512" i="23"/>
  <c r="B511" i="23"/>
  <c r="H511" i="23" s="1"/>
  <c r="A511" i="23"/>
  <c r="B510" i="23"/>
  <c r="H510" i="23" s="1"/>
  <c r="A510" i="23"/>
  <c r="B509" i="23"/>
  <c r="H509" i="23" s="1"/>
  <c r="A509" i="23"/>
  <c r="B508" i="23"/>
  <c r="H508" i="23" s="1"/>
  <c r="A508" i="23"/>
  <c r="B507" i="23"/>
  <c r="H507" i="23" s="1"/>
  <c r="A507" i="23"/>
  <c r="B506" i="23"/>
  <c r="H506" i="23" s="1"/>
  <c r="A506" i="23"/>
  <c r="B505" i="23"/>
  <c r="H505" i="23" s="1"/>
  <c r="A505" i="23"/>
  <c r="B504" i="23"/>
  <c r="H504" i="23" s="1"/>
  <c r="A504" i="23"/>
  <c r="B503" i="23"/>
  <c r="H503" i="23" s="1"/>
  <c r="A503" i="23"/>
  <c r="B502" i="23"/>
  <c r="H502" i="23" s="1"/>
  <c r="A502" i="23"/>
  <c r="B501" i="23"/>
  <c r="H501" i="23" s="1"/>
  <c r="A501" i="23"/>
  <c r="B500" i="23"/>
  <c r="H500" i="23" s="1"/>
  <c r="A500" i="23"/>
  <c r="B499" i="23"/>
  <c r="H499" i="23" s="1"/>
  <c r="A499" i="23"/>
  <c r="B498" i="23"/>
  <c r="H498" i="23" s="1"/>
  <c r="A498" i="23"/>
  <c r="B497" i="23"/>
  <c r="H497" i="23" s="1"/>
  <c r="A497" i="23"/>
  <c r="B496" i="23"/>
  <c r="H496" i="23" s="1"/>
  <c r="A496" i="23"/>
  <c r="B495" i="23"/>
  <c r="H495" i="23" s="1"/>
  <c r="A495" i="23"/>
  <c r="B494" i="23"/>
  <c r="H494" i="23" s="1"/>
  <c r="A494" i="23"/>
  <c r="B493" i="23"/>
  <c r="H493" i="23" s="1"/>
  <c r="A493" i="23"/>
  <c r="B492" i="23"/>
  <c r="H492" i="23" s="1"/>
  <c r="A492" i="23"/>
  <c r="B491" i="23"/>
  <c r="H491" i="23" s="1"/>
  <c r="A491" i="23"/>
  <c r="B490" i="23"/>
  <c r="H490" i="23" s="1"/>
  <c r="A490" i="23"/>
  <c r="B489" i="23"/>
  <c r="H489" i="23" s="1"/>
  <c r="A489" i="23"/>
  <c r="B488" i="23"/>
  <c r="H488" i="23" s="1"/>
  <c r="A488" i="23"/>
  <c r="B487" i="23"/>
  <c r="H487" i="23" s="1"/>
  <c r="A487" i="23"/>
  <c r="B486" i="23"/>
  <c r="H486" i="23" s="1"/>
  <c r="A486" i="23"/>
  <c r="B485" i="23"/>
  <c r="H485" i="23" s="1"/>
  <c r="A485" i="23"/>
  <c r="B484" i="23"/>
  <c r="H484" i="23" s="1"/>
  <c r="A484" i="23"/>
  <c r="B483" i="23"/>
  <c r="H483" i="23" s="1"/>
  <c r="A483" i="23"/>
  <c r="B482" i="23"/>
  <c r="H482" i="23" s="1"/>
  <c r="A482" i="23"/>
  <c r="B481" i="23"/>
  <c r="H481" i="23" s="1"/>
  <c r="A481" i="23"/>
  <c r="B480" i="23"/>
  <c r="H480" i="23" s="1"/>
  <c r="A480" i="23"/>
  <c r="B479" i="23"/>
  <c r="H479" i="23" s="1"/>
  <c r="A479" i="23"/>
  <c r="B478" i="23"/>
  <c r="H478" i="23" s="1"/>
  <c r="A478" i="23"/>
  <c r="B477" i="23"/>
  <c r="H477" i="23" s="1"/>
  <c r="A477" i="23"/>
  <c r="B476" i="23"/>
  <c r="H476" i="23" s="1"/>
  <c r="A476" i="23"/>
  <c r="B475" i="23"/>
  <c r="H475" i="23" s="1"/>
  <c r="A475" i="23"/>
  <c r="B474" i="23"/>
  <c r="H474" i="23" s="1"/>
  <c r="A474" i="23"/>
  <c r="B473" i="23"/>
  <c r="H473" i="23" s="1"/>
  <c r="A473" i="23"/>
  <c r="B472" i="23"/>
  <c r="H472" i="23" s="1"/>
  <c r="A472" i="23"/>
  <c r="B471" i="23"/>
  <c r="H471" i="23" s="1"/>
  <c r="A471" i="23"/>
  <c r="B470" i="23"/>
  <c r="H470" i="23" s="1"/>
  <c r="A470" i="23"/>
  <c r="B469" i="23"/>
  <c r="H469" i="23" s="1"/>
  <c r="A469" i="23"/>
  <c r="B468" i="23"/>
  <c r="H468" i="23" s="1"/>
  <c r="A468" i="23"/>
  <c r="B467" i="23"/>
  <c r="H467" i="23" s="1"/>
  <c r="A467" i="23"/>
  <c r="B466" i="23"/>
  <c r="H466" i="23" s="1"/>
  <c r="A466" i="23"/>
  <c r="B465" i="23"/>
  <c r="H465" i="23" s="1"/>
  <c r="A465" i="23"/>
  <c r="B464" i="23"/>
  <c r="H464" i="23" s="1"/>
  <c r="A464" i="23"/>
  <c r="B463" i="23"/>
  <c r="H463" i="23" s="1"/>
  <c r="A463" i="23"/>
  <c r="B462" i="23"/>
  <c r="H462" i="23" s="1"/>
  <c r="A462" i="23"/>
  <c r="B461" i="23"/>
  <c r="H461" i="23" s="1"/>
  <c r="A461" i="23"/>
  <c r="B460" i="23"/>
  <c r="H460" i="23" s="1"/>
  <c r="A460" i="23"/>
  <c r="B459" i="23"/>
  <c r="H459" i="23" s="1"/>
  <c r="A459" i="23"/>
  <c r="B458" i="23"/>
  <c r="H458" i="23" s="1"/>
  <c r="A458" i="23"/>
  <c r="B457" i="23"/>
  <c r="H457" i="23" s="1"/>
  <c r="A457" i="23"/>
  <c r="B456" i="23"/>
  <c r="H456" i="23" s="1"/>
  <c r="A456" i="23"/>
  <c r="B455" i="23"/>
  <c r="H455" i="23" s="1"/>
  <c r="A455" i="23"/>
  <c r="B454" i="23"/>
  <c r="H454" i="23" s="1"/>
  <c r="A454" i="23"/>
  <c r="B453" i="23"/>
  <c r="H453" i="23" s="1"/>
  <c r="A453" i="23"/>
  <c r="B452" i="23"/>
  <c r="H452" i="23" s="1"/>
  <c r="A452" i="23"/>
  <c r="B451" i="23"/>
  <c r="H451" i="23" s="1"/>
  <c r="A451" i="23"/>
  <c r="B450" i="23"/>
  <c r="H450" i="23" s="1"/>
  <c r="A450" i="23"/>
  <c r="B449" i="23"/>
  <c r="H449" i="23" s="1"/>
  <c r="A449" i="23"/>
  <c r="B448" i="23"/>
  <c r="H448" i="23" s="1"/>
  <c r="A448" i="23"/>
  <c r="B447" i="23"/>
  <c r="H447" i="23" s="1"/>
  <c r="A447" i="23"/>
  <c r="B446" i="23"/>
  <c r="H446" i="23" s="1"/>
  <c r="A446" i="23"/>
  <c r="B445" i="23"/>
  <c r="H445" i="23" s="1"/>
  <c r="A445" i="23"/>
  <c r="B444" i="23"/>
  <c r="H444" i="23" s="1"/>
  <c r="A444" i="23"/>
  <c r="B443" i="23"/>
  <c r="H443" i="23" s="1"/>
  <c r="A443" i="23"/>
  <c r="B442" i="23"/>
  <c r="H442" i="23" s="1"/>
  <c r="A442" i="23"/>
  <c r="B441" i="23"/>
  <c r="H441" i="23" s="1"/>
  <c r="A441" i="23"/>
  <c r="B440" i="23"/>
  <c r="H440" i="23" s="1"/>
  <c r="A440" i="23"/>
  <c r="B439" i="23"/>
  <c r="H439" i="23" s="1"/>
  <c r="A439" i="23"/>
  <c r="B438" i="23"/>
  <c r="H438" i="23" s="1"/>
  <c r="A438" i="23"/>
  <c r="B437" i="23"/>
  <c r="H437" i="23" s="1"/>
  <c r="A437" i="23"/>
  <c r="B436" i="23"/>
  <c r="H436" i="23" s="1"/>
  <c r="A436" i="23"/>
  <c r="B435" i="23"/>
  <c r="H435" i="23" s="1"/>
  <c r="A435" i="23"/>
  <c r="B434" i="23"/>
  <c r="H434" i="23" s="1"/>
  <c r="A434" i="23"/>
  <c r="B433" i="23"/>
  <c r="H433" i="23" s="1"/>
  <c r="A433" i="23"/>
  <c r="B432" i="23"/>
  <c r="H432" i="23" s="1"/>
  <c r="A432" i="23"/>
  <c r="B431" i="23"/>
  <c r="H431" i="23" s="1"/>
  <c r="A431" i="23"/>
  <c r="B430" i="23"/>
  <c r="H430" i="23" s="1"/>
  <c r="A430" i="23"/>
  <c r="B429" i="23"/>
  <c r="H429" i="23" s="1"/>
  <c r="A429" i="23"/>
  <c r="B428" i="23"/>
  <c r="H428" i="23" s="1"/>
  <c r="A428" i="23"/>
  <c r="B427" i="23"/>
  <c r="H427" i="23" s="1"/>
  <c r="A427" i="23"/>
  <c r="B426" i="23"/>
  <c r="H426" i="23" s="1"/>
  <c r="A426" i="23"/>
  <c r="B425" i="23"/>
  <c r="H425" i="23" s="1"/>
  <c r="A425" i="23"/>
  <c r="B424" i="23"/>
  <c r="H424" i="23" s="1"/>
  <c r="A424" i="23"/>
  <c r="B423" i="23"/>
  <c r="H423" i="23" s="1"/>
  <c r="A423" i="23"/>
  <c r="B422" i="23"/>
  <c r="H422" i="23" s="1"/>
  <c r="A422" i="23"/>
  <c r="B421" i="23"/>
  <c r="H421" i="23" s="1"/>
  <c r="A421" i="23"/>
  <c r="B420" i="23"/>
  <c r="H420" i="23" s="1"/>
  <c r="A420" i="23"/>
  <c r="B419" i="23"/>
  <c r="H419" i="23" s="1"/>
  <c r="A419" i="23"/>
  <c r="B418" i="23"/>
  <c r="H418" i="23" s="1"/>
  <c r="A418" i="23"/>
  <c r="B417" i="23"/>
  <c r="H417" i="23" s="1"/>
  <c r="A417" i="23"/>
  <c r="B416" i="23"/>
  <c r="H416" i="23" s="1"/>
  <c r="A416" i="23"/>
  <c r="B415" i="23"/>
  <c r="H415" i="23" s="1"/>
  <c r="A415" i="23"/>
  <c r="B414" i="23"/>
  <c r="H414" i="23" s="1"/>
  <c r="A414" i="23"/>
  <c r="B413" i="23"/>
  <c r="H413" i="23" s="1"/>
  <c r="A413" i="23"/>
  <c r="B412" i="23"/>
  <c r="H412" i="23" s="1"/>
  <c r="A412" i="23"/>
  <c r="B411" i="23"/>
  <c r="H411" i="23" s="1"/>
  <c r="A411" i="23"/>
  <c r="B410" i="23"/>
  <c r="H410" i="23" s="1"/>
  <c r="A410" i="23"/>
  <c r="B409" i="23"/>
  <c r="H409" i="23" s="1"/>
  <c r="A409" i="23"/>
  <c r="B408" i="23"/>
  <c r="H408" i="23" s="1"/>
  <c r="A408" i="23"/>
  <c r="B407" i="23"/>
  <c r="H407" i="23" s="1"/>
  <c r="A407" i="23"/>
  <c r="B406" i="23"/>
  <c r="H406" i="23" s="1"/>
  <c r="A406" i="23"/>
  <c r="B405" i="23"/>
  <c r="H405" i="23" s="1"/>
  <c r="A405" i="23"/>
  <c r="B404" i="23"/>
  <c r="H404" i="23" s="1"/>
  <c r="A404" i="23"/>
  <c r="B403" i="23"/>
  <c r="H403" i="23" s="1"/>
  <c r="A403" i="23"/>
  <c r="B402" i="23"/>
  <c r="H402" i="23" s="1"/>
  <c r="A402" i="23"/>
  <c r="B401" i="23"/>
  <c r="H401" i="23" s="1"/>
  <c r="A401" i="23"/>
  <c r="B400" i="23"/>
  <c r="H400" i="23" s="1"/>
  <c r="A400" i="23"/>
  <c r="B399" i="23"/>
  <c r="H399" i="23" s="1"/>
  <c r="A399" i="23"/>
  <c r="B398" i="23"/>
  <c r="H398" i="23" s="1"/>
  <c r="A398" i="23"/>
  <c r="B397" i="23"/>
  <c r="H397" i="23" s="1"/>
  <c r="A397" i="23"/>
  <c r="B396" i="23"/>
  <c r="H396" i="23" s="1"/>
  <c r="A396" i="23"/>
  <c r="B395" i="23"/>
  <c r="H395" i="23" s="1"/>
  <c r="A395" i="23"/>
  <c r="B394" i="23"/>
  <c r="H394" i="23" s="1"/>
  <c r="A394" i="23"/>
  <c r="B393" i="23"/>
  <c r="H393" i="23" s="1"/>
  <c r="A393" i="23"/>
  <c r="B392" i="23"/>
  <c r="H392" i="23" s="1"/>
  <c r="A392" i="23"/>
  <c r="B391" i="23"/>
  <c r="H391" i="23" s="1"/>
  <c r="A391" i="23"/>
  <c r="B390" i="23"/>
  <c r="H390" i="23" s="1"/>
  <c r="A390" i="23"/>
  <c r="B389" i="23"/>
  <c r="H389" i="23" s="1"/>
  <c r="A389" i="23"/>
  <c r="B388" i="23"/>
  <c r="H388" i="23" s="1"/>
  <c r="A388" i="23"/>
  <c r="B387" i="23"/>
  <c r="H387" i="23" s="1"/>
  <c r="A387" i="23"/>
  <c r="B386" i="23"/>
  <c r="H386" i="23" s="1"/>
  <c r="A386" i="23"/>
  <c r="B385" i="23"/>
  <c r="H385" i="23" s="1"/>
  <c r="A385" i="23"/>
  <c r="B384" i="23"/>
  <c r="H384" i="23" s="1"/>
  <c r="A384" i="23"/>
  <c r="B383" i="23"/>
  <c r="H383" i="23" s="1"/>
  <c r="A383" i="23"/>
  <c r="B382" i="23"/>
  <c r="H382" i="23" s="1"/>
  <c r="A382" i="23"/>
  <c r="B381" i="23"/>
  <c r="H381" i="23" s="1"/>
  <c r="A381" i="23"/>
  <c r="B380" i="23"/>
  <c r="H380" i="23" s="1"/>
  <c r="A380" i="23"/>
  <c r="B379" i="23"/>
  <c r="H379" i="23" s="1"/>
  <c r="A379" i="23"/>
  <c r="B378" i="23"/>
  <c r="H378" i="23" s="1"/>
  <c r="A378" i="23"/>
  <c r="B377" i="23"/>
  <c r="H377" i="23" s="1"/>
  <c r="A377" i="23"/>
  <c r="B376" i="23"/>
  <c r="H376" i="23" s="1"/>
  <c r="A376" i="23"/>
  <c r="B375" i="23"/>
  <c r="H375" i="23" s="1"/>
  <c r="A375" i="23"/>
  <c r="B374" i="23"/>
  <c r="H374" i="23" s="1"/>
  <c r="A374" i="23"/>
  <c r="B373" i="23"/>
  <c r="H373" i="23" s="1"/>
  <c r="A373" i="23"/>
  <c r="B372" i="23"/>
  <c r="H372" i="23" s="1"/>
  <c r="A372" i="23"/>
  <c r="B371" i="23"/>
  <c r="H371" i="23" s="1"/>
  <c r="A371" i="23"/>
  <c r="B370" i="23"/>
  <c r="H370" i="23" s="1"/>
  <c r="A370" i="23"/>
  <c r="B369" i="23"/>
  <c r="H369" i="23" s="1"/>
  <c r="A369" i="23"/>
  <c r="B368" i="23"/>
  <c r="H368" i="23" s="1"/>
  <c r="A368" i="23"/>
  <c r="B367" i="23"/>
  <c r="H367" i="23" s="1"/>
  <c r="A367" i="23"/>
  <c r="B366" i="23"/>
  <c r="H366" i="23" s="1"/>
  <c r="A366" i="23"/>
  <c r="B365" i="23"/>
  <c r="H365" i="23" s="1"/>
  <c r="A365" i="23"/>
  <c r="B364" i="23"/>
  <c r="H364" i="23" s="1"/>
  <c r="A364" i="23"/>
  <c r="B363" i="23"/>
  <c r="H363" i="23" s="1"/>
  <c r="A363" i="23"/>
  <c r="B362" i="23"/>
  <c r="H362" i="23" s="1"/>
  <c r="A362" i="23"/>
  <c r="B361" i="23"/>
  <c r="H361" i="23" s="1"/>
  <c r="A361" i="23"/>
  <c r="B360" i="23"/>
  <c r="H360" i="23" s="1"/>
  <c r="A360" i="23"/>
  <c r="B359" i="23"/>
  <c r="H359" i="23" s="1"/>
  <c r="A359" i="23"/>
  <c r="B358" i="23"/>
  <c r="H358" i="23" s="1"/>
  <c r="A358" i="23"/>
  <c r="B357" i="23"/>
  <c r="H357" i="23" s="1"/>
  <c r="A357" i="23"/>
  <c r="B356" i="23"/>
  <c r="H356" i="23" s="1"/>
  <c r="A356" i="23"/>
  <c r="B355" i="23"/>
  <c r="H355" i="23" s="1"/>
  <c r="A355" i="23"/>
  <c r="B354" i="23"/>
  <c r="H354" i="23" s="1"/>
  <c r="A354" i="23"/>
  <c r="B353" i="23"/>
  <c r="H353" i="23" s="1"/>
  <c r="A353" i="23"/>
  <c r="B352" i="23"/>
  <c r="H352" i="23" s="1"/>
  <c r="A352" i="23"/>
  <c r="B351" i="23"/>
  <c r="H351" i="23" s="1"/>
  <c r="A351" i="23"/>
  <c r="B350" i="23"/>
  <c r="H350" i="23" s="1"/>
  <c r="A350" i="23"/>
  <c r="B349" i="23"/>
  <c r="H349" i="23" s="1"/>
  <c r="A349" i="23"/>
  <c r="B348" i="23"/>
  <c r="H348" i="23" s="1"/>
  <c r="A348" i="23"/>
  <c r="B347" i="23"/>
  <c r="H347" i="23" s="1"/>
  <c r="A347" i="23"/>
  <c r="B346" i="23"/>
  <c r="H346" i="23" s="1"/>
  <c r="A346" i="23"/>
  <c r="B345" i="23"/>
  <c r="H345" i="23" s="1"/>
  <c r="A345" i="23"/>
  <c r="B344" i="23"/>
  <c r="H344" i="23" s="1"/>
  <c r="A344" i="23"/>
  <c r="B343" i="23"/>
  <c r="H343" i="23" s="1"/>
  <c r="A343" i="23"/>
  <c r="B342" i="23"/>
  <c r="H342" i="23" s="1"/>
  <c r="A342" i="23"/>
  <c r="B341" i="23"/>
  <c r="H341" i="23" s="1"/>
  <c r="A341" i="23"/>
  <c r="B340" i="23"/>
  <c r="H340" i="23" s="1"/>
  <c r="A340" i="23"/>
  <c r="B339" i="23"/>
  <c r="H339" i="23" s="1"/>
  <c r="A339" i="23"/>
  <c r="B338" i="23"/>
  <c r="H338" i="23" s="1"/>
  <c r="A338" i="23"/>
  <c r="B337" i="23"/>
  <c r="H337" i="23" s="1"/>
  <c r="A337" i="23"/>
  <c r="B336" i="23"/>
  <c r="H336" i="23" s="1"/>
  <c r="A336" i="23"/>
  <c r="B335" i="23"/>
  <c r="H335" i="23" s="1"/>
  <c r="A335" i="23"/>
  <c r="B334" i="23"/>
  <c r="H334" i="23" s="1"/>
  <c r="A334" i="23"/>
  <c r="B333" i="23"/>
  <c r="H333" i="23" s="1"/>
  <c r="A333" i="23"/>
  <c r="B332" i="23"/>
  <c r="H332" i="23" s="1"/>
  <c r="A332" i="23"/>
  <c r="B331" i="23"/>
  <c r="H331" i="23" s="1"/>
  <c r="A331" i="23"/>
  <c r="B330" i="23"/>
  <c r="H330" i="23" s="1"/>
  <c r="A330" i="23"/>
  <c r="B329" i="23"/>
  <c r="H329" i="23" s="1"/>
  <c r="A329" i="23"/>
  <c r="B328" i="23"/>
  <c r="H328" i="23" s="1"/>
  <c r="A328" i="23"/>
  <c r="B327" i="23"/>
  <c r="H327" i="23" s="1"/>
  <c r="A327" i="23"/>
  <c r="B326" i="23"/>
  <c r="H326" i="23" s="1"/>
  <c r="A326" i="23"/>
  <c r="B325" i="23"/>
  <c r="H325" i="23" s="1"/>
  <c r="A325" i="23"/>
  <c r="B324" i="23"/>
  <c r="H324" i="23" s="1"/>
  <c r="A324" i="23"/>
  <c r="B323" i="23"/>
  <c r="H323" i="23" s="1"/>
  <c r="A323" i="23"/>
  <c r="B322" i="23"/>
  <c r="H322" i="23" s="1"/>
  <c r="A322" i="23"/>
  <c r="B321" i="23"/>
  <c r="H321" i="23" s="1"/>
  <c r="A321" i="23"/>
  <c r="B320" i="23"/>
  <c r="H320" i="23" s="1"/>
  <c r="A320" i="23"/>
  <c r="B319" i="23"/>
  <c r="H319" i="23" s="1"/>
  <c r="A319" i="23"/>
  <c r="B318" i="23"/>
  <c r="H318" i="23" s="1"/>
  <c r="A318" i="23"/>
  <c r="B317" i="23"/>
  <c r="H317" i="23" s="1"/>
  <c r="A317" i="23"/>
  <c r="B316" i="23"/>
  <c r="H316" i="23" s="1"/>
  <c r="A316" i="23"/>
  <c r="B315" i="23"/>
  <c r="H315" i="23" s="1"/>
  <c r="A315" i="23"/>
  <c r="B314" i="23"/>
  <c r="H314" i="23" s="1"/>
  <c r="A314" i="23"/>
  <c r="B313" i="23"/>
  <c r="H313" i="23" s="1"/>
  <c r="A313" i="23"/>
  <c r="B312" i="23"/>
  <c r="H312" i="23" s="1"/>
  <c r="A312" i="23"/>
  <c r="B311" i="23"/>
  <c r="H311" i="23" s="1"/>
  <c r="A311" i="23"/>
  <c r="B310" i="23"/>
  <c r="H310" i="23" s="1"/>
  <c r="A310" i="23"/>
  <c r="B309" i="23"/>
  <c r="H309" i="23" s="1"/>
  <c r="A309" i="23"/>
  <c r="B308" i="23"/>
  <c r="H308" i="23" s="1"/>
  <c r="A308" i="23"/>
  <c r="B307" i="23"/>
  <c r="H307" i="23" s="1"/>
  <c r="A307" i="23"/>
  <c r="B306" i="23"/>
  <c r="H306" i="23" s="1"/>
  <c r="A306" i="23"/>
  <c r="B305" i="23"/>
  <c r="H305" i="23" s="1"/>
  <c r="A305" i="23"/>
  <c r="B304" i="23"/>
  <c r="H304" i="23" s="1"/>
  <c r="A304" i="23"/>
  <c r="B303" i="23"/>
  <c r="H303" i="23" s="1"/>
  <c r="A303" i="23"/>
  <c r="B302" i="23"/>
  <c r="H302" i="23" s="1"/>
  <c r="A302" i="23"/>
  <c r="B301" i="23"/>
  <c r="H301" i="23" s="1"/>
  <c r="A301" i="23"/>
  <c r="B300" i="23"/>
  <c r="H300" i="23" s="1"/>
  <c r="A300" i="23"/>
  <c r="B299" i="23"/>
  <c r="H299" i="23" s="1"/>
  <c r="A299" i="23"/>
  <c r="B298" i="23"/>
  <c r="H298" i="23" s="1"/>
  <c r="A298" i="23"/>
  <c r="B297" i="23"/>
  <c r="H297" i="23" s="1"/>
  <c r="A297" i="23"/>
  <c r="B296" i="23"/>
  <c r="H296" i="23" s="1"/>
  <c r="A296" i="23"/>
  <c r="B295" i="23"/>
  <c r="H295" i="23" s="1"/>
  <c r="A295" i="23"/>
  <c r="B294" i="23"/>
  <c r="H294" i="23" s="1"/>
  <c r="A294" i="23"/>
  <c r="B293" i="23"/>
  <c r="H293" i="23" s="1"/>
  <c r="A293" i="23"/>
  <c r="B292" i="23"/>
  <c r="H292" i="23" s="1"/>
  <c r="A292" i="23"/>
  <c r="B291" i="23"/>
  <c r="H291" i="23" s="1"/>
  <c r="A291" i="23"/>
  <c r="B290" i="23"/>
  <c r="H290" i="23" s="1"/>
  <c r="A290" i="23"/>
  <c r="B289" i="23"/>
  <c r="H289" i="23" s="1"/>
  <c r="A289" i="23"/>
  <c r="B288" i="23"/>
  <c r="H288" i="23" s="1"/>
  <c r="A288" i="23"/>
  <c r="B287" i="23"/>
  <c r="H287" i="23" s="1"/>
  <c r="A287" i="23"/>
  <c r="B286" i="23"/>
  <c r="H286" i="23" s="1"/>
  <c r="A286" i="23"/>
  <c r="B285" i="23"/>
  <c r="H285" i="23" s="1"/>
  <c r="A285" i="23"/>
  <c r="B284" i="23"/>
  <c r="H284" i="23" s="1"/>
  <c r="A284" i="23"/>
  <c r="B283" i="23"/>
  <c r="H283" i="23" s="1"/>
  <c r="A283" i="23"/>
  <c r="B282" i="23"/>
  <c r="H282" i="23" s="1"/>
  <c r="A282" i="23"/>
  <c r="B281" i="23"/>
  <c r="H281" i="23" s="1"/>
  <c r="A281" i="23"/>
  <c r="B280" i="23"/>
  <c r="H280" i="23" s="1"/>
  <c r="A280" i="23"/>
  <c r="B279" i="23"/>
  <c r="H279" i="23" s="1"/>
  <c r="A279" i="23"/>
  <c r="B278" i="23"/>
  <c r="H278" i="23" s="1"/>
  <c r="A278" i="23"/>
  <c r="B277" i="23"/>
  <c r="H277" i="23" s="1"/>
  <c r="A277" i="23"/>
  <c r="B276" i="23"/>
  <c r="H276" i="23" s="1"/>
  <c r="A276" i="23"/>
  <c r="B275" i="23"/>
  <c r="H275" i="23" s="1"/>
  <c r="A275" i="23"/>
  <c r="B274" i="23"/>
  <c r="H274" i="23" s="1"/>
  <c r="A274" i="23"/>
  <c r="B273" i="23"/>
  <c r="H273" i="23" s="1"/>
  <c r="A273" i="23"/>
  <c r="B272" i="23"/>
  <c r="H272" i="23" s="1"/>
  <c r="A272" i="23"/>
  <c r="B271" i="23"/>
  <c r="H271" i="23" s="1"/>
  <c r="A271" i="23"/>
  <c r="B270" i="23"/>
  <c r="H270" i="23" s="1"/>
  <c r="A270" i="23"/>
  <c r="B269" i="23"/>
  <c r="H269" i="23" s="1"/>
  <c r="A269" i="23"/>
  <c r="B268" i="23"/>
  <c r="H268" i="23" s="1"/>
  <c r="A268" i="23"/>
  <c r="B267" i="23"/>
  <c r="H267" i="23" s="1"/>
  <c r="A267" i="23"/>
  <c r="B266" i="23"/>
  <c r="H266" i="23" s="1"/>
  <c r="A266" i="23"/>
  <c r="B265" i="23"/>
  <c r="H265" i="23" s="1"/>
  <c r="A265" i="23"/>
  <c r="B264" i="23"/>
  <c r="H264" i="23" s="1"/>
  <c r="A264" i="23"/>
  <c r="B263" i="23"/>
  <c r="H263" i="23" s="1"/>
  <c r="A263" i="23"/>
  <c r="B262" i="23"/>
  <c r="H262" i="23" s="1"/>
  <c r="A262" i="23"/>
  <c r="B261" i="23"/>
  <c r="H261" i="23" s="1"/>
  <c r="A261" i="23"/>
  <c r="B260" i="23"/>
  <c r="H260" i="23" s="1"/>
  <c r="A260" i="23"/>
  <c r="B259" i="23"/>
  <c r="H259" i="23" s="1"/>
  <c r="A259" i="23"/>
  <c r="B258" i="23"/>
  <c r="H258" i="23" s="1"/>
  <c r="A258" i="23"/>
  <c r="B257" i="23"/>
  <c r="H257" i="23" s="1"/>
  <c r="A257" i="23"/>
  <c r="B256" i="23"/>
  <c r="H256" i="23" s="1"/>
  <c r="A256" i="23"/>
  <c r="B255" i="23"/>
  <c r="H255" i="23" s="1"/>
  <c r="A255" i="23"/>
  <c r="B254" i="23"/>
  <c r="H254" i="23" s="1"/>
  <c r="A254" i="23"/>
  <c r="B253" i="23"/>
  <c r="H253" i="23" s="1"/>
  <c r="A253" i="23"/>
  <c r="B252" i="23"/>
  <c r="H252" i="23" s="1"/>
  <c r="A252" i="23"/>
  <c r="B251" i="23"/>
  <c r="H251" i="23" s="1"/>
  <c r="A251" i="23"/>
  <c r="B250" i="23"/>
  <c r="H250" i="23" s="1"/>
  <c r="A250" i="23"/>
  <c r="B249" i="23"/>
  <c r="H249" i="23" s="1"/>
  <c r="A249" i="23"/>
  <c r="B248" i="23"/>
  <c r="H248" i="23" s="1"/>
  <c r="A248" i="23"/>
  <c r="B247" i="23"/>
  <c r="H247" i="23" s="1"/>
  <c r="A247" i="23"/>
  <c r="B246" i="23"/>
  <c r="H246" i="23" s="1"/>
  <c r="A246" i="23"/>
  <c r="B245" i="23"/>
  <c r="H245" i="23" s="1"/>
  <c r="A245" i="23"/>
  <c r="B244" i="23"/>
  <c r="H244" i="23" s="1"/>
  <c r="A244" i="23"/>
  <c r="B243" i="23"/>
  <c r="H243" i="23" s="1"/>
  <c r="A243" i="23"/>
  <c r="B242" i="23"/>
  <c r="H242" i="23" s="1"/>
  <c r="A242" i="23"/>
  <c r="B241" i="23"/>
  <c r="H241" i="23" s="1"/>
  <c r="A241" i="23"/>
  <c r="B240" i="23"/>
  <c r="H240" i="23" s="1"/>
  <c r="A240" i="23"/>
  <c r="B239" i="23"/>
  <c r="H239" i="23" s="1"/>
  <c r="A239" i="23"/>
  <c r="B238" i="23"/>
  <c r="H238" i="23" s="1"/>
  <c r="A238" i="23"/>
  <c r="B237" i="23"/>
  <c r="H237" i="23" s="1"/>
  <c r="A237" i="23"/>
  <c r="B236" i="23"/>
  <c r="H236" i="23" s="1"/>
  <c r="A236" i="23"/>
  <c r="B235" i="23"/>
  <c r="H235" i="23" s="1"/>
  <c r="A235" i="23"/>
  <c r="B234" i="23"/>
  <c r="H234" i="23" s="1"/>
  <c r="A234" i="23"/>
  <c r="B233" i="23"/>
  <c r="H233" i="23" s="1"/>
  <c r="A233" i="23"/>
  <c r="B232" i="23"/>
  <c r="H232" i="23" s="1"/>
  <c r="A232" i="23"/>
  <c r="B231" i="23"/>
  <c r="H231" i="23" s="1"/>
  <c r="A231" i="23"/>
  <c r="B230" i="23"/>
  <c r="H230" i="23" s="1"/>
  <c r="A230" i="23"/>
  <c r="B229" i="23"/>
  <c r="H229" i="23" s="1"/>
  <c r="A229" i="23"/>
  <c r="B228" i="23"/>
  <c r="H228" i="23" s="1"/>
  <c r="A228" i="23"/>
  <c r="B227" i="23"/>
  <c r="H227" i="23" s="1"/>
  <c r="A227" i="23"/>
  <c r="B226" i="23"/>
  <c r="H226" i="23" s="1"/>
  <c r="A226" i="23"/>
  <c r="B225" i="23"/>
  <c r="H225" i="23" s="1"/>
  <c r="A225" i="23"/>
  <c r="B224" i="23"/>
  <c r="H224" i="23" s="1"/>
  <c r="A224" i="23"/>
  <c r="B223" i="23"/>
  <c r="H223" i="23" s="1"/>
  <c r="A223" i="23"/>
  <c r="B222" i="23"/>
  <c r="H222" i="23" s="1"/>
  <c r="A222" i="23"/>
  <c r="B221" i="23"/>
  <c r="H221" i="23" s="1"/>
  <c r="A221" i="23"/>
  <c r="B220" i="23"/>
  <c r="H220" i="23" s="1"/>
  <c r="A220" i="23"/>
  <c r="B219" i="23"/>
  <c r="H219" i="23" s="1"/>
  <c r="A219" i="23"/>
  <c r="B218" i="23"/>
  <c r="H218" i="23" s="1"/>
  <c r="A218" i="23"/>
  <c r="B217" i="23"/>
  <c r="H217" i="23" s="1"/>
  <c r="A217" i="23"/>
  <c r="B216" i="23"/>
  <c r="H216" i="23" s="1"/>
  <c r="A216" i="23"/>
  <c r="B215" i="23"/>
  <c r="H215" i="23" s="1"/>
  <c r="A215" i="23"/>
  <c r="B214" i="23"/>
  <c r="H214" i="23" s="1"/>
  <c r="A214" i="23"/>
  <c r="B213" i="23"/>
  <c r="H213" i="23" s="1"/>
  <c r="A213" i="23"/>
  <c r="B212" i="23"/>
  <c r="H212" i="23" s="1"/>
  <c r="A212" i="23"/>
  <c r="B211" i="23"/>
  <c r="H211" i="23" s="1"/>
  <c r="A211" i="23"/>
  <c r="B210" i="23"/>
  <c r="H210" i="23" s="1"/>
  <c r="A210" i="23"/>
  <c r="B209" i="23"/>
  <c r="H209" i="23" s="1"/>
  <c r="A209" i="23"/>
  <c r="B208" i="23"/>
  <c r="H208" i="23" s="1"/>
  <c r="A208" i="23"/>
  <c r="B207" i="23"/>
  <c r="H207" i="23" s="1"/>
  <c r="A207" i="23"/>
  <c r="B206" i="23"/>
  <c r="H206" i="23" s="1"/>
  <c r="A206" i="23"/>
  <c r="B205" i="23"/>
  <c r="H205" i="23" s="1"/>
  <c r="A205" i="23"/>
  <c r="B204" i="23"/>
  <c r="H204" i="23" s="1"/>
  <c r="A204" i="23"/>
  <c r="B203" i="23"/>
  <c r="H203" i="23" s="1"/>
  <c r="A203" i="23"/>
  <c r="B202" i="23"/>
  <c r="H202" i="23" s="1"/>
  <c r="A202" i="23"/>
  <c r="B201" i="23"/>
  <c r="H201" i="23" s="1"/>
  <c r="A201" i="23"/>
  <c r="B200" i="23"/>
  <c r="H200" i="23" s="1"/>
  <c r="A200" i="23"/>
  <c r="B199" i="23"/>
  <c r="H199" i="23" s="1"/>
  <c r="A199" i="23"/>
  <c r="B198" i="23"/>
  <c r="H198" i="23" s="1"/>
  <c r="A198" i="23"/>
  <c r="B197" i="23"/>
  <c r="H197" i="23" s="1"/>
  <c r="A197" i="23"/>
  <c r="B196" i="23"/>
  <c r="H196" i="23" s="1"/>
  <c r="A196" i="23"/>
  <c r="B195" i="23"/>
  <c r="H195" i="23" s="1"/>
  <c r="A195" i="23"/>
  <c r="B194" i="23"/>
  <c r="H194" i="23" s="1"/>
  <c r="A194" i="23"/>
  <c r="B193" i="23"/>
  <c r="H193" i="23" s="1"/>
  <c r="A193" i="23"/>
  <c r="B192" i="23"/>
  <c r="H192" i="23" s="1"/>
  <c r="A192" i="23"/>
  <c r="B191" i="23"/>
  <c r="H191" i="23" s="1"/>
  <c r="A191" i="23"/>
  <c r="B190" i="23"/>
  <c r="H190" i="23" s="1"/>
  <c r="A190" i="23"/>
  <c r="B189" i="23"/>
  <c r="H189" i="23" s="1"/>
  <c r="A189" i="23"/>
  <c r="B188" i="23"/>
  <c r="H188" i="23" s="1"/>
  <c r="A188" i="23"/>
  <c r="B187" i="23"/>
  <c r="H187" i="23" s="1"/>
  <c r="A187" i="23"/>
  <c r="B186" i="23"/>
  <c r="H186" i="23" s="1"/>
  <c r="A186" i="23"/>
  <c r="B185" i="23"/>
  <c r="H185" i="23" s="1"/>
  <c r="A185" i="23"/>
  <c r="B184" i="23"/>
  <c r="H184" i="23" s="1"/>
  <c r="A184" i="23"/>
  <c r="B183" i="23"/>
  <c r="H183" i="23" s="1"/>
  <c r="A183" i="23"/>
  <c r="B182" i="23"/>
  <c r="H182" i="23" s="1"/>
  <c r="A182" i="23"/>
  <c r="B181" i="23"/>
  <c r="H181" i="23" s="1"/>
  <c r="A181" i="23"/>
  <c r="B180" i="23"/>
  <c r="H180" i="23" s="1"/>
  <c r="A180" i="23"/>
  <c r="B179" i="23"/>
  <c r="H179" i="23" s="1"/>
  <c r="A179" i="23"/>
  <c r="B178" i="23"/>
  <c r="H178" i="23" s="1"/>
  <c r="A178" i="23"/>
  <c r="B177" i="23"/>
  <c r="H177" i="23" s="1"/>
  <c r="A177" i="23"/>
  <c r="B176" i="23"/>
  <c r="H176" i="23" s="1"/>
  <c r="A176" i="23"/>
  <c r="B175" i="23"/>
  <c r="H175" i="23" s="1"/>
  <c r="A175" i="23"/>
  <c r="B174" i="23"/>
  <c r="H174" i="23" s="1"/>
  <c r="A174" i="23"/>
  <c r="B173" i="23"/>
  <c r="H173" i="23" s="1"/>
  <c r="A173" i="23"/>
  <c r="B172" i="23"/>
  <c r="H172" i="23" s="1"/>
  <c r="A172" i="23"/>
  <c r="B171" i="23"/>
  <c r="H171" i="23" s="1"/>
  <c r="A171" i="23"/>
  <c r="B170" i="23"/>
  <c r="H170" i="23" s="1"/>
  <c r="A170" i="23"/>
  <c r="B169" i="23"/>
  <c r="H169" i="23" s="1"/>
  <c r="A169" i="23"/>
  <c r="B168" i="23"/>
  <c r="H168" i="23" s="1"/>
  <c r="A168" i="23"/>
  <c r="B167" i="23"/>
  <c r="H167" i="23" s="1"/>
  <c r="A167" i="23"/>
  <c r="B166" i="23"/>
  <c r="H166" i="23" s="1"/>
  <c r="A166" i="23"/>
  <c r="B165" i="23"/>
  <c r="H165" i="23" s="1"/>
  <c r="A165" i="23"/>
  <c r="B164" i="23"/>
  <c r="H164" i="23" s="1"/>
  <c r="A164" i="23"/>
  <c r="B163" i="23"/>
  <c r="H163" i="23" s="1"/>
  <c r="A163" i="23"/>
  <c r="B162" i="23"/>
  <c r="H162" i="23" s="1"/>
  <c r="A162" i="23"/>
  <c r="B161" i="23"/>
  <c r="H161" i="23" s="1"/>
  <c r="A161" i="23"/>
  <c r="B160" i="23"/>
  <c r="H160" i="23" s="1"/>
  <c r="A160" i="23"/>
  <c r="B159" i="23"/>
  <c r="H159" i="23" s="1"/>
  <c r="A159" i="23"/>
  <c r="B158" i="23"/>
  <c r="H158" i="23" s="1"/>
  <c r="A158" i="23"/>
  <c r="B157" i="23"/>
  <c r="H157" i="23" s="1"/>
  <c r="A157" i="23"/>
  <c r="B156" i="23"/>
  <c r="H156" i="23" s="1"/>
  <c r="A156" i="23"/>
  <c r="B155" i="23"/>
  <c r="H155" i="23" s="1"/>
  <c r="A155" i="23"/>
  <c r="B154" i="23"/>
  <c r="H154" i="23" s="1"/>
  <c r="A154" i="23"/>
  <c r="B153" i="23"/>
  <c r="H153" i="23" s="1"/>
  <c r="A153" i="23"/>
  <c r="B152" i="23"/>
  <c r="H152" i="23" s="1"/>
  <c r="A152" i="23"/>
  <c r="B151" i="23"/>
  <c r="H151" i="23" s="1"/>
  <c r="A151" i="23"/>
  <c r="B150" i="23"/>
  <c r="H150" i="23" s="1"/>
  <c r="A150" i="23"/>
  <c r="B149" i="23"/>
  <c r="H149" i="23" s="1"/>
  <c r="A149" i="23"/>
  <c r="B148" i="23"/>
  <c r="H148" i="23" s="1"/>
  <c r="A148" i="23"/>
  <c r="B147" i="23"/>
  <c r="H147" i="23" s="1"/>
  <c r="A147" i="23"/>
  <c r="B146" i="23"/>
  <c r="H146" i="23" s="1"/>
  <c r="A146" i="23"/>
  <c r="B145" i="23"/>
  <c r="H145" i="23" s="1"/>
  <c r="A145" i="23"/>
  <c r="B144" i="23"/>
  <c r="H144" i="23" s="1"/>
  <c r="A144" i="23"/>
  <c r="B143" i="23"/>
  <c r="H143" i="23" s="1"/>
  <c r="A143" i="23"/>
  <c r="B142" i="23"/>
  <c r="H142" i="23" s="1"/>
  <c r="A142" i="23"/>
  <c r="B141" i="23"/>
  <c r="H141" i="23" s="1"/>
  <c r="A141" i="23"/>
  <c r="B140" i="23"/>
  <c r="H140" i="23" s="1"/>
  <c r="A140" i="23"/>
  <c r="B139" i="23"/>
  <c r="H139" i="23" s="1"/>
  <c r="A139" i="23"/>
  <c r="B138" i="23"/>
  <c r="H138" i="23" s="1"/>
  <c r="A138" i="23"/>
  <c r="B137" i="23"/>
  <c r="H137" i="23" s="1"/>
  <c r="A137" i="23"/>
  <c r="B136" i="23"/>
  <c r="H136" i="23" s="1"/>
  <c r="A136" i="23"/>
  <c r="B135" i="23"/>
  <c r="H135" i="23" s="1"/>
  <c r="A135" i="23"/>
  <c r="B134" i="23"/>
  <c r="H134" i="23" s="1"/>
  <c r="A134" i="23"/>
  <c r="B133" i="23"/>
  <c r="H133" i="23" s="1"/>
  <c r="A133" i="23"/>
  <c r="B132" i="23"/>
  <c r="H132" i="23" s="1"/>
  <c r="A132" i="23"/>
  <c r="B131" i="23"/>
  <c r="H131" i="23" s="1"/>
  <c r="A131" i="23"/>
  <c r="B130" i="23"/>
  <c r="H130" i="23" s="1"/>
  <c r="A130" i="23"/>
  <c r="B129" i="23"/>
  <c r="H129" i="23" s="1"/>
  <c r="A129" i="23"/>
  <c r="B128" i="23"/>
  <c r="H128" i="23" s="1"/>
  <c r="A128" i="23"/>
  <c r="B127" i="23"/>
  <c r="H127" i="23" s="1"/>
  <c r="A127" i="23"/>
  <c r="B126" i="23"/>
  <c r="H126" i="23" s="1"/>
  <c r="A126" i="23"/>
  <c r="B125" i="23"/>
  <c r="H125" i="23" s="1"/>
  <c r="A125" i="23"/>
  <c r="B124" i="23"/>
  <c r="H124" i="23" s="1"/>
  <c r="A124" i="23"/>
  <c r="B123" i="23"/>
  <c r="H123" i="23" s="1"/>
  <c r="A123" i="23"/>
  <c r="B122" i="23"/>
  <c r="H122" i="23" s="1"/>
  <c r="A122" i="23"/>
  <c r="B121" i="23"/>
  <c r="H121" i="23" s="1"/>
  <c r="A121" i="23"/>
  <c r="B120" i="23"/>
  <c r="H120" i="23" s="1"/>
  <c r="A120" i="23"/>
  <c r="B119" i="23"/>
  <c r="H119" i="23" s="1"/>
  <c r="A119" i="23"/>
  <c r="B118" i="23"/>
  <c r="H118" i="23" s="1"/>
  <c r="A118" i="23"/>
  <c r="B117" i="23"/>
  <c r="H117" i="23" s="1"/>
  <c r="A117" i="23"/>
  <c r="B116" i="23"/>
  <c r="H116" i="23" s="1"/>
  <c r="A116" i="23"/>
  <c r="B115" i="23"/>
  <c r="H115" i="23" s="1"/>
  <c r="A115" i="23"/>
  <c r="B114" i="23"/>
  <c r="H114" i="23" s="1"/>
  <c r="A114" i="23"/>
  <c r="B113" i="23"/>
  <c r="H113" i="23" s="1"/>
  <c r="A113" i="23"/>
  <c r="B112" i="23"/>
  <c r="H112" i="23" s="1"/>
  <c r="A112" i="23"/>
  <c r="B111" i="23"/>
  <c r="H111" i="23" s="1"/>
  <c r="A111" i="23"/>
  <c r="B110" i="23"/>
  <c r="H110" i="23" s="1"/>
  <c r="A110" i="23"/>
  <c r="B109" i="23"/>
  <c r="H109" i="23" s="1"/>
  <c r="A109" i="23"/>
  <c r="B108" i="23"/>
  <c r="H108" i="23" s="1"/>
  <c r="A108" i="23"/>
  <c r="B107" i="23"/>
  <c r="H107" i="23" s="1"/>
  <c r="A107" i="23"/>
  <c r="B106" i="23"/>
  <c r="H106" i="23" s="1"/>
  <c r="A106" i="23"/>
  <c r="B105" i="23"/>
  <c r="H105" i="23" s="1"/>
  <c r="A105" i="23"/>
  <c r="B104" i="23"/>
  <c r="H104" i="23" s="1"/>
  <c r="A104" i="23"/>
  <c r="B103" i="23"/>
  <c r="H103" i="23" s="1"/>
  <c r="A103" i="23"/>
  <c r="B102" i="23"/>
  <c r="H102" i="23" s="1"/>
  <c r="A102" i="23"/>
  <c r="B101" i="23"/>
  <c r="H101" i="23" s="1"/>
  <c r="A101" i="23"/>
  <c r="B100" i="23"/>
  <c r="H100" i="23" s="1"/>
  <c r="A100" i="23"/>
  <c r="B99" i="23"/>
  <c r="H99" i="23" s="1"/>
  <c r="A99" i="23"/>
  <c r="B98" i="23"/>
  <c r="H98" i="23" s="1"/>
  <c r="A98" i="23"/>
  <c r="B97" i="23"/>
  <c r="H97" i="23" s="1"/>
  <c r="A97" i="23"/>
  <c r="B96" i="23"/>
  <c r="H96" i="23" s="1"/>
  <c r="A96" i="23"/>
  <c r="B95" i="23"/>
  <c r="H95" i="23" s="1"/>
  <c r="A95" i="23"/>
  <c r="B94" i="23"/>
  <c r="H94" i="23" s="1"/>
  <c r="A94" i="23"/>
  <c r="B93" i="23"/>
  <c r="H93" i="23" s="1"/>
  <c r="A93" i="23"/>
  <c r="B92" i="23"/>
  <c r="H92" i="23" s="1"/>
  <c r="A92" i="23"/>
  <c r="B91" i="23"/>
  <c r="H91" i="23" s="1"/>
  <c r="A91" i="23"/>
  <c r="B90" i="23"/>
  <c r="H90" i="23" s="1"/>
  <c r="A90" i="23"/>
  <c r="B89" i="23"/>
  <c r="H89" i="23" s="1"/>
  <c r="A89" i="23"/>
  <c r="B88" i="23"/>
  <c r="H88" i="23" s="1"/>
  <c r="A88" i="23"/>
  <c r="B87" i="23"/>
  <c r="H87" i="23" s="1"/>
  <c r="A87" i="23"/>
  <c r="B86" i="23"/>
  <c r="H86" i="23" s="1"/>
  <c r="A86" i="23"/>
  <c r="B85" i="23"/>
  <c r="H85" i="23" s="1"/>
  <c r="A85" i="23"/>
  <c r="B84" i="23"/>
  <c r="H84" i="23" s="1"/>
  <c r="A84" i="23"/>
  <c r="B83" i="23"/>
  <c r="H83" i="23" s="1"/>
  <c r="A83" i="23"/>
  <c r="B82" i="23"/>
  <c r="H82" i="23" s="1"/>
  <c r="A82" i="23"/>
  <c r="B81" i="23"/>
  <c r="H81" i="23" s="1"/>
  <c r="A81" i="23"/>
  <c r="B80" i="23"/>
  <c r="H80" i="23" s="1"/>
  <c r="A80" i="23"/>
  <c r="B79" i="23"/>
  <c r="H79" i="23" s="1"/>
  <c r="A79" i="23"/>
  <c r="B78" i="23"/>
  <c r="H78" i="23" s="1"/>
  <c r="A78" i="23"/>
  <c r="B77" i="23"/>
  <c r="H77" i="23" s="1"/>
  <c r="A77" i="23"/>
  <c r="B76" i="23"/>
  <c r="H76" i="23" s="1"/>
  <c r="A76" i="23"/>
  <c r="B75" i="23"/>
  <c r="H75" i="23" s="1"/>
  <c r="A75" i="23"/>
  <c r="B74" i="23"/>
  <c r="H74" i="23" s="1"/>
  <c r="A74" i="23"/>
  <c r="B73" i="23"/>
  <c r="H73" i="23" s="1"/>
  <c r="A73" i="23"/>
  <c r="B72" i="23"/>
  <c r="H72" i="23" s="1"/>
  <c r="A72" i="23"/>
  <c r="B71" i="23"/>
  <c r="H71" i="23" s="1"/>
  <c r="A71" i="23"/>
  <c r="B70" i="23"/>
  <c r="H70" i="23" s="1"/>
  <c r="A70" i="23"/>
  <c r="B69" i="23"/>
  <c r="H69" i="23" s="1"/>
  <c r="A69" i="23"/>
  <c r="B68" i="23"/>
  <c r="H68" i="23" s="1"/>
  <c r="A68" i="23"/>
  <c r="B67" i="23"/>
  <c r="H67" i="23" s="1"/>
  <c r="A67" i="23"/>
  <c r="B66" i="23"/>
  <c r="H66" i="23" s="1"/>
  <c r="A66" i="23"/>
  <c r="B65" i="23"/>
  <c r="H65" i="23" s="1"/>
  <c r="A65" i="23"/>
  <c r="B64" i="23"/>
  <c r="H64" i="23" s="1"/>
  <c r="A64" i="23"/>
  <c r="B63" i="23"/>
  <c r="H63" i="23" s="1"/>
  <c r="A63" i="23"/>
  <c r="B62" i="23"/>
  <c r="H62" i="23" s="1"/>
  <c r="A62" i="23"/>
  <c r="B61" i="23"/>
  <c r="H61" i="23" s="1"/>
  <c r="A61" i="23"/>
  <c r="B60" i="23"/>
  <c r="H60" i="23" s="1"/>
  <c r="A60" i="23"/>
  <c r="B59" i="23"/>
  <c r="H59" i="23" s="1"/>
  <c r="A59" i="23"/>
  <c r="B58" i="23"/>
  <c r="H58" i="23" s="1"/>
  <c r="A58" i="23"/>
  <c r="B57" i="23"/>
  <c r="H57" i="23" s="1"/>
  <c r="A57" i="23"/>
  <c r="B56" i="23"/>
  <c r="H56" i="23" s="1"/>
  <c r="A56" i="23"/>
  <c r="B55" i="23"/>
  <c r="H55" i="23" s="1"/>
  <c r="A55" i="23"/>
  <c r="B54" i="23"/>
  <c r="H54" i="23" s="1"/>
  <c r="A54" i="23"/>
  <c r="B53" i="23"/>
  <c r="H53" i="23" s="1"/>
  <c r="A53" i="23"/>
  <c r="B52" i="23"/>
  <c r="H52" i="23" s="1"/>
  <c r="A52" i="23"/>
  <c r="B51" i="23"/>
  <c r="H51" i="23" s="1"/>
  <c r="A51" i="23"/>
  <c r="B50" i="23"/>
  <c r="H50" i="23" s="1"/>
  <c r="A50" i="23"/>
  <c r="B49" i="23"/>
  <c r="H49" i="23" s="1"/>
  <c r="A49" i="23"/>
  <c r="B48" i="23"/>
  <c r="H48" i="23" s="1"/>
  <c r="A48" i="23"/>
  <c r="B47" i="23"/>
  <c r="H47" i="23" s="1"/>
  <c r="A47" i="23"/>
  <c r="B46" i="23"/>
  <c r="H46" i="23" s="1"/>
  <c r="A46" i="23"/>
  <c r="B45" i="23"/>
  <c r="H45" i="23" s="1"/>
  <c r="A45" i="23"/>
  <c r="B44" i="23"/>
  <c r="H44" i="23" s="1"/>
  <c r="A44" i="23"/>
  <c r="B43" i="23"/>
  <c r="H43" i="23" s="1"/>
  <c r="A43" i="23"/>
  <c r="B42" i="23"/>
  <c r="H42" i="23" s="1"/>
  <c r="A42" i="23"/>
  <c r="B41" i="23"/>
  <c r="H41" i="23" s="1"/>
  <c r="A41" i="23"/>
  <c r="B40" i="23"/>
  <c r="H40" i="23" s="1"/>
  <c r="A40" i="23"/>
  <c r="B39" i="23"/>
  <c r="H39" i="23" s="1"/>
  <c r="A39" i="23"/>
  <c r="B38" i="23"/>
  <c r="H38" i="23" s="1"/>
  <c r="A38" i="23"/>
  <c r="B37" i="23"/>
  <c r="H37" i="23" s="1"/>
  <c r="A37" i="23"/>
  <c r="B36" i="23"/>
  <c r="H36" i="23" s="1"/>
  <c r="A36" i="23"/>
  <c r="B35" i="23"/>
  <c r="H35" i="23" s="1"/>
  <c r="A35" i="23"/>
  <c r="B34" i="23"/>
  <c r="H34" i="23" s="1"/>
  <c r="A34" i="23"/>
  <c r="B33" i="23"/>
  <c r="H33" i="23" s="1"/>
  <c r="A33" i="23"/>
  <c r="B32" i="23"/>
  <c r="H32" i="23" s="1"/>
  <c r="A32" i="23"/>
  <c r="B31" i="23"/>
  <c r="H31" i="23" s="1"/>
  <c r="A31" i="23"/>
  <c r="B30" i="23"/>
  <c r="H30" i="23" s="1"/>
  <c r="A30" i="23"/>
  <c r="B29" i="23"/>
  <c r="H29" i="23" s="1"/>
  <c r="A29" i="23"/>
  <c r="B28" i="23"/>
  <c r="H28" i="23" s="1"/>
  <c r="A28" i="23"/>
  <c r="B27" i="23"/>
  <c r="H27" i="23" s="1"/>
  <c r="A27" i="23"/>
  <c r="B26" i="23"/>
  <c r="H26" i="23" s="1"/>
  <c r="A26" i="23"/>
  <c r="B25" i="23"/>
  <c r="H25" i="23" s="1"/>
  <c r="A25" i="23"/>
  <c r="B24" i="23"/>
  <c r="H24" i="23" s="1"/>
  <c r="A24" i="23"/>
  <c r="B23" i="23"/>
  <c r="H23" i="23" s="1"/>
  <c r="A23" i="23"/>
  <c r="B22" i="23"/>
  <c r="H22" i="23" s="1"/>
  <c r="A22" i="23"/>
  <c r="B21" i="23"/>
  <c r="H21" i="23" s="1"/>
  <c r="A21" i="23"/>
  <c r="B20" i="23"/>
  <c r="H20" i="23" s="1"/>
  <c r="A20" i="23"/>
  <c r="B19" i="23"/>
  <c r="H19" i="23" s="1"/>
  <c r="A19" i="23"/>
  <c r="B18" i="23"/>
  <c r="H18" i="23" s="1"/>
  <c r="A18" i="23"/>
  <c r="B17" i="23"/>
  <c r="H17" i="23" s="1"/>
  <c r="A17" i="23"/>
  <c r="B16" i="23"/>
  <c r="H16" i="23" s="1"/>
  <c r="A16" i="23"/>
  <c r="B15" i="23"/>
  <c r="H15" i="23" s="1"/>
  <c r="A15" i="23"/>
  <c r="B14" i="23"/>
  <c r="H14" i="23" s="1"/>
  <c r="A14" i="23"/>
  <c r="B13" i="23"/>
  <c r="H13" i="23" s="1"/>
  <c r="A13" i="23"/>
  <c r="B12" i="23"/>
  <c r="H12" i="23" s="1"/>
  <c r="A12" i="23"/>
  <c r="B11" i="23"/>
  <c r="H11" i="23" s="1"/>
  <c r="A11" i="23"/>
  <c r="B10" i="23"/>
  <c r="H10" i="23" s="1"/>
  <c r="A10" i="23"/>
  <c r="B9" i="23"/>
  <c r="H9" i="23" s="1"/>
  <c r="A9" i="23"/>
  <c r="B8" i="23"/>
  <c r="H8" i="23" s="1"/>
  <c r="A8" i="23"/>
  <c r="B7" i="23"/>
  <c r="H7" i="23" s="1"/>
  <c r="A7" i="23"/>
  <c r="B6" i="23"/>
  <c r="H6" i="23" s="1"/>
  <c r="A6" i="23"/>
  <c r="B5" i="23"/>
  <c r="H5" i="23" s="1"/>
  <c r="A5" i="23"/>
  <c r="B4" i="23"/>
  <c r="H4" i="23" s="1"/>
  <c r="A4" i="23"/>
  <c r="B3" i="23"/>
  <c r="H3" i="23" s="1"/>
  <c r="A3" i="23"/>
  <c r="A2" i="23"/>
  <c r="B2" i="23"/>
  <c r="H2" i="23" s="1"/>
  <c r="R25" i="22"/>
  <c r="Q25" i="22"/>
  <c r="U25" i="22" s="1" a="1"/>
  <c r="I25" i="22"/>
  <c r="H25" i="22"/>
  <c r="B25" i="22"/>
  <c r="R24" i="22"/>
  <c r="Q24" i="22"/>
  <c r="U24" i="22" s="1" a="1"/>
  <c r="I24" i="22"/>
  <c r="H24" i="22"/>
  <c r="B24" i="22"/>
  <c r="R23" i="22"/>
  <c r="Q23" i="22"/>
  <c r="U23" i="22" s="1" a="1"/>
  <c r="I23" i="22"/>
  <c r="H23" i="22"/>
  <c r="B23" i="22"/>
  <c r="R22" i="22"/>
  <c r="Q22" i="22"/>
  <c r="U22" i="22" s="1" a="1"/>
  <c r="I22" i="22"/>
  <c r="H22" i="22"/>
  <c r="R21" i="22"/>
  <c r="Q21" i="22"/>
  <c r="U21" i="22" s="1" a="1"/>
  <c r="I21" i="22"/>
  <c r="H21" i="22"/>
  <c r="R20" i="22"/>
  <c r="Q20" i="22"/>
  <c r="I20" i="22"/>
  <c r="H20" i="22"/>
  <c r="R19" i="22"/>
  <c r="Q19" i="22"/>
  <c r="U19" i="22" s="1" a="1"/>
  <c r="I19" i="22"/>
  <c r="H19" i="22"/>
  <c r="C18" i="22"/>
  <c r="D18" i="22"/>
  <c r="H18" i="22"/>
  <c r="I18" i="22"/>
  <c r="O18" i="22"/>
  <c r="P18" i="22"/>
  <c r="Q18" i="22"/>
  <c r="R18" i="22"/>
  <c r="B9" i="22"/>
  <c r="B8" i="22"/>
  <c r="N382" i="3"/>
  <c r="N381" i="3"/>
  <c r="N380" i="3"/>
  <c r="N379" i="3"/>
  <c r="N378" i="3"/>
  <c r="N377" i="3"/>
  <c r="N376" i="3"/>
  <c r="N375" i="3"/>
  <c r="N374" i="3"/>
  <c r="N373" i="3"/>
  <c r="N372" i="3"/>
  <c r="N371" i="3"/>
  <c r="N370" i="3"/>
  <c r="N369" i="3"/>
  <c r="N368" i="3"/>
  <c r="N367" i="3"/>
  <c r="N366" i="3"/>
  <c r="N365" i="3"/>
  <c r="N364" i="3"/>
  <c r="N363" i="3"/>
  <c r="N362" i="3"/>
  <c r="N361" i="3"/>
  <c r="N360" i="3"/>
  <c r="N359" i="3"/>
  <c r="N358" i="3"/>
  <c r="N357" i="3"/>
  <c r="N356" i="3"/>
  <c r="N355" i="3"/>
  <c r="N354" i="3"/>
  <c r="N353" i="3"/>
  <c r="N352" i="3"/>
  <c r="N351" i="3"/>
  <c r="N350" i="3"/>
  <c r="N349" i="3"/>
  <c r="N348" i="3"/>
  <c r="N347" i="3"/>
  <c r="N346" i="3"/>
  <c r="N345" i="3"/>
  <c r="N344" i="3"/>
  <c r="N343" i="3"/>
  <c r="N342" i="3"/>
  <c r="N341" i="3"/>
  <c r="N340" i="3"/>
  <c r="N339" i="3"/>
  <c r="N338" i="3"/>
  <c r="N337" i="3"/>
  <c r="N336" i="3"/>
  <c r="N335" i="3"/>
  <c r="N334" i="3"/>
  <c r="N333" i="3"/>
  <c r="N332" i="3"/>
  <c r="N331" i="3"/>
  <c r="N330" i="3"/>
  <c r="N329" i="3"/>
  <c r="N328" i="3"/>
  <c r="N327" i="3"/>
  <c r="N326" i="3"/>
  <c r="N325" i="3"/>
  <c r="N324" i="3"/>
  <c r="N323" i="3"/>
  <c r="N322" i="3"/>
  <c r="N321" i="3"/>
  <c r="N320" i="3"/>
  <c r="N319" i="3"/>
  <c r="N318" i="3"/>
  <c r="N317" i="3"/>
  <c r="N316" i="3"/>
  <c r="N315" i="3"/>
  <c r="N314" i="3"/>
  <c r="N313" i="3"/>
  <c r="N312" i="3"/>
  <c r="N311" i="3"/>
  <c r="N310" i="3"/>
  <c r="N309" i="3"/>
  <c r="N308" i="3"/>
  <c r="N307" i="3"/>
  <c r="N306" i="3"/>
  <c r="N305" i="3"/>
  <c r="N304" i="3"/>
  <c r="N303" i="3"/>
  <c r="N302" i="3"/>
  <c r="N301" i="3"/>
  <c r="N300" i="3"/>
  <c r="N299" i="3"/>
  <c r="N298" i="3"/>
  <c r="N297" i="3"/>
  <c r="N296" i="3"/>
  <c r="N295" i="3"/>
  <c r="N294" i="3"/>
  <c r="N293" i="3"/>
  <c r="N292" i="3"/>
  <c r="N291" i="3"/>
  <c r="N290" i="3"/>
  <c r="N289" i="3"/>
  <c r="N288" i="3"/>
  <c r="N287" i="3"/>
  <c r="N286" i="3"/>
  <c r="N285" i="3"/>
  <c r="N284" i="3"/>
  <c r="N283" i="3"/>
  <c r="N282" i="3"/>
  <c r="N281" i="3"/>
  <c r="N280" i="3"/>
  <c r="N279" i="3"/>
  <c r="N278" i="3"/>
  <c r="N277" i="3"/>
  <c r="N276" i="3"/>
  <c r="N275" i="3"/>
  <c r="N274" i="3"/>
  <c r="N273" i="3"/>
  <c r="N272" i="3"/>
  <c r="N271" i="3"/>
  <c r="N270" i="3"/>
  <c r="N269" i="3"/>
  <c r="N268" i="3"/>
  <c r="N267" i="3"/>
  <c r="N266" i="3"/>
  <c r="N265" i="3"/>
  <c r="N264" i="3"/>
  <c r="N263" i="3"/>
  <c r="N262" i="3"/>
  <c r="N261" i="3"/>
  <c r="N260" i="3"/>
  <c r="N259" i="3"/>
  <c r="N258" i="3"/>
  <c r="N257" i="3"/>
  <c r="N256" i="3"/>
  <c r="N255" i="3"/>
  <c r="N254" i="3"/>
  <c r="N253" i="3"/>
  <c r="N252" i="3"/>
  <c r="N251" i="3"/>
  <c r="N250" i="3"/>
  <c r="N249" i="3"/>
  <c r="N248" i="3"/>
  <c r="N247" i="3"/>
  <c r="N246" i="3"/>
  <c r="N245" i="3"/>
  <c r="N244" i="3"/>
  <c r="N243" i="3"/>
  <c r="N242" i="3"/>
  <c r="N241" i="3"/>
  <c r="N240" i="3"/>
  <c r="N239" i="3"/>
  <c r="N238" i="3"/>
  <c r="N237" i="3"/>
  <c r="N236" i="3"/>
  <c r="N235" i="3"/>
  <c r="N234" i="3"/>
  <c r="N233" i="3"/>
  <c r="N232" i="3"/>
  <c r="N231" i="3"/>
  <c r="N230" i="3"/>
  <c r="N229" i="3"/>
  <c r="N228" i="3"/>
  <c r="N227" i="3"/>
  <c r="N226" i="3"/>
  <c r="N225" i="3"/>
  <c r="N224" i="3"/>
  <c r="N223" i="3"/>
  <c r="N222" i="3"/>
  <c r="N221" i="3"/>
  <c r="N220" i="3"/>
  <c r="N219" i="3"/>
  <c r="N218" i="3"/>
  <c r="N217" i="3"/>
  <c r="N216" i="3"/>
  <c r="N215" i="3"/>
  <c r="N214" i="3"/>
  <c r="N213" i="3"/>
  <c r="N212" i="3"/>
  <c r="N211" i="3"/>
  <c r="N210" i="3"/>
  <c r="N209" i="3"/>
  <c r="N208" i="3"/>
  <c r="N207" i="3"/>
  <c r="N206" i="3"/>
  <c r="N205" i="3"/>
  <c r="N204" i="3"/>
  <c r="N203" i="3"/>
  <c r="N202" i="3"/>
  <c r="N201" i="3"/>
  <c r="N200" i="3"/>
  <c r="N199" i="3"/>
  <c r="N198" i="3"/>
  <c r="N197" i="3"/>
  <c r="N196" i="3"/>
  <c r="N195" i="3"/>
  <c r="N194" i="3"/>
  <c r="N193" i="3"/>
  <c r="N192" i="3"/>
  <c r="N191" i="3"/>
  <c r="N190" i="3"/>
  <c r="N189" i="3"/>
  <c r="N188" i="3"/>
  <c r="N187" i="3"/>
  <c r="N186" i="3"/>
  <c r="N185" i="3"/>
  <c r="N184" i="3"/>
  <c r="N183" i="3"/>
  <c r="N182" i="3"/>
  <c r="N181" i="3"/>
  <c r="N180" i="3"/>
  <c r="N179" i="3"/>
  <c r="N178" i="3"/>
  <c r="N177" i="3"/>
  <c r="N176" i="3"/>
  <c r="N175" i="3"/>
  <c r="N174" i="3"/>
  <c r="N173" i="3"/>
  <c r="N172" i="3"/>
  <c r="N171" i="3"/>
  <c r="N170" i="3"/>
  <c r="N169" i="3"/>
  <c r="N168" i="3"/>
  <c r="N167" i="3"/>
  <c r="N166" i="3"/>
  <c r="N165" i="3"/>
  <c r="N164" i="3"/>
  <c r="N163" i="3"/>
  <c r="N162" i="3"/>
  <c r="N161" i="3"/>
  <c r="N160" i="3"/>
  <c r="N159" i="3"/>
  <c r="N158" i="3"/>
  <c r="N157" i="3"/>
  <c r="N156" i="3"/>
  <c r="N155" i="3"/>
  <c r="N154" i="3"/>
  <c r="N153" i="3"/>
  <c r="N152" i="3"/>
  <c r="N151" i="3"/>
  <c r="N150" i="3"/>
  <c r="N149" i="3"/>
  <c r="N148" i="3"/>
  <c r="N147" i="3"/>
  <c r="N146" i="3"/>
  <c r="N145" i="3"/>
  <c r="N144" i="3"/>
  <c r="N143" i="3"/>
  <c r="N142" i="3"/>
  <c r="N141" i="3"/>
  <c r="N140" i="3"/>
  <c r="N139" i="3"/>
  <c r="N138" i="3"/>
  <c r="N137" i="3"/>
  <c r="N136" i="3"/>
  <c r="N135" i="3"/>
  <c r="N134" i="3"/>
  <c r="N133" i="3"/>
  <c r="N132" i="3"/>
  <c r="N131" i="3"/>
  <c r="N130" i="3"/>
  <c r="N129" i="3"/>
  <c r="N128" i="3"/>
  <c r="N127" i="3"/>
  <c r="N126" i="3"/>
  <c r="N125" i="3"/>
  <c r="N124" i="3"/>
  <c r="N123" i="3"/>
  <c r="N122" i="3"/>
  <c r="N121" i="3"/>
  <c r="N120" i="3"/>
  <c r="N119" i="3"/>
  <c r="N118" i="3"/>
  <c r="N117" i="3"/>
  <c r="N116" i="3"/>
  <c r="N115" i="3"/>
  <c r="N114" i="3"/>
  <c r="N113" i="3"/>
  <c r="N112" i="3"/>
  <c r="N111" i="3"/>
  <c r="N110" i="3"/>
  <c r="N109" i="3"/>
  <c r="N108" i="3"/>
  <c r="N107" i="3"/>
  <c r="N106" i="3"/>
  <c r="N105" i="3"/>
  <c r="N104" i="3"/>
  <c r="N103" i="3"/>
  <c r="N102" i="3"/>
  <c r="N101" i="3"/>
  <c r="N100" i="3"/>
  <c r="N99" i="3"/>
  <c r="N98" i="3"/>
  <c r="N97" i="3"/>
  <c r="N96" i="3"/>
  <c r="N95" i="3"/>
  <c r="N94" i="3"/>
  <c r="N93" i="3"/>
  <c r="N92" i="3"/>
  <c r="N91" i="3"/>
  <c r="N90" i="3"/>
  <c r="N89" i="3"/>
  <c r="N88" i="3"/>
  <c r="N87" i="3"/>
  <c r="N86" i="3"/>
  <c r="N85" i="3"/>
  <c r="N84" i="3"/>
  <c r="N83" i="3"/>
  <c r="N82" i="3"/>
  <c r="N81" i="3"/>
  <c r="N80" i="3"/>
  <c r="N79" i="3"/>
  <c r="N78" i="3"/>
  <c r="N77" i="3"/>
  <c r="N76" i="3"/>
  <c r="N75" i="3"/>
  <c r="N74" i="3"/>
  <c r="N73" i="3"/>
  <c r="N72" i="3"/>
  <c r="N71" i="3"/>
  <c r="N70" i="3"/>
  <c r="N69" i="3"/>
  <c r="N68" i="3"/>
  <c r="N67" i="3"/>
  <c r="N66" i="3"/>
  <c r="N65" i="3"/>
  <c r="N64" i="3"/>
  <c r="N63" i="3"/>
  <c r="N62" i="3"/>
  <c r="N61" i="3"/>
  <c r="N60" i="3"/>
  <c r="N59" i="3"/>
  <c r="N58" i="3"/>
  <c r="N57" i="3"/>
  <c r="N56" i="3"/>
  <c r="N55" i="3"/>
  <c r="N54" i="3"/>
  <c r="N53" i="3"/>
  <c r="N52" i="3"/>
  <c r="N51" i="3"/>
  <c r="N50" i="3"/>
  <c r="N49" i="3"/>
  <c r="N48" i="3"/>
  <c r="N47" i="3"/>
  <c r="N46" i="3"/>
  <c r="N45" i="3"/>
  <c r="N44" i="3"/>
  <c r="N43" i="3"/>
  <c r="N42" i="3"/>
  <c r="N41" i="3"/>
  <c r="N40" i="3"/>
  <c r="N39" i="3"/>
  <c r="N38" i="3"/>
  <c r="N37" i="3"/>
  <c r="N36" i="3"/>
  <c r="N35" i="3"/>
  <c r="N34" i="3"/>
  <c r="N33" i="3"/>
  <c r="N32" i="3"/>
  <c r="N31" i="3"/>
  <c r="N30" i="3"/>
  <c r="N29" i="3"/>
  <c r="N28" i="3"/>
  <c r="N27" i="3"/>
  <c r="N26" i="3"/>
  <c r="N25" i="3"/>
  <c r="N24" i="3"/>
  <c r="N23" i="3"/>
  <c r="N22" i="3"/>
  <c r="N21" i="3"/>
  <c r="N20" i="3"/>
  <c r="N19" i="3"/>
  <c r="N18" i="3"/>
  <c r="N17" i="3"/>
  <c r="N16" i="3"/>
  <c r="N15" i="3"/>
  <c r="N14" i="3"/>
  <c r="N13" i="3"/>
  <c r="N12" i="3"/>
  <c r="N11" i="3"/>
  <c r="N10" i="3"/>
  <c r="N9" i="3"/>
  <c r="N8" i="3"/>
  <c r="N7" i="3"/>
  <c r="N6" i="3"/>
  <c r="N5" i="3"/>
  <c r="N4" i="3"/>
  <c r="N3" i="3"/>
  <c r="S111" i="17"/>
  <c r="S110" i="17"/>
  <c r="S109" i="17"/>
  <c r="S108" i="17"/>
  <c r="S107" i="17"/>
  <c r="S106" i="17"/>
  <c r="S105" i="17"/>
  <c r="S104" i="17"/>
  <c r="S103" i="17"/>
  <c r="S102" i="17"/>
  <c r="S101" i="17"/>
  <c r="S100" i="17"/>
  <c r="S99" i="17"/>
  <c r="S98" i="17"/>
  <c r="S97" i="17"/>
  <c r="S96" i="17"/>
  <c r="S95" i="17"/>
  <c r="S94" i="17"/>
  <c r="S93" i="17"/>
  <c r="S92" i="17"/>
  <c r="S91" i="17"/>
  <c r="S90" i="17"/>
  <c r="S89" i="17"/>
  <c r="S88" i="17"/>
  <c r="S87" i="17"/>
  <c r="S86" i="17"/>
  <c r="S85" i="17"/>
  <c r="S84" i="17"/>
  <c r="S83" i="17"/>
  <c r="S82" i="17"/>
  <c r="S81" i="17"/>
  <c r="S80" i="17"/>
  <c r="S79" i="17"/>
  <c r="S78" i="17"/>
  <c r="S77" i="17"/>
  <c r="S76" i="17"/>
  <c r="S75" i="17"/>
  <c r="S74" i="17"/>
  <c r="S73" i="17"/>
  <c r="S72" i="17"/>
  <c r="S71" i="17"/>
  <c r="S70" i="17"/>
  <c r="S69" i="17"/>
  <c r="S68" i="17"/>
  <c r="S67" i="17"/>
  <c r="S66" i="17"/>
  <c r="S65" i="17"/>
  <c r="S64" i="17"/>
  <c r="S63" i="17"/>
  <c r="S62" i="17"/>
  <c r="S61" i="17"/>
  <c r="S60" i="17"/>
  <c r="S59" i="17"/>
  <c r="S58" i="17"/>
  <c r="S57" i="17"/>
  <c r="S56" i="17"/>
  <c r="S55" i="17"/>
  <c r="S54" i="17"/>
  <c r="S53" i="17"/>
  <c r="S52" i="17"/>
  <c r="S51" i="17"/>
  <c r="S50" i="17"/>
  <c r="S49" i="17"/>
  <c r="S48" i="17"/>
  <c r="S47" i="17"/>
  <c r="S46" i="17"/>
  <c r="S45" i="17"/>
  <c r="S44" i="17"/>
  <c r="S43" i="17"/>
  <c r="S42" i="17"/>
  <c r="S41" i="17"/>
  <c r="S40" i="17"/>
  <c r="S39" i="17"/>
  <c r="S38" i="17"/>
  <c r="S37" i="17"/>
  <c r="S36" i="17"/>
  <c r="S35" i="17"/>
  <c r="S34" i="17"/>
  <c r="S33" i="17"/>
  <c r="S32" i="17"/>
  <c r="S31" i="17"/>
  <c r="S30" i="17"/>
  <c r="S29" i="17"/>
  <c r="S28" i="17"/>
  <c r="S27" i="17"/>
  <c r="S26" i="17"/>
  <c r="S25" i="17"/>
  <c r="S24" i="17"/>
  <c r="S23" i="17"/>
  <c r="S22" i="17"/>
  <c r="S21" i="17"/>
  <c r="S20" i="17"/>
  <c r="S19" i="17"/>
  <c r="S18" i="17"/>
  <c r="S17" i="17"/>
  <c r="S16" i="17"/>
  <c r="S15" i="17"/>
  <c r="S14" i="17"/>
  <c r="S13" i="17"/>
  <c r="S12" i="17"/>
  <c r="S11" i="17"/>
  <c r="S10" i="17"/>
  <c r="S9" i="17"/>
  <c r="S8" i="17"/>
  <c r="S7" i="17"/>
  <c r="S6" i="17"/>
  <c r="S5" i="17"/>
  <c r="S4" i="17"/>
  <c r="S3" i="17"/>
  <c r="S2" i="17"/>
  <c r="AV382" i="3"/>
  <c r="AV381" i="3"/>
  <c r="AV380" i="3"/>
  <c r="AV379" i="3"/>
  <c r="AV378" i="3"/>
  <c r="AV377" i="3"/>
  <c r="AV376" i="3"/>
  <c r="AV375" i="3"/>
  <c r="AV374" i="3"/>
  <c r="AT382" i="3"/>
  <c r="AT381" i="3"/>
  <c r="AT380" i="3"/>
  <c r="AT379" i="3"/>
  <c r="AT378" i="3"/>
  <c r="AT377" i="3"/>
  <c r="AT376" i="3"/>
  <c r="AT375" i="3"/>
  <c r="AT374" i="3"/>
  <c r="AS382" i="3"/>
  <c r="AS381" i="3"/>
  <c r="AS380" i="3"/>
  <c r="AS379" i="3"/>
  <c r="AS378" i="3"/>
  <c r="AS377" i="3"/>
  <c r="AS376" i="3"/>
  <c r="AS375" i="3"/>
  <c r="AS374" i="3"/>
  <c r="AR382" i="3"/>
  <c r="AR381" i="3"/>
  <c r="AR380" i="3"/>
  <c r="AR379" i="3"/>
  <c r="AR378" i="3"/>
  <c r="AR377" i="3"/>
  <c r="AR376" i="3"/>
  <c r="AR375" i="3"/>
  <c r="AR374" i="3"/>
  <c r="AQ382" i="3"/>
  <c r="AQ381" i="3"/>
  <c r="AQ380" i="3"/>
  <c r="AQ379" i="3"/>
  <c r="AQ378" i="3"/>
  <c r="AQ377" i="3"/>
  <c r="AQ376" i="3"/>
  <c r="AQ375" i="3"/>
  <c r="AQ374" i="3"/>
  <c r="AP382" i="3"/>
  <c r="AP381" i="3"/>
  <c r="AP380" i="3"/>
  <c r="AP379" i="3"/>
  <c r="AP378" i="3"/>
  <c r="AP377" i="3"/>
  <c r="AP376" i="3"/>
  <c r="AP375" i="3"/>
  <c r="AP374" i="3"/>
  <c r="AO382" i="3"/>
  <c r="AO381" i="3"/>
  <c r="AO380" i="3"/>
  <c r="AO379" i="3"/>
  <c r="AO378" i="3"/>
  <c r="AO377" i="3"/>
  <c r="AO376" i="3"/>
  <c r="AO375" i="3"/>
  <c r="AO374" i="3"/>
  <c r="V382" i="3"/>
  <c r="V381" i="3"/>
  <c r="V380" i="3"/>
  <c r="V379" i="3"/>
  <c r="V378" i="3"/>
  <c r="V377" i="3"/>
  <c r="V376" i="3"/>
  <c r="V375" i="3"/>
  <c r="V374" i="3"/>
  <c r="Q382" i="3"/>
  <c r="Q381" i="3"/>
  <c r="Q380" i="3"/>
  <c r="Q379" i="3"/>
  <c r="Q378" i="3"/>
  <c r="Q377" i="3"/>
  <c r="Q376" i="3"/>
  <c r="Q375" i="3"/>
  <c r="Q374" i="3"/>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W137" i="5"/>
  <c r="W136" i="5"/>
  <c r="W135" i="5"/>
  <c r="W134" i="5"/>
  <c r="W133" i="5"/>
  <c r="W132" i="5"/>
  <c r="W131" i="5"/>
  <c r="W130" i="5"/>
  <c r="W129" i="5"/>
  <c r="W128" i="5"/>
  <c r="W127" i="5"/>
  <c r="W126" i="5"/>
  <c r="W125" i="5"/>
  <c r="W124" i="5"/>
  <c r="W123" i="5"/>
  <c r="W122" i="5"/>
  <c r="W121" i="5"/>
  <c r="W120" i="5"/>
  <c r="W119" i="5"/>
  <c r="W118" i="5"/>
  <c r="W117" i="5"/>
  <c r="W116" i="5"/>
  <c r="W115" i="5"/>
  <c r="W114" i="5"/>
  <c r="W113" i="5"/>
  <c r="W112" i="5"/>
  <c r="W111" i="5"/>
  <c r="W110" i="5"/>
  <c r="W109" i="5"/>
  <c r="W108" i="5"/>
  <c r="W107" i="5"/>
  <c r="W106" i="5"/>
  <c r="W105" i="5"/>
  <c r="W104" i="5"/>
  <c r="W103" i="5"/>
  <c r="W102" i="5"/>
  <c r="W101" i="5"/>
  <c r="W100" i="5"/>
  <c r="W99" i="5"/>
  <c r="W98" i="5"/>
  <c r="W97" i="5"/>
  <c r="W96" i="5"/>
  <c r="W95" i="5"/>
  <c r="W94" i="5"/>
  <c r="W93" i="5"/>
  <c r="W92" i="5"/>
  <c r="W91" i="5"/>
  <c r="W90" i="5"/>
  <c r="W89" i="5"/>
  <c r="W88" i="5"/>
  <c r="W87" i="5"/>
  <c r="W86" i="5"/>
  <c r="W85" i="5"/>
  <c r="W84" i="5"/>
  <c r="W83" i="5"/>
  <c r="W82" i="5"/>
  <c r="W81" i="5"/>
  <c r="W80" i="5"/>
  <c r="W79" i="5"/>
  <c r="W78" i="5"/>
  <c r="W77" i="5"/>
  <c r="W76" i="5"/>
  <c r="W75" i="5"/>
  <c r="W74" i="5"/>
  <c r="W73" i="5"/>
  <c r="W72" i="5"/>
  <c r="W71" i="5"/>
  <c r="W70" i="5"/>
  <c r="W69" i="5"/>
  <c r="W68" i="5"/>
  <c r="W67" i="5"/>
  <c r="W66" i="5"/>
  <c r="W65" i="5"/>
  <c r="W64" i="5"/>
  <c r="W63" i="5"/>
  <c r="W62" i="5"/>
  <c r="W61" i="5"/>
  <c r="W60" i="5"/>
  <c r="W59" i="5"/>
  <c r="W58" i="5"/>
  <c r="W57" i="5"/>
  <c r="W56" i="5"/>
  <c r="W55" i="5"/>
  <c r="W54" i="5"/>
  <c r="W53" i="5"/>
  <c r="W52" i="5"/>
  <c r="W51" i="5"/>
  <c r="W50" i="5"/>
  <c r="W49" i="5"/>
  <c r="W48" i="5"/>
  <c r="W47" i="5"/>
  <c r="W46" i="5"/>
  <c r="W45" i="5"/>
  <c r="W44" i="5"/>
  <c r="W43" i="5"/>
  <c r="W42" i="5"/>
  <c r="W41" i="5"/>
  <c r="W40" i="5"/>
  <c r="W39" i="5"/>
  <c r="W38" i="5"/>
  <c r="W37" i="5"/>
  <c r="W36" i="5"/>
  <c r="W35" i="5"/>
  <c r="W34" i="5"/>
  <c r="W33" i="5"/>
  <c r="W32" i="5"/>
  <c r="W31" i="5"/>
  <c r="W30" i="5"/>
  <c r="W29" i="5"/>
  <c r="W28" i="5"/>
  <c r="W27" i="5"/>
  <c r="W26" i="5"/>
  <c r="W25" i="5"/>
  <c r="W24" i="5"/>
  <c r="W23" i="5"/>
  <c r="W22" i="5"/>
  <c r="W21" i="5"/>
  <c r="W20" i="5"/>
  <c r="W19" i="5"/>
  <c r="W18" i="5"/>
  <c r="W17" i="5"/>
  <c r="W16" i="5"/>
  <c r="W15" i="5"/>
  <c r="W14" i="5"/>
  <c r="W13" i="5"/>
  <c r="W12" i="5"/>
  <c r="W11" i="5"/>
  <c r="W10" i="5"/>
  <c r="W9" i="5"/>
  <c r="W8" i="5"/>
  <c r="W7" i="5"/>
  <c r="W6" i="5"/>
  <c r="W5" i="5"/>
  <c r="W4" i="5"/>
  <c r="W3" i="5"/>
  <c r="U137" i="5"/>
  <c r="T137" i="5" a="1"/>
  <c r="U136" i="5"/>
  <c r="T136" i="5" a="1"/>
  <c r="U135" i="5"/>
  <c r="T135" i="5" a="1"/>
  <c r="U134" i="5"/>
  <c r="T134" i="5" a="1"/>
  <c r="U133" i="5"/>
  <c r="T133" i="5" a="1"/>
  <c r="U132" i="5"/>
  <c r="T132" i="5" a="1"/>
  <c r="U131" i="5"/>
  <c r="T131" i="5" a="1"/>
  <c r="U130" i="5"/>
  <c r="T130" i="5" a="1"/>
  <c r="U129" i="5"/>
  <c r="T129" i="5" a="1"/>
  <c r="U128" i="5"/>
  <c r="T128" i="5" a="1"/>
  <c r="U127" i="5"/>
  <c r="T127" i="5" a="1"/>
  <c r="U126" i="5"/>
  <c r="T126" i="5" a="1"/>
  <c r="U125" i="5"/>
  <c r="T125" i="5" a="1"/>
  <c r="U124" i="5"/>
  <c r="T124" i="5" a="1"/>
  <c r="U123" i="5"/>
  <c r="T123" i="5" a="1"/>
  <c r="U122" i="5"/>
  <c r="T122" i="5" a="1"/>
  <c r="U121" i="5"/>
  <c r="T121" i="5" a="1"/>
  <c r="U120" i="5"/>
  <c r="T120" i="5" a="1"/>
  <c r="U119" i="5"/>
  <c r="T119" i="5" a="1"/>
  <c r="U118" i="5"/>
  <c r="T118" i="5" a="1"/>
  <c r="U117" i="5"/>
  <c r="T117" i="5" a="1"/>
  <c r="U116" i="5"/>
  <c r="T116" i="5" a="1"/>
  <c r="U115" i="5"/>
  <c r="T115" i="5" a="1"/>
  <c r="U114" i="5"/>
  <c r="T114" i="5" a="1"/>
  <c r="U113" i="5"/>
  <c r="T113" i="5" a="1"/>
  <c r="U112" i="5"/>
  <c r="T112" i="5" a="1"/>
  <c r="U111" i="5"/>
  <c r="T111" i="5" a="1"/>
  <c r="U110" i="5"/>
  <c r="T110" i="5" a="1"/>
  <c r="U109" i="5"/>
  <c r="T109" i="5" a="1"/>
  <c r="U108" i="5"/>
  <c r="T108" i="5" a="1"/>
  <c r="U107" i="5"/>
  <c r="T107" i="5" a="1"/>
  <c r="U106" i="5"/>
  <c r="T106" i="5" a="1"/>
  <c r="U105" i="5"/>
  <c r="T105" i="5" a="1"/>
  <c r="U104" i="5"/>
  <c r="T104" i="5" a="1"/>
  <c r="U103" i="5"/>
  <c r="T103" i="5" a="1"/>
  <c r="U102" i="5"/>
  <c r="T102" i="5" a="1"/>
  <c r="U101" i="5"/>
  <c r="T101" i="5" a="1"/>
  <c r="U100" i="5"/>
  <c r="T100" i="5" a="1"/>
  <c r="U99" i="5"/>
  <c r="T99" i="5" a="1"/>
  <c r="U98" i="5"/>
  <c r="T98" i="5" a="1"/>
  <c r="U97" i="5"/>
  <c r="T97" i="5" a="1"/>
  <c r="U96" i="5"/>
  <c r="T96" i="5" a="1"/>
  <c r="U95" i="5"/>
  <c r="T95" i="5" a="1"/>
  <c r="U94" i="5"/>
  <c r="T94" i="5" a="1"/>
  <c r="U93" i="5"/>
  <c r="T93" i="5" a="1"/>
  <c r="U92" i="5"/>
  <c r="T92" i="5" a="1"/>
  <c r="U91" i="5"/>
  <c r="T91" i="5" a="1"/>
  <c r="U90" i="5"/>
  <c r="T90" i="5" a="1"/>
  <c r="U89" i="5"/>
  <c r="T89" i="5" a="1"/>
  <c r="U88" i="5"/>
  <c r="T88" i="5" a="1"/>
  <c r="U87" i="5"/>
  <c r="T87" i="5" a="1"/>
  <c r="U86" i="5"/>
  <c r="T86" i="5" a="1"/>
  <c r="U85" i="5"/>
  <c r="T85" i="5" a="1"/>
  <c r="U84" i="5"/>
  <c r="T84" i="5" a="1"/>
  <c r="U83" i="5"/>
  <c r="T83" i="5" a="1"/>
  <c r="U82" i="5"/>
  <c r="T82" i="5" a="1"/>
  <c r="U81" i="5"/>
  <c r="T81" i="5" a="1"/>
  <c r="U80" i="5"/>
  <c r="T80" i="5" a="1"/>
  <c r="U79" i="5"/>
  <c r="T79" i="5" a="1"/>
  <c r="U78" i="5"/>
  <c r="T78" i="5" a="1"/>
  <c r="U77" i="5"/>
  <c r="T77" i="5" a="1"/>
  <c r="U76" i="5"/>
  <c r="T76" i="5" a="1"/>
  <c r="U75" i="5"/>
  <c r="T75" i="5" a="1"/>
  <c r="U74" i="5"/>
  <c r="T74" i="5" a="1"/>
  <c r="U73" i="5"/>
  <c r="T73" i="5" a="1"/>
  <c r="U72" i="5"/>
  <c r="T72" i="5" a="1"/>
  <c r="U71" i="5"/>
  <c r="T71" i="5" a="1"/>
  <c r="U70" i="5"/>
  <c r="T70" i="5" a="1"/>
  <c r="U69" i="5"/>
  <c r="T69" i="5" a="1"/>
  <c r="U68" i="5"/>
  <c r="T68" i="5" a="1"/>
  <c r="U67" i="5"/>
  <c r="T67" i="5" a="1"/>
  <c r="U66" i="5"/>
  <c r="T66" i="5" a="1"/>
  <c r="U65" i="5"/>
  <c r="T65" i="5" a="1"/>
  <c r="U64" i="5"/>
  <c r="T64" i="5" a="1"/>
  <c r="U63" i="5"/>
  <c r="T63" i="5" a="1"/>
  <c r="U62" i="5"/>
  <c r="T62" i="5" a="1"/>
  <c r="U61" i="5"/>
  <c r="T61" i="5" a="1"/>
  <c r="U60" i="5"/>
  <c r="T60" i="5" a="1"/>
  <c r="U59" i="5"/>
  <c r="T59" i="5" a="1"/>
  <c r="U58" i="5"/>
  <c r="T58" i="5" a="1"/>
  <c r="U57" i="5"/>
  <c r="T57" i="5" a="1"/>
  <c r="U56" i="5"/>
  <c r="T56" i="5" a="1"/>
  <c r="U55" i="5"/>
  <c r="T55" i="5" a="1"/>
  <c r="U54" i="5"/>
  <c r="T54" i="5" a="1"/>
  <c r="U53" i="5"/>
  <c r="T53" i="5" a="1"/>
  <c r="U52" i="5"/>
  <c r="T52" i="5" a="1"/>
  <c r="U51" i="5"/>
  <c r="T51" i="5" a="1"/>
  <c r="U50" i="5"/>
  <c r="T50" i="5" a="1"/>
  <c r="U49" i="5"/>
  <c r="T49" i="5" a="1"/>
  <c r="U48" i="5"/>
  <c r="T48" i="5" a="1"/>
  <c r="U47" i="5"/>
  <c r="T47" i="5" a="1"/>
  <c r="U46" i="5"/>
  <c r="T46" i="5" a="1"/>
  <c r="U45" i="5"/>
  <c r="T45" i="5" a="1"/>
  <c r="U44" i="5"/>
  <c r="T44" i="5" a="1"/>
  <c r="U43" i="5"/>
  <c r="T43" i="5" a="1"/>
  <c r="U42" i="5"/>
  <c r="T42" i="5" a="1"/>
  <c r="U41" i="5"/>
  <c r="T41" i="5" a="1"/>
  <c r="U40" i="5"/>
  <c r="T40" i="5" a="1"/>
  <c r="U39" i="5"/>
  <c r="T39" i="5" a="1"/>
  <c r="U38" i="5"/>
  <c r="T38" i="5" a="1"/>
  <c r="U37" i="5"/>
  <c r="T37" i="5" a="1"/>
  <c r="U36" i="5"/>
  <c r="T36" i="5" a="1"/>
  <c r="U35" i="5"/>
  <c r="T35" i="5" a="1"/>
  <c r="U34" i="5"/>
  <c r="T34" i="5" a="1"/>
  <c r="U33" i="5"/>
  <c r="T33" i="5" a="1"/>
  <c r="U32" i="5"/>
  <c r="T32" i="5" a="1"/>
  <c r="U31" i="5"/>
  <c r="T31" i="5" a="1"/>
  <c r="U30" i="5"/>
  <c r="T30" i="5" a="1"/>
  <c r="U29" i="5"/>
  <c r="T29" i="5" a="1"/>
  <c r="U28" i="5"/>
  <c r="T28" i="5" a="1"/>
  <c r="U27" i="5"/>
  <c r="T27" i="5" a="1"/>
  <c r="U26" i="5"/>
  <c r="T26" i="5" a="1"/>
  <c r="U25" i="5"/>
  <c r="T25" i="5" a="1"/>
  <c r="U24" i="5"/>
  <c r="T24" i="5" a="1"/>
  <c r="U23" i="5"/>
  <c r="T23" i="5" a="1"/>
  <c r="U22" i="5"/>
  <c r="T22" i="5" a="1"/>
  <c r="U21" i="5"/>
  <c r="T21" i="5" a="1"/>
  <c r="U20" i="5"/>
  <c r="T20" i="5" a="1"/>
  <c r="U19" i="5"/>
  <c r="T19" i="5" a="1"/>
  <c r="U18" i="5"/>
  <c r="T18" i="5" a="1"/>
  <c r="U17" i="5"/>
  <c r="T17" i="5" a="1"/>
  <c r="U16" i="5"/>
  <c r="T16" i="5" a="1"/>
  <c r="U15" i="5"/>
  <c r="T15" i="5" a="1"/>
  <c r="U14" i="5"/>
  <c r="T14" i="5" a="1"/>
  <c r="U13" i="5"/>
  <c r="T13" i="5" a="1"/>
  <c r="U12" i="5"/>
  <c r="T12" i="5" a="1"/>
  <c r="U11" i="5"/>
  <c r="T11" i="5" a="1"/>
  <c r="U10" i="5"/>
  <c r="T10" i="5" a="1"/>
  <c r="U9" i="5"/>
  <c r="T9" i="5" a="1"/>
  <c r="U8" i="5"/>
  <c r="T8" i="5" a="1"/>
  <c r="U7" i="5"/>
  <c r="T7" i="5" a="1"/>
  <c r="U6" i="5"/>
  <c r="T6" i="5" a="1"/>
  <c r="U5" i="5"/>
  <c r="T5" i="5" a="1"/>
  <c r="U4" i="5"/>
  <c r="T4" i="5" a="1"/>
  <c r="U3" i="5"/>
  <c r="T3" i="5" a="1"/>
  <c r="W2" i="5"/>
  <c r="U2" i="5"/>
  <c r="T2" i="5" a="1"/>
  <c r="AV373" i="3"/>
  <c r="AV372" i="3"/>
  <c r="AV371" i="3"/>
  <c r="AV370" i="3"/>
  <c r="AV369" i="3"/>
  <c r="AV368" i="3"/>
  <c r="AV367" i="3"/>
  <c r="AV366" i="3"/>
  <c r="AV365" i="3"/>
  <c r="AV364" i="3"/>
  <c r="AV363" i="3"/>
  <c r="AV362" i="3"/>
  <c r="AV361" i="3"/>
  <c r="AV360" i="3"/>
  <c r="AV359" i="3"/>
  <c r="AV358" i="3"/>
  <c r="AV357" i="3"/>
  <c r="AV356" i="3"/>
  <c r="AV355" i="3"/>
  <c r="AT373" i="3"/>
  <c r="AT372" i="3"/>
  <c r="AT371" i="3"/>
  <c r="AT370" i="3"/>
  <c r="AT369" i="3"/>
  <c r="AT368" i="3"/>
  <c r="AT367" i="3"/>
  <c r="AT366" i="3"/>
  <c r="AT365" i="3"/>
  <c r="AT364" i="3"/>
  <c r="AT363" i="3"/>
  <c r="AT362" i="3"/>
  <c r="AT361" i="3"/>
  <c r="AT360" i="3"/>
  <c r="AT359" i="3"/>
  <c r="AT358" i="3"/>
  <c r="AT357" i="3"/>
  <c r="AT356" i="3"/>
  <c r="AT355" i="3"/>
  <c r="AS373" i="3"/>
  <c r="AS372" i="3"/>
  <c r="AS371" i="3"/>
  <c r="AS370" i="3"/>
  <c r="AS369" i="3"/>
  <c r="AS368" i="3"/>
  <c r="AS367" i="3"/>
  <c r="AS366" i="3"/>
  <c r="AS365" i="3"/>
  <c r="AS364" i="3"/>
  <c r="AS363" i="3"/>
  <c r="AS362" i="3"/>
  <c r="AS361" i="3"/>
  <c r="AS360" i="3"/>
  <c r="AS359" i="3"/>
  <c r="AS358" i="3"/>
  <c r="AS357" i="3"/>
  <c r="AS356" i="3"/>
  <c r="AS355" i="3"/>
  <c r="AR373" i="3"/>
  <c r="AR372" i="3"/>
  <c r="AR371" i="3"/>
  <c r="AR370" i="3"/>
  <c r="AR369" i="3"/>
  <c r="AR368" i="3"/>
  <c r="AR367" i="3"/>
  <c r="AR366" i="3"/>
  <c r="AR365" i="3"/>
  <c r="AR364" i="3"/>
  <c r="AR363" i="3"/>
  <c r="AR362" i="3"/>
  <c r="AR361" i="3"/>
  <c r="AR360" i="3"/>
  <c r="AR359" i="3"/>
  <c r="AR358" i="3"/>
  <c r="AR357" i="3"/>
  <c r="AR356" i="3"/>
  <c r="AR355" i="3"/>
  <c r="AQ373" i="3"/>
  <c r="AQ372" i="3"/>
  <c r="AQ371" i="3"/>
  <c r="AQ370" i="3"/>
  <c r="AQ369" i="3"/>
  <c r="AQ368" i="3"/>
  <c r="AQ367" i="3"/>
  <c r="AQ366" i="3"/>
  <c r="AQ365" i="3"/>
  <c r="AQ364" i="3"/>
  <c r="AQ363" i="3"/>
  <c r="AQ362" i="3"/>
  <c r="AQ361" i="3"/>
  <c r="AQ360" i="3"/>
  <c r="AQ359" i="3"/>
  <c r="AQ358" i="3"/>
  <c r="AQ357" i="3"/>
  <c r="AQ356" i="3"/>
  <c r="AQ355" i="3"/>
  <c r="AP373" i="3"/>
  <c r="AP372" i="3"/>
  <c r="AP371" i="3"/>
  <c r="AP370" i="3"/>
  <c r="AP369" i="3"/>
  <c r="AP368" i="3"/>
  <c r="AP367" i="3"/>
  <c r="AP366" i="3"/>
  <c r="AP365" i="3"/>
  <c r="AP364" i="3"/>
  <c r="AP363" i="3"/>
  <c r="AP362" i="3"/>
  <c r="AP361" i="3"/>
  <c r="AP360" i="3"/>
  <c r="AP359" i="3"/>
  <c r="AP358" i="3"/>
  <c r="AP357" i="3"/>
  <c r="AP356" i="3"/>
  <c r="AP355" i="3"/>
  <c r="AO373" i="3"/>
  <c r="AO372" i="3"/>
  <c r="AO371" i="3"/>
  <c r="AO370" i="3"/>
  <c r="AO369" i="3"/>
  <c r="AO368" i="3"/>
  <c r="AO367" i="3"/>
  <c r="AO366" i="3"/>
  <c r="AO365" i="3"/>
  <c r="AO364" i="3"/>
  <c r="AO363" i="3"/>
  <c r="AO362" i="3"/>
  <c r="AO361" i="3"/>
  <c r="AO360" i="3"/>
  <c r="AO359" i="3"/>
  <c r="AO358" i="3"/>
  <c r="AO357" i="3"/>
  <c r="AO356" i="3"/>
  <c r="AO355" i="3"/>
  <c r="V373" i="3"/>
  <c r="V372" i="3"/>
  <c r="V371" i="3"/>
  <c r="V370" i="3"/>
  <c r="V369" i="3"/>
  <c r="V368" i="3"/>
  <c r="V367" i="3"/>
  <c r="V366" i="3"/>
  <c r="V365" i="3"/>
  <c r="V364" i="3"/>
  <c r="V363" i="3"/>
  <c r="V362" i="3"/>
  <c r="V361" i="3"/>
  <c r="V360" i="3"/>
  <c r="V359" i="3"/>
  <c r="V358" i="3"/>
  <c r="V357" i="3"/>
  <c r="V356" i="3"/>
  <c r="V355" i="3"/>
  <c r="Q373" i="3"/>
  <c r="Q372" i="3"/>
  <c r="Q371" i="3"/>
  <c r="Q370" i="3"/>
  <c r="Q369" i="3"/>
  <c r="Q368" i="3"/>
  <c r="Q367" i="3"/>
  <c r="Q366" i="3"/>
  <c r="Q365" i="3"/>
  <c r="Q364" i="3"/>
  <c r="Q363" i="3"/>
  <c r="Q362" i="3"/>
  <c r="Q361" i="3"/>
  <c r="Q360" i="3"/>
  <c r="Q359" i="3"/>
  <c r="Q358" i="3"/>
  <c r="Q357" i="3"/>
  <c r="Q356" i="3"/>
  <c r="Q355" i="3"/>
  <c r="I296" i="10"/>
  <c r="I295" i="10"/>
  <c r="I294" i="10"/>
  <c r="I293" i="10"/>
  <c r="I292" i="10"/>
  <c r="I291" i="10"/>
  <c r="I290" i="10"/>
  <c r="I289" i="10"/>
  <c r="I288" i="10"/>
  <c r="I287" i="10"/>
  <c r="I286" i="10"/>
  <c r="I285" i="10"/>
  <c r="I284" i="10"/>
  <c r="I283" i="10"/>
  <c r="I282" i="10"/>
  <c r="I281" i="10"/>
  <c r="I280" i="10"/>
  <c r="I279" i="10"/>
  <c r="I278" i="10"/>
  <c r="I277" i="10"/>
  <c r="I276" i="10"/>
  <c r="I275" i="10"/>
  <c r="I274" i="10"/>
  <c r="I273" i="10"/>
  <c r="I272" i="10"/>
  <c r="I271" i="10"/>
  <c r="I270" i="10"/>
  <c r="I269" i="10"/>
  <c r="I268" i="10"/>
  <c r="I267" i="10"/>
  <c r="I266" i="10"/>
  <c r="I265" i="10"/>
  <c r="I264" i="10"/>
  <c r="I263" i="10"/>
  <c r="I262" i="10"/>
  <c r="I261" i="10"/>
  <c r="I260" i="10"/>
  <c r="I259" i="10"/>
  <c r="I258" i="10"/>
  <c r="I257" i="10"/>
  <c r="I256" i="10"/>
  <c r="I255" i="10"/>
  <c r="I254" i="10"/>
  <c r="I253" i="10"/>
  <c r="I252" i="10"/>
  <c r="I251" i="10"/>
  <c r="I250" i="10"/>
  <c r="I249" i="10"/>
  <c r="I248" i="10"/>
  <c r="I247" i="10"/>
  <c r="I246" i="10"/>
  <c r="I245" i="10"/>
  <c r="I244" i="10"/>
  <c r="I243" i="10"/>
  <c r="I242" i="10"/>
  <c r="I241" i="10"/>
  <c r="I240" i="10"/>
  <c r="I239" i="10"/>
  <c r="I238" i="10"/>
  <c r="I237" i="10"/>
  <c r="I236" i="10"/>
  <c r="I235" i="10"/>
  <c r="I234" i="10"/>
  <c r="I233" i="10"/>
  <c r="I232" i="10"/>
  <c r="I231" i="10"/>
  <c r="I230" i="10"/>
  <c r="I229" i="10"/>
  <c r="I228" i="10"/>
  <c r="I227" i="10"/>
  <c r="I226" i="10"/>
  <c r="I225" i="10"/>
  <c r="I224" i="10"/>
  <c r="I223" i="10"/>
  <c r="I222" i="10"/>
  <c r="I221" i="10"/>
  <c r="I220" i="10"/>
  <c r="I219" i="10"/>
  <c r="I218" i="10"/>
  <c r="I217" i="10"/>
  <c r="I216" i="10"/>
  <c r="I215" i="10"/>
  <c r="I214" i="10"/>
  <c r="I213" i="10"/>
  <c r="I212" i="10"/>
  <c r="I211" i="10"/>
  <c r="I210" i="10"/>
  <c r="I209" i="10"/>
  <c r="I208" i="10"/>
  <c r="I207" i="10"/>
  <c r="I206" i="10"/>
  <c r="I205" i="10"/>
  <c r="I204" i="10"/>
  <c r="I203" i="10"/>
  <c r="I202" i="10"/>
  <c r="I201" i="10"/>
  <c r="I200" i="10"/>
  <c r="I199" i="10"/>
  <c r="I198" i="10"/>
  <c r="I197" i="10"/>
  <c r="I196" i="10"/>
  <c r="I195" i="10"/>
  <c r="I194" i="10"/>
  <c r="I193" i="10"/>
  <c r="I192" i="10"/>
  <c r="I191" i="10"/>
  <c r="I190" i="10"/>
  <c r="I189" i="10"/>
  <c r="I188" i="10"/>
  <c r="I187" i="10"/>
  <c r="I186" i="10"/>
  <c r="I185" i="10"/>
  <c r="I184" i="10"/>
  <c r="I183" i="10"/>
  <c r="I182" i="10"/>
  <c r="I181" i="10"/>
  <c r="I180" i="10"/>
  <c r="I179" i="10"/>
  <c r="I178" i="10"/>
  <c r="I177" i="10"/>
  <c r="I176" i="10"/>
  <c r="I175" i="10"/>
  <c r="I174" i="10"/>
  <c r="I173" i="10"/>
  <c r="I172" i="10"/>
  <c r="I171" i="10"/>
  <c r="I170" i="10"/>
  <c r="I169" i="10"/>
  <c r="I168" i="10"/>
  <c r="I167" i="10"/>
  <c r="I166" i="10"/>
  <c r="I165" i="10"/>
  <c r="I164" i="10"/>
  <c r="I163" i="10"/>
  <c r="I162" i="10"/>
  <c r="I161" i="10"/>
  <c r="I160" i="10"/>
  <c r="I159" i="10"/>
  <c r="I158" i="10"/>
  <c r="I157" i="10"/>
  <c r="I156" i="10"/>
  <c r="I155" i="10"/>
  <c r="I154" i="10"/>
  <c r="I153" i="10"/>
  <c r="I152" i="10"/>
  <c r="I151" i="10"/>
  <c r="I150" i="10"/>
  <c r="I149" i="10"/>
  <c r="I148" i="10"/>
  <c r="I147" i="10"/>
  <c r="I146" i="10"/>
  <c r="I145" i="10"/>
  <c r="I144" i="10"/>
  <c r="I143" i="10"/>
  <c r="I142" i="10"/>
  <c r="I141" i="10"/>
  <c r="I140" i="10"/>
  <c r="I139" i="10"/>
  <c r="I138" i="10"/>
  <c r="I137" i="10"/>
  <c r="I136" i="10"/>
  <c r="I135" i="10"/>
  <c r="I134" i="10"/>
  <c r="I133" i="10"/>
  <c r="I132" i="10"/>
  <c r="I131" i="10"/>
  <c r="I130" i="10"/>
  <c r="I129" i="10"/>
  <c r="I128" i="10"/>
  <c r="I127" i="10"/>
  <c r="I126" i="10"/>
  <c r="I125" i="10"/>
  <c r="I124" i="10"/>
  <c r="I123" i="10"/>
  <c r="I122" i="10"/>
  <c r="I121" i="10"/>
  <c r="I120" i="10"/>
  <c r="I119" i="10"/>
  <c r="I118" i="10"/>
  <c r="I117" i="10"/>
  <c r="I116" i="10"/>
  <c r="I115" i="10"/>
  <c r="I114" i="10"/>
  <c r="I113" i="10"/>
  <c r="I112" i="10"/>
  <c r="I111" i="10"/>
  <c r="I110" i="10"/>
  <c r="I109" i="10"/>
  <c r="I108" i="10"/>
  <c r="I107" i="10"/>
  <c r="I106" i="10"/>
  <c r="I105" i="10"/>
  <c r="I104" i="10"/>
  <c r="I103" i="10"/>
  <c r="I102" i="10"/>
  <c r="I101" i="10"/>
  <c r="I100" i="10"/>
  <c r="I99" i="10"/>
  <c r="I98" i="10"/>
  <c r="I97" i="10"/>
  <c r="I96" i="10"/>
  <c r="I95" i="10"/>
  <c r="I94" i="10"/>
  <c r="I93" i="10"/>
  <c r="I92" i="10"/>
  <c r="I91" i="10"/>
  <c r="I90" i="10"/>
  <c r="I89" i="10"/>
  <c r="I88" i="10"/>
  <c r="I87" i="10"/>
  <c r="I86" i="10"/>
  <c r="I85" i="10"/>
  <c r="I84" i="10"/>
  <c r="I83" i="10"/>
  <c r="I82" i="10"/>
  <c r="I81" i="10"/>
  <c r="I80" i="10"/>
  <c r="I79" i="10"/>
  <c r="I78" i="10"/>
  <c r="I77" i="10"/>
  <c r="I76" i="10"/>
  <c r="I75" i="10"/>
  <c r="I74" i="10"/>
  <c r="I73" i="10"/>
  <c r="I72" i="10"/>
  <c r="I71" i="10"/>
  <c r="I70" i="10"/>
  <c r="I69" i="10"/>
  <c r="I68" i="10"/>
  <c r="I67" i="10"/>
  <c r="I66" i="10"/>
  <c r="I65" i="10"/>
  <c r="I64" i="10"/>
  <c r="I63" i="10"/>
  <c r="I62" i="10"/>
  <c r="I61" i="10"/>
  <c r="I60" i="10"/>
  <c r="I59" i="10"/>
  <c r="I58" i="10"/>
  <c r="I57" i="10"/>
  <c r="I56" i="10"/>
  <c r="I55" i="10"/>
  <c r="I54" i="10"/>
  <c r="I53" i="10"/>
  <c r="I52" i="10"/>
  <c r="I51" i="10"/>
  <c r="I50" i="10"/>
  <c r="I49" i="10"/>
  <c r="I48" i="10"/>
  <c r="I47" i="10"/>
  <c r="I46" i="10"/>
  <c r="I45" i="10"/>
  <c r="I44" i="10"/>
  <c r="I43" i="10"/>
  <c r="I42" i="10"/>
  <c r="I41" i="10"/>
  <c r="I40" i="10"/>
  <c r="I39" i="10"/>
  <c r="I38" i="10"/>
  <c r="I37" i="10"/>
  <c r="I36" i="10"/>
  <c r="I35" i="10"/>
  <c r="I34" i="10"/>
  <c r="I33" i="10"/>
  <c r="I32" i="10"/>
  <c r="I31" i="10"/>
  <c r="I30" i="10"/>
  <c r="I29" i="10"/>
  <c r="I28" i="10"/>
  <c r="I27" i="10"/>
  <c r="I26" i="10"/>
  <c r="I25" i="10"/>
  <c r="I24" i="10"/>
  <c r="I23" i="10"/>
  <c r="I22" i="10"/>
  <c r="I21" i="10"/>
  <c r="I20" i="10"/>
  <c r="I19" i="10"/>
  <c r="I18" i="10"/>
  <c r="I17" i="10"/>
  <c r="I16" i="10"/>
  <c r="I15" i="10"/>
  <c r="I14" i="10"/>
  <c r="I13" i="10"/>
  <c r="I12" i="10"/>
  <c r="I11" i="10"/>
  <c r="I10" i="10"/>
  <c r="I9" i="10"/>
  <c r="I8" i="10"/>
  <c r="I7" i="10"/>
  <c r="I6" i="10"/>
  <c r="I5" i="10"/>
  <c r="I4" i="10"/>
  <c r="I3" i="10"/>
  <c r="I2" i="10"/>
  <c r="S137" i="5"/>
  <c r="S136" i="5"/>
  <c r="S135" i="5"/>
  <c r="S134" i="5"/>
  <c r="S133" i="5"/>
  <c r="S132" i="5"/>
  <c r="S131" i="5"/>
  <c r="S130" i="5"/>
  <c r="S129" i="5"/>
  <c r="S128" i="5"/>
  <c r="S127" i="5"/>
  <c r="S126" i="5"/>
  <c r="S125" i="5"/>
  <c r="S124" i="5"/>
  <c r="S123" i="5"/>
  <c r="S122" i="5"/>
  <c r="S121" i="5"/>
  <c r="S120" i="5"/>
  <c r="S119" i="5"/>
  <c r="S118" i="5"/>
  <c r="S117" i="5"/>
  <c r="S116" i="5"/>
  <c r="S115" i="5"/>
  <c r="S114" i="5"/>
  <c r="S113" i="5"/>
  <c r="S112" i="5"/>
  <c r="S111" i="5"/>
  <c r="S110" i="5"/>
  <c r="S109" i="5"/>
  <c r="S108" i="5"/>
  <c r="S107" i="5"/>
  <c r="S106" i="5"/>
  <c r="S105" i="5"/>
  <c r="S104" i="5"/>
  <c r="S103" i="5"/>
  <c r="S102" i="5"/>
  <c r="S101" i="5"/>
  <c r="S100" i="5"/>
  <c r="S99" i="5"/>
  <c r="S98" i="5"/>
  <c r="S97" i="5"/>
  <c r="S96" i="5"/>
  <c r="S95" i="5"/>
  <c r="S94" i="5"/>
  <c r="S93" i="5"/>
  <c r="S92" i="5"/>
  <c r="S91" i="5"/>
  <c r="S90" i="5"/>
  <c r="S89" i="5"/>
  <c r="S88" i="5"/>
  <c r="S87" i="5"/>
  <c r="S86" i="5"/>
  <c r="S85" i="5"/>
  <c r="S84" i="5"/>
  <c r="S83" i="5"/>
  <c r="S82" i="5"/>
  <c r="S81" i="5"/>
  <c r="S80" i="5"/>
  <c r="S79" i="5"/>
  <c r="S78" i="5"/>
  <c r="S77" i="5"/>
  <c r="S76" i="5"/>
  <c r="S75" i="5"/>
  <c r="S74" i="5"/>
  <c r="S73" i="5"/>
  <c r="S72" i="5"/>
  <c r="S71" i="5"/>
  <c r="S70" i="5"/>
  <c r="S69" i="5"/>
  <c r="S68" i="5"/>
  <c r="S67" i="5"/>
  <c r="S66" i="5"/>
  <c r="S65" i="5"/>
  <c r="S64" i="5"/>
  <c r="S63" i="5"/>
  <c r="S62" i="5"/>
  <c r="S61" i="5"/>
  <c r="S60" i="5"/>
  <c r="S59" i="5"/>
  <c r="S58" i="5"/>
  <c r="S57" i="5"/>
  <c r="S56" i="5"/>
  <c r="S55" i="5"/>
  <c r="S54" i="5"/>
  <c r="S53" i="5"/>
  <c r="S52" i="5"/>
  <c r="S51" i="5"/>
  <c r="S50" i="5"/>
  <c r="S49" i="5"/>
  <c r="S48" i="5"/>
  <c r="S47" i="5"/>
  <c r="S46" i="5"/>
  <c r="S45" i="5"/>
  <c r="S44" i="5"/>
  <c r="S43" i="5"/>
  <c r="S42" i="5"/>
  <c r="S41" i="5"/>
  <c r="S40" i="5"/>
  <c r="S39" i="5"/>
  <c r="S38" i="5"/>
  <c r="S37" i="5"/>
  <c r="S36" i="5"/>
  <c r="S35" i="5"/>
  <c r="S34" i="5"/>
  <c r="S33" i="5"/>
  <c r="S32" i="5"/>
  <c r="S31" i="5"/>
  <c r="S30" i="5"/>
  <c r="S29" i="5"/>
  <c r="S28" i="5"/>
  <c r="S27" i="5"/>
  <c r="S26" i="5"/>
  <c r="S25" i="5"/>
  <c r="S24" i="5"/>
  <c r="S23" i="5"/>
  <c r="S22" i="5"/>
  <c r="S21" i="5"/>
  <c r="S20" i="5"/>
  <c r="S19" i="5"/>
  <c r="S18" i="5"/>
  <c r="S17" i="5"/>
  <c r="S16" i="5"/>
  <c r="S15" i="5"/>
  <c r="S14" i="5"/>
  <c r="S13" i="5"/>
  <c r="S12" i="5"/>
  <c r="S11" i="5"/>
  <c r="S10" i="5"/>
  <c r="S9" i="5"/>
  <c r="S8" i="5"/>
  <c r="S7" i="5"/>
  <c r="S6" i="5"/>
  <c r="S5" i="5"/>
  <c r="S4" i="5"/>
  <c r="S3" i="5"/>
  <c r="S2" i="5"/>
  <c r="F296" i="11"/>
  <c r="F295" i="11"/>
  <c r="F294" i="11"/>
  <c r="F293" i="11"/>
  <c r="F292" i="11"/>
  <c r="F291" i="11"/>
  <c r="F290" i="11"/>
  <c r="F289" i="11"/>
  <c r="F288" i="11"/>
  <c r="F287" i="11"/>
  <c r="F286" i="11"/>
  <c r="F285" i="11"/>
  <c r="F284" i="11"/>
  <c r="F283" i="11"/>
  <c r="F282" i="11"/>
  <c r="F281" i="11"/>
  <c r="F280" i="11"/>
  <c r="F279" i="11"/>
  <c r="F278" i="11"/>
  <c r="F277" i="11"/>
  <c r="F276" i="11"/>
  <c r="F275" i="11"/>
  <c r="F274" i="11"/>
  <c r="F273" i="11"/>
  <c r="F272" i="11"/>
  <c r="F271" i="11"/>
  <c r="F270" i="11"/>
  <c r="F269" i="11"/>
  <c r="F268" i="11"/>
  <c r="F267" i="11"/>
  <c r="F266" i="11"/>
  <c r="F265" i="11"/>
  <c r="F264" i="11"/>
  <c r="F263" i="11"/>
  <c r="F262" i="11"/>
  <c r="F261" i="11"/>
  <c r="F260" i="11"/>
  <c r="F259" i="11"/>
  <c r="F258" i="11"/>
  <c r="F257" i="11"/>
  <c r="F256" i="11"/>
  <c r="F255" i="11"/>
  <c r="F254" i="11"/>
  <c r="F253" i="11"/>
  <c r="F252" i="11"/>
  <c r="F251" i="11"/>
  <c r="F250" i="11"/>
  <c r="F249" i="11"/>
  <c r="F248" i="11"/>
  <c r="F247" i="11"/>
  <c r="F246" i="11"/>
  <c r="F245" i="11"/>
  <c r="F244" i="11"/>
  <c r="F243" i="11"/>
  <c r="F242" i="11"/>
  <c r="F241" i="11"/>
  <c r="F240" i="11"/>
  <c r="F239" i="11"/>
  <c r="F238" i="11"/>
  <c r="F237" i="11"/>
  <c r="F236" i="11"/>
  <c r="F235" i="11"/>
  <c r="F234" i="11"/>
  <c r="F233" i="11"/>
  <c r="F232" i="11"/>
  <c r="F231" i="11"/>
  <c r="F230" i="11"/>
  <c r="F229" i="11"/>
  <c r="F228" i="11"/>
  <c r="F227" i="11"/>
  <c r="F226" i="11"/>
  <c r="F225" i="11"/>
  <c r="F224" i="11"/>
  <c r="F223" i="11"/>
  <c r="F222" i="11"/>
  <c r="F221" i="11"/>
  <c r="F220" i="11"/>
  <c r="F219" i="11"/>
  <c r="F218" i="11"/>
  <c r="F217" i="11"/>
  <c r="F216" i="11"/>
  <c r="F215" i="11"/>
  <c r="F214" i="11"/>
  <c r="F213" i="11"/>
  <c r="F212" i="11"/>
  <c r="F211" i="11"/>
  <c r="F210" i="11"/>
  <c r="F209" i="11"/>
  <c r="F208" i="11"/>
  <c r="F207" i="11"/>
  <c r="F206" i="11"/>
  <c r="F205" i="11"/>
  <c r="F204" i="11"/>
  <c r="F203" i="11"/>
  <c r="F202" i="11"/>
  <c r="F201" i="11"/>
  <c r="F200" i="11"/>
  <c r="F199" i="11"/>
  <c r="F198" i="11"/>
  <c r="F197" i="11"/>
  <c r="F196" i="11"/>
  <c r="F195" i="11"/>
  <c r="F194" i="11"/>
  <c r="F193" i="11"/>
  <c r="F192" i="11"/>
  <c r="F191" i="11"/>
  <c r="F190" i="11"/>
  <c r="F189" i="11"/>
  <c r="F188" i="11"/>
  <c r="F187" i="11"/>
  <c r="F186" i="11"/>
  <c r="F185" i="11"/>
  <c r="F184" i="11"/>
  <c r="F183" i="11"/>
  <c r="F182" i="11"/>
  <c r="F181" i="11"/>
  <c r="F180" i="11"/>
  <c r="F179" i="11"/>
  <c r="F178" i="11"/>
  <c r="F177" i="11"/>
  <c r="F176" i="11"/>
  <c r="F175" i="11"/>
  <c r="F174" i="11"/>
  <c r="F173" i="11"/>
  <c r="F172" i="11"/>
  <c r="F171" i="11"/>
  <c r="F170" i="11"/>
  <c r="F169" i="11"/>
  <c r="F168" i="11"/>
  <c r="F167" i="11"/>
  <c r="F166" i="11"/>
  <c r="F165" i="11"/>
  <c r="F164" i="11"/>
  <c r="F163" i="11"/>
  <c r="F162" i="11"/>
  <c r="F161" i="11"/>
  <c r="F160" i="11"/>
  <c r="F159" i="11"/>
  <c r="F158" i="11"/>
  <c r="F157" i="11"/>
  <c r="F156" i="11"/>
  <c r="F155" i="11"/>
  <c r="F154" i="11"/>
  <c r="F153" i="11"/>
  <c r="F152" i="11"/>
  <c r="F151" i="11"/>
  <c r="F150" i="11"/>
  <c r="F149" i="11"/>
  <c r="F148" i="11"/>
  <c r="F147" i="11"/>
  <c r="F146" i="11"/>
  <c r="F145" i="11"/>
  <c r="F144" i="11"/>
  <c r="F143" i="11"/>
  <c r="F142" i="11"/>
  <c r="F141" i="11"/>
  <c r="F140" i="11"/>
  <c r="F139" i="11"/>
  <c r="F138" i="11"/>
  <c r="F137" i="11"/>
  <c r="F136" i="11"/>
  <c r="F135" i="11"/>
  <c r="F134" i="11"/>
  <c r="F133" i="11"/>
  <c r="F132" i="11"/>
  <c r="F131" i="11"/>
  <c r="F130" i="11"/>
  <c r="F129" i="11"/>
  <c r="F128" i="11"/>
  <c r="F127" i="11"/>
  <c r="F126" i="11"/>
  <c r="F125" i="11"/>
  <c r="F124" i="11"/>
  <c r="F123" i="11"/>
  <c r="F122" i="11"/>
  <c r="F121" i="11"/>
  <c r="F120" i="11"/>
  <c r="F119" i="11"/>
  <c r="F118" i="11"/>
  <c r="F117" i="11"/>
  <c r="F116" i="11"/>
  <c r="F115" i="11"/>
  <c r="F114" i="11"/>
  <c r="F113" i="11"/>
  <c r="F112" i="11"/>
  <c r="F111" i="11"/>
  <c r="F110" i="11"/>
  <c r="F109" i="11"/>
  <c r="F108" i="11"/>
  <c r="F107" i="11"/>
  <c r="F106" i="11"/>
  <c r="F105" i="11"/>
  <c r="F104" i="11"/>
  <c r="F103" i="11"/>
  <c r="F102" i="11"/>
  <c r="F101" i="11"/>
  <c r="F100" i="11"/>
  <c r="F99" i="11"/>
  <c r="F98" i="11"/>
  <c r="F97" i="11"/>
  <c r="F96" i="11"/>
  <c r="F95" i="11"/>
  <c r="F94" i="11"/>
  <c r="F93" i="11"/>
  <c r="F92" i="11"/>
  <c r="F91" i="11"/>
  <c r="F90" i="11"/>
  <c r="F89" i="11"/>
  <c r="F88" i="11"/>
  <c r="F87" i="11"/>
  <c r="F86" i="11"/>
  <c r="F85" i="11"/>
  <c r="F84" i="11"/>
  <c r="F83" i="11"/>
  <c r="F82" i="11"/>
  <c r="F81" i="11"/>
  <c r="F80" i="11"/>
  <c r="F79" i="11"/>
  <c r="F78" i="11"/>
  <c r="F77" i="11"/>
  <c r="F76" i="11"/>
  <c r="F75" i="11"/>
  <c r="F74" i="11"/>
  <c r="F73" i="11"/>
  <c r="F72" i="11"/>
  <c r="F71" i="11"/>
  <c r="F70" i="11"/>
  <c r="F69" i="11"/>
  <c r="F68" i="11"/>
  <c r="F67" i="11"/>
  <c r="F66" i="11"/>
  <c r="F65" i="11"/>
  <c r="F64" i="11"/>
  <c r="F63" i="11"/>
  <c r="F62" i="11"/>
  <c r="F61" i="11"/>
  <c r="F60" i="11"/>
  <c r="F59" i="11"/>
  <c r="F58" i="11"/>
  <c r="F57" i="11"/>
  <c r="F56" i="11"/>
  <c r="F55" i="11"/>
  <c r="F54" i="11"/>
  <c r="F53" i="11"/>
  <c r="F52" i="11"/>
  <c r="F51" i="11"/>
  <c r="F50" i="11"/>
  <c r="F49" i="11"/>
  <c r="F48" i="11"/>
  <c r="F47" i="11"/>
  <c r="F46" i="11"/>
  <c r="F45" i="11"/>
  <c r="F44" i="11"/>
  <c r="F43" i="11"/>
  <c r="F42" i="11"/>
  <c r="F41" i="11"/>
  <c r="F40" i="11"/>
  <c r="F39" i="11"/>
  <c r="F38" i="11"/>
  <c r="F37" i="11"/>
  <c r="F36" i="11"/>
  <c r="F35" i="11"/>
  <c r="F34" i="11"/>
  <c r="F33" i="11"/>
  <c r="F32" i="11"/>
  <c r="F31" i="11"/>
  <c r="F30" i="11"/>
  <c r="F29" i="11"/>
  <c r="F28" i="11"/>
  <c r="F27" i="11"/>
  <c r="F26" i="11"/>
  <c r="F25" i="11"/>
  <c r="F24" i="11"/>
  <c r="F23" i="11"/>
  <c r="F22" i="11"/>
  <c r="F21" i="11"/>
  <c r="F20" i="11"/>
  <c r="F19" i="11"/>
  <c r="F18" i="11"/>
  <c r="F17" i="11"/>
  <c r="F16" i="11"/>
  <c r="F15" i="11"/>
  <c r="F14" i="11"/>
  <c r="F13" i="11"/>
  <c r="F12" i="11"/>
  <c r="F11" i="11"/>
  <c r="F10" i="11"/>
  <c r="F9" i="11"/>
  <c r="F8" i="11"/>
  <c r="F7" i="11"/>
  <c r="F6" i="11"/>
  <c r="F5" i="11"/>
  <c r="F4" i="11"/>
  <c r="F3" i="11"/>
  <c r="F2" i="11"/>
  <c r="AV354" i="3"/>
  <c r="AV353" i="3"/>
  <c r="AV352" i="3"/>
  <c r="AV351" i="3"/>
  <c r="AV350" i="3"/>
  <c r="AV349" i="3"/>
  <c r="AV348" i="3"/>
  <c r="AV347" i="3"/>
  <c r="AV346" i="3"/>
  <c r="AV345" i="3"/>
  <c r="AV344" i="3"/>
  <c r="AV343" i="3"/>
  <c r="AV342" i="3"/>
  <c r="AV341" i="3"/>
  <c r="AV340" i="3"/>
  <c r="AV339" i="3"/>
  <c r="AV338" i="3"/>
  <c r="AV337" i="3"/>
  <c r="AV336" i="3"/>
  <c r="AV335" i="3"/>
  <c r="AV334" i="3"/>
  <c r="AV333" i="3"/>
  <c r="AV332" i="3"/>
  <c r="AV331" i="3"/>
  <c r="AV330" i="3"/>
  <c r="AV329" i="3"/>
  <c r="AV328" i="3"/>
  <c r="AV327" i="3"/>
  <c r="AV326" i="3"/>
  <c r="AV325" i="3"/>
  <c r="AV324" i="3"/>
  <c r="AV323" i="3"/>
  <c r="AV322" i="3"/>
  <c r="AV321" i="3"/>
  <c r="AV320" i="3"/>
  <c r="AV319" i="3"/>
  <c r="AV318" i="3"/>
  <c r="AV317" i="3"/>
  <c r="AV316" i="3"/>
  <c r="AV315" i="3"/>
  <c r="AV314" i="3"/>
  <c r="AV313" i="3"/>
  <c r="AV312" i="3"/>
  <c r="AV311" i="3"/>
  <c r="AV310" i="3"/>
  <c r="AV309" i="3"/>
  <c r="AV308" i="3"/>
  <c r="AV307" i="3"/>
  <c r="AV306" i="3"/>
  <c r="AV305" i="3"/>
  <c r="AV304" i="3"/>
  <c r="AV303" i="3"/>
  <c r="AV302" i="3"/>
  <c r="AV301" i="3"/>
  <c r="AV300" i="3"/>
  <c r="AV299" i="3"/>
  <c r="AV298" i="3"/>
  <c r="AV297" i="3"/>
  <c r="AV296" i="3"/>
  <c r="AV295" i="3"/>
  <c r="AV294" i="3"/>
  <c r="AV293" i="3"/>
  <c r="AV292" i="3"/>
  <c r="AV291" i="3"/>
  <c r="AV290" i="3"/>
  <c r="AV289" i="3"/>
  <c r="AV288" i="3"/>
  <c r="AV287" i="3"/>
  <c r="AV286" i="3"/>
  <c r="AV285" i="3"/>
  <c r="AV284" i="3"/>
  <c r="AV283" i="3"/>
  <c r="AV282" i="3"/>
  <c r="AV281" i="3"/>
  <c r="AV280" i="3"/>
  <c r="AV279" i="3"/>
  <c r="AV278" i="3"/>
  <c r="AV277" i="3"/>
  <c r="AV276" i="3"/>
  <c r="AV275" i="3"/>
  <c r="AV274" i="3"/>
  <c r="AV273" i="3"/>
  <c r="AV272" i="3"/>
  <c r="AV271" i="3"/>
  <c r="AV270" i="3"/>
  <c r="AV269" i="3"/>
  <c r="AV268" i="3"/>
  <c r="AV267" i="3"/>
  <c r="AV266" i="3"/>
  <c r="AV265" i="3"/>
  <c r="AV264" i="3"/>
  <c r="AV263" i="3"/>
  <c r="AV262" i="3"/>
  <c r="AV261" i="3"/>
  <c r="AV260" i="3"/>
  <c r="AV259" i="3"/>
  <c r="AV258" i="3"/>
  <c r="AV257" i="3"/>
  <c r="AV256" i="3"/>
  <c r="AV255" i="3"/>
  <c r="AV254" i="3"/>
  <c r="AV253" i="3"/>
  <c r="AV252" i="3"/>
  <c r="AV251" i="3"/>
  <c r="AV250" i="3"/>
  <c r="AV249" i="3"/>
  <c r="AV248" i="3"/>
  <c r="AV247" i="3"/>
  <c r="AV246" i="3"/>
  <c r="AV245" i="3"/>
  <c r="AV244" i="3"/>
  <c r="AV243" i="3"/>
  <c r="AV242" i="3"/>
  <c r="AV241" i="3"/>
  <c r="AV240" i="3"/>
  <c r="AV239" i="3"/>
  <c r="AV238" i="3"/>
  <c r="AV237" i="3"/>
  <c r="AV236" i="3"/>
  <c r="AV235" i="3"/>
  <c r="AV234" i="3"/>
  <c r="AV233" i="3"/>
  <c r="AV232" i="3"/>
  <c r="AV231" i="3"/>
  <c r="AV230" i="3"/>
  <c r="AV229" i="3"/>
  <c r="AV228" i="3"/>
  <c r="AV227" i="3"/>
  <c r="AV226" i="3"/>
  <c r="AV225" i="3"/>
  <c r="AV224" i="3"/>
  <c r="AV223" i="3"/>
  <c r="AV222" i="3"/>
  <c r="AV221" i="3"/>
  <c r="AV220" i="3"/>
  <c r="AV219" i="3"/>
  <c r="AV218" i="3"/>
  <c r="AV217" i="3"/>
  <c r="AV216" i="3"/>
  <c r="AV215" i="3"/>
  <c r="AV214" i="3"/>
  <c r="AV213" i="3"/>
  <c r="AV212" i="3"/>
  <c r="AV211" i="3"/>
  <c r="AV210" i="3"/>
  <c r="AV209" i="3"/>
  <c r="AV208" i="3"/>
  <c r="AV207" i="3"/>
  <c r="AV206" i="3"/>
  <c r="AV205" i="3"/>
  <c r="AV204" i="3"/>
  <c r="AV203" i="3"/>
  <c r="AV202" i="3"/>
  <c r="AV201" i="3"/>
  <c r="AV200" i="3"/>
  <c r="AV199" i="3"/>
  <c r="AV198" i="3"/>
  <c r="AV197" i="3"/>
  <c r="AV196" i="3"/>
  <c r="AV195" i="3"/>
  <c r="AV194" i="3"/>
  <c r="AV193" i="3"/>
  <c r="AV192" i="3"/>
  <c r="AV191" i="3"/>
  <c r="AV190" i="3"/>
  <c r="AV189" i="3"/>
  <c r="AV188" i="3"/>
  <c r="AV187" i="3"/>
  <c r="AV186" i="3"/>
  <c r="AV185" i="3"/>
  <c r="AV184" i="3"/>
  <c r="AV183" i="3"/>
  <c r="AV182" i="3"/>
  <c r="AV181" i="3"/>
  <c r="AV180" i="3"/>
  <c r="AV179" i="3"/>
  <c r="AV178" i="3"/>
  <c r="AV177" i="3"/>
  <c r="AV176" i="3"/>
  <c r="AV175" i="3"/>
  <c r="AV174" i="3"/>
  <c r="AV173" i="3"/>
  <c r="AV172" i="3"/>
  <c r="AV171" i="3"/>
  <c r="AV170" i="3"/>
  <c r="AV169" i="3"/>
  <c r="AV168" i="3"/>
  <c r="AV167" i="3"/>
  <c r="AV166" i="3"/>
  <c r="AV165" i="3"/>
  <c r="AV164" i="3"/>
  <c r="AV163" i="3"/>
  <c r="AV162" i="3"/>
  <c r="AV161" i="3"/>
  <c r="AV160" i="3"/>
  <c r="AV159" i="3"/>
  <c r="AV158" i="3"/>
  <c r="AV157" i="3"/>
  <c r="AV156" i="3"/>
  <c r="AV155" i="3"/>
  <c r="AV154" i="3"/>
  <c r="AV153" i="3"/>
  <c r="AV152" i="3"/>
  <c r="AV151" i="3"/>
  <c r="AV150" i="3"/>
  <c r="AV149" i="3"/>
  <c r="AV148" i="3"/>
  <c r="AV147" i="3"/>
  <c r="AV146" i="3"/>
  <c r="AV145" i="3"/>
  <c r="AV144" i="3"/>
  <c r="AV143" i="3"/>
  <c r="AV142" i="3"/>
  <c r="AV141" i="3"/>
  <c r="AV140" i="3"/>
  <c r="AV139" i="3"/>
  <c r="AV138" i="3"/>
  <c r="AV137" i="3"/>
  <c r="AV136" i="3"/>
  <c r="AV135" i="3"/>
  <c r="AV134" i="3"/>
  <c r="AV133" i="3"/>
  <c r="AV132" i="3"/>
  <c r="AV131" i="3"/>
  <c r="AV130" i="3"/>
  <c r="AV129" i="3"/>
  <c r="AV128" i="3"/>
  <c r="AV127" i="3"/>
  <c r="AV126" i="3"/>
  <c r="AV125" i="3"/>
  <c r="AV124" i="3"/>
  <c r="AV123" i="3"/>
  <c r="AV122" i="3"/>
  <c r="AV121" i="3"/>
  <c r="AV120" i="3"/>
  <c r="AV119" i="3"/>
  <c r="AV118" i="3"/>
  <c r="AV117" i="3"/>
  <c r="AV116" i="3"/>
  <c r="AV115" i="3"/>
  <c r="AV114" i="3"/>
  <c r="AV113" i="3"/>
  <c r="AV112" i="3"/>
  <c r="AV111" i="3"/>
  <c r="AV110" i="3"/>
  <c r="AV109" i="3"/>
  <c r="AV108" i="3"/>
  <c r="AV107" i="3"/>
  <c r="AV106" i="3"/>
  <c r="AV105" i="3"/>
  <c r="AV104" i="3"/>
  <c r="AV103" i="3"/>
  <c r="AV102" i="3"/>
  <c r="AV101" i="3"/>
  <c r="AV100" i="3"/>
  <c r="AV99" i="3"/>
  <c r="AV98" i="3"/>
  <c r="AV97" i="3"/>
  <c r="AV96" i="3"/>
  <c r="AV95" i="3"/>
  <c r="AV94" i="3"/>
  <c r="AV93" i="3"/>
  <c r="AV92" i="3"/>
  <c r="AV91" i="3"/>
  <c r="AV90" i="3"/>
  <c r="AV89" i="3"/>
  <c r="AV88" i="3"/>
  <c r="AV87" i="3"/>
  <c r="AV86" i="3"/>
  <c r="AV85" i="3"/>
  <c r="AV84" i="3"/>
  <c r="AV83" i="3"/>
  <c r="AV82" i="3"/>
  <c r="AV81" i="3"/>
  <c r="AV80" i="3"/>
  <c r="AV79" i="3"/>
  <c r="AV78" i="3"/>
  <c r="AV77" i="3"/>
  <c r="AV76" i="3"/>
  <c r="AV75" i="3"/>
  <c r="AV74" i="3"/>
  <c r="AV73" i="3"/>
  <c r="AV72" i="3"/>
  <c r="AV71" i="3"/>
  <c r="AV70" i="3"/>
  <c r="AV69" i="3"/>
  <c r="AV68" i="3"/>
  <c r="AV67" i="3"/>
  <c r="AV66" i="3"/>
  <c r="AV65" i="3"/>
  <c r="AV64" i="3"/>
  <c r="AV63" i="3"/>
  <c r="AV62" i="3"/>
  <c r="AV61" i="3"/>
  <c r="AV60" i="3"/>
  <c r="AV59" i="3"/>
  <c r="AV58" i="3"/>
  <c r="AV57" i="3"/>
  <c r="AV56" i="3"/>
  <c r="AV55" i="3"/>
  <c r="AV54" i="3"/>
  <c r="AV53" i="3"/>
  <c r="AV52" i="3"/>
  <c r="AV51" i="3"/>
  <c r="AV50" i="3"/>
  <c r="AV49" i="3"/>
  <c r="AV48" i="3"/>
  <c r="AV47" i="3"/>
  <c r="AV46" i="3"/>
  <c r="AV45" i="3"/>
  <c r="AV44" i="3"/>
  <c r="AV43" i="3"/>
  <c r="AV42" i="3"/>
  <c r="AV41" i="3"/>
  <c r="AV40" i="3"/>
  <c r="AV39" i="3"/>
  <c r="AV38" i="3"/>
  <c r="AV37" i="3"/>
  <c r="AV36" i="3"/>
  <c r="AV35" i="3"/>
  <c r="AV34" i="3"/>
  <c r="AV33" i="3"/>
  <c r="AV32" i="3"/>
  <c r="AV31" i="3"/>
  <c r="AV30" i="3"/>
  <c r="AV29" i="3"/>
  <c r="AV28" i="3"/>
  <c r="AV27" i="3"/>
  <c r="AV26" i="3"/>
  <c r="AV25" i="3"/>
  <c r="AV24" i="3"/>
  <c r="AV23" i="3"/>
  <c r="AV22" i="3"/>
  <c r="AV21" i="3"/>
  <c r="AV20" i="3"/>
  <c r="AV19" i="3"/>
  <c r="AV18" i="3"/>
  <c r="AV17" i="3"/>
  <c r="AV16" i="3"/>
  <c r="AV15" i="3"/>
  <c r="AV14" i="3"/>
  <c r="AV13" i="3"/>
  <c r="AV12" i="3"/>
  <c r="AV11" i="3"/>
  <c r="AV10" i="3"/>
  <c r="AV9" i="3"/>
  <c r="AV8" i="3"/>
  <c r="AV7" i="3"/>
  <c r="AV6" i="3"/>
  <c r="AV5" i="3"/>
  <c r="AV4" i="3"/>
  <c r="AT354" i="3"/>
  <c r="AT353" i="3"/>
  <c r="AT352" i="3"/>
  <c r="AT351" i="3"/>
  <c r="AT350" i="3"/>
  <c r="AT349" i="3"/>
  <c r="AT348" i="3"/>
  <c r="AT347" i="3"/>
  <c r="AT346" i="3"/>
  <c r="AT345" i="3"/>
  <c r="AT344" i="3"/>
  <c r="AT343" i="3"/>
  <c r="AT342" i="3"/>
  <c r="AT341" i="3"/>
  <c r="AT340" i="3"/>
  <c r="AT339" i="3"/>
  <c r="AT338" i="3"/>
  <c r="AT337" i="3"/>
  <c r="AT336" i="3"/>
  <c r="AT335" i="3"/>
  <c r="AT334" i="3"/>
  <c r="AT333" i="3"/>
  <c r="AT332" i="3"/>
  <c r="AT331" i="3"/>
  <c r="AT330" i="3"/>
  <c r="AT329" i="3"/>
  <c r="AT328" i="3"/>
  <c r="AT327" i="3"/>
  <c r="AT326" i="3"/>
  <c r="AT325" i="3"/>
  <c r="AT324" i="3"/>
  <c r="AT323" i="3"/>
  <c r="AT322" i="3"/>
  <c r="AT321" i="3"/>
  <c r="AT320" i="3"/>
  <c r="AT319" i="3"/>
  <c r="AT318" i="3"/>
  <c r="AT317" i="3"/>
  <c r="AT316" i="3"/>
  <c r="AT315" i="3"/>
  <c r="AT314" i="3"/>
  <c r="AT313" i="3"/>
  <c r="AT312" i="3"/>
  <c r="AT311" i="3"/>
  <c r="AT310" i="3"/>
  <c r="AT309" i="3"/>
  <c r="AT308" i="3"/>
  <c r="AT307" i="3"/>
  <c r="AT306" i="3"/>
  <c r="AT305" i="3"/>
  <c r="AT304" i="3"/>
  <c r="AT303" i="3"/>
  <c r="AT302" i="3"/>
  <c r="AT301" i="3"/>
  <c r="AT300" i="3"/>
  <c r="AT299" i="3"/>
  <c r="AT298" i="3"/>
  <c r="AT297" i="3"/>
  <c r="AT296" i="3"/>
  <c r="AT295" i="3"/>
  <c r="AT294" i="3"/>
  <c r="AT293" i="3"/>
  <c r="AT292" i="3"/>
  <c r="AT291" i="3"/>
  <c r="AT290" i="3"/>
  <c r="AT289" i="3"/>
  <c r="AT288" i="3"/>
  <c r="AT287" i="3"/>
  <c r="AT286" i="3"/>
  <c r="AT285" i="3"/>
  <c r="AT284" i="3"/>
  <c r="AT283" i="3"/>
  <c r="AT282" i="3"/>
  <c r="AT281" i="3"/>
  <c r="AT280" i="3"/>
  <c r="AT279" i="3"/>
  <c r="AT278" i="3"/>
  <c r="AT277" i="3"/>
  <c r="AT276" i="3"/>
  <c r="AT275" i="3"/>
  <c r="AT274" i="3"/>
  <c r="AT273" i="3"/>
  <c r="AT272" i="3"/>
  <c r="AT271" i="3"/>
  <c r="AT270" i="3"/>
  <c r="AT269" i="3"/>
  <c r="AT268" i="3"/>
  <c r="AT267" i="3"/>
  <c r="AT266" i="3"/>
  <c r="AT265" i="3"/>
  <c r="AT264" i="3"/>
  <c r="AT263" i="3"/>
  <c r="AT262" i="3"/>
  <c r="AT261" i="3"/>
  <c r="AT260" i="3"/>
  <c r="AT259" i="3"/>
  <c r="AT258" i="3"/>
  <c r="AT257" i="3"/>
  <c r="AT256" i="3"/>
  <c r="AT255" i="3"/>
  <c r="AT254" i="3"/>
  <c r="AT253" i="3"/>
  <c r="AT252" i="3"/>
  <c r="AT251" i="3"/>
  <c r="AT250" i="3"/>
  <c r="AT249" i="3"/>
  <c r="AT248" i="3"/>
  <c r="AT247" i="3"/>
  <c r="AT246" i="3"/>
  <c r="AT245" i="3"/>
  <c r="AT244" i="3"/>
  <c r="AT243" i="3"/>
  <c r="AT242" i="3"/>
  <c r="AT241" i="3"/>
  <c r="AT240" i="3"/>
  <c r="AT239" i="3"/>
  <c r="AT238" i="3"/>
  <c r="AT237" i="3"/>
  <c r="AT236" i="3"/>
  <c r="AT235" i="3"/>
  <c r="AT234" i="3"/>
  <c r="AT233" i="3"/>
  <c r="AT232" i="3"/>
  <c r="AT231" i="3"/>
  <c r="AT230" i="3"/>
  <c r="AT229" i="3"/>
  <c r="AT228" i="3"/>
  <c r="AT227" i="3"/>
  <c r="AT226" i="3"/>
  <c r="AT225" i="3"/>
  <c r="AT224" i="3"/>
  <c r="AT223" i="3"/>
  <c r="AT222" i="3"/>
  <c r="AT221" i="3"/>
  <c r="AT220" i="3"/>
  <c r="AT219" i="3"/>
  <c r="AT218" i="3"/>
  <c r="AT217" i="3"/>
  <c r="AT216" i="3"/>
  <c r="AT215" i="3"/>
  <c r="AT214" i="3"/>
  <c r="AT213" i="3"/>
  <c r="AT212" i="3"/>
  <c r="AT211" i="3"/>
  <c r="AT210" i="3"/>
  <c r="AT209" i="3"/>
  <c r="AT208" i="3"/>
  <c r="AT207" i="3"/>
  <c r="AT206" i="3"/>
  <c r="AT205" i="3"/>
  <c r="AT204" i="3"/>
  <c r="AT203" i="3"/>
  <c r="AT202" i="3"/>
  <c r="AT201" i="3"/>
  <c r="AT200" i="3"/>
  <c r="AT199" i="3"/>
  <c r="AT198" i="3"/>
  <c r="AT197" i="3"/>
  <c r="AT196" i="3"/>
  <c r="AT195" i="3"/>
  <c r="AT194" i="3"/>
  <c r="AT193" i="3"/>
  <c r="AT192" i="3"/>
  <c r="AT191" i="3"/>
  <c r="AT190" i="3"/>
  <c r="AT189" i="3"/>
  <c r="AT188" i="3"/>
  <c r="AT187" i="3"/>
  <c r="AT186" i="3"/>
  <c r="AT185" i="3"/>
  <c r="AT184" i="3"/>
  <c r="AT183" i="3"/>
  <c r="AT182" i="3"/>
  <c r="AT181" i="3"/>
  <c r="AT180" i="3"/>
  <c r="AT179" i="3"/>
  <c r="AT178" i="3"/>
  <c r="AT177" i="3"/>
  <c r="AT176" i="3"/>
  <c r="AT175" i="3"/>
  <c r="AT174" i="3"/>
  <c r="AT173" i="3"/>
  <c r="AT172" i="3"/>
  <c r="AT171" i="3"/>
  <c r="AT170" i="3"/>
  <c r="AT169" i="3"/>
  <c r="AT168" i="3"/>
  <c r="AT167" i="3"/>
  <c r="AT166" i="3"/>
  <c r="AT165" i="3"/>
  <c r="AT164" i="3"/>
  <c r="AT163" i="3"/>
  <c r="AT162" i="3"/>
  <c r="AT161" i="3"/>
  <c r="AT160" i="3"/>
  <c r="AT159" i="3"/>
  <c r="AT158" i="3"/>
  <c r="AT157" i="3"/>
  <c r="AT156" i="3"/>
  <c r="AT155" i="3"/>
  <c r="AT154" i="3"/>
  <c r="AT153" i="3"/>
  <c r="AT152" i="3"/>
  <c r="AT151" i="3"/>
  <c r="AT150" i="3"/>
  <c r="AT149" i="3"/>
  <c r="AT148" i="3"/>
  <c r="AT147" i="3"/>
  <c r="AT146" i="3"/>
  <c r="AT145" i="3"/>
  <c r="AT144" i="3"/>
  <c r="AT143" i="3"/>
  <c r="AT142" i="3"/>
  <c r="AT141" i="3"/>
  <c r="AT140" i="3"/>
  <c r="AT139" i="3"/>
  <c r="AT138" i="3"/>
  <c r="AT137" i="3"/>
  <c r="AT136" i="3"/>
  <c r="AT135" i="3"/>
  <c r="AT134" i="3"/>
  <c r="AT133" i="3"/>
  <c r="AT132" i="3"/>
  <c r="AT131" i="3"/>
  <c r="AT130" i="3"/>
  <c r="AT129" i="3"/>
  <c r="AT128" i="3"/>
  <c r="AT127" i="3"/>
  <c r="AT126" i="3"/>
  <c r="AT125" i="3"/>
  <c r="AT124" i="3"/>
  <c r="AT123" i="3"/>
  <c r="AT122" i="3"/>
  <c r="AT121" i="3"/>
  <c r="AT120" i="3"/>
  <c r="AT119" i="3"/>
  <c r="AT118" i="3"/>
  <c r="AT117" i="3"/>
  <c r="AT116" i="3"/>
  <c r="AT115" i="3"/>
  <c r="AT114" i="3"/>
  <c r="AT113" i="3"/>
  <c r="AT112" i="3"/>
  <c r="AT111" i="3"/>
  <c r="AT110" i="3"/>
  <c r="AT109" i="3"/>
  <c r="AT108" i="3"/>
  <c r="AT107" i="3"/>
  <c r="AT106" i="3"/>
  <c r="AT105" i="3"/>
  <c r="AT104" i="3"/>
  <c r="AT103" i="3"/>
  <c r="AT102" i="3"/>
  <c r="AT101" i="3"/>
  <c r="AT100" i="3"/>
  <c r="AT99" i="3"/>
  <c r="AT98" i="3"/>
  <c r="AT97" i="3"/>
  <c r="AT96" i="3"/>
  <c r="AT95" i="3"/>
  <c r="AT94" i="3"/>
  <c r="AT93" i="3"/>
  <c r="AT92" i="3"/>
  <c r="AT91" i="3"/>
  <c r="AT90" i="3"/>
  <c r="AT89" i="3"/>
  <c r="AT88" i="3"/>
  <c r="AT87" i="3"/>
  <c r="AT86" i="3"/>
  <c r="AT85" i="3"/>
  <c r="AT84" i="3"/>
  <c r="AT83" i="3"/>
  <c r="AT82" i="3"/>
  <c r="AT81" i="3"/>
  <c r="AT80" i="3"/>
  <c r="AT79" i="3"/>
  <c r="AT78" i="3"/>
  <c r="AT77" i="3"/>
  <c r="AT76" i="3"/>
  <c r="AT75" i="3"/>
  <c r="AT74" i="3"/>
  <c r="AT73" i="3"/>
  <c r="AT72" i="3"/>
  <c r="AT71" i="3"/>
  <c r="AT70" i="3"/>
  <c r="AT69" i="3"/>
  <c r="AT68" i="3"/>
  <c r="AT67" i="3"/>
  <c r="AT66" i="3"/>
  <c r="AT65" i="3"/>
  <c r="AT64" i="3"/>
  <c r="AT63" i="3"/>
  <c r="AT62" i="3"/>
  <c r="AT61" i="3"/>
  <c r="AT60" i="3"/>
  <c r="AT59" i="3"/>
  <c r="AT58" i="3"/>
  <c r="AT57" i="3"/>
  <c r="AT56" i="3"/>
  <c r="AT55" i="3"/>
  <c r="AT54" i="3"/>
  <c r="AT53" i="3"/>
  <c r="AT52" i="3"/>
  <c r="AT51" i="3"/>
  <c r="AT50" i="3"/>
  <c r="AT49" i="3"/>
  <c r="AT48" i="3"/>
  <c r="AT47" i="3"/>
  <c r="AT46" i="3"/>
  <c r="AT45" i="3"/>
  <c r="AT44" i="3"/>
  <c r="AT43" i="3"/>
  <c r="AT42" i="3"/>
  <c r="AT41" i="3"/>
  <c r="AT40" i="3"/>
  <c r="AT39" i="3"/>
  <c r="AT38" i="3"/>
  <c r="AT37" i="3"/>
  <c r="AT36" i="3"/>
  <c r="AT35" i="3"/>
  <c r="AT34" i="3"/>
  <c r="AT33" i="3"/>
  <c r="AT32" i="3"/>
  <c r="AT31" i="3"/>
  <c r="AT30" i="3"/>
  <c r="AT29" i="3"/>
  <c r="AT28" i="3"/>
  <c r="AT27" i="3"/>
  <c r="AT26" i="3"/>
  <c r="AT25" i="3"/>
  <c r="AT24" i="3"/>
  <c r="AT23" i="3"/>
  <c r="AT22" i="3"/>
  <c r="AT21" i="3"/>
  <c r="AT20" i="3"/>
  <c r="AT19" i="3"/>
  <c r="AT18" i="3"/>
  <c r="AT17" i="3"/>
  <c r="AT16" i="3"/>
  <c r="AT15" i="3"/>
  <c r="AT14" i="3"/>
  <c r="AT13" i="3"/>
  <c r="AT12" i="3"/>
  <c r="AT11" i="3"/>
  <c r="AT10" i="3"/>
  <c r="AT9" i="3"/>
  <c r="AT8" i="3"/>
  <c r="AT7" i="3"/>
  <c r="AT6" i="3"/>
  <c r="AT5" i="3"/>
  <c r="AT4" i="3"/>
  <c r="AS354" i="3"/>
  <c r="AS353" i="3"/>
  <c r="AS352" i="3"/>
  <c r="AS351" i="3"/>
  <c r="AS350" i="3"/>
  <c r="AS349" i="3"/>
  <c r="AS348" i="3"/>
  <c r="AS347" i="3"/>
  <c r="AS346" i="3"/>
  <c r="AS345" i="3"/>
  <c r="AS344" i="3"/>
  <c r="AS343" i="3"/>
  <c r="AS342" i="3"/>
  <c r="AS341" i="3"/>
  <c r="AS340" i="3"/>
  <c r="AS339" i="3"/>
  <c r="AS338" i="3"/>
  <c r="AS337" i="3"/>
  <c r="AS336" i="3"/>
  <c r="AS335" i="3"/>
  <c r="AS334" i="3"/>
  <c r="AS333" i="3"/>
  <c r="AS332" i="3"/>
  <c r="AS331" i="3"/>
  <c r="AS330" i="3"/>
  <c r="AS329" i="3"/>
  <c r="AS328" i="3"/>
  <c r="AS327" i="3"/>
  <c r="AS326" i="3"/>
  <c r="AS325" i="3"/>
  <c r="AS324" i="3"/>
  <c r="AS323" i="3"/>
  <c r="AS322" i="3"/>
  <c r="AS321" i="3"/>
  <c r="AS320" i="3"/>
  <c r="AS319" i="3"/>
  <c r="AS318" i="3"/>
  <c r="AS317" i="3"/>
  <c r="AS316" i="3"/>
  <c r="AS315" i="3"/>
  <c r="AS314" i="3"/>
  <c r="AS313" i="3"/>
  <c r="AS312" i="3"/>
  <c r="AS311" i="3"/>
  <c r="AS310" i="3"/>
  <c r="AS309" i="3"/>
  <c r="AS308" i="3"/>
  <c r="AS307" i="3"/>
  <c r="AS306" i="3"/>
  <c r="AS305" i="3"/>
  <c r="AS304" i="3"/>
  <c r="AS303" i="3"/>
  <c r="AS302" i="3"/>
  <c r="AS301" i="3"/>
  <c r="AS300" i="3"/>
  <c r="AS299" i="3"/>
  <c r="AS298" i="3"/>
  <c r="AS297" i="3"/>
  <c r="AS296" i="3"/>
  <c r="AS295" i="3"/>
  <c r="AS294" i="3"/>
  <c r="AS293" i="3"/>
  <c r="AS292" i="3"/>
  <c r="AS291" i="3"/>
  <c r="AS290" i="3"/>
  <c r="AS289" i="3"/>
  <c r="AS288" i="3"/>
  <c r="AS287" i="3"/>
  <c r="AS286" i="3"/>
  <c r="AS285" i="3"/>
  <c r="AS284" i="3"/>
  <c r="AS283" i="3"/>
  <c r="AS282" i="3"/>
  <c r="AS281" i="3"/>
  <c r="AS280" i="3"/>
  <c r="AS279" i="3"/>
  <c r="AS278" i="3"/>
  <c r="AS277" i="3"/>
  <c r="AS276" i="3"/>
  <c r="AS275" i="3"/>
  <c r="AS274" i="3"/>
  <c r="AS273" i="3"/>
  <c r="AS272" i="3"/>
  <c r="AS271" i="3"/>
  <c r="AS270" i="3"/>
  <c r="AS269" i="3"/>
  <c r="AS268" i="3"/>
  <c r="AS267" i="3"/>
  <c r="AS266" i="3"/>
  <c r="AS265" i="3"/>
  <c r="AS264" i="3"/>
  <c r="AS263" i="3"/>
  <c r="AS262" i="3"/>
  <c r="AS261" i="3"/>
  <c r="AS260" i="3"/>
  <c r="AS259" i="3"/>
  <c r="AS258" i="3"/>
  <c r="AS257" i="3"/>
  <c r="AS256" i="3"/>
  <c r="AS255" i="3"/>
  <c r="AS254" i="3"/>
  <c r="AS253" i="3"/>
  <c r="AS252" i="3"/>
  <c r="AS251" i="3"/>
  <c r="AS250" i="3"/>
  <c r="AS249" i="3"/>
  <c r="AS248" i="3"/>
  <c r="AS247" i="3"/>
  <c r="AS246" i="3"/>
  <c r="AS245" i="3"/>
  <c r="AS244" i="3"/>
  <c r="AS243" i="3"/>
  <c r="AS242" i="3"/>
  <c r="AS241" i="3"/>
  <c r="AS240" i="3"/>
  <c r="AS239" i="3"/>
  <c r="AS238" i="3"/>
  <c r="AS237" i="3"/>
  <c r="AS236" i="3"/>
  <c r="AS235" i="3"/>
  <c r="AS234" i="3"/>
  <c r="AS233" i="3"/>
  <c r="AS232" i="3"/>
  <c r="AS231" i="3"/>
  <c r="AS230" i="3"/>
  <c r="AS229" i="3"/>
  <c r="AS228" i="3"/>
  <c r="AS227" i="3"/>
  <c r="AS226" i="3"/>
  <c r="AS225" i="3"/>
  <c r="AS224" i="3"/>
  <c r="AS223" i="3"/>
  <c r="AS222" i="3"/>
  <c r="AS221" i="3"/>
  <c r="AS220" i="3"/>
  <c r="AS219" i="3"/>
  <c r="AS218" i="3"/>
  <c r="AS217" i="3"/>
  <c r="AS216" i="3"/>
  <c r="AS215" i="3"/>
  <c r="AS214" i="3"/>
  <c r="AS213" i="3"/>
  <c r="AS212" i="3"/>
  <c r="AS211" i="3"/>
  <c r="AS210" i="3"/>
  <c r="AS209" i="3"/>
  <c r="AS208" i="3"/>
  <c r="AS207" i="3"/>
  <c r="AS206" i="3"/>
  <c r="AS205" i="3"/>
  <c r="AS204" i="3"/>
  <c r="AS203" i="3"/>
  <c r="AS202" i="3"/>
  <c r="AS201" i="3"/>
  <c r="AS200" i="3"/>
  <c r="AS199" i="3"/>
  <c r="AS198" i="3"/>
  <c r="AS197" i="3"/>
  <c r="AS196" i="3"/>
  <c r="AS195" i="3"/>
  <c r="AS194" i="3"/>
  <c r="AS193" i="3"/>
  <c r="AS192" i="3"/>
  <c r="AS191" i="3"/>
  <c r="AS190" i="3"/>
  <c r="AS189" i="3"/>
  <c r="AS188" i="3"/>
  <c r="AS187" i="3"/>
  <c r="AS186" i="3"/>
  <c r="AS185" i="3"/>
  <c r="AS184" i="3"/>
  <c r="AS183" i="3"/>
  <c r="AS182" i="3"/>
  <c r="AS181" i="3"/>
  <c r="AS180" i="3"/>
  <c r="AS179" i="3"/>
  <c r="AS178" i="3"/>
  <c r="AS177" i="3"/>
  <c r="AS176" i="3"/>
  <c r="AS175" i="3"/>
  <c r="AS174" i="3"/>
  <c r="AS173" i="3"/>
  <c r="AS172" i="3"/>
  <c r="AS171" i="3"/>
  <c r="AS170" i="3"/>
  <c r="AS169" i="3"/>
  <c r="AS168" i="3"/>
  <c r="AS167" i="3"/>
  <c r="AS166" i="3"/>
  <c r="AS165" i="3"/>
  <c r="AS164" i="3"/>
  <c r="AS163" i="3"/>
  <c r="AS162" i="3"/>
  <c r="AS161" i="3"/>
  <c r="AS160" i="3"/>
  <c r="AS159" i="3"/>
  <c r="AS158" i="3"/>
  <c r="AS157" i="3"/>
  <c r="AS156" i="3"/>
  <c r="AS155" i="3"/>
  <c r="AS154" i="3"/>
  <c r="AS153" i="3"/>
  <c r="AS152" i="3"/>
  <c r="AS151" i="3"/>
  <c r="AS150" i="3"/>
  <c r="AS149" i="3"/>
  <c r="AS148" i="3"/>
  <c r="AS147" i="3"/>
  <c r="AS146" i="3"/>
  <c r="AS145" i="3"/>
  <c r="AS144" i="3"/>
  <c r="AS143" i="3"/>
  <c r="AS142" i="3"/>
  <c r="AS141" i="3"/>
  <c r="AS140" i="3"/>
  <c r="AS139" i="3"/>
  <c r="AS138" i="3"/>
  <c r="AS137" i="3"/>
  <c r="AS136" i="3"/>
  <c r="AS135" i="3"/>
  <c r="AS134" i="3"/>
  <c r="AS133" i="3"/>
  <c r="AS132" i="3"/>
  <c r="AS131" i="3"/>
  <c r="AS130" i="3"/>
  <c r="AS129" i="3"/>
  <c r="AS128" i="3"/>
  <c r="AS127" i="3"/>
  <c r="AS126" i="3"/>
  <c r="AS125" i="3"/>
  <c r="AS124" i="3"/>
  <c r="AS123" i="3"/>
  <c r="AS122" i="3"/>
  <c r="AS121" i="3"/>
  <c r="AS120" i="3"/>
  <c r="AS119" i="3"/>
  <c r="AS118" i="3"/>
  <c r="AS117" i="3"/>
  <c r="AS116" i="3"/>
  <c r="AS115" i="3"/>
  <c r="AS114" i="3"/>
  <c r="AS113" i="3"/>
  <c r="AS112" i="3"/>
  <c r="AS111" i="3"/>
  <c r="AS110" i="3"/>
  <c r="AS109" i="3"/>
  <c r="AS108" i="3"/>
  <c r="AS107" i="3"/>
  <c r="AS106" i="3"/>
  <c r="AS105" i="3"/>
  <c r="AS104" i="3"/>
  <c r="AS103" i="3"/>
  <c r="AS102" i="3"/>
  <c r="AS101" i="3"/>
  <c r="AS100" i="3"/>
  <c r="AS99" i="3"/>
  <c r="AS98" i="3"/>
  <c r="AS97" i="3"/>
  <c r="AS96" i="3"/>
  <c r="AS95" i="3"/>
  <c r="AS94" i="3"/>
  <c r="AS93" i="3"/>
  <c r="AS92" i="3"/>
  <c r="AS91" i="3"/>
  <c r="AS90" i="3"/>
  <c r="AS89" i="3"/>
  <c r="AS88" i="3"/>
  <c r="AS87" i="3"/>
  <c r="AS86" i="3"/>
  <c r="AS85" i="3"/>
  <c r="AS84" i="3"/>
  <c r="AS83" i="3"/>
  <c r="AS82" i="3"/>
  <c r="AS81" i="3"/>
  <c r="AS80" i="3"/>
  <c r="AS79" i="3"/>
  <c r="AS78" i="3"/>
  <c r="AS77" i="3"/>
  <c r="AS76" i="3"/>
  <c r="AS75" i="3"/>
  <c r="AS74" i="3"/>
  <c r="AS73" i="3"/>
  <c r="AS72" i="3"/>
  <c r="AS71" i="3"/>
  <c r="AS70" i="3"/>
  <c r="AS69" i="3"/>
  <c r="AS68" i="3"/>
  <c r="AS67" i="3"/>
  <c r="AS66" i="3"/>
  <c r="AS65" i="3"/>
  <c r="AS64" i="3"/>
  <c r="AS63" i="3"/>
  <c r="AS62" i="3"/>
  <c r="AS61" i="3"/>
  <c r="AS60" i="3"/>
  <c r="AS59" i="3"/>
  <c r="AS58" i="3"/>
  <c r="AS57" i="3"/>
  <c r="AS56" i="3"/>
  <c r="AS55" i="3"/>
  <c r="AS54" i="3"/>
  <c r="AS53" i="3"/>
  <c r="AS52" i="3"/>
  <c r="AS51" i="3"/>
  <c r="AS50" i="3"/>
  <c r="AS49" i="3"/>
  <c r="AS48" i="3"/>
  <c r="AS47" i="3"/>
  <c r="AS46" i="3"/>
  <c r="AS45" i="3"/>
  <c r="AS44" i="3"/>
  <c r="AS43" i="3"/>
  <c r="AS42" i="3"/>
  <c r="AS41" i="3"/>
  <c r="AS40" i="3"/>
  <c r="AS39" i="3"/>
  <c r="AS38" i="3"/>
  <c r="AS37" i="3"/>
  <c r="AS36" i="3"/>
  <c r="AS35" i="3"/>
  <c r="AS34" i="3"/>
  <c r="AS33" i="3"/>
  <c r="AS32" i="3"/>
  <c r="AS31" i="3"/>
  <c r="AS30" i="3"/>
  <c r="AS29" i="3"/>
  <c r="AS28" i="3"/>
  <c r="AS27" i="3"/>
  <c r="AS26" i="3"/>
  <c r="AS25" i="3"/>
  <c r="AS24" i="3"/>
  <c r="AS23" i="3"/>
  <c r="AS22" i="3"/>
  <c r="AS21" i="3"/>
  <c r="AS20" i="3"/>
  <c r="AS19" i="3"/>
  <c r="AS18" i="3"/>
  <c r="AS17" i="3"/>
  <c r="AS16" i="3"/>
  <c r="AS15" i="3"/>
  <c r="AS14" i="3"/>
  <c r="AS13" i="3"/>
  <c r="AS12" i="3"/>
  <c r="AS11" i="3"/>
  <c r="AS10" i="3"/>
  <c r="AS9" i="3"/>
  <c r="AS8" i="3"/>
  <c r="AS7" i="3"/>
  <c r="AS6" i="3"/>
  <c r="AS5" i="3"/>
  <c r="AS4" i="3"/>
  <c r="AR354" i="3"/>
  <c r="AR353" i="3"/>
  <c r="AR352" i="3"/>
  <c r="AR351" i="3"/>
  <c r="AR350" i="3"/>
  <c r="AR349" i="3"/>
  <c r="AR348" i="3"/>
  <c r="AR347" i="3"/>
  <c r="AR346" i="3"/>
  <c r="AR345" i="3"/>
  <c r="AR344" i="3"/>
  <c r="AR343" i="3"/>
  <c r="AR342" i="3"/>
  <c r="AR341" i="3"/>
  <c r="AR340" i="3"/>
  <c r="AR339" i="3"/>
  <c r="AR338" i="3"/>
  <c r="AR337" i="3"/>
  <c r="AR336" i="3"/>
  <c r="AR335" i="3"/>
  <c r="AR334" i="3"/>
  <c r="AR333" i="3"/>
  <c r="AR332" i="3"/>
  <c r="AR331" i="3"/>
  <c r="AR330" i="3"/>
  <c r="AR329" i="3"/>
  <c r="AR328" i="3"/>
  <c r="AR327" i="3"/>
  <c r="AR326" i="3"/>
  <c r="AR325" i="3"/>
  <c r="AR324" i="3"/>
  <c r="AR323" i="3"/>
  <c r="AR322" i="3"/>
  <c r="AR321" i="3"/>
  <c r="AR320" i="3"/>
  <c r="AR319" i="3"/>
  <c r="AR318" i="3"/>
  <c r="AR317" i="3"/>
  <c r="AR316" i="3"/>
  <c r="AR315" i="3"/>
  <c r="AR314" i="3"/>
  <c r="AR313" i="3"/>
  <c r="AR312" i="3"/>
  <c r="AR311" i="3"/>
  <c r="AR310" i="3"/>
  <c r="AR309" i="3"/>
  <c r="AR308" i="3"/>
  <c r="AR307" i="3"/>
  <c r="AR306" i="3"/>
  <c r="AR305" i="3"/>
  <c r="AR304" i="3"/>
  <c r="AR303" i="3"/>
  <c r="AR302" i="3"/>
  <c r="AR301" i="3"/>
  <c r="AR300" i="3"/>
  <c r="AR299" i="3"/>
  <c r="AR298" i="3"/>
  <c r="AR297" i="3"/>
  <c r="AR296" i="3"/>
  <c r="AR295" i="3"/>
  <c r="AR294" i="3"/>
  <c r="AR293" i="3"/>
  <c r="AR292" i="3"/>
  <c r="AR291" i="3"/>
  <c r="AR290" i="3"/>
  <c r="AR289" i="3"/>
  <c r="AR288" i="3"/>
  <c r="AR287" i="3"/>
  <c r="AR286" i="3"/>
  <c r="AR285" i="3"/>
  <c r="AR284" i="3"/>
  <c r="AR283" i="3"/>
  <c r="AR282" i="3"/>
  <c r="AR281" i="3"/>
  <c r="AR280" i="3"/>
  <c r="AR279" i="3"/>
  <c r="AR278" i="3"/>
  <c r="AR277" i="3"/>
  <c r="AR276" i="3"/>
  <c r="AR275" i="3"/>
  <c r="AR274" i="3"/>
  <c r="AR273" i="3"/>
  <c r="AR272" i="3"/>
  <c r="AR271" i="3"/>
  <c r="AR270" i="3"/>
  <c r="AR269" i="3"/>
  <c r="AR268" i="3"/>
  <c r="AR267" i="3"/>
  <c r="AR266" i="3"/>
  <c r="AR265" i="3"/>
  <c r="AR264" i="3"/>
  <c r="AR263" i="3"/>
  <c r="AR262" i="3"/>
  <c r="AR261" i="3"/>
  <c r="AR260" i="3"/>
  <c r="AR259" i="3"/>
  <c r="AR258" i="3"/>
  <c r="AR257" i="3"/>
  <c r="AR256" i="3"/>
  <c r="AR255" i="3"/>
  <c r="AR254" i="3"/>
  <c r="AR253" i="3"/>
  <c r="AR252" i="3"/>
  <c r="AR251" i="3"/>
  <c r="AR250" i="3"/>
  <c r="AR249" i="3"/>
  <c r="AR248" i="3"/>
  <c r="AR247" i="3"/>
  <c r="AR246" i="3"/>
  <c r="AR245" i="3"/>
  <c r="AR244" i="3"/>
  <c r="AR243" i="3"/>
  <c r="AR242" i="3"/>
  <c r="AR241" i="3"/>
  <c r="AR240" i="3"/>
  <c r="AR239" i="3"/>
  <c r="AR238" i="3"/>
  <c r="AR237" i="3"/>
  <c r="AR236" i="3"/>
  <c r="AR235" i="3"/>
  <c r="AR234" i="3"/>
  <c r="AR233" i="3"/>
  <c r="AR232" i="3"/>
  <c r="AR231" i="3"/>
  <c r="AR230" i="3"/>
  <c r="AR229" i="3"/>
  <c r="AR228" i="3"/>
  <c r="AR227" i="3"/>
  <c r="AR226" i="3"/>
  <c r="AR225" i="3"/>
  <c r="AR224" i="3"/>
  <c r="AR223" i="3"/>
  <c r="AR222" i="3"/>
  <c r="AR221" i="3"/>
  <c r="AR220" i="3"/>
  <c r="AR219" i="3"/>
  <c r="AR218" i="3"/>
  <c r="AR217" i="3"/>
  <c r="AR216" i="3"/>
  <c r="AR215" i="3"/>
  <c r="AR214" i="3"/>
  <c r="AR213" i="3"/>
  <c r="AR212" i="3"/>
  <c r="AR211" i="3"/>
  <c r="AR210" i="3"/>
  <c r="AR209" i="3"/>
  <c r="AR208" i="3"/>
  <c r="AR207" i="3"/>
  <c r="AR206" i="3"/>
  <c r="AR205" i="3"/>
  <c r="AR204" i="3"/>
  <c r="AR203" i="3"/>
  <c r="AR202" i="3"/>
  <c r="AR201" i="3"/>
  <c r="AR200" i="3"/>
  <c r="AR199" i="3"/>
  <c r="AR198" i="3"/>
  <c r="AR197" i="3"/>
  <c r="AR196" i="3"/>
  <c r="AR195" i="3"/>
  <c r="AR194" i="3"/>
  <c r="AR193" i="3"/>
  <c r="AR192" i="3"/>
  <c r="AR191" i="3"/>
  <c r="AR190" i="3"/>
  <c r="AR189" i="3"/>
  <c r="AR188" i="3"/>
  <c r="AR187" i="3"/>
  <c r="AR186" i="3"/>
  <c r="AR185" i="3"/>
  <c r="AR184" i="3"/>
  <c r="AR183" i="3"/>
  <c r="AR182" i="3"/>
  <c r="AR181" i="3"/>
  <c r="AR180" i="3"/>
  <c r="AR179" i="3"/>
  <c r="AR178" i="3"/>
  <c r="AR177" i="3"/>
  <c r="AR176" i="3"/>
  <c r="AR175" i="3"/>
  <c r="AR174" i="3"/>
  <c r="AR173" i="3"/>
  <c r="AR172" i="3"/>
  <c r="AR171" i="3"/>
  <c r="AR170" i="3"/>
  <c r="AR169" i="3"/>
  <c r="AR168" i="3"/>
  <c r="AR167" i="3"/>
  <c r="AR166" i="3"/>
  <c r="AR165" i="3"/>
  <c r="AR164" i="3"/>
  <c r="AR163" i="3"/>
  <c r="AR162" i="3"/>
  <c r="AR161" i="3"/>
  <c r="AR160" i="3"/>
  <c r="AR159" i="3"/>
  <c r="AR158" i="3"/>
  <c r="AR157" i="3"/>
  <c r="AR156" i="3"/>
  <c r="AR155" i="3"/>
  <c r="AR154" i="3"/>
  <c r="AR153" i="3"/>
  <c r="AR152" i="3"/>
  <c r="AR151" i="3"/>
  <c r="AR150" i="3"/>
  <c r="AR149" i="3"/>
  <c r="AR148" i="3"/>
  <c r="AR147" i="3"/>
  <c r="AR146" i="3"/>
  <c r="AR145" i="3"/>
  <c r="AR144" i="3"/>
  <c r="AR143" i="3"/>
  <c r="AR142" i="3"/>
  <c r="AR141" i="3"/>
  <c r="AR140" i="3"/>
  <c r="AR139" i="3"/>
  <c r="AR138" i="3"/>
  <c r="AR137" i="3"/>
  <c r="AR136" i="3"/>
  <c r="AR135" i="3"/>
  <c r="AR134" i="3"/>
  <c r="AR133" i="3"/>
  <c r="AR132" i="3"/>
  <c r="AR131" i="3"/>
  <c r="AR130" i="3"/>
  <c r="AR129" i="3"/>
  <c r="AR128" i="3"/>
  <c r="AR127" i="3"/>
  <c r="AR126" i="3"/>
  <c r="AR125" i="3"/>
  <c r="AR124" i="3"/>
  <c r="AR123" i="3"/>
  <c r="AR122" i="3"/>
  <c r="AR121" i="3"/>
  <c r="AR120" i="3"/>
  <c r="AR119" i="3"/>
  <c r="AR118" i="3"/>
  <c r="AR117" i="3"/>
  <c r="AR116" i="3"/>
  <c r="AR115" i="3"/>
  <c r="AR114" i="3"/>
  <c r="AR113" i="3"/>
  <c r="AR112" i="3"/>
  <c r="AR111" i="3"/>
  <c r="AR110" i="3"/>
  <c r="AR109" i="3"/>
  <c r="AR108" i="3"/>
  <c r="AR107" i="3"/>
  <c r="AR106" i="3"/>
  <c r="AR105" i="3"/>
  <c r="AR104" i="3"/>
  <c r="AR103" i="3"/>
  <c r="AR102" i="3"/>
  <c r="AR101" i="3"/>
  <c r="AR100" i="3"/>
  <c r="AR99" i="3"/>
  <c r="AR98" i="3"/>
  <c r="AR97" i="3"/>
  <c r="AR96" i="3"/>
  <c r="AR95" i="3"/>
  <c r="AR94" i="3"/>
  <c r="AR93" i="3"/>
  <c r="AR92" i="3"/>
  <c r="AR91" i="3"/>
  <c r="AR90" i="3"/>
  <c r="AR89" i="3"/>
  <c r="AR88" i="3"/>
  <c r="AR87" i="3"/>
  <c r="AR86" i="3"/>
  <c r="AR85" i="3"/>
  <c r="AR84" i="3"/>
  <c r="AR83" i="3"/>
  <c r="AR82" i="3"/>
  <c r="AR81" i="3"/>
  <c r="AR80" i="3"/>
  <c r="AR79" i="3"/>
  <c r="AR78" i="3"/>
  <c r="AR77" i="3"/>
  <c r="AR76" i="3"/>
  <c r="AR75" i="3"/>
  <c r="AR74" i="3"/>
  <c r="AR73" i="3"/>
  <c r="AR72" i="3"/>
  <c r="AR71" i="3"/>
  <c r="AR70" i="3"/>
  <c r="AR69" i="3"/>
  <c r="AR68" i="3"/>
  <c r="AR67" i="3"/>
  <c r="AR66" i="3"/>
  <c r="AR65" i="3"/>
  <c r="AR64" i="3"/>
  <c r="AR63" i="3"/>
  <c r="AR62" i="3"/>
  <c r="AR61" i="3"/>
  <c r="AR60" i="3"/>
  <c r="AR59" i="3"/>
  <c r="AR58" i="3"/>
  <c r="AR57" i="3"/>
  <c r="AR56" i="3"/>
  <c r="AR55" i="3"/>
  <c r="AR54" i="3"/>
  <c r="AR53" i="3"/>
  <c r="AR52" i="3"/>
  <c r="AR51" i="3"/>
  <c r="AR50" i="3"/>
  <c r="AR49" i="3"/>
  <c r="AR48" i="3"/>
  <c r="AR47" i="3"/>
  <c r="AR46" i="3"/>
  <c r="AR45" i="3"/>
  <c r="AR44" i="3"/>
  <c r="AR43" i="3"/>
  <c r="AR42" i="3"/>
  <c r="AR41" i="3"/>
  <c r="AR40" i="3"/>
  <c r="AR39" i="3"/>
  <c r="AR38" i="3"/>
  <c r="AR37" i="3"/>
  <c r="AR36" i="3"/>
  <c r="AR35" i="3"/>
  <c r="AR34" i="3"/>
  <c r="AR33" i="3"/>
  <c r="AR32" i="3"/>
  <c r="AR31" i="3"/>
  <c r="AR30" i="3"/>
  <c r="AR29" i="3"/>
  <c r="AR28" i="3"/>
  <c r="AR27" i="3"/>
  <c r="AR26" i="3"/>
  <c r="AR25" i="3"/>
  <c r="AR24" i="3"/>
  <c r="AR23" i="3"/>
  <c r="AR22" i="3"/>
  <c r="AR21" i="3"/>
  <c r="AR20" i="3"/>
  <c r="AR19" i="3"/>
  <c r="AR18" i="3"/>
  <c r="AR17" i="3"/>
  <c r="AR16" i="3"/>
  <c r="AR15" i="3"/>
  <c r="AR14" i="3"/>
  <c r="AR13" i="3"/>
  <c r="AR12" i="3"/>
  <c r="AR11" i="3"/>
  <c r="AR10" i="3"/>
  <c r="AR9" i="3"/>
  <c r="AR8" i="3"/>
  <c r="AR7" i="3"/>
  <c r="AR6" i="3"/>
  <c r="AR5" i="3"/>
  <c r="AR4" i="3"/>
  <c r="AQ354" i="3"/>
  <c r="AQ353" i="3"/>
  <c r="AQ352" i="3"/>
  <c r="AQ351" i="3"/>
  <c r="AQ350" i="3"/>
  <c r="AQ349" i="3"/>
  <c r="AQ348" i="3"/>
  <c r="AQ347" i="3"/>
  <c r="AQ346" i="3"/>
  <c r="AQ345" i="3"/>
  <c r="AQ344" i="3"/>
  <c r="AQ343" i="3"/>
  <c r="AQ342" i="3"/>
  <c r="AQ341" i="3"/>
  <c r="AQ340" i="3"/>
  <c r="AQ339" i="3"/>
  <c r="AQ338" i="3"/>
  <c r="AQ337" i="3"/>
  <c r="AQ336" i="3"/>
  <c r="AQ335" i="3"/>
  <c r="AQ334" i="3"/>
  <c r="AQ333" i="3"/>
  <c r="AQ332" i="3"/>
  <c r="AQ331" i="3"/>
  <c r="AQ330" i="3"/>
  <c r="AQ329" i="3"/>
  <c r="AQ328" i="3"/>
  <c r="AQ327" i="3"/>
  <c r="AQ326" i="3"/>
  <c r="AQ325" i="3"/>
  <c r="AQ324" i="3"/>
  <c r="AQ323" i="3"/>
  <c r="AQ322" i="3"/>
  <c r="AQ321" i="3"/>
  <c r="AQ320" i="3"/>
  <c r="AQ319" i="3"/>
  <c r="AQ318" i="3"/>
  <c r="AQ317" i="3"/>
  <c r="AQ316" i="3"/>
  <c r="AQ315" i="3"/>
  <c r="AQ314" i="3"/>
  <c r="AQ313" i="3"/>
  <c r="AQ312" i="3"/>
  <c r="AQ311" i="3"/>
  <c r="AQ310" i="3"/>
  <c r="AQ309" i="3"/>
  <c r="AQ308" i="3"/>
  <c r="AQ307" i="3"/>
  <c r="AQ306" i="3"/>
  <c r="AQ305" i="3"/>
  <c r="AQ304" i="3"/>
  <c r="AQ303" i="3"/>
  <c r="AQ302" i="3"/>
  <c r="AQ301" i="3"/>
  <c r="AQ300" i="3"/>
  <c r="AQ299" i="3"/>
  <c r="AQ298" i="3"/>
  <c r="AQ297" i="3"/>
  <c r="AQ296" i="3"/>
  <c r="AQ295" i="3"/>
  <c r="AQ294" i="3"/>
  <c r="AQ293" i="3"/>
  <c r="AQ292" i="3"/>
  <c r="AQ291" i="3"/>
  <c r="AQ290" i="3"/>
  <c r="AQ289" i="3"/>
  <c r="AQ288" i="3"/>
  <c r="AQ287" i="3"/>
  <c r="AQ286" i="3"/>
  <c r="AQ285" i="3"/>
  <c r="AQ284" i="3"/>
  <c r="AQ283" i="3"/>
  <c r="AQ282" i="3"/>
  <c r="AQ281" i="3"/>
  <c r="AQ280" i="3"/>
  <c r="AQ279" i="3"/>
  <c r="AQ278" i="3"/>
  <c r="AQ277" i="3"/>
  <c r="AQ276" i="3"/>
  <c r="AQ275" i="3"/>
  <c r="AQ274" i="3"/>
  <c r="AQ273" i="3"/>
  <c r="AQ272" i="3"/>
  <c r="AQ271" i="3"/>
  <c r="AQ270" i="3"/>
  <c r="AQ269" i="3"/>
  <c r="AQ268" i="3"/>
  <c r="AQ267" i="3"/>
  <c r="AQ266" i="3"/>
  <c r="AQ265" i="3"/>
  <c r="AQ264" i="3"/>
  <c r="AQ263" i="3"/>
  <c r="AQ262" i="3"/>
  <c r="AQ261" i="3"/>
  <c r="AQ260" i="3"/>
  <c r="AQ259" i="3"/>
  <c r="AQ258" i="3"/>
  <c r="AQ257" i="3"/>
  <c r="AQ256" i="3"/>
  <c r="AQ255" i="3"/>
  <c r="AQ254" i="3"/>
  <c r="AQ253" i="3"/>
  <c r="AQ252" i="3"/>
  <c r="AQ251" i="3"/>
  <c r="AQ250" i="3"/>
  <c r="AQ249" i="3"/>
  <c r="AQ248" i="3"/>
  <c r="AQ247" i="3"/>
  <c r="AQ246" i="3"/>
  <c r="AQ245" i="3"/>
  <c r="AQ244" i="3"/>
  <c r="AQ243" i="3"/>
  <c r="AQ242" i="3"/>
  <c r="AQ241" i="3"/>
  <c r="AQ240" i="3"/>
  <c r="AQ239" i="3"/>
  <c r="AQ238" i="3"/>
  <c r="AQ237" i="3"/>
  <c r="AQ236" i="3"/>
  <c r="AQ235" i="3"/>
  <c r="AQ234" i="3"/>
  <c r="AQ233" i="3"/>
  <c r="AQ232" i="3"/>
  <c r="AQ231" i="3"/>
  <c r="AQ230" i="3"/>
  <c r="AQ229" i="3"/>
  <c r="AQ228" i="3"/>
  <c r="AQ227" i="3"/>
  <c r="AQ226" i="3"/>
  <c r="AQ225" i="3"/>
  <c r="AQ224" i="3"/>
  <c r="AQ223" i="3"/>
  <c r="AQ222" i="3"/>
  <c r="AQ221" i="3"/>
  <c r="AQ220" i="3"/>
  <c r="AQ219" i="3"/>
  <c r="AQ218" i="3"/>
  <c r="AQ217" i="3"/>
  <c r="AQ216" i="3"/>
  <c r="AQ215" i="3"/>
  <c r="AQ214" i="3"/>
  <c r="AQ213" i="3"/>
  <c r="AQ212" i="3"/>
  <c r="AQ211" i="3"/>
  <c r="AQ210" i="3"/>
  <c r="AQ209" i="3"/>
  <c r="AQ208" i="3"/>
  <c r="AQ207" i="3"/>
  <c r="AQ206" i="3"/>
  <c r="AQ205" i="3"/>
  <c r="AQ204" i="3"/>
  <c r="AQ203" i="3"/>
  <c r="AQ202" i="3"/>
  <c r="AQ201" i="3"/>
  <c r="AQ200" i="3"/>
  <c r="AQ199" i="3"/>
  <c r="AQ198" i="3"/>
  <c r="AQ197" i="3"/>
  <c r="AQ196" i="3"/>
  <c r="AQ195" i="3"/>
  <c r="AQ194" i="3"/>
  <c r="AQ193" i="3"/>
  <c r="AQ192" i="3"/>
  <c r="AQ191" i="3"/>
  <c r="AQ190" i="3"/>
  <c r="AQ189" i="3"/>
  <c r="AQ188" i="3"/>
  <c r="AQ187" i="3"/>
  <c r="AQ186" i="3"/>
  <c r="AQ185" i="3"/>
  <c r="AQ184" i="3"/>
  <c r="AQ183" i="3"/>
  <c r="AQ182" i="3"/>
  <c r="AQ181" i="3"/>
  <c r="AQ180" i="3"/>
  <c r="AQ179" i="3"/>
  <c r="AQ178" i="3"/>
  <c r="AQ177" i="3"/>
  <c r="AQ176" i="3"/>
  <c r="AQ175" i="3"/>
  <c r="AQ174" i="3"/>
  <c r="AQ173" i="3"/>
  <c r="AQ172" i="3"/>
  <c r="AQ171" i="3"/>
  <c r="AQ170" i="3"/>
  <c r="AQ169" i="3"/>
  <c r="AQ168" i="3"/>
  <c r="AQ167" i="3"/>
  <c r="AQ166" i="3"/>
  <c r="AQ165" i="3"/>
  <c r="AQ164" i="3"/>
  <c r="AQ163" i="3"/>
  <c r="AQ162" i="3"/>
  <c r="AQ161" i="3"/>
  <c r="AQ160" i="3"/>
  <c r="AQ159" i="3"/>
  <c r="AQ158" i="3"/>
  <c r="AQ157" i="3"/>
  <c r="AQ156" i="3"/>
  <c r="AQ155" i="3"/>
  <c r="AQ154" i="3"/>
  <c r="AQ153" i="3"/>
  <c r="AQ152" i="3"/>
  <c r="AQ151" i="3"/>
  <c r="AQ150" i="3"/>
  <c r="AQ149" i="3"/>
  <c r="AQ148" i="3"/>
  <c r="AQ147" i="3"/>
  <c r="AQ146" i="3"/>
  <c r="AQ145" i="3"/>
  <c r="AQ144" i="3"/>
  <c r="AQ143" i="3"/>
  <c r="AQ142" i="3"/>
  <c r="AQ141" i="3"/>
  <c r="AQ140" i="3"/>
  <c r="AQ139" i="3"/>
  <c r="AQ138" i="3"/>
  <c r="AQ137" i="3"/>
  <c r="AQ136" i="3"/>
  <c r="AQ135" i="3"/>
  <c r="AQ134" i="3"/>
  <c r="AQ133" i="3"/>
  <c r="AQ132" i="3"/>
  <c r="AQ131" i="3"/>
  <c r="AQ130" i="3"/>
  <c r="AQ129" i="3"/>
  <c r="AQ128" i="3"/>
  <c r="AQ127" i="3"/>
  <c r="AQ126" i="3"/>
  <c r="AQ125" i="3"/>
  <c r="AQ124" i="3"/>
  <c r="AQ123" i="3"/>
  <c r="AQ122" i="3"/>
  <c r="AQ121" i="3"/>
  <c r="AQ120" i="3"/>
  <c r="AQ119" i="3"/>
  <c r="AQ118" i="3"/>
  <c r="AQ117" i="3"/>
  <c r="AQ116" i="3"/>
  <c r="AQ115" i="3"/>
  <c r="AQ114" i="3"/>
  <c r="AQ113" i="3"/>
  <c r="AQ112" i="3"/>
  <c r="AQ111" i="3"/>
  <c r="AQ110" i="3"/>
  <c r="AQ109" i="3"/>
  <c r="AQ108" i="3"/>
  <c r="AQ107" i="3"/>
  <c r="AQ106" i="3"/>
  <c r="AQ105" i="3"/>
  <c r="AQ104" i="3"/>
  <c r="AQ103" i="3"/>
  <c r="AQ102" i="3"/>
  <c r="AQ101" i="3"/>
  <c r="AQ100" i="3"/>
  <c r="AQ99" i="3"/>
  <c r="AQ98" i="3"/>
  <c r="AQ97" i="3"/>
  <c r="AQ96" i="3"/>
  <c r="AQ95" i="3"/>
  <c r="AQ94" i="3"/>
  <c r="AQ93" i="3"/>
  <c r="AQ92" i="3"/>
  <c r="AQ91" i="3"/>
  <c r="AQ90" i="3"/>
  <c r="AQ89" i="3"/>
  <c r="AQ88" i="3"/>
  <c r="AQ87" i="3"/>
  <c r="AQ86" i="3"/>
  <c r="AQ85" i="3"/>
  <c r="AQ84" i="3"/>
  <c r="AQ83" i="3"/>
  <c r="AQ82" i="3"/>
  <c r="AQ81" i="3"/>
  <c r="AQ80" i="3"/>
  <c r="AQ79" i="3"/>
  <c r="AQ78" i="3"/>
  <c r="AQ77" i="3"/>
  <c r="AQ76" i="3"/>
  <c r="AQ75" i="3"/>
  <c r="AQ74" i="3"/>
  <c r="AQ73" i="3"/>
  <c r="AQ72" i="3"/>
  <c r="AQ71" i="3"/>
  <c r="AQ70" i="3"/>
  <c r="AQ69" i="3"/>
  <c r="AQ68" i="3"/>
  <c r="AQ67" i="3"/>
  <c r="AQ66" i="3"/>
  <c r="AQ65" i="3"/>
  <c r="AQ64" i="3"/>
  <c r="AQ63" i="3"/>
  <c r="AQ62" i="3"/>
  <c r="AQ61" i="3"/>
  <c r="AQ60" i="3"/>
  <c r="AQ59" i="3"/>
  <c r="AQ58" i="3"/>
  <c r="AQ57" i="3"/>
  <c r="AQ56" i="3"/>
  <c r="AQ55" i="3"/>
  <c r="AQ54" i="3"/>
  <c r="AQ53" i="3"/>
  <c r="AQ52" i="3"/>
  <c r="AQ51" i="3"/>
  <c r="AQ50" i="3"/>
  <c r="AQ49" i="3"/>
  <c r="AQ48" i="3"/>
  <c r="AQ47" i="3"/>
  <c r="AQ46" i="3"/>
  <c r="AQ45" i="3"/>
  <c r="AQ44" i="3"/>
  <c r="AQ43" i="3"/>
  <c r="AQ42" i="3"/>
  <c r="AQ41" i="3"/>
  <c r="AQ40" i="3"/>
  <c r="AQ39" i="3"/>
  <c r="AQ38" i="3"/>
  <c r="AQ37" i="3"/>
  <c r="AQ36" i="3"/>
  <c r="AQ35" i="3"/>
  <c r="AQ34" i="3"/>
  <c r="AQ33" i="3"/>
  <c r="AQ32" i="3"/>
  <c r="AQ31" i="3"/>
  <c r="AQ30" i="3"/>
  <c r="AQ29" i="3"/>
  <c r="AQ28" i="3"/>
  <c r="AQ27" i="3"/>
  <c r="AQ26" i="3"/>
  <c r="AQ25" i="3"/>
  <c r="AQ24" i="3"/>
  <c r="AQ23" i="3"/>
  <c r="AQ22" i="3"/>
  <c r="AQ21" i="3"/>
  <c r="AQ20" i="3"/>
  <c r="AQ19" i="3"/>
  <c r="AQ18" i="3"/>
  <c r="AQ17" i="3"/>
  <c r="AQ16" i="3"/>
  <c r="AQ15" i="3"/>
  <c r="AQ14" i="3"/>
  <c r="AQ13" i="3"/>
  <c r="AQ12" i="3"/>
  <c r="AQ11" i="3"/>
  <c r="AQ10" i="3"/>
  <c r="AQ9" i="3"/>
  <c r="AQ8" i="3"/>
  <c r="AQ7" i="3"/>
  <c r="AQ6" i="3"/>
  <c r="AQ5" i="3"/>
  <c r="AQ4" i="3"/>
  <c r="AP354" i="3"/>
  <c r="AP353" i="3"/>
  <c r="AP352" i="3"/>
  <c r="AP351" i="3"/>
  <c r="AP350" i="3"/>
  <c r="AP349" i="3"/>
  <c r="AP348" i="3"/>
  <c r="AP347" i="3"/>
  <c r="AP346" i="3"/>
  <c r="AP345" i="3"/>
  <c r="AP344" i="3"/>
  <c r="AP343" i="3"/>
  <c r="AP342" i="3"/>
  <c r="AP341" i="3"/>
  <c r="AP340" i="3"/>
  <c r="AP339" i="3"/>
  <c r="AP338" i="3"/>
  <c r="AP337" i="3"/>
  <c r="AP336" i="3"/>
  <c r="AP335" i="3"/>
  <c r="AP334" i="3"/>
  <c r="AP333" i="3"/>
  <c r="AP332" i="3"/>
  <c r="AP331" i="3"/>
  <c r="AP330" i="3"/>
  <c r="AP329" i="3"/>
  <c r="AP328" i="3"/>
  <c r="AP327" i="3"/>
  <c r="AP326" i="3"/>
  <c r="AP325" i="3"/>
  <c r="AP324" i="3"/>
  <c r="AP323" i="3"/>
  <c r="AP322" i="3"/>
  <c r="AP321" i="3"/>
  <c r="AP320" i="3"/>
  <c r="AP319" i="3"/>
  <c r="AP318" i="3"/>
  <c r="AP317" i="3"/>
  <c r="AP316" i="3"/>
  <c r="AP315" i="3"/>
  <c r="AP314" i="3"/>
  <c r="AP313" i="3"/>
  <c r="AP312" i="3"/>
  <c r="AP311" i="3"/>
  <c r="AP310" i="3"/>
  <c r="AP309" i="3"/>
  <c r="AP308" i="3"/>
  <c r="AP307" i="3"/>
  <c r="AP306" i="3"/>
  <c r="AP305" i="3"/>
  <c r="AP304" i="3"/>
  <c r="AP303" i="3"/>
  <c r="AP302" i="3"/>
  <c r="AP301" i="3"/>
  <c r="AP300" i="3"/>
  <c r="AP299" i="3"/>
  <c r="AP298" i="3"/>
  <c r="AP297" i="3"/>
  <c r="AP296" i="3"/>
  <c r="AP295" i="3"/>
  <c r="AP294" i="3"/>
  <c r="AP293" i="3"/>
  <c r="AP292" i="3"/>
  <c r="AP291" i="3"/>
  <c r="AP290" i="3"/>
  <c r="AP289" i="3"/>
  <c r="AP288" i="3"/>
  <c r="AP287" i="3"/>
  <c r="AP286" i="3"/>
  <c r="AP285" i="3"/>
  <c r="AP284" i="3"/>
  <c r="AP283" i="3"/>
  <c r="AP282" i="3"/>
  <c r="AP281" i="3"/>
  <c r="AP280" i="3"/>
  <c r="AP279" i="3"/>
  <c r="AP278" i="3"/>
  <c r="AP277" i="3"/>
  <c r="AP276" i="3"/>
  <c r="AP275" i="3"/>
  <c r="AP274" i="3"/>
  <c r="AP273" i="3"/>
  <c r="AP272" i="3"/>
  <c r="AP271" i="3"/>
  <c r="AP270" i="3"/>
  <c r="AP269" i="3"/>
  <c r="AP268" i="3"/>
  <c r="AP267" i="3"/>
  <c r="AP266" i="3"/>
  <c r="AP265" i="3"/>
  <c r="AP264" i="3"/>
  <c r="AP263" i="3"/>
  <c r="AP262" i="3"/>
  <c r="AP261" i="3"/>
  <c r="AP260" i="3"/>
  <c r="AP259" i="3"/>
  <c r="AP258" i="3"/>
  <c r="AP257" i="3"/>
  <c r="AP256" i="3"/>
  <c r="AP255" i="3"/>
  <c r="AP254" i="3"/>
  <c r="AP253" i="3"/>
  <c r="AP252" i="3"/>
  <c r="AP251" i="3"/>
  <c r="AP250" i="3"/>
  <c r="AP249" i="3"/>
  <c r="AP248" i="3"/>
  <c r="AP247" i="3"/>
  <c r="AP246" i="3"/>
  <c r="AP245" i="3"/>
  <c r="AP244" i="3"/>
  <c r="AP243" i="3"/>
  <c r="AP242" i="3"/>
  <c r="AP241" i="3"/>
  <c r="AP240" i="3"/>
  <c r="AP239" i="3"/>
  <c r="AP238" i="3"/>
  <c r="AP237" i="3"/>
  <c r="AP236" i="3"/>
  <c r="AP235" i="3"/>
  <c r="AP234" i="3"/>
  <c r="AP233" i="3"/>
  <c r="AP232" i="3"/>
  <c r="AP231" i="3"/>
  <c r="AP230" i="3"/>
  <c r="AP229" i="3"/>
  <c r="AP228" i="3"/>
  <c r="AP227" i="3"/>
  <c r="AP226" i="3"/>
  <c r="AP225" i="3"/>
  <c r="AP224" i="3"/>
  <c r="AP223" i="3"/>
  <c r="AP222" i="3"/>
  <c r="AP221" i="3"/>
  <c r="AP220" i="3"/>
  <c r="AP219" i="3"/>
  <c r="AP218" i="3"/>
  <c r="AP217" i="3"/>
  <c r="AP216" i="3"/>
  <c r="AP215" i="3"/>
  <c r="AP214" i="3"/>
  <c r="AP213" i="3"/>
  <c r="AP212" i="3"/>
  <c r="AP211" i="3"/>
  <c r="AP210" i="3"/>
  <c r="AP209" i="3"/>
  <c r="AP208" i="3"/>
  <c r="AP207" i="3"/>
  <c r="AP206" i="3"/>
  <c r="AP205" i="3"/>
  <c r="AP204" i="3"/>
  <c r="AP203" i="3"/>
  <c r="AP202" i="3"/>
  <c r="AP201" i="3"/>
  <c r="AP200" i="3"/>
  <c r="AP199" i="3"/>
  <c r="AP198" i="3"/>
  <c r="AP197" i="3"/>
  <c r="AP196" i="3"/>
  <c r="AP195" i="3"/>
  <c r="AP194" i="3"/>
  <c r="AP193" i="3"/>
  <c r="AP192" i="3"/>
  <c r="AP191" i="3"/>
  <c r="AP190" i="3"/>
  <c r="AP189" i="3"/>
  <c r="AP188" i="3"/>
  <c r="AP187" i="3"/>
  <c r="AP186" i="3"/>
  <c r="AP185" i="3"/>
  <c r="AP184" i="3"/>
  <c r="AP183" i="3"/>
  <c r="AP182" i="3"/>
  <c r="AP181" i="3"/>
  <c r="AP180" i="3"/>
  <c r="AP179" i="3"/>
  <c r="AP178" i="3"/>
  <c r="AP177" i="3"/>
  <c r="AP176" i="3"/>
  <c r="AP175" i="3"/>
  <c r="AP174" i="3"/>
  <c r="AP173" i="3"/>
  <c r="AP172" i="3"/>
  <c r="AP171" i="3"/>
  <c r="AP170" i="3"/>
  <c r="AP169" i="3"/>
  <c r="AP168" i="3"/>
  <c r="AP167" i="3"/>
  <c r="AP166" i="3"/>
  <c r="AP165" i="3"/>
  <c r="AP164" i="3"/>
  <c r="AP163" i="3"/>
  <c r="AP162" i="3"/>
  <c r="AP161" i="3"/>
  <c r="AP160" i="3"/>
  <c r="AP159" i="3"/>
  <c r="AP158" i="3"/>
  <c r="AP157" i="3"/>
  <c r="AP156" i="3"/>
  <c r="AP155" i="3"/>
  <c r="AP154" i="3"/>
  <c r="AP153" i="3"/>
  <c r="AP152" i="3"/>
  <c r="AP151" i="3"/>
  <c r="AP150" i="3"/>
  <c r="AP149" i="3"/>
  <c r="AP148" i="3"/>
  <c r="AP147" i="3"/>
  <c r="AP146" i="3"/>
  <c r="AP145" i="3"/>
  <c r="AP144" i="3"/>
  <c r="AP143" i="3"/>
  <c r="AP142" i="3"/>
  <c r="AP141" i="3"/>
  <c r="AP140" i="3"/>
  <c r="AP139" i="3"/>
  <c r="AP138" i="3"/>
  <c r="AP137" i="3"/>
  <c r="AP136" i="3"/>
  <c r="AP135" i="3"/>
  <c r="AP134" i="3"/>
  <c r="AP133" i="3"/>
  <c r="AP132" i="3"/>
  <c r="AP131" i="3"/>
  <c r="AP130" i="3"/>
  <c r="AP129" i="3"/>
  <c r="AP128" i="3"/>
  <c r="AP127" i="3"/>
  <c r="AP126" i="3"/>
  <c r="AP125" i="3"/>
  <c r="AP124" i="3"/>
  <c r="AP123" i="3"/>
  <c r="AP122" i="3"/>
  <c r="AP121" i="3"/>
  <c r="AP120" i="3"/>
  <c r="AP119" i="3"/>
  <c r="AP118" i="3"/>
  <c r="AP117" i="3"/>
  <c r="AP116" i="3"/>
  <c r="AP115" i="3"/>
  <c r="AP114" i="3"/>
  <c r="AP113" i="3"/>
  <c r="AP112" i="3"/>
  <c r="AP111" i="3"/>
  <c r="AP110" i="3"/>
  <c r="AP109" i="3"/>
  <c r="AP108" i="3"/>
  <c r="AP107" i="3"/>
  <c r="AP106" i="3"/>
  <c r="AP105" i="3"/>
  <c r="AP104" i="3"/>
  <c r="AP103" i="3"/>
  <c r="AP102" i="3"/>
  <c r="AP101" i="3"/>
  <c r="AP100" i="3"/>
  <c r="AP99" i="3"/>
  <c r="AP98" i="3"/>
  <c r="AP97" i="3"/>
  <c r="AP96" i="3"/>
  <c r="AP95" i="3"/>
  <c r="AP94" i="3"/>
  <c r="AP93" i="3"/>
  <c r="AP92" i="3"/>
  <c r="AP91" i="3"/>
  <c r="AP90" i="3"/>
  <c r="AP89" i="3"/>
  <c r="AP88" i="3"/>
  <c r="AP87" i="3"/>
  <c r="AP86" i="3"/>
  <c r="AP85" i="3"/>
  <c r="AP84" i="3"/>
  <c r="AP83" i="3"/>
  <c r="AP82" i="3"/>
  <c r="AP81" i="3"/>
  <c r="AP80" i="3"/>
  <c r="AP79" i="3"/>
  <c r="AP78" i="3"/>
  <c r="AP77" i="3"/>
  <c r="AP76" i="3"/>
  <c r="AP75" i="3"/>
  <c r="AP74" i="3"/>
  <c r="AP73" i="3"/>
  <c r="AP72" i="3"/>
  <c r="AP71" i="3"/>
  <c r="AP70" i="3"/>
  <c r="AP69" i="3"/>
  <c r="AP68" i="3"/>
  <c r="AP67" i="3"/>
  <c r="AP66" i="3"/>
  <c r="AP65" i="3"/>
  <c r="AP64" i="3"/>
  <c r="AP63" i="3"/>
  <c r="AP62" i="3"/>
  <c r="AP61" i="3"/>
  <c r="AP60" i="3"/>
  <c r="AP59" i="3"/>
  <c r="AP58" i="3"/>
  <c r="AP57" i="3"/>
  <c r="AP56" i="3"/>
  <c r="AP55" i="3"/>
  <c r="AP54" i="3"/>
  <c r="AP53" i="3"/>
  <c r="AP52" i="3"/>
  <c r="AP51" i="3"/>
  <c r="AP50" i="3"/>
  <c r="AP49" i="3"/>
  <c r="AP48" i="3"/>
  <c r="AP47" i="3"/>
  <c r="AP46" i="3"/>
  <c r="AP45" i="3"/>
  <c r="AP44" i="3"/>
  <c r="AP43" i="3"/>
  <c r="AP42" i="3"/>
  <c r="AP41" i="3"/>
  <c r="AP40" i="3"/>
  <c r="AP39" i="3"/>
  <c r="AP38" i="3"/>
  <c r="AP37" i="3"/>
  <c r="AP36" i="3"/>
  <c r="AP35" i="3"/>
  <c r="AP34" i="3"/>
  <c r="AP33" i="3"/>
  <c r="AP32" i="3"/>
  <c r="AP31" i="3"/>
  <c r="AP30" i="3"/>
  <c r="AP29" i="3"/>
  <c r="AP28" i="3"/>
  <c r="AP27" i="3"/>
  <c r="AP26" i="3"/>
  <c r="AP25" i="3"/>
  <c r="AP24" i="3"/>
  <c r="AP23" i="3"/>
  <c r="AP22" i="3"/>
  <c r="AP21" i="3"/>
  <c r="AP20" i="3"/>
  <c r="AP19" i="3"/>
  <c r="AP18" i="3"/>
  <c r="AP17" i="3"/>
  <c r="AP16" i="3"/>
  <c r="AP15" i="3"/>
  <c r="AP14" i="3"/>
  <c r="AP13" i="3"/>
  <c r="AP12" i="3"/>
  <c r="AP11" i="3"/>
  <c r="AP10" i="3"/>
  <c r="AP9" i="3"/>
  <c r="AP8" i="3"/>
  <c r="AP7" i="3"/>
  <c r="AP6" i="3"/>
  <c r="AP5" i="3"/>
  <c r="AP4" i="3"/>
  <c r="AO354" i="3"/>
  <c r="AO353" i="3"/>
  <c r="AO352" i="3"/>
  <c r="AO351" i="3"/>
  <c r="AO350" i="3"/>
  <c r="AO349" i="3"/>
  <c r="AO348" i="3"/>
  <c r="AO347" i="3"/>
  <c r="AO346" i="3"/>
  <c r="AO345" i="3"/>
  <c r="AO344" i="3"/>
  <c r="AO343" i="3"/>
  <c r="AO342" i="3"/>
  <c r="AO341" i="3"/>
  <c r="AO340" i="3"/>
  <c r="AO339" i="3"/>
  <c r="AO338" i="3"/>
  <c r="AO337" i="3"/>
  <c r="AO336" i="3"/>
  <c r="AO335" i="3"/>
  <c r="AO334" i="3"/>
  <c r="AO333" i="3"/>
  <c r="AO332" i="3"/>
  <c r="AO331" i="3"/>
  <c r="AO330" i="3"/>
  <c r="AO329" i="3"/>
  <c r="AO328" i="3"/>
  <c r="AO327" i="3"/>
  <c r="AO326" i="3"/>
  <c r="AO325" i="3"/>
  <c r="AO324" i="3"/>
  <c r="AO323" i="3"/>
  <c r="AO322" i="3"/>
  <c r="AO321" i="3"/>
  <c r="AO320" i="3"/>
  <c r="AO319" i="3"/>
  <c r="AO318" i="3"/>
  <c r="AO317" i="3"/>
  <c r="AO316" i="3"/>
  <c r="AO315" i="3"/>
  <c r="AO314" i="3"/>
  <c r="AO313" i="3"/>
  <c r="AO312" i="3"/>
  <c r="AO311" i="3"/>
  <c r="AO310" i="3"/>
  <c r="AO309" i="3"/>
  <c r="AO308" i="3"/>
  <c r="AO307" i="3"/>
  <c r="AO306" i="3"/>
  <c r="AO305" i="3"/>
  <c r="AO304" i="3"/>
  <c r="AO303" i="3"/>
  <c r="AO302" i="3"/>
  <c r="AO301" i="3"/>
  <c r="AO300" i="3"/>
  <c r="AO299" i="3"/>
  <c r="AO298" i="3"/>
  <c r="AO297" i="3"/>
  <c r="AO296" i="3"/>
  <c r="AO295" i="3"/>
  <c r="AO294" i="3"/>
  <c r="AO293" i="3"/>
  <c r="AO292" i="3"/>
  <c r="AO291" i="3"/>
  <c r="AO290" i="3"/>
  <c r="AO289" i="3"/>
  <c r="AO288" i="3"/>
  <c r="AO287" i="3"/>
  <c r="AO286" i="3"/>
  <c r="AO285" i="3"/>
  <c r="AO284" i="3"/>
  <c r="AO283" i="3"/>
  <c r="AO282" i="3"/>
  <c r="AO281" i="3"/>
  <c r="AO280" i="3"/>
  <c r="AO279" i="3"/>
  <c r="AO278" i="3"/>
  <c r="AO277" i="3"/>
  <c r="AO276" i="3"/>
  <c r="AO275" i="3"/>
  <c r="AO274" i="3"/>
  <c r="AO273" i="3"/>
  <c r="AO272" i="3"/>
  <c r="AO271" i="3"/>
  <c r="AO270" i="3"/>
  <c r="AO269" i="3"/>
  <c r="AO268" i="3"/>
  <c r="AO267" i="3"/>
  <c r="AO266" i="3"/>
  <c r="AO265" i="3"/>
  <c r="AO264" i="3"/>
  <c r="AO263" i="3"/>
  <c r="AO262" i="3"/>
  <c r="AO261" i="3"/>
  <c r="AO260" i="3"/>
  <c r="AO259" i="3"/>
  <c r="AO258" i="3"/>
  <c r="AO257" i="3"/>
  <c r="AO256" i="3"/>
  <c r="AO255" i="3"/>
  <c r="AO254" i="3"/>
  <c r="AO253" i="3"/>
  <c r="AO252" i="3"/>
  <c r="AO251" i="3"/>
  <c r="AO250" i="3"/>
  <c r="AO249" i="3"/>
  <c r="AO248" i="3"/>
  <c r="AO247" i="3"/>
  <c r="AO246" i="3"/>
  <c r="AO245" i="3"/>
  <c r="AO244" i="3"/>
  <c r="AO243" i="3"/>
  <c r="AO242" i="3"/>
  <c r="AO241" i="3"/>
  <c r="AO240" i="3"/>
  <c r="AO239" i="3"/>
  <c r="AO238" i="3"/>
  <c r="AO237" i="3"/>
  <c r="AO236" i="3"/>
  <c r="AO235" i="3"/>
  <c r="AO234" i="3"/>
  <c r="AO233" i="3"/>
  <c r="AO232" i="3"/>
  <c r="AO231" i="3"/>
  <c r="AO230" i="3"/>
  <c r="AO229" i="3"/>
  <c r="AO228" i="3"/>
  <c r="AO227" i="3"/>
  <c r="AO226" i="3"/>
  <c r="AO225" i="3"/>
  <c r="AO224" i="3"/>
  <c r="AO223" i="3"/>
  <c r="AO222" i="3"/>
  <c r="AO221" i="3"/>
  <c r="AO220" i="3"/>
  <c r="AO219" i="3"/>
  <c r="AO218" i="3"/>
  <c r="AO217" i="3"/>
  <c r="AO216" i="3"/>
  <c r="AO215" i="3"/>
  <c r="AO214" i="3"/>
  <c r="AO213" i="3"/>
  <c r="AO212" i="3"/>
  <c r="AO211" i="3"/>
  <c r="AO210" i="3"/>
  <c r="AO209" i="3"/>
  <c r="AO208" i="3"/>
  <c r="AO207" i="3"/>
  <c r="AO206" i="3"/>
  <c r="AO205" i="3"/>
  <c r="AO204" i="3"/>
  <c r="AO203" i="3"/>
  <c r="AO202" i="3"/>
  <c r="AO201" i="3"/>
  <c r="AO200" i="3"/>
  <c r="AO199" i="3"/>
  <c r="AO198" i="3"/>
  <c r="AO197" i="3"/>
  <c r="AO196" i="3"/>
  <c r="AO195" i="3"/>
  <c r="AO194" i="3"/>
  <c r="AO193" i="3"/>
  <c r="AO192" i="3"/>
  <c r="AO191" i="3"/>
  <c r="AO190" i="3"/>
  <c r="AO189" i="3"/>
  <c r="AO188" i="3"/>
  <c r="AO187" i="3"/>
  <c r="AO186" i="3"/>
  <c r="AO185" i="3"/>
  <c r="AO184" i="3"/>
  <c r="AO183" i="3"/>
  <c r="AO182" i="3"/>
  <c r="AO181" i="3"/>
  <c r="AO180" i="3"/>
  <c r="AO179" i="3"/>
  <c r="AO178" i="3"/>
  <c r="AO177" i="3"/>
  <c r="AO176" i="3"/>
  <c r="AO175" i="3"/>
  <c r="AO174" i="3"/>
  <c r="AO173" i="3"/>
  <c r="AO172" i="3"/>
  <c r="AO171" i="3"/>
  <c r="AO170" i="3"/>
  <c r="AO169" i="3"/>
  <c r="AO168" i="3"/>
  <c r="AO167" i="3"/>
  <c r="AO166" i="3"/>
  <c r="AO165" i="3"/>
  <c r="AO164" i="3"/>
  <c r="AO163" i="3"/>
  <c r="AO162" i="3"/>
  <c r="AO161" i="3"/>
  <c r="AO160" i="3"/>
  <c r="AO159" i="3"/>
  <c r="AO158" i="3"/>
  <c r="AO157" i="3"/>
  <c r="AO156" i="3"/>
  <c r="AO155" i="3"/>
  <c r="AO154" i="3"/>
  <c r="AO153" i="3"/>
  <c r="AO152" i="3"/>
  <c r="AO151" i="3"/>
  <c r="AO150" i="3"/>
  <c r="AO149" i="3"/>
  <c r="AO148" i="3"/>
  <c r="AO147" i="3"/>
  <c r="AO146" i="3"/>
  <c r="AO145" i="3"/>
  <c r="AO144" i="3"/>
  <c r="AO143" i="3"/>
  <c r="AO142" i="3"/>
  <c r="AO141" i="3"/>
  <c r="AO140" i="3"/>
  <c r="AO139" i="3"/>
  <c r="AO138" i="3"/>
  <c r="AO137" i="3"/>
  <c r="AO136" i="3"/>
  <c r="AO135" i="3"/>
  <c r="AO134" i="3"/>
  <c r="AO133" i="3"/>
  <c r="AO132" i="3"/>
  <c r="AO131" i="3"/>
  <c r="AO130" i="3"/>
  <c r="AO129" i="3"/>
  <c r="AO128" i="3"/>
  <c r="AO127" i="3"/>
  <c r="AO126" i="3"/>
  <c r="AO125" i="3"/>
  <c r="AO124" i="3"/>
  <c r="AO123" i="3"/>
  <c r="AO122" i="3"/>
  <c r="AO121" i="3"/>
  <c r="AO120" i="3"/>
  <c r="AO119" i="3"/>
  <c r="AO118" i="3"/>
  <c r="AO117" i="3"/>
  <c r="AO116" i="3"/>
  <c r="AO115" i="3"/>
  <c r="AO114" i="3"/>
  <c r="AO113" i="3"/>
  <c r="AO112" i="3"/>
  <c r="AO111" i="3"/>
  <c r="AO110" i="3"/>
  <c r="AO109" i="3"/>
  <c r="AO108" i="3"/>
  <c r="AO107" i="3"/>
  <c r="AO106" i="3"/>
  <c r="AO105" i="3"/>
  <c r="AO104" i="3"/>
  <c r="AO103" i="3"/>
  <c r="AO102" i="3"/>
  <c r="AO101" i="3"/>
  <c r="AO100" i="3"/>
  <c r="AO99" i="3"/>
  <c r="AO98" i="3"/>
  <c r="AO97" i="3"/>
  <c r="AO96" i="3"/>
  <c r="AO95" i="3"/>
  <c r="AO94" i="3"/>
  <c r="AO93" i="3"/>
  <c r="AO92" i="3"/>
  <c r="AO91" i="3"/>
  <c r="AO90" i="3"/>
  <c r="AO89" i="3"/>
  <c r="AO88" i="3"/>
  <c r="AO87" i="3"/>
  <c r="AO86" i="3"/>
  <c r="AO85" i="3"/>
  <c r="AO84" i="3"/>
  <c r="AO83" i="3"/>
  <c r="AO82" i="3"/>
  <c r="AO81" i="3"/>
  <c r="AO80" i="3"/>
  <c r="AO79" i="3"/>
  <c r="AO78" i="3"/>
  <c r="AO77" i="3"/>
  <c r="AO76" i="3"/>
  <c r="AO75" i="3"/>
  <c r="AO74" i="3"/>
  <c r="AO73" i="3"/>
  <c r="AO72" i="3"/>
  <c r="AO71" i="3"/>
  <c r="AO70" i="3"/>
  <c r="AO69" i="3"/>
  <c r="AO68" i="3"/>
  <c r="AO67" i="3"/>
  <c r="AO66" i="3"/>
  <c r="AO65" i="3"/>
  <c r="AO64" i="3"/>
  <c r="AO63" i="3"/>
  <c r="AO62" i="3"/>
  <c r="AO61" i="3"/>
  <c r="AO60" i="3"/>
  <c r="AO59" i="3"/>
  <c r="AO58" i="3"/>
  <c r="AO57" i="3"/>
  <c r="AO56" i="3"/>
  <c r="AO55" i="3"/>
  <c r="AO54" i="3"/>
  <c r="AO53" i="3"/>
  <c r="AO52" i="3"/>
  <c r="AO51" i="3"/>
  <c r="AO50" i="3"/>
  <c r="AO49" i="3"/>
  <c r="AO48" i="3"/>
  <c r="AO47" i="3"/>
  <c r="AO46" i="3"/>
  <c r="AO45" i="3"/>
  <c r="AO44" i="3"/>
  <c r="AO43" i="3"/>
  <c r="AO42" i="3"/>
  <c r="AO41" i="3"/>
  <c r="AO40" i="3"/>
  <c r="AO39" i="3"/>
  <c r="AO38" i="3"/>
  <c r="AO37" i="3"/>
  <c r="AO36" i="3"/>
  <c r="AO35" i="3"/>
  <c r="AO34" i="3"/>
  <c r="AO33" i="3"/>
  <c r="AO32" i="3"/>
  <c r="AO31" i="3"/>
  <c r="AO30" i="3"/>
  <c r="AO29" i="3"/>
  <c r="AO28" i="3"/>
  <c r="AO27" i="3"/>
  <c r="AO26" i="3"/>
  <c r="AO25" i="3"/>
  <c r="AO24" i="3"/>
  <c r="AO23" i="3"/>
  <c r="AO22" i="3"/>
  <c r="AO21" i="3"/>
  <c r="AO20" i="3"/>
  <c r="AO19" i="3"/>
  <c r="AO18" i="3"/>
  <c r="AO17" i="3"/>
  <c r="AO16" i="3"/>
  <c r="AO15" i="3"/>
  <c r="AO14" i="3"/>
  <c r="AO13" i="3"/>
  <c r="AO12" i="3"/>
  <c r="AO11" i="3"/>
  <c r="AO10" i="3"/>
  <c r="AO9" i="3"/>
  <c r="AO8" i="3"/>
  <c r="AO7" i="3"/>
  <c r="AO6" i="3"/>
  <c r="AO5" i="3"/>
  <c r="AO4" i="3"/>
  <c r="V354" i="3"/>
  <c r="V353" i="3"/>
  <c r="V352" i="3"/>
  <c r="V351" i="3"/>
  <c r="V350" i="3"/>
  <c r="V349" i="3"/>
  <c r="V348" i="3"/>
  <c r="V347" i="3"/>
  <c r="V346" i="3"/>
  <c r="V345" i="3"/>
  <c r="V344" i="3"/>
  <c r="V343" i="3"/>
  <c r="V342" i="3"/>
  <c r="V341" i="3"/>
  <c r="V340" i="3"/>
  <c r="V339" i="3"/>
  <c r="V338" i="3"/>
  <c r="V337" i="3"/>
  <c r="V336" i="3"/>
  <c r="V335" i="3"/>
  <c r="V334" i="3"/>
  <c r="V333" i="3"/>
  <c r="V332" i="3"/>
  <c r="V331" i="3"/>
  <c r="V330" i="3"/>
  <c r="V329" i="3"/>
  <c r="V328" i="3"/>
  <c r="V327" i="3"/>
  <c r="V326" i="3"/>
  <c r="V325" i="3"/>
  <c r="V324" i="3"/>
  <c r="V323" i="3"/>
  <c r="V322" i="3"/>
  <c r="V321" i="3"/>
  <c r="V320" i="3"/>
  <c r="V319" i="3"/>
  <c r="V318" i="3"/>
  <c r="V317" i="3"/>
  <c r="V316" i="3"/>
  <c r="V315" i="3"/>
  <c r="V314" i="3"/>
  <c r="V313" i="3"/>
  <c r="V312" i="3"/>
  <c r="V311" i="3"/>
  <c r="V310" i="3"/>
  <c r="V309" i="3"/>
  <c r="V308" i="3"/>
  <c r="V307" i="3"/>
  <c r="V306" i="3"/>
  <c r="V305" i="3"/>
  <c r="V304" i="3"/>
  <c r="V303" i="3"/>
  <c r="V302" i="3"/>
  <c r="V301" i="3"/>
  <c r="V300" i="3"/>
  <c r="V299" i="3"/>
  <c r="V298" i="3"/>
  <c r="V297" i="3"/>
  <c r="V296" i="3"/>
  <c r="V295" i="3"/>
  <c r="V294" i="3"/>
  <c r="V293" i="3"/>
  <c r="V292" i="3"/>
  <c r="V291" i="3"/>
  <c r="V290" i="3"/>
  <c r="V289" i="3"/>
  <c r="V288" i="3"/>
  <c r="V287" i="3"/>
  <c r="V286" i="3"/>
  <c r="V285" i="3"/>
  <c r="V284" i="3"/>
  <c r="V283" i="3"/>
  <c r="V282" i="3"/>
  <c r="V281" i="3"/>
  <c r="V280" i="3"/>
  <c r="V279" i="3"/>
  <c r="V278" i="3"/>
  <c r="V277" i="3"/>
  <c r="V276" i="3"/>
  <c r="V275" i="3"/>
  <c r="V274" i="3"/>
  <c r="V273" i="3"/>
  <c r="V272" i="3"/>
  <c r="V271" i="3"/>
  <c r="V270" i="3"/>
  <c r="V269" i="3"/>
  <c r="V268" i="3"/>
  <c r="V267" i="3"/>
  <c r="V266" i="3"/>
  <c r="V265" i="3"/>
  <c r="V264" i="3"/>
  <c r="V263" i="3"/>
  <c r="V262" i="3"/>
  <c r="V261" i="3"/>
  <c r="V260" i="3"/>
  <c r="V259" i="3"/>
  <c r="V258" i="3"/>
  <c r="V257" i="3"/>
  <c r="V256" i="3"/>
  <c r="V255" i="3"/>
  <c r="V254" i="3"/>
  <c r="V253" i="3"/>
  <c r="V252" i="3"/>
  <c r="V251" i="3"/>
  <c r="V250" i="3"/>
  <c r="V249" i="3"/>
  <c r="V248" i="3"/>
  <c r="V247" i="3"/>
  <c r="V246" i="3"/>
  <c r="V245" i="3"/>
  <c r="V244" i="3"/>
  <c r="V243" i="3"/>
  <c r="V242" i="3"/>
  <c r="V241" i="3"/>
  <c r="V240" i="3"/>
  <c r="V239" i="3"/>
  <c r="V238" i="3"/>
  <c r="V237" i="3"/>
  <c r="V236" i="3"/>
  <c r="V235" i="3"/>
  <c r="V234" i="3"/>
  <c r="V233" i="3"/>
  <c r="V232" i="3"/>
  <c r="V231" i="3"/>
  <c r="V230" i="3"/>
  <c r="V229" i="3"/>
  <c r="V228" i="3"/>
  <c r="V227" i="3"/>
  <c r="V226" i="3"/>
  <c r="V225" i="3"/>
  <c r="V224" i="3"/>
  <c r="V223" i="3"/>
  <c r="V222" i="3"/>
  <c r="V221" i="3"/>
  <c r="V220" i="3"/>
  <c r="V219" i="3"/>
  <c r="V218" i="3"/>
  <c r="V217" i="3"/>
  <c r="V216" i="3"/>
  <c r="V215" i="3"/>
  <c r="V214" i="3"/>
  <c r="V213" i="3"/>
  <c r="V212" i="3"/>
  <c r="V211" i="3"/>
  <c r="V210" i="3"/>
  <c r="V209" i="3"/>
  <c r="V208" i="3"/>
  <c r="V207" i="3"/>
  <c r="V206" i="3"/>
  <c r="V205" i="3"/>
  <c r="V204" i="3"/>
  <c r="V203" i="3"/>
  <c r="V202" i="3"/>
  <c r="V201" i="3"/>
  <c r="V200" i="3"/>
  <c r="V199" i="3"/>
  <c r="V198" i="3"/>
  <c r="V197" i="3"/>
  <c r="V196" i="3"/>
  <c r="V195" i="3"/>
  <c r="V194" i="3"/>
  <c r="V193" i="3"/>
  <c r="V192" i="3"/>
  <c r="V191" i="3"/>
  <c r="V190" i="3"/>
  <c r="V189" i="3"/>
  <c r="V188" i="3"/>
  <c r="V187" i="3"/>
  <c r="V186" i="3"/>
  <c r="V185" i="3"/>
  <c r="V184" i="3"/>
  <c r="V183" i="3"/>
  <c r="V182" i="3"/>
  <c r="V181" i="3"/>
  <c r="V180" i="3"/>
  <c r="V179" i="3"/>
  <c r="V178" i="3"/>
  <c r="V177" i="3"/>
  <c r="V176" i="3"/>
  <c r="V175" i="3"/>
  <c r="V174" i="3"/>
  <c r="V173" i="3"/>
  <c r="V172" i="3"/>
  <c r="V171" i="3"/>
  <c r="V170" i="3"/>
  <c r="V169" i="3"/>
  <c r="V168" i="3"/>
  <c r="V167" i="3"/>
  <c r="V166" i="3"/>
  <c r="V165" i="3"/>
  <c r="V164" i="3"/>
  <c r="V163" i="3"/>
  <c r="V162" i="3"/>
  <c r="V161" i="3"/>
  <c r="V160" i="3"/>
  <c r="V159" i="3"/>
  <c r="V158" i="3"/>
  <c r="V157" i="3"/>
  <c r="V156" i="3"/>
  <c r="V155" i="3"/>
  <c r="V154" i="3"/>
  <c r="V153" i="3"/>
  <c r="V152" i="3"/>
  <c r="V151" i="3"/>
  <c r="V150" i="3"/>
  <c r="V149" i="3"/>
  <c r="V148" i="3"/>
  <c r="V147" i="3"/>
  <c r="V146" i="3"/>
  <c r="V145" i="3"/>
  <c r="V144" i="3"/>
  <c r="V143" i="3"/>
  <c r="V142" i="3"/>
  <c r="V141" i="3"/>
  <c r="V140" i="3"/>
  <c r="V139" i="3"/>
  <c r="V138" i="3"/>
  <c r="V137" i="3"/>
  <c r="V136" i="3"/>
  <c r="V135" i="3"/>
  <c r="V134" i="3"/>
  <c r="V133" i="3"/>
  <c r="V132" i="3"/>
  <c r="V131" i="3"/>
  <c r="V130" i="3"/>
  <c r="V129" i="3"/>
  <c r="V128" i="3"/>
  <c r="V127" i="3"/>
  <c r="V126" i="3"/>
  <c r="V125" i="3"/>
  <c r="V124" i="3"/>
  <c r="V123" i="3"/>
  <c r="V122" i="3"/>
  <c r="V121" i="3"/>
  <c r="V120" i="3"/>
  <c r="V119" i="3"/>
  <c r="V118" i="3"/>
  <c r="V117" i="3"/>
  <c r="V116" i="3"/>
  <c r="V115" i="3"/>
  <c r="V114" i="3"/>
  <c r="V113" i="3"/>
  <c r="V112" i="3"/>
  <c r="V111" i="3"/>
  <c r="V110" i="3"/>
  <c r="V109" i="3"/>
  <c r="V108" i="3"/>
  <c r="V107" i="3"/>
  <c r="V106" i="3"/>
  <c r="V105" i="3"/>
  <c r="V104" i="3"/>
  <c r="V103" i="3"/>
  <c r="V102" i="3"/>
  <c r="V101" i="3"/>
  <c r="V100" i="3"/>
  <c r="V99" i="3"/>
  <c r="V98" i="3"/>
  <c r="V97" i="3"/>
  <c r="V96" i="3"/>
  <c r="V95" i="3"/>
  <c r="V94" i="3"/>
  <c r="V93" i="3"/>
  <c r="V92" i="3"/>
  <c r="V91" i="3"/>
  <c r="V90" i="3"/>
  <c r="V89" i="3"/>
  <c r="V88" i="3"/>
  <c r="V87" i="3"/>
  <c r="V86" i="3"/>
  <c r="V85" i="3"/>
  <c r="V84" i="3"/>
  <c r="V83" i="3"/>
  <c r="V82" i="3"/>
  <c r="V81" i="3"/>
  <c r="V80" i="3"/>
  <c r="V79" i="3"/>
  <c r="V78" i="3"/>
  <c r="V77" i="3"/>
  <c r="V76" i="3"/>
  <c r="V75" i="3"/>
  <c r="V74" i="3"/>
  <c r="V73" i="3"/>
  <c r="V72" i="3"/>
  <c r="V71" i="3"/>
  <c r="V70" i="3"/>
  <c r="V69" i="3"/>
  <c r="V68" i="3"/>
  <c r="V67" i="3"/>
  <c r="V66" i="3"/>
  <c r="V65" i="3"/>
  <c r="V64" i="3"/>
  <c r="V63" i="3"/>
  <c r="V62" i="3"/>
  <c r="V61" i="3"/>
  <c r="V60" i="3"/>
  <c r="V59" i="3"/>
  <c r="V58" i="3"/>
  <c r="V57" i="3"/>
  <c r="V56" i="3"/>
  <c r="V55" i="3"/>
  <c r="V54" i="3"/>
  <c r="V53" i="3"/>
  <c r="V52" i="3"/>
  <c r="V51" i="3"/>
  <c r="V50" i="3"/>
  <c r="V49" i="3"/>
  <c r="V48" i="3"/>
  <c r="V47" i="3"/>
  <c r="V46" i="3"/>
  <c r="V45" i="3"/>
  <c r="V44" i="3"/>
  <c r="V43" i="3"/>
  <c r="V42" i="3"/>
  <c r="V41" i="3"/>
  <c r="V40" i="3"/>
  <c r="V39" i="3"/>
  <c r="V38" i="3"/>
  <c r="V37" i="3"/>
  <c r="V36" i="3"/>
  <c r="V35" i="3"/>
  <c r="V34" i="3"/>
  <c r="V33" i="3"/>
  <c r="V32" i="3"/>
  <c r="V31" i="3"/>
  <c r="V30" i="3"/>
  <c r="V29" i="3"/>
  <c r="V28" i="3"/>
  <c r="V27" i="3"/>
  <c r="V26" i="3"/>
  <c r="V25" i="3"/>
  <c r="V24" i="3"/>
  <c r="V23" i="3"/>
  <c r="V22" i="3"/>
  <c r="V21" i="3"/>
  <c r="V20" i="3"/>
  <c r="V19" i="3"/>
  <c r="V18" i="3"/>
  <c r="V17" i="3"/>
  <c r="V16" i="3"/>
  <c r="V15" i="3"/>
  <c r="V14" i="3"/>
  <c r="V13" i="3"/>
  <c r="V12" i="3"/>
  <c r="V11" i="3"/>
  <c r="V10" i="3"/>
  <c r="V9" i="3"/>
  <c r="V8" i="3"/>
  <c r="V7" i="3"/>
  <c r="V6" i="3"/>
  <c r="V5" i="3"/>
  <c r="V4" i="3"/>
  <c r="Q354" i="3"/>
  <c r="Q353" i="3"/>
  <c r="Q352" i="3"/>
  <c r="Q351" i="3"/>
  <c r="Q350" i="3"/>
  <c r="Q349" i="3"/>
  <c r="Q348" i="3"/>
  <c r="Q347" i="3"/>
  <c r="Q346" i="3"/>
  <c r="Q345" i="3"/>
  <c r="Q344" i="3"/>
  <c r="Q343" i="3"/>
  <c r="Q342" i="3"/>
  <c r="Q341" i="3"/>
  <c r="Q340" i="3"/>
  <c r="Q339" i="3"/>
  <c r="Q338" i="3"/>
  <c r="Q337" i="3"/>
  <c r="Q336" i="3"/>
  <c r="Q335" i="3"/>
  <c r="Q334" i="3"/>
  <c r="Q333" i="3"/>
  <c r="Q332" i="3"/>
  <c r="Q331" i="3"/>
  <c r="Q330" i="3"/>
  <c r="Q329" i="3"/>
  <c r="Q328" i="3"/>
  <c r="Q327" i="3"/>
  <c r="Q326" i="3"/>
  <c r="Q325" i="3"/>
  <c r="Q324" i="3"/>
  <c r="Q323" i="3"/>
  <c r="Q322" i="3"/>
  <c r="Q321" i="3"/>
  <c r="Q320" i="3"/>
  <c r="Q319" i="3"/>
  <c r="Q318" i="3"/>
  <c r="Q317" i="3"/>
  <c r="Q316" i="3"/>
  <c r="Q315" i="3"/>
  <c r="Q314" i="3"/>
  <c r="Q313" i="3"/>
  <c r="Q312" i="3"/>
  <c r="Q311" i="3"/>
  <c r="Q310" i="3"/>
  <c r="Q309" i="3"/>
  <c r="Q308" i="3"/>
  <c r="Q307" i="3"/>
  <c r="Q306" i="3"/>
  <c r="Q305" i="3"/>
  <c r="Q304" i="3"/>
  <c r="Q303" i="3"/>
  <c r="Q302" i="3"/>
  <c r="Q301" i="3"/>
  <c r="Q300" i="3"/>
  <c r="Q299" i="3"/>
  <c r="Q298" i="3"/>
  <c r="Q297" i="3"/>
  <c r="Q296" i="3"/>
  <c r="Q295" i="3"/>
  <c r="Q294" i="3"/>
  <c r="Q293" i="3"/>
  <c r="Q292" i="3"/>
  <c r="Q291" i="3"/>
  <c r="Q290" i="3"/>
  <c r="Q289" i="3"/>
  <c r="Q288" i="3"/>
  <c r="Q287" i="3"/>
  <c r="Q286" i="3"/>
  <c r="Q285" i="3"/>
  <c r="Q284" i="3"/>
  <c r="Q283" i="3"/>
  <c r="Q282" i="3"/>
  <c r="Q281" i="3"/>
  <c r="Q280" i="3"/>
  <c r="Q279" i="3"/>
  <c r="Q278" i="3"/>
  <c r="Q277" i="3"/>
  <c r="Q276" i="3"/>
  <c r="Q275" i="3"/>
  <c r="Q274" i="3"/>
  <c r="Q273" i="3"/>
  <c r="Q272" i="3"/>
  <c r="Q271" i="3"/>
  <c r="Q270" i="3"/>
  <c r="Q269" i="3"/>
  <c r="Q268" i="3"/>
  <c r="Q267" i="3"/>
  <c r="Q266" i="3"/>
  <c r="Q265" i="3"/>
  <c r="Q264" i="3"/>
  <c r="Q263" i="3"/>
  <c r="Q262" i="3"/>
  <c r="Q261" i="3"/>
  <c r="Q260" i="3"/>
  <c r="Q259" i="3"/>
  <c r="Q258" i="3"/>
  <c r="Q257" i="3"/>
  <c r="Q256" i="3"/>
  <c r="Q255" i="3"/>
  <c r="Q254" i="3"/>
  <c r="Q253" i="3"/>
  <c r="Q252" i="3"/>
  <c r="Q251" i="3"/>
  <c r="Q250" i="3"/>
  <c r="Q249" i="3"/>
  <c r="Q248" i="3"/>
  <c r="Q247" i="3"/>
  <c r="Q246" i="3"/>
  <c r="Q245" i="3"/>
  <c r="Q244" i="3"/>
  <c r="Q243" i="3"/>
  <c r="Q242" i="3"/>
  <c r="Q241" i="3"/>
  <c r="Q240" i="3"/>
  <c r="Q239" i="3"/>
  <c r="Q238" i="3"/>
  <c r="Q237" i="3"/>
  <c r="Q236" i="3"/>
  <c r="Q235" i="3"/>
  <c r="Q234" i="3"/>
  <c r="Q233" i="3"/>
  <c r="Q232" i="3"/>
  <c r="Q231" i="3"/>
  <c r="Q230" i="3"/>
  <c r="Q229" i="3"/>
  <c r="Q228" i="3"/>
  <c r="Q227" i="3"/>
  <c r="Q226" i="3"/>
  <c r="Q225" i="3"/>
  <c r="Q224" i="3"/>
  <c r="Q223" i="3"/>
  <c r="Q222" i="3"/>
  <c r="Q221" i="3"/>
  <c r="Q220" i="3"/>
  <c r="Q219" i="3"/>
  <c r="Q218" i="3"/>
  <c r="Q217" i="3"/>
  <c r="Q216" i="3"/>
  <c r="Q215" i="3"/>
  <c r="Q214" i="3"/>
  <c r="Q213" i="3"/>
  <c r="Q212" i="3"/>
  <c r="Q211" i="3"/>
  <c r="Q210" i="3"/>
  <c r="Q209" i="3"/>
  <c r="Q208" i="3"/>
  <c r="Q207" i="3"/>
  <c r="Q206" i="3"/>
  <c r="Q205" i="3"/>
  <c r="Q204" i="3"/>
  <c r="Q203" i="3"/>
  <c r="Q202" i="3"/>
  <c r="Q201" i="3"/>
  <c r="Q200" i="3"/>
  <c r="Q199" i="3"/>
  <c r="Q198" i="3"/>
  <c r="Q197" i="3"/>
  <c r="Q196" i="3"/>
  <c r="Q195" i="3"/>
  <c r="Q194" i="3"/>
  <c r="Q193" i="3"/>
  <c r="Q192" i="3"/>
  <c r="Q191" i="3"/>
  <c r="Q190" i="3"/>
  <c r="Q189" i="3"/>
  <c r="Q188" i="3"/>
  <c r="Q187" i="3"/>
  <c r="Q186" i="3"/>
  <c r="Q185" i="3"/>
  <c r="Q184" i="3"/>
  <c r="Q183" i="3"/>
  <c r="Q182" i="3"/>
  <c r="Q181" i="3"/>
  <c r="Q180" i="3"/>
  <c r="Q179" i="3"/>
  <c r="Q178" i="3"/>
  <c r="Q177" i="3"/>
  <c r="Q176" i="3"/>
  <c r="Q175" i="3"/>
  <c r="Q174" i="3"/>
  <c r="Q173" i="3"/>
  <c r="Q172" i="3"/>
  <c r="Q171" i="3"/>
  <c r="Q170" i="3"/>
  <c r="Q169" i="3"/>
  <c r="Q168" i="3"/>
  <c r="Q167" i="3"/>
  <c r="Q166" i="3"/>
  <c r="Q165" i="3"/>
  <c r="Q164" i="3"/>
  <c r="Q163" i="3"/>
  <c r="Q162" i="3"/>
  <c r="Q161" i="3"/>
  <c r="Q160" i="3"/>
  <c r="Q159" i="3"/>
  <c r="Q158" i="3"/>
  <c r="Q157" i="3"/>
  <c r="Q156" i="3"/>
  <c r="Q155" i="3"/>
  <c r="Q154" i="3"/>
  <c r="Q153" i="3"/>
  <c r="Q152" i="3"/>
  <c r="Q151" i="3"/>
  <c r="Q150" i="3"/>
  <c r="Q149" i="3"/>
  <c r="Q148" i="3"/>
  <c r="Q147" i="3"/>
  <c r="Q146" i="3"/>
  <c r="Q145" i="3"/>
  <c r="Q144" i="3"/>
  <c r="Q143" i="3"/>
  <c r="Q142" i="3"/>
  <c r="Q141" i="3"/>
  <c r="Q140" i="3"/>
  <c r="Q139" i="3"/>
  <c r="Q138" i="3"/>
  <c r="Q137" i="3"/>
  <c r="Q136" i="3"/>
  <c r="Q135" i="3"/>
  <c r="Q134" i="3"/>
  <c r="Q133" i="3"/>
  <c r="Q132" i="3"/>
  <c r="Q131" i="3"/>
  <c r="Q130" i="3"/>
  <c r="Q129" i="3"/>
  <c r="Q128" i="3"/>
  <c r="Q127" i="3"/>
  <c r="Q126" i="3"/>
  <c r="Q125" i="3"/>
  <c r="Q124" i="3"/>
  <c r="Q123" i="3"/>
  <c r="Q122" i="3"/>
  <c r="Q121" i="3"/>
  <c r="Q120" i="3"/>
  <c r="Q119" i="3"/>
  <c r="Q118" i="3"/>
  <c r="Q117" i="3"/>
  <c r="Q116" i="3"/>
  <c r="Q115" i="3"/>
  <c r="Q114" i="3"/>
  <c r="Q113" i="3"/>
  <c r="Q112" i="3"/>
  <c r="Q111" i="3"/>
  <c r="Q110" i="3"/>
  <c r="Q109" i="3"/>
  <c r="Q108" i="3"/>
  <c r="Q107" i="3"/>
  <c r="Q106" i="3"/>
  <c r="Q105" i="3"/>
  <c r="Q104" i="3"/>
  <c r="Q103" i="3"/>
  <c r="Q102" i="3"/>
  <c r="Q101" i="3"/>
  <c r="Q100" i="3"/>
  <c r="Q99" i="3"/>
  <c r="Q98" i="3"/>
  <c r="Q97" i="3"/>
  <c r="Q96" i="3"/>
  <c r="Q95" i="3"/>
  <c r="Q94" i="3"/>
  <c r="Q93" i="3"/>
  <c r="Q92" i="3"/>
  <c r="Q91" i="3"/>
  <c r="Q90" i="3"/>
  <c r="Q89" i="3"/>
  <c r="Q88" i="3"/>
  <c r="Q87" i="3"/>
  <c r="Q86" i="3"/>
  <c r="Q85" i="3"/>
  <c r="Q84" i="3"/>
  <c r="Q83" i="3"/>
  <c r="Q82" i="3"/>
  <c r="Q81" i="3"/>
  <c r="Q80" i="3"/>
  <c r="Q79" i="3"/>
  <c r="Q78" i="3"/>
  <c r="Q77" i="3"/>
  <c r="Q76" i="3"/>
  <c r="Q75" i="3"/>
  <c r="Q74" i="3"/>
  <c r="Q73" i="3"/>
  <c r="Q72" i="3"/>
  <c r="Q71" i="3"/>
  <c r="Q70" i="3"/>
  <c r="Q69" i="3"/>
  <c r="Q68" i="3"/>
  <c r="Q67" i="3"/>
  <c r="Q66" i="3"/>
  <c r="Q65" i="3"/>
  <c r="Q64" i="3"/>
  <c r="Q63" i="3"/>
  <c r="Q62" i="3"/>
  <c r="Q61" i="3"/>
  <c r="Q60" i="3"/>
  <c r="Q59" i="3"/>
  <c r="Q58" i="3"/>
  <c r="Q57" i="3"/>
  <c r="Q56" i="3"/>
  <c r="Q55" i="3"/>
  <c r="Q54" i="3"/>
  <c r="Q53" i="3"/>
  <c r="Q52" i="3"/>
  <c r="Q51" i="3"/>
  <c r="Q50" i="3"/>
  <c r="Q49" i="3"/>
  <c r="Q48" i="3"/>
  <c r="Q47" i="3"/>
  <c r="Q46" i="3"/>
  <c r="Q45" i="3"/>
  <c r="Q44" i="3"/>
  <c r="Q43" i="3"/>
  <c r="Q42" i="3"/>
  <c r="Q41" i="3"/>
  <c r="Q40" i="3"/>
  <c r="Q39" i="3"/>
  <c r="Q38" i="3"/>
  <c r="Q37" i="3"/>
  <c r="Q36" i="3"/>
  <c r="Q35" i="3"/>
  <c r="Q34" i="3"/>
  <c r="Q33" i="3"/>
  <c r="Q32" i="3"/>
  <c r="Q31" i="3"/>
  <c r="Q30" i="3"/>
  <c r="Q29" i="3"/>
  <c r="Q28" i="3"/>
  <c r="Q27" i="3"/>
  <c r="Q26" i="3"/>
  <c r="Q25" i="3"/>
  <c r="Q24" i="3"/>
  <c r="Q23" i="3"/>
  <c r="Q22" i="3"/>
  <c r="Q21" i="3"/>
  <c r="Q20" i="3"/>
  <c r="Q19" i="3"/>
  <c r="Q18" i="3"/>
  <c r="Q17" i="3"/>
  <c r="Q16" i="3"/>
  <c r="Q15" i="3"/>
  <c r="Q14" i="3"/>
  <c r="Q13" i="3"/>
  <c r="Q12" i="3"/>
  <c r="Q11" i="3"/>
  <c r="Q10" i="3"/>
  <c r="Q9" i="3"/>
  <c r="Q8" i="3"/>
  <c r="Q7" i="3"/>
  <c r="Q6" i="3"/>
  <c r="Q5" i="3"/>
  <c r="Q4" i="3"/>
  <c r="AT3" i="3"/>
  <c r="AS3" i="3"/>
  <c r="AR3" i="3"/>
  <c r="AQ3" i="3"/>
  <c r="AP3" i="3"/>
  <c r="AO3" i="3"/>
  <c r="Q3" i="3"/>
  <c r="AV3" i="3"/>
  <c r="V3" i="3"/>
  <c r="E6" i="40" l="1"/>
  <c r="I52" i="39"/>
  <c r="I51" i="39"/>
  <c r="I50" i="39"/>
  <c r="I49" i="39"/>
  <c r="I48" i="39"/>
  <c r="I47" i="39"/>
  <c r="I46" i="39"/>
  <c r="I45" i="39"/>
  <c r="I44" i="39"/>
  <c r="I43" i="39"/>
  <c r="I42" i="39"/>
  <c r="I41" i="39"/>
  <c r="I40" i="39"/>
  <c r="I39" i="39"/>
  <c r="I38" i="39"/>
  <c r="I37" i="39"/>
  <c r="I36" i="39"/>
  <c r="I35" i="39"/>
  <c r="I34" i="39"/>
  <c r="I33" i="39"/>
  <c r="I32" i="39"/>
  <c r="I31" i="39"/>
  <c r="I30" i="39"/>
  <c r="I29" i="39"/>
  <c r="I28" i="39"/>
  <c r="I27" i="39"/>
  <c r="I26" i="39"/>
  <c r="I25" i="39"/>
  <c r="I24" i="39"/>
  <c r="I23" i="39"/>
  <c r="I22" i="39"/>
  <c r="I21" i="39"/>
  <c r="I20" i="39"/>
  <c r="I19" i="39"/>
  <c r="I18" i="39"/>
  <c r="I17" i="39"/>
  <c r="I16" i="39"/>
  <c r="I15" i="39"/>
  <c r="I14" i="39"/>
  <c r="I13" i="39"/>
  <c r="I12" i="39"/>
  <c r="I11" i="39"/>
  <c r="I10" i="39"/>
  <c r="I9" i="39"/>
  <c r="I8" i="39"/>
  <c r="I7" i="39"/>
  <c r="AF208" i="14"/>
  <c r="C128" i="28"/>
  <c r="C127" i="28"/>
  <c r="C126" i="28"/>
  <c r="D127" i="28"/>
  <c r="D126" i="28"/>
  <c r="D125" i="28"/>
  <c r="E127" i="28"/>
  <c r="E126" i="28"/>
  <c r="E125" i="28"/>
  <c r="F127" i="28"/>
  <c r="F126" i="28"/>
  <c r="F125" i="28"/>
  <c r="G127" i="28"/>
  <c r="G126" i="28"/>
  <c r="G125" i="28"/>
  <c r="E18" i="40"/>
  <c r="W160" i="22" a="1"/>
  <c r="Z160" i="22" a="1"/>
  <c r="AA160" i="22" a="1"/>
  <c r="T18" i="22" a="1"/>
  <c r="AK18" i="22" s="1"/>
  <c r="AO18" i="22" s="1"/>
  <c r="AP18" i="22" s="1"/>
  <c r="C125" i="28"/>
  <c r="C116" i="28"/>
  <c r="C121" i="28"/>
  <c r="C124" i="28"/>
  <c r="C117" i="28"/>
  <c r="C119" i="28"/>
  <c r="C123" i="28"/>
  <c r="C122" i="28"/>
  <c r="C118" i="28"/>
  <c r="C120" i="28"/>
  <c r="D116" i="28"/>
  <c r="D124" i="28"/>
  <c r="D121" i="28"/>
  <c r="D123" i="28"/>
  <c r="D117" i="28"/>
  <c r="D115" i="28"/>
  <c r="D119" i="28"/>
  <c r="D122" i="28"/>
  <c r="D118" i="28"/>
  <c r="D120" i="28"/>
  <c r="E124" i="28"/>
  <c r="E123" i="28"/>
  <c r="E122" i="28"/>
  <c r="E121" i="28"/>
  <c r="E120" i="28"/>
  <c r="E116" i="28"/>
  <c r="E119" i="28"/>
  <c r="E118" i="28"/>
  <c r="E117" i="28"/>
  <c r="E115" i="28"/>
  <c r="F118" i="28"/>
  <c r="F119" i="28"/>
  <c r="F121" i="28"/>
  <c r="F123" i="28"/>
  <c r="F116" i="28"/>
  <c r="F122" i="28"/>
  <c r="F124" i="28"/>
  <c r="F115" i="28"/>
  <c r="F120" i="28"/>
  <c r="F117" i="28"/>
  <c r="G120" i="28"/>
  <c r="G118" i="28"/>
  <c r="G121" i="28"/>
  <c r="G117" i="28"/>
  <c r="G123" i="28"/>
  <c r="G119" i="28"/>
  <c r="G122" i="28"/>
  <c r="G116" i="28"/>
  <c r="G124" i="28"/>
  <c r="G115" i="28"/>
  <c r="E17" i="40"/>
  <c r="E13" i="40"/>
  <c r="E12" i="40"/>
  <c r="E11" i="40"/>
  <c r="E10" i="40"/>
  <c r="E9" i="40"/>
  <c r="AF203" i="14"/>
  <c r="E23" i="40"/>
  <c r="E22" i="40"/>
  <c r="E16" i="40"/>
  <c r="E15" i="40"/>
  <c r="E14" i="40"/>
  <c r="E5" i="40"/>
  <c r="AA3" i="26"/>
  <c r="AF2" i="14"/>
  <c r="E20" i="40"/>
  <c r="B86" i="22"/>
  <c r="F906" i="23" a="1"/>
  <c r="F850" i="23" a="1"/>
  <c r="E820" i="23" a="1"/>
  <c r="E7" i="40"/>
  <c r="C113" i="28"/>
  <c r="C101" i="28"/>
  <c r="C96" i="28"/>
  <c r="C97" i="28"/>
  <c r="C98" i="28"/>
  <c r="C102" i="28"/>
  <c r="C110" i="28"/>
  <c r="C112" i="28"/>
  <c r="C99" i="28"/>
  <c r="C103" i="28"/>
  <c r="C95" i="28"/>
  <c r="C115" i="28"/>
  <c r="C100" i="28"/>
  <c r="C106" i="28"/>
  <c r="C105" i="28"/>
  <c r="C111" i="28"/>
  <c r="C114" i="28"/>
  <c r="C104" i="28"/>
  <c r="C107" i="28"/>
  <c r="C108" i="28"/>
  <c r="C109" i="28"/>
  <c r="D103" i="28"/>
  <c r="D101" i="28"/>
  <c r="D108" i="28"/>
  <c r="D107" i="28"/>
  <c r="D102" i="28"/>
  <c r="D106" i="28"/>
  <c r="D99" i="28"/>
  <c r="D104" i="28"/>
  <c r="D98" i="28"/>
  <c r="D109" i="28"/>
  <c r="D114" i="28"/>
  <c r="D100" i="28"/>
  <c r="D97" i="28"/>
  <c r="D96" i="28"/>
  <c r="D95" i="28"/>
  <c r="D112" i="28"/>
  <c r="D111" i="28"/>
  <c r="D105" i="28"/>
  <c r="D110" i="28"/>
  <c r="D113" i="28"/>
  <c r="E101" i="28"/>
  <c r="E97" i="28"/>
  <c r="E102" i="28"/>
  <c r="E99" i="28"/>
  <c r="E108" i="28"/>
  <c r="E114" i="28"/>
  <c r="E105" i="28"/>
  <c r="E113" i="28"/>
  <c r="E110" i="28"/>
  <c r="E98" i="28"/>
  <c r="E109" i="28"/>
  <c r="E104" i="28"/>
  <c r="E112" i="28"/>
  <c r="E106" i="28"/>
  <c r="E103" i="28"/>
  <c r="E111" i="28"/>
  <c r="E96" i="28"/>
  <c r="E100" i="28"/>
  <c r="E95" i="28"/>
  <c r="E107" i="28"/>
  <c r="F101" i="28"/>
  <c r="F102" i="28"/>
  <c r="F114" i="28"/>
  <c r="F113" i="28"/>
  <c r="F109" i="28"/>
  <c r="F110" i="28"/>
  <c r="F106" i="28"/>
  <c r="F108" i="28"/>
  <c r="F100" i="28"/>
  <c r="F103" i="28"/>
  <c r="F111" i="28"/>
  <c r="F112" i="28"/>
  <c r="F96" i="28"/>
  <c r="F97" i="28"/>
  <c r="F107" i="28"/>
  <c r="F105" i="28"/>
  <c r="F95" i="28"/>
  <c r="F98" i="28"/>
  <c r="F104" i="28"/>
  <c r="F99" i="28"/>
  <c r="G98" i="28"/>
  <c r="G105" i="28"/>
  <c r="G104" i="28"/>
  <c r="G103" i="28"/>
  <c r="G113" i="28"/>
  <c r="G97" i="28"/>
  <c r="G102" i="28"/>
  <c r="G101" i="28"/>
  <c r="G100" i="28"/>
  <c r="G114" i="28"/>
  <c r="G96" i="28"/>
  <c r="G112" i="28"/>
  <c r="G111" i="28"/>
  <c r="G110" i="28"/>
  <c r="G99" i="28"/>
  <c r="G95" i="28"/>
  <c r="G109" i="28"/>
  <c r="G108" i="28"/>
  <c r="G107" i="28"/>
  <c r="G106" i="28"/>
  <c r="B5" i="32"/>
  <c r="F102" i="22" a="1"/>
  <c r="AJ3" i="25"/>
  <c r="AE3" i="25"/>
  <c r="G5" i="32" s="1"/>
  <c r="B112" i="22"/>
  <c r="B113" i="22"/>
  <c r="B116" i="22" s="1"/>
  <c r="E102" i="22" a="1"/>
  <c r="AK26" i="22"/>
  <c r="AO26" i="22" s="1"/>
  <c r="AP26" i="22" s="1"/>
  <c r="AL26" i="22"/>
  <c r="AM26" i="22"/>
  <c r="AN26" i="22"/>
  <c r="S167" i="22" a="1"/>
  <c r="A154" i="22" a="1"/>
  <c r="N25" i="22"/>
  <c r="A109" i="22" a="1"/>
  <c r="AK25" i="22"/>
  <c r="AO25" i="22" s="1"/>
  <c r="AP25" i="22" s="1"/>
  <c r="AL25" i="22"/>
  <c r="AM25" i="22"/>
  <c r="AN25" i="22"/>
  <c r="S166" i="22" a="1"/>
  <c r="A153" i="22" a="1"/>
  <c r="A108" i="22" a="1"/>
  <c r="N24" i="22"/>
  <c r="AK24" i="22"/>
  <c r="AO24" i="22" s="1"/>
  <c r="AP24" i="22" s="1"/>
  <c r="AL24" i="22"/>
  <c r="AM24" i="22"/>
  <c r="AN24" i="22"/>
  <c r="S165" i="22" a="1"/>
  <c r="A152" i="22" a="1"/>
  <c r="N23" i="22"/>
  <c r="A107" i="22" a="1"/>
  <c r="AK23" i="22"/>
  <c r="AO23" i="22" s="1"/>
  <c r="AP23" i="22" s="1"/>
  <c r="AL23" i="22"/>
  <c r="AM23" i="22"/>
  <c r="AN23" i="22"/>
  <c r="AK22" i="22"/>
  <c r="AL22" i="22"/>
  <c r="AM22" i="22"/>
  <c r="AM20" i="22"/>
  <c r="AL20" i="22"/>
  <c r="AK20" i="22"/>
  <c r="A64" i="34" a="1"/>
  <c r="V160" i="22" a="1"/>
  <c r="AF308" i="14"/>
  <c r="AD8" i="27"/>
  <c r="AD7" i="27"/>
  <c r="AE7" i="27" s="1"/>
  <c r="H152" i="28"/>
  <c r="I152" i="28" s="1"/>
  <c r="H151" i="28"/>
  <c r="I151" i="28" s="1"/>
  <c r="H150" i="28"/>
  <c r="H149" i="28"/>
  <c r="H148" i="28"/>
  <c r="H147" i="28"/>
  <c r="H146" i="28"/>
  <c r="H145" i="28"/>
  <c r="H144" i="28"/>
  <c r="H143" i="28"/>
  <c r="H142" i="28"/>
  <c r="H141" i="28"/>
  <c r="H140" i="28"/>
  <c r="H139" i="28"/>
  <c r="H138" i="28"/>
  <c r="H137" i="28"/>
  <c r="H136" i="28"/>
  <c r="H135" i="28"/>
  <c r="H134" i="28"/>
  <c r="H133" i="28"/>
  <c r="H132" i="28"/>
  <c r="H131" i="28"/>
  <c r="H130" i="28"/>
  <c r="I130" i="28" s="1"/>
  <c r="H129" i="28"/>
  <c r="H128" i="28"/>
  <c r="H127" i="28"/>
  <c r="H126" i="28"/>
  <c r="H125" i="28"/>
  <c r="H124" i="28"/>
  <c r="H123" i="28"/>
  <c r="H122" i="28"/>
  <c r="H121" i="28"/>
  <c r="H120" i="28"/>
  <c r="H119" i="28"/>
  <c r="H118" i="28"/>
  <c r="H117" i="28"/>
  <c r="H116" i="28"/>
  <c r="H115" i="28"/>
  <c r="H114" i="28"/>
  <c r="H113" i="28"/>
  <c r="H112" i="28"/>
  <c r="I112" i="28" s="1"/>
  <c r="H111" i="28"/>
  <c r="H110" i="28"/>
  <c r="H109" i="28"/>
  <c r="H108" i="28"/>
  <c r="H107" i="28"/>
  <c r="H106" i="28"/>
  <c r="H105" i="28"/>
  <c r="H104" i="28"/>
  <c r="H103" i="28"/>
  <c r="H102" i="28"/>
  <c r="H101" i="28"/>
  <c r="H100" i="28"/>
  <c r="I100" i="28" s="1"/>
  <c r="H99" i="28"/>
  <c r="H98" i="28"/>
  <c r="H97" i="28"/>
  <c r="I97" i="28" s="1"/>
  <c r="J97" i="28" s="1"/>
  <c r="H96" i="28"/>
  <c r="H95" i="28"/>
  <c r="E167" i="22"/>
  <c r="O167" i="22"/>
  <c r="P167" i="22"/>
  <c r="R167" i="22"/>
  <c r="A167" i="22"/>
  <c r="B167" i="22"/>
  <c r="C167" i="22"/>
  <c r="D167" i="22"/>
  <c r="F167" i="22"/>
  <c r="G167" i="22"/>
  <c r="H167" i="22"/>
  <c r="Q167" i="22"/>
  <c r="AN167" i="22" a="1"/>
  <c r="AM167" i="22" a="1"/>
  <c r="AL167" i="22" a="1"/>
  <c r="I167" i="22"/>
  <c r="J167" i="22"/>
  <c r="K167" i="22"/>
  <c r="L167" i="22"/>
  <c r="M167" i="22"/>
  <c r="N167" i="22"/>
  <c r="R166" i="22"/>
  <c r="Q166" i="22"/>
  <c r="P166" i="22"/>
  <c r="O166" i="22"/>
  <c r="N166" i="22"/>
  <c r="M166" i="22"/>
  <c r="L166" i="22"/>
  <c r="K166" i="22"/>
  <c r="J166" i="22"/>
  <c r="I166" i="22"/>
  <c r="H166" i="22"/>
  <c r="AN166" i="22" a="1"/>
  <c r="AM166" i="22" a="1"/>
  <c r="AL166" i="22" a="1"/>
  <c r="G166" i="22"/>
  <c r="F166" i="22"/>
  <c r="D166" i="22"/>
  <c r="C166" i="22"/>
  <c r="B166" i="22"/>
  <c r="A166" i="22"/>
  <c r="E166" i="22"/>
  <c r="F165" i="22"/>
  <c r="J165" i="22"/>
  <c r="I165" i="22"/>
  <c r="H165" i="22"/>
  <c r="G165" i="22"/>
  <c r="A165" i="22"/>
  <c r="E165" i="22"/>
  <c r="D165" i="22"/>
  <c r="C165" i="22"/>
  <c r="B165" i="22"/>
  <c r="K165" i="22"/>
  <c r="AN165" i="22" a="1"/>
  <c r="AM165" i="22" a="1"/>
  <c r="AL165" i="22" a="1"/>
  <c r="P165" i="22"/>
  <c r="R165" i="22"/>
  <c r="Q165" i="22"/>
  <c r="O165" i="22"/>
  <c r="N165" i="22"/>
  <c r="M165" i="22"/>
  <c r="L165" i="22"/>
  <c r="AM164" i="22" a="1"/>
  <c r="AN164" i="22" a="1"/>
  <c r="I164" i="22"/>
  <c r="AL164" i="22" a="1"/>
  <c r="R164" i="22"/>
  <c r="Q164" i="22"/>
  <c r="P164" i="22"/>
  <c r="O164" i="22"/>
  <c r="F164" i="22"/>
  <c r="G164" i="22"/>
  <c r="M164" i="22"/>
  <c r="J164" i="22"/>
  <c r="H164" i="22"/>
  <c r="L164" i="22"/>
  <c r="A164" i="22"/>
  <c r="N164" i="22"/>
  <c r="B164" i="22"/>
  <c r="C164" i="22"/>
  <c r="D164" i="22"/>
  <c r="E164" i="22"/>
  <c r="K164" i="22"/>
  <c r="R163" i="22"/>
  <c r="Q163" i="22"/>
  <c r="P163" i="22"/>
  <c r="O163" i="22"/>
  <c r="N163" i="22"/>
  <c r="L163" i="22"/>
  <c r="J163" i="22"/>
  <c r="I163" i="22"/>
  <c r="H163" i="22"/>
  <c r="G163" i="22"/>
  <c r="F163" i="22"/>
  <c r="E163" i="22"/>
  <c r="D163" i="22"/>
  <c r="C163" i="22"/>
  <c r="B163" i="22"/>
  <c r="A163" i="22"/>
  <c r="AM163" i="22" a="1"/>
  <c r="J162" i="22"/>
  <c r="L162" i="22"/>
  <c r="A162" i="22"/>
  <c r="R162" i="22"/>
  <c r="D162" i="22"/>
  <c r="Q162" i="22"/>
  <c r="P162" i="22"/>
  <c r="O162" i="22"/>
  <c r="B162" i="22"/>
  <c r="C162" i="22"/>
  <c r="E162" i="22"/>
  <c r="F162" i="22"/>
  <c r="G162" i="22"/>
  <c r="N162" i="22"/>
  <c r="H162" i="22"/>
  <c r="I162" i="22"/>
  <c r="L161" i="22"/>
  <c r="J161" i="22"/>
  <c r="I161" i="22"/>
  <c r="H161" i="22"/>
  <c r="G161" i="22"/>
  <c r="F161" i="22"/>
  <c r="E161" i="22"/>
  <c r="C161" i="22"/>
  <c r="B161" i="22"/>
  <c r="A161" i="22"/>
  <c r="D161" i="22"/>
  <c r="AM161" i="22" a="1"/>
  <c r="R161" i="22"/>
  <c r="Q161" i="22"/>
  <c r="P161" i="22"/>
  <c r="O161" i="22"/>
  <c r="N161" i="22"/>
  <c r="F160" i="22"/>
  <c r="G160" i="22"/>
  <c r="H160" i="22"/>
  <c r="I160" i="22"/>
  <c r="J160" i="22"/>
  <c r="L160" i="22"/>
  <c r="N160" i="22"/>
  <c r="P160" i="22"/>
  <c r="Q160" i="22"/>
  <c r="E160" i="22"/>
  <c r="O160" i="22"/>
  <c r="R160" i="22"/>
  <c r="A160" i="22"/>
  <c r="B160" i="22"/>
  <c r="C160" i="22"/>
  <c r="D160" i="22"/>
  <c r="A92" i="27"/>
  <c r="T92" i="27"/>
  <c r="C12" i="28"/>
  <c r="C39" i="28"/>
  <c r="C11" i="28"/>
  <c r="C10" i="28"/>
  <c r="C40" i="28"/>
  <c r="C9" i="28"/>
  <c r="C8" i="28"/>
  <c r="C41" i="28"/>
  <c r="C7" i="28"/>
  <c r="C6" i="28"/>
  <c r="C42" i="28"/>
  <c r="C5" i="28"/>
  <c r="C4" i="28"/>
  <c r="C43" i="28"/>
  <c r="C3" i="28"/>
  <c r="C2" i="28"/>
  <c r="J2" i="28" s="1"/>
  <c r="C44" i="28"/>
  <c r="C82" i="28"/>
  <c r="C94" i="28"/>
  <c r="C45" i="28"/>
  <c r="C93" i="28"/>
  <c r="C92" i="28"/>
  <c r="K92" i="28" s="1"/>
  <c r="C64" i="28"/>
  <c r="C91" i="28"/>
  <c r="C46" i="28"/>
  <c r="C55" i="28"/>
  <c r="C90" i="28"/>
  <c r="C89" i="28"/>
  <c r="C88" i="28"/>
  <c r="K88" i="28" s="1"/>
  <c r="C47" i="28"/>
  <c r="C87" i="28"/>
  <c r="C63" i="28"/>
  <c r="C86" i="28"/>
  <c r="C85" i="28"/>
  <c r="C48" i="28"/>
  <c r="C84" i="28"/>
  <c r="C83" i="28"/>
  <c r="J83" i="28" s="1"/>
  <c r="C49" i="28"/>
  <c r="C62" i="28"/>
  <c r="C81" i="28"/>
  <c r="C80" i="28"/>
  <c r="J80" i="28" s="1"/>
  <c r="C79" i="28"/>
  <c r="C50" i="28"/>
  <c r="C78" i="28"/>
  <c r="C77" i="28"/>
  <c r="C76" i="28"/>
  <c r="C51" i="28"/>
  <c r="C61" i="28"/>
  <c r="C75" i="28"/>
  <c r="C56" i="28"/>
  <c r="C74" i="28"/>
  <c r="C58" i="28"/>
  <c r="C73" i="28"/>
  <c r="C52" i="28"/>
  <c r="C72" i="28"/>
  <c r="C71" i="28"/>
  <c r="C60" i="28"/>
  <c r="C70" i="28"/>
  <c r="C53" i="28"/>
  <c r="C69" i="28"/>
  <c r="C57" i="28"/>
  <c r="C68" i="28"/>
  <c r="C67" i="28"/>
  <c r="C54" i="28"/>
  <c r="C66" i="28"/>
  <c r="C59" i="28"/>
  <c r="C65" i="28"/>
  <c r="C38" i="28"/>
  <c r="C37" i="28"/>
  <c r="C36" i="28"/>
  <c r="C35" i="28"/>
  <c r="C34" i="28"/>
  <c r="C33" i="28"/>
  <c r="C32" i="28"/>
  <c r="C31" i="28"/>
  <c r="C30" i="28"/>
  <c r="C29" i="28"/>
  <c r="C28" i="28"/>
  <c r="C27" i="28"/>
  <c r="C26" i="28"/>
  <c r="C25" i="28"/>
  <c r="C24" i="28"/>
  <c r="C23" i="28"/>
  <c r="C22" i="28"/>
  <c r="C21" i="28"/>
  <c r="C20" i="28"/>
  <c r="C19" i="28"/>
  <c r="C18" i="28"/>
  <c r="C17" i="28"/>
  <c r="C16" i="28"/>
  <c r="C15" i="28"/>
  <c r="C14" i="28"/>
  <c r="C13" i="28"/>
  <c r="D75" i="28"/>
  <c r="D39" i="28"/>
  <c r="D66" i="28"/>
  <c r="D40" i="28"/>
  <c r="D55" i="28"/>
  <c r="D41" i="28"/>
  <c r="D54" i="28"/>
  <c r="D42" i="28"/>
  <c r="D70" i="28"/>
  <c r="D43" i="28"/>
  <c r="D35" i="28"/>
  <c r="D47" i="28"/>
  <c r="D56" i="28"/>
  <c r="D77" i="28"/>
  <c r="D84" i="28"/>
  <c r="D69" i="28"/>
  <c r="D61" i="28"/>
  <c r="D92" i="28"/>
  <c r="D76" i="28"/>
  <c r="D53" i="28"/>
  <c r="D89" i="28"/>
  <c r="D65" i="28"/>
  <c r="D85" i="28"/>
  <c r="D87" i="28"/>
  <c r="D68" i="28"/>
  <c r="D51" i="28"/>
  <c r="D86" i="28"/>
  <c r="D36" i="28"/>
  <c r="D74" i="28"/>
  <c r="D38" i="28"/>
  <c r="D33" i="28"/>
  <c r="D88" i="28"/>
  <c r="D67" i="28"/>
  <c r="D73" i="28"/>
  <c r="D45" i="28"/>
  <c r="D64" i="28"/>
  <c r="D94" i="28"/>
  <c r="D34" i="28"/>
  <c r="D72" i="28"/>
  <c r="D63" i="28"/>
  <c r="D52" i="28"/>
  <c r="D60" i="28"/>
  <c r="D59" i="28"/>
  <c r="D71" i="28"/>
  <c r="D37" i="28"/>
  <c r="D32" i="28"/>
  <c r="D48" i="28"/>
  <c r="D31" i="28"/>
  <c r="D30" i="28"/>
  <c r="D29" i="28"/>
  <c r="D83" i="28"/>
  <c r="D28" i="28"/>
  <c r="D91" i="28"/>
  <c r="D27" i="28"/>
  <c r="D26" i="28"/>
  <c r="D62" i="28"/>
  <c r="D25" i="28"/>
  <c r="D24" i="28"/>
  <c r="D82" i="28"/>
  <c r="D23" i="28"/>
  <c r="D44" i="28"/>
  <c r="D22" i="28"/>
  <c r="D21" i="28"/>
  <c r="D20" i="28"/>
  <c r="D19" i="28"/>
  <c r="D81" i="28"/>
  <c r="D18" i="28"/>
  <c r="D17" i="28"/>
  <c r="D49" i="28"/>
  <c r="D16" i="28"/>
  <c r="D15" i="28"/>
  <c r="D14" i="28"/>
  <c r="D80" i="28"/>
  <c r="D13" i="28"/>
  <c r="D12" i="28"/>
  <c r="D11" i="28"/>
  <c r="D57" i="28"/>
  <c r="D10" i="28"/>
  <c r="D9" i="28"/>
  <c r="D79" i="28"/>
  <c r="D8" i="28"/>
  <c r="D90" i="28"/>
  <c r="D7" i="28"/>
  <c r="D93" i="28"/>
  <c r="D6" i="28"/>
  <c r="D58" i="28"/>
  <c r="D5" i="28"/>
  <c r="D4" i="28"/>
  <c r="D78" i="28"/>
  <c r="D3" i="28"/>
  <c r="D46" i="28"/>
  <c r="D50" i="28"/>
  <c r="D2" i="28"/>
  <c r="E32" i="28"/>
  <c r="E39" i="28"/>
  <c r="E40" i="28"/>
  <c r="E31" i="28"/>
  <c r="E41" i="28"/>
  <c r="E62" i="28"/>
  <c r="E30" i="28"/>
  <c r="E42" i="28"/>
  <c r="E83" i="28"/>
  <c r="E29" i="28"/>
  <c r="E43" i="28"/>
  <c r="E61" i="28"/>
  <c r="E28" i="28"/>
  <c r="E77" i="28"/>
  <c r="E57" i="28"/>
  <c r="E27" i="28"/>
  <c r="E50" i="28"/>
  <c r="E48" i="28"/>
  <c r="E26" i="28"/>
  <c r="E76" i="28"/>
  <c r="E89" i="28"/>
  <c r="E25" i="28"/>
  <c r="E94" i="28"/>
  <c r="E82" i="28"/>
  <c r="E24" i="28"/>
  <c r="E75" i="28"/>
  <c r="E46" i="28"/>
  <c r="E23" i="28"/>
  <c r="E63" i="28"/>
  <c r="E74" i="28"/>
  <c r="E22" i="28"/>
  <c r="E88" i="28"/>
  <c r="E56" i="28"/>
  <c r="E21" i="28"/>
  <c r="E51" i="28"/>
  <c r="E64" i="28"/>
  <c r="E20" i="28"/>
  <c r="E73" i="28"/>
  <c r="E81" i="28"/>
  <c r="E19" i="28"/>
  <c r="E60" i="28"/>
  <c r="E72" i="28"/>
  <c r="E18" i="28"/>
  <c r="E71" i="28"/>
  <c r="E93" i="28"/>
  <c r="E17" i="28"/>
  <c r="E87" i="28"/>
  <c r="E52" i="28"/>
  <c r="E16" i="28"/>
  <c r="E38" i="28"/>
  <c r="E55" i="28"/>
  <c r="E15" i="28"/>
  <c r="E70" i="28"/>
  <c r="E80" i="28"/>
  <c r="E14" i="28"/>
  <c r="E92" i="28"/>
  <c r="E69" i="28"/>
  <c r="E13" i="28"/>
  <c r="E86" i="28"/>
  <c r="E90" i="28"/>
  <c r="E12" i="28"/>
  <c r="E68" i="28"/>
  <c r="E49" i="28"/>
  <c r="E11" i="28"/>
  <c r="E53" i="28"/>
  <c r="E59" i="28"/>
  <c r="E10" i="28"/>
  <c r="E67" i="28"/>
  <c r="E79" i="28"/>
  <c r="E9" i="28"/>
  <c r="E47" i="28"/>
  <c r="E66" i="28"/>
  <c r="E8" i="28"/>
  <c r="E85" i="28"/>
  <c r="E65" i="28"/>
  <c r="E7" i="28"/>
  <c r="E54" i="28"/>
  <c r="E45" i="28"/>
  <c r="E6" i="28"/>
  <c r="E37" i="28"/>
  <c r="E44" i="28"/>
  <c r="E5" i="28"/>
  <c r="E36" i="28"/>
  <c r="E78" i="28"/>
  <c r="E4" i="28"/>
  <c r="E58" i="28"/>
  <c r="E35" i="28"/>
  <c r="E3" i="28"/>
  <c r="E84" i="28"/>
  <c r="E34" i="28"/>
  <c r="E33" i="28"/>
  <c r="E91" i="28"/>
  <c r="E2" i="28"/>
  <c r="F54" i="28"/>
  <c r="F24" i="28"/>
  <c r="F53" i="28"/>
  <c r="F52" i="28"/>
  <c r="F51" i="28"/>
  <c r="F23" i="28"/>
  <c r="F50" i="28"/>
  <c r="F49" i="28"/>
  <c r="F48" i="28"/>
  <c r="F22" i="28"/>
  <c r="F47" i="28"/>
  <c r="F46" i="28"/>
  <c r="F45" i="28"/>
  <c r="F21" i="28"/>
  <c r="F44" i="28"/>
  <c r="F43" i="28"/>
  <c r="F42" i="28"/>
  <c r="F20" i="28"/>
  <c r="F41" i="28"/>
  <c r="F40" i="28"/>
  <c r="F39" i="28"/>
  <c r="F19" i="28"/>
  <c r="F38" i="28"/>
  <c r="F94" i="28"/>
  <c r="F93" i="28"/>
  <c r="F18" i="28"/>
  <c r="F37" i="28"/>
  <c r="F92" i="28"/>
  <c r="F91" i="28"/>
  <c r="F17" i="28"/>
  <c r="F90" i="28"/>
  <c r="F36" i="28"/>
  <c r="F89" i="28"/>
  <c r="F16" i="28"/>
  <c r="F88" i="28"/>
  <c r="F87" i="28"/>
  <c r="F35" i="28"/>
  <c r="F15" i="28"/>
  <c r="F86" i="28"/>
  <c r="F85" i="28"/>
  <c r="F84" i="28"/>
  <c r="F14" i="28"/>
  <c r="F34" i="28"/>
  <c r="F83" i="28"/>
  <c r="F82" i="28"/>
  <c r="F13" i="28"/>
  <c r="F81" i="28"/>
  <c r="F33" i="28"/>
  <c r="F80" i="28"/>
  <c r="F12" i="28"/>
  <c r="F78" i="28"/>
  <c r="F77" i="28"/>
  <c r="F32" i="28"/>
  <c r="F11" i="28"/>
  <c r="F76" i="28"/>
  <c r="F75" i="28"/>
  <c r="F74" i="28"/>
  <c r="F10" i="28"/>
  <c r="F31" i="28"/>
  <c r="F73" i="28"/>
  <c r="F72" i="28"/>
  <c r="F9" i="28"/>
  <c r="F71" i="28"/>
  <c r="F30" i="28"/>
  <c r="F70" i="28"/>
  <c r="F8" i="28"/>
  <c r="F69" i="28"/>
  <c r="F68" i="28"/>
  <c r="F29" i="28"/>
  <c r="F7" i="28"/>
  <c r="F67" i="28"/>
  <c r="F66" i="28"/>
  <c r="F65" i="28"/>
  <c r="F6" i="28"/>
  <c r="F28" i="28"/>
  <c r="F64" i="28"/>
  <c r="F63" i="28"/>
  <c r="F5" i="28"/>
  <c r="F62" i="28"/>
  <c r="F27" i="28"/>
  <c r="F61" i="28"/>
  <c r="F4" i="28"/>
  <c r="F60" i="28"/>
  <c r="F59" i="28"/>
  <c r="F26" i="28"/>
  <c r="F3" i="28"/>
  <c r="F58" i="28"/>
  <c r="F57" i="28"/>
  <c r="F79" i="28"/>
  <c r="F25" i="28"/>
  <c r="F56" i="28"/>
  <c r="F55" i="28"/>
  <c r="F2" i="28"/>
  <c r="B25" i="27"/>
  <c r="G41" i="28"/>
  <c r="H41" i="28" s="1"/>
  <c r="I41" i="28" s="1"/>
  <c r="G23" i="28"/>
  <c r="H23" i="28" s="1"/>
  <c r="G66" i="28"/>
  <c r="H66" i="28" s="1"/>
  <c r="G26" i="28"/>
  <c r="H26" i="28" s="1"/>
  <c r="G4" i="28"/>
  <c r="H4" i="28" s="1"/>
  <c r="G43" i="28"/>
  <c r="H43" i="28" s="1"/>
  <c r="I43" i="28" s="1"/>
  <c r="G22" i="28"/>
  <c r="H22" i="28" s="1"/>
  <c r="G40" i="28"/>
  <c r="H40" i="28" s="1"/>
  <c r="G53" i="28"/>
  <c r="H53" i="28" s="1"/>
  <c r="G64" i="28"/>
  <c r="H64" i="28" s="1"/>
  <c r="G25" i="28"/>
  <c r="H25" i="28" s="1"/>
  <c r="G21" i="28"/>
  <c r="H21" i="28" s="1"/>
  <c r="G3" i="28"/>
  <c r="H3" i="28" s="1"/>
  <c r="G39" i="28"/>
  <c r="H39" i="28" s="1"/>
  <c r="G58" i="28"/>
  <c r="H58" i="28" s="1"/>
  <c r="G42" i="28"/>
  <c r="H42" i="28" s="1"/>
  <c r="G20" i="28"/>
  <c r="H20" i="28" s="1"/>
  <c r="G51" i="28"/>
  <c r="H51" i="28" s="1"/>
  <c r="G65" i="28"/>
  <c r="H65" i="28" s="1"/>
  <c r="G38" i="28"/>
  <c r="H38" i="28" s="1"/>
  <c r="G67" i="28"/>
  <c r="H67" i="28" s="1"/>
  <c r="I67" i="28" s="1"/>
  <c r="G19" i="28"/>
  <c r="H19" i="28" s="1"/>
  <c r="G24" i="28"/>
  <c r="H24" i="28" s="1"/>
  <c r="I24" i="28" s="1"/>
  <c r="G68" i="28"/>
  <c r="H68" i="28" s="1"/>
  <c r="G69" i="28"/>
  <c r="H69" i="28" s="1"/>
  <c r="G37" i="28"/>
  <c r="H37" i="28" s="1"/>
  <c r="G18" i="28"/>
  <c r="H18" i="28" s="1"/>
  <c r="G52" i="28"/>
  <c r="H52" i="28" s="1"/>
  <c r="G59" i="28"/>
  <c r="H59" i="28" s="1"/>
  <c r="G70" i="28"/>
  <c r="H70" i="28" s="1"/>
  <c r="G71" i="28"/>
  <c r="H71" i="28" s="1"/>
  <c r="G17" i="28"/>
  <c r="H17" i="28" s="1"/>
  <c r="G36" i="28"/>
  <c r="H36" i="28" s="1"/>
  <c r="I36" i="28" s="1"/>
  <c r="G72" i="28"/>
  <c r="H72" i="28" s="1"/>
  <c r="G2" i="28"/>
  <c r="H2" i="28" s="1"/>
  <c r="G60" i="28"/>
  <c r="H60" i="28" s="1"/>
  <c r="G16" i="28"/>
  <c r="H16" i="28" s="1"/>
  <c r="G73" i="28"/>
  <c r="H73" i="28" s="1"/>
  <c r="I73" i="28" s="1"/>
  <c r="G35" i="28"/>
  <c r="H35" i="28" s="1"/>
  <c r="I35" i="28" s="1"/>
  <c r="G74" i="28"/>
  <c r="H74" i="28" s="1"/>
  <c r="I74" i="28" s="1"/>
  <c r="G75" i="28"/>
  <c r="H75" i="28" s="1"/>
  <c r="I75" i="28" s="1"/>
  <c r="G15" i="28"/>
  <c r="H15" i="28" s="1"/>
  <c r="G50" i="28"/>
  <c r="H50" i="28" s="1"/>
  <c r="I50" i="28" s="1"/>
  <c r="G55" i="28"/>
  <c r="H55" i="28" s="1"/>
  <c r="G34" i="28"/>
  <c r="H34" i="28" s="1"/>
  <c r="I34" i="28" s="1"/>
  <c r="G76" i="28"/>
  <c r="H76" i="28" s="1"/>
  <c r="I76" i="28" s="1"/>
  <c r="G14" i="28"/>
  <c r="H14" i="28" s="1"/>
  <c r="G77" i="28"/>
  <c r="H77" i="28" s="1"/>
  <c r="G78" i="28"/>
  <c r="H78" i="28" s="1"/>
  <c r="G49" i="28"/>
  <c r="H49" i="28" s="1"/>
  <c r="I49" i="28" s="1"/>
  <c r="G33" i="28"/>
  <c r="H33" i="28" s="1"/>
  <c r="G13" i="28"/>
  <c r="H13" i="28" s="1"/>
  <c r="G56" i="28"/>
  <c r="H56" i="28" s="1"/>
  <c r="I56" i="28" s="1"/>
  <c r="G79" i="28"/>
  <c r="H79" i="28" s="1"/>
  <c r="G80" i="28"/>
  <c r="H80" i="28" s="1"/>
  <c r="G81" i="28"/>
  <c r="H81" i="28" s="1"/>
  <c r="G12" i="28"/>
  <c r="H12" i="28" s="1"/>
  <c r="G32" i="28"/>
  <c r="H32" i="28" s="1"/>
  <c r="G48" i="28"/>
  <c r="H48" i="28" s="1"/>
  <c r="G61" i="28"/>
  <c r="H61" i="28" s="1"/>
  <c r="G82" i="28"/>
  <c r="H82" i="28" s="1"/>
  <c r="G11" i="28"/>
  <c r="H11" i="28" s="1"/>
  <c r="G83" i="28"/>
  <c r="H83" i="28" s="1"/>
  <c r="G31" i="28"/>
  <c r="H31" i="28" s="1"/>
  <c r="I31" i="28" s="1"/>
  <c r="G84" i="28"/>
  <c r="H84" i="28" s="1"/>
  <c r="G47" i="28"/>
  <c r="H47" i="28" s="1"/>
  <c r="G10" i="28"/>
  <c r="H10" i="28" s="1"/>
  <c r="G62" i="28"/>
  <c r="H62" i="28" s="1"/>
  <c r="G85" i="28"/>
  <c r="H85" i="28" s="1"/>
  <c r="G30" i="28"/>
  <c r="H30" i="28" s="1"/>
  <c r="G86" i="28"/>
  <c r="H86" i="28" s="1"/>
  <c r="G9" i="28"/>
  <c r="H9" i="28" s="1"/>
  <c r="G87" i="28"/>
  <c r="H87" i="28" s="1"/>
  <c r="G46" i="28"/>
  <c r="H46" i="28" s="1"/>
  <c r="I46" i="28" s="1"/>
  <c r="G63" i="28"/>
  <c r="H63" i="28" s="1"/>
  <c r="G29" i="28"/>
  <c r="H29" i="28" s="1"/>
  <c r="I29" i="28" s="1"/>
  <c r="G8" i="28"/>
  <c r="H8" i="28" s="1"/>
  <c r="G88" i="28"/>
  <c r="H88" i="28" s="1"/>
  <c r="G89" i="28"/>
  <c r="H89" i="28" s="1"/>
  <c r="G90" i="28"/>
  <c r="H90" i="28" s="1"/>
  <c r="G45" i="28"/>
  <c r="H45" i="28" s="1"/>
  <c r="G7" i="28"/>
  <c r="H7" i="28" s="1"/>
  <c r="G28" i="28"/>
  <c r="H28" i="28" s="1"/>
  <c r="G54" i="28"/>
  <c r="H54" i="28" s="1"/>
  <c r="G91" i="28"/>
  <c r="H91" i="28" s="1"/>
  <c r="G92" i="28"/>
  <c r="H92" i="28" s="1"/>
  <c r="G6" i="28"/>
  <c r="H6" i="28" s="1"/>
  <c r="G93" i="28"/>
  <c r="H93" i="28" s="1"/>
  <c r="G27" i="28"/>
  <c r="H27" i="28" s="1"/>
  <c r="G44" i="28"/>
  <c r="H44" i="28" s="1"/>
  <c r="I44" i="28" s="1"/>
  <c r="G57" i="28"/>
  <c r="H57" i="28" s="1"/>
  <c r="G5" i="28"/>
  <c r="H5" i="28" s="1"/>
  <c r="G94" i="28"/>
  <c r="H94" i="28" s="1"/>
  <c r="AG6" i="27"/>
  <c r="AH6" i="27" s="1"/>
  <c r="AN92" i="27"/>
  <c r="AG7" i="27"/>
  <c r="AH7" i="27" s="1"/>
  <c r="AM92" i="27"/>
  <c r="AQ160" i="22" a="1"/>
  <c r="B147" i="22" a="1"/>
  <c r="J102" i="22" a="1"/>
  <c r="A101" i="34"/>
  <c r="A58" i="34"/>
  <c r="A111" i="34"/>
  <c r="Q49" i="24"/>
  <c r="P49" i="24"/>
  <c r="F603" i="23" a="1"/>
  <c r="E603" i="23" a="1"/>
  <c r="E19" i="40"/>
  <c r="A59" i="34"/>
  <c r="C10" i="22"/>
  <c r="M163" i="22"/>
  <c r="M162" i="22"/>
  <c r="M161" i="22"/>
  <c r="M160" i="22"/>
  <c r="AD77" i="17"/>
  <c r="D7" i="35"/>
  <c r="D6" i="35"/>
  <c r="D5" i="35"/>
  <c r="C7" i="22"/>
  <c r="AG77" i="17"/>
  <c r="AF77" i="17"/>
  <c r="AL5" i="32"/>
  <c r="AB5" i="32"/>
  <c r="AC5" i="32"/>
  <c r="AD5" i="32"/>
  <c r="AE5" i="32"/>
  <c r="AF5" i="32"/>
  <c r="AG5" i="32"/>
  <c r="AH5" i="32"/>
  <c r="AL44" i="32"/>
  <c r="AH44" i="32"/>
  <c r="AG44" i="32"/>
  <c r="AF44" i="32"/>
  <c r="AE44" i="32"/>
  <c r="AD44" i="32"/>
  <c r="AC44" i="32"/>
  <c r="AB44" i="32"/>
  <c r="AL43" i="32"/>
  <c r="AH43" i="32"/>
  <c r="AG43" i="32"/>
  <c r="AF43" i="32"/>
  <c r="AE43" i="32"/>
  <c r="AD43" i="32"/>
  <c r="AC43" i="32"/>
  <c r="AB43" i="32"/>
  <c r="AL42" i="32"/>
  <c r="AH42" i="32"/>
  <c r="AG42" i="32"/>
  <c r="AF42" i="32"/>
  <c r="AE42" i="32"/>
  <c r="AD42" i="32"/>
  <c r="AC42" i="32"/>
  <c r="AB42" i="32"/>
  <c r="AL41" i="32"/>
  <c r="AH41" i="32"/>
  <c r="AG41" i="32"/>
  <c r="AF41" i="32"/>
  <c r="AE41" i="32"/>
  <c r="AD41" i="32"/>
  <c r="AC41" i="32"/>
  <c r="AB41" i="32"/>
  <c r="AL40" i="32"/>
  <c r="AH40" i="32"/>
  <c r="AG40" i="32"/>
  <c r="AF40" i="32"/>
  <c r="AE40" i="32"/>
  <c r="AD40" i="32"/>
  <c r="AC40" i="32"/>
  <c r="AB40" i="32"/>
  <c r="AL39" i="32"/>
  <c r="AH39" i="32"/>
  <c r="AG39" i="32"/>
  <c r="AF39" i="32"/>
  <c r="AE39" i="32"/>
  <c r="AD39" i="32"/>
  <c r="AC39" i="32"/>
  <c r="AB39" i="32"/>
  <c r="AL38" i="32"/>
  <c r="AH38" i="32"/>
  <c r="AG38" i="32"/>
  <c r="AF38" i="32"/>
  <c r="AE38" i="32"/>
  <c r="AD38" i="32"/>
  <c r="AC38" i="32"/>
  <c r="AB38" i="32"/>
  <c r="AL37" i="32"/>
  <c r="AH37" i="32"/>
  <c r="AG37" i="32"/>
  <c r="AF37" i="32"/>
  <c r="AE37" i="32"/>
  <c r="AD37" i="32"/>
  <c r="AC37" i="32"/>
  <c r="AB37" i="32"/>
  <c r="AL36" i="32"/>
  <c r="AH36" i="32"/>
  <c r="AG36" i="32"/>
  <c r="AF36" i="32"/>
  <c r="AE36" i="32"/>
  <c r="AD36" i="32"/>
  <c r="AC36" i="32"/>
  <c r="AB36" i="32"/>
  <c r="AL35" i="32"/>
  <c r="AH35" i="32"/>
  <c r="AG35" i="32"/>
  <c r="AF35" i="32"/>
  <c r="AE35" i="32"/>
  <c r="AD35" i="32"/>
  <c r="AC35" i="32"/>
  <c r="AB35" i="32"/>
  <c r="AL34" i="32"/>
  <c r="AH34" i="32"/>
  <c r="AG34" i="32"/>
  <c r="AF34" i="32"/>
  <c r="AE34" i="32"/>
  <c r="AD34" i="32"/>
  <c r="AC34" i="32"/>
  <c r="AB34" i="32"/>
  <c r="AL33" i="32"/>
  <c r="AH33" i="32"/>
  <c r="AG33" i="32"/>
  <c r="AF33" i="32"/>
  <c r="AE33" i="32"/>
  <c r="AD33" i="32"/>
  <c r="AC33" i="32"/>
  <c r="AB33" i="32"/>
  <c r="AL32" i="32"/>
  <c r="AH32" i="32"/>
  <c r="AG32" i="32"/>
  <c r="AF32" i="32"/>
  <c r="AE32" i="32"/>
  <c r="AD32" i="32"/>
  <c r="AC32" i="32"/>
  <c r="AB32" i="32"/>
  <c r="AL31" i="32"/>
  <c r="AH31" i="32"/>
  <c r="AG31" i="32"/>
  <c r="AF31" i="32"/>
  <c r="AE31" i="32"/>
  <c r="AD31" i="32"/>
  <c r="AC31" i="32"/>
  <c r="AB31" i="32"/>
  <c r="AL30" i="32"/>
  <c r="AH30" i="32"/>
  <c r="AG30" i="32"/>
  <c r="AF30" i="32"/>
  <c r="AE30" i="32"/>
  <c r="AD30" i="32"/>
  <c r="AC30" i="32"/>
  <c r="AB30" i="32"/>
  <c r="AL29" i="32"/>
  <c r="AH29" i="32"/>
  <c r="AG29" i="32"/>
  <c r="AF29" i="32"/>
  <c r="AE29" i="32"/>
  <c r="AD29" i="32"/>
  <c r="AC29" i="32"/>
  <c r="AB29" i="32"/>
  <c r="AL28" i="32"/>
  <c r="AH28" i="32"/>
  <c r="AG28" i="32"/>
  <c r="AF28" i="32"/>
  <c r="AE28" i="32"/>
  <c r="AD28" i="32"/>
  <c r="AC28" i="32"/>
  <c r="AB28" i="32"/>
  <c r="AL27" i="32"/>
  <c r="AH27" i="32"/>
  <c r="AG27" i="32"/>
  <c r="AF27" i="32"/>
  <c r="AE27" i="32"/>
  <c r="AD27" i="32"/>
  <c r="AC27" i="32"/>
  <c r="AB27" i="32"/>
  <c r="AL26" i="32"/>
  <c r="AH26" i="32"/>
  <c r="AG26" i="32"/>
  <c r="AF26" i="32"/>
  <c r="AE26" i="32"/>
  <c r="AD26" i="32"/>
  <c r="AC26" i="32"/>
  <c r="AB26" i="32"/>
  <c r="AL25" i="32"/>
  <c r="AH25" i="32"/>
  <c r="AG25" i="32"/>
  <c r="AF25" i="32"/>
  <c r="AE25" i="32"/>
  <c r="AD25" i="32"/>
  <c r="AC25" i="32"/>
  <c r="AB25" i="32"/>
  <c r="AL24" i="32"/>
  <c r="AH24" i="32"/>
  <c r="AG24" i="32"/>
  <c r="AF24" i="32"/>
  <c r="AE24" i="32"/>
  <c r="AD24" i="32"/>
  <c r="AC24" i="32"/>
  <c r="AB24" i="32"/>
  <c r="AL23" i="32"/>
  <c r="AH23" i="32"/>
  <c r="AG23" i="32"/>
  <c r="AF23" i="32"/>
  <c r="AE23" i="32"/>
  <c r="AD23" i="32"/>
  <c r="AC23" i="32"/>
  <c r="AB23" i="32"/>
  <c r="AC22" i="32"/>
  <c r="AL22" i="32"/>
  <c r="AH22" i="32"/>
  <c r="AB22" i="32"/>
  <c r="AD22" i="32"/>
  <c r="AG22" i="32"/>
  <c r="AF22" i="32"/>
  <c r="AE22" i="32"/>
  <c r="AD21" i="32"/>
  <c r="AE21" i="32"/>
  <c r="AG21" i="32"/>
  <c r="AL21" i="32"/>
  <c r="AC21" i="32"/>
  <c r="AB21" i="32"/>
  <c r="AF21" i="32"/>
  <c r="AH21" i="32"/>
  <c r="AE20" i="32"/>
  <c r="AH20" i="32"/>
  <c r="AD20" i="32"/>
  <c r="AL20" i="32"/>
  <c r="AF20" i="32"/>
  <c r="AB20" i="32"/>
  <c r="AC20" i="32"/>
  <c r="AG20" i="32"/>
  <c r="AF19" i="32"/>
  <c r="AH19" i="32"/>
  <c r="AB19" i="32"/>
  <c r="AG19" i="32"/>
  <c r="AD19" i="32"/>
  <c r="AL19" i="32"/>
  <c r="AE19" i="32"/>
  <c r="AC19" i="32"/>
  <c r="AG18" i="32"/>
  <c r="AD18" i="32"/>
  <c r="AF18" i="32"/>
  <c r="AC18" i="32"/>
  <c r="AE18" i="32"/>
  <c r="AB18" i="32"/>
  <c r="AL18" i="32"/>
  <c r="AH18" i="32"/>
  <c r="AG17" i="32"/>
  <c r="AF17" i="32"/>
  <c r="AC17" i="32"/>
  <c r="AD17" i="32"/>
  <c r="AL17" i="32"/>
  <c r="AH17" i="32"/>
  <c r="AE17" i="32"/>
  <c r="AB17" i="32"/>
  <c r="AE16" i="32"/>
  <c r="AG16" i="32"/>
  <c r="AC16" i="32"/>
  <c r="AF16" i="32"/>
  <c r="AB16" i="32"/>
  <c r="AL16" i="32"/>
  <c r="AH16" i="32"/>
  <c r="AD16" i="32"/>
  <c r="AF15" i="32"/>
  <c r="AB15" i="32"/>
  <c r="AL15" i="32"/>
  <c r="AC15" i="32"/>
  <c r="AG15" i="32"/>
  <c r="AD15" i="32"/>
  <c r="AH15" i="32"/>
  <c r="AE15" i="32"/>
  <c r="AD14" i="32"/>
  <c r="AF14" i="32"/>
  <c r="AB14" i="32"/>
  <c r="AL14" i="32"/>
  <c r="AE14" i="32"/>
  <c r="AH14" i="32"/>
  <c r="AG14" i="32"/>
  <c r="AC14" i="32"/>
  <c r="AH13" i="32"/>
  <c r="AE13" i="32"/>
  <c r="AL13" i="32"/>
  <c r="AB13" i="32"/>
  <c r="AC13" i="32"/>
  <c r="AG13" i="32"/>
  <c r="AF13" i="32"/>
  <c r="AD13" i="32"/>
  <c r="AG12" i="32"/>
  <c r="AB12" i="32"/>
  <c r="AE12" i="32"/>
  <c r="AH12" i="32"/>
  <c r="AD12" i="32"/>
  <c r="AF12" i="32"/>
  <c r="AL12" i="32"/>
  <c r="AC12" i="32"/>
  <c r="AH11" i="32"/>
  <c r="AD11" i="32"/>
  <c r="AE11" i="32"/>
  <c r="AF11" i="32"/>
  <c r="AB11" i="32"/>
  <c r="AC11" i="32"/>
  <c r="AL11" i="32"/>
  <c r="AG11" i="32"/>
  <c r="AD10" i="32"/>
  <c r="AG10" i="32"/>
  <c r="AL10" i="32"/>
  <c r="AH10" i="32"/>
  <c r="AB10" i="32"/>
  <c r="AF10" i="32"/>
  <c r="AC10" i="32"/>
  <c r="AE10" i="32"/>
  <c r="AD9" i="32"/>
  <c r="AL9" i="32"/>
  <c r="AE9" i="32"/>
  <c r="AB9" i="32"/>
  <c r="AG9" i="32"/>
  <c r="AH9" i="32"/>
  <c r="AC9" i="32"/>
  <c r="AF9" i="32"/>
  <c r="AE8" i="32"/>
  <c r="AG8" i="32"/>
  <c r="AC8" i="32"/>
  <c r="AD8" i="32"/>
  <c r="AH8" i="32"/>
  <c r="AL8" i="32"/>
  <c r="AF8" i="32"/>
  <c r="AB8" i="32"/>
  <c r="AH7" i="32"/>
  <c r="AB7" i="32"/>
  <c r="AE7" i="32"/>
  <c r="AF7" i="32"/>
  <c r="AL7" i="32"/>
  <c r="AG7" i="32"/>
  <c r="AC7" i="32"/>
  <c r="AD7" i="32"/>
  <c r="AC6" i="32"/>
  <c r="AD6" i="32"/>
  <c r="AG6" i="32"/>
  <c r="AL6" i="32"/>
  <c r="AF6" i="32"/>
  <c r="AB6" i="32"/>
  <c r="AE6" i="32"/>
  <c r="AR164" i="22"/>
  <c r="AQ164" i="22" a="1"/>
  <c r="AP164" i="22"/>
  <c r="AO164" i="22"/>
  <c r="AK164" i="22" a="1"/>
  <c r="AJ164" i="22" a="1"/>
  <c r="AI164" i="22" a="1"/>
  <c r="AH164" i="22" a="1"/>
  <c r="AG164" i="22" a="1"/>
  <c r="AF164" i="22" a="1"/>
  <c r="AE164" i="22" a="1"/>
  <c r="AD164" i="22" a="1"/>
  <c r="AC164" i="22" a="1"/>
  <c r="AB164" i="22" a="1"/>
  <c r="AA164" i="22" a="1"/>
  <c r="Z164" i="22" a="1"/>
  <c r="Y164" i="22" a="1"/>
  <c r="X164" i="22" a="1"/>
  <c r="W164" i="22" a="1"/>
  <c r="V164" i="22" a="1"/>
  <c r="U164" i="22" a="1"/>
  <c r="T164" i="22"/>
  <c r="AR163" i="22"/>
  <c r="AQ163" i="22" a="1"/>
  <c r="AP163" i="22"/>
  <c r="AO163" i="22"/>
  <c r="AJ163" i="22" a="1"/>
  <c r="AI163" i="22" a="1"/>
  <c r="AH163" i="22" a="1"/>
  <c r="AA163" i="22" a="1"/>
  <c r="Z163" i="22" a="1"/>
  <c r="Y163" i="22" a="1"/>
  <c r="X163" i="22" a="1"/>
  <c r="U163" i="22" a="1"/>
  <c r="T163" i="22"/>
  <c r="AR162" i="22"/>
  <c r="AQ162" i="22" a="1"/>
  <c r="AP162" i="22"/>
  <c r="AO162" i="22"/>
  <c r="AJ162" i="22" a="1"/>
  <c r="AI162" i="22" a="1"/>
  <c r="AH162" i="22" a="1"/>
  <c r="AA162" i="22" a="1"/>
  <c r="Z162" i="22" a="1"/>
  <c r="Y162" i="22" a="1"/>
  <c r="X162" i="22" a="1"/>
  <c r="U162" i="22" a="1"/>
  <c r="T162" i="22"/>
  <c r="AR161" i="22"/>
  <c r="AQ161" i="22" a="1"/>
  <c r="AP161" i="22"/>
  <c r="AO161" i="22"/>
  <c r="AJ161" i="22" a="1"/>
  <c r="AI161" i="22" a="1"/>
  <c r="AH161" i="22" a="1"/>
  <c r="AA161" i="22" a="1"/>
  <c r="Z161" i="22" a="1"/>
  <c r="Y161" i="22" a="1"/>
  <c r="X161" i="22" a="1"/>
  <c r="U161" i="22" a="1"/>
  <c r="T161" i="22"/>
  <c r="B28" i="27"/>
  <c r="AD92" i="27" s="1"/>
  <c r="I2" i="28"/>
  <c r="R143" i="28"/>
  <c r="R142" i="28"/>
  <c r="R141" i="28"/>
  <c r="R140" i="28"/>
  <c r="R139" i="28"/>
  <c r="R138" i="28"/>
  <c r="R137" i="28"/>
  <c r="R136" i="28"/>
  <c r="R135" i="28"/>
  <c r="R134" i="28"/>
  <c r="R133" i="28"/>
  <c r="R132" i="28"/>
  <c r="R131" i="28"/>
  <c r="R130" i="28"/>
  <c r="R129" i="28"/>
  <c r="R128" i="28"/>
  <c r="R127" i="28"/>
  <c r="R126" i="28"/>
  <c r="R125" i="28"/>
  <c r="R124" i="28"/>
  <c r="R123" i="28"/>
  <c r="R122" i="28"/>
  <c r="R121" i="28"/>
  <c r="R120" i="28"/>
  <c r="R119" i="28"/>
  <c r="R118" i="28"/>
  <c r="R117" i="28"/>
  <c r="R116" i="28"/>
  <c r="R115" i="28"/>
  <c r="R114" i="28"/>
  <c r="R113" i="28"/>
  <c r="R112" i="28"/>
  <c r="R111" i="28"/>
  <c r="R110" i="28"/>
  <c r="R109" i="28"/>
  <c r="R108" i="28"/>
  <c r="R107" i="28"/>
  <c r="R106" i="28"/>
  <c r="R105" i="28"/>
  <c r="R104" i="28"/>
  <c r="R103" i="28"/>
  <c r="R102" i="28"/>
  <c r="R101" i="28"/>
  <c r="R100" i="28"/>
  <c r="R99" i="28"/>
  <c r="R98" i="28"/>
  <c r="R97" i="28"/>
  <c r="R96" i="28"/>
  <c r="R95" i="28"/>
  <c r="R94" i="28"/>
  <c r="R93" i="28"/>
  <c r="R92" i="28"/>
  <c r="R91" i="28"/>
  <c r="R90" i="28"/>
  <c r="R89" i="28"/>
  <c r="R88" i="28"/>
  <c r="R87" i="28"/>
  <c r="R86" i="28"/>
  <c r="R85" i="28"/>
  <c r="R84" i="28"/>
  <c r="R83" i="28"/>
  <c r="R82" i="28"/>
  <c r="R81" i="28"/>
  <c r="R80" i="28"/>
  <c r="R79" i="28"/>
  <c r="R78" i="28"/>
  <c r="R77" i="28"/>
  <c r="R76" i="28"/>
  <c r="R75" i="28"/>
  <c r="R74" i="28"/>
  <c r="R73" i="28"/>
  <c r="R72" i="28"/>
  <c r="R71" i="28"/>
  <c r="R70" i="28"/>
  <c r="R69" i="28"/>
  <c r="R68" i="28"/>
  <c r="R67" i="28"/>
  <c r="R66" i="28"/>
  <c r="R65" i="28"/>
  <c r="R64" i="28"/>
  <c r="R63" i="28"/>
  <c r="R62" i="28"/>
  <c r="R61" i="28"/>
  <c r="R60" i="28"/>
  <c r="R59" i="28"/>
  <c r="R58" i="28"/>
  <c r="R57" i="28"/>
  <c r="R56" i="28"/>
  <c r="R55" i="28"/>
  <c r="R54" i="28"/>
  <c r="R53" i="28"/>
  <c r="R52" i="28"/>
  <c r="R51" i="28"/>
  <c r="R50" i="28"/>
  <c r="R49" i="28"/>
  <c r="R48" i="28"/>
  <c r="R47" i="28"/>
  <c r="R46" i="28"/>
  <c r="R45" i="28"/>
  <c r="R44" i="28"/>
  <c r="R43" i="28"/>
  <c r="R42" i="28"/>
  <c r="R41" i="28"/>
  <c r="R40" i="28"/>
  <c r="R39" i="28"/>
  <c r="R38" i="28"/>
  <c r="R37" i="28"/>
  <c r="R36" i="28"/>
  <c r="R35" i="28"/>
  <c r="R34" i="28"/>
  <c r="R33" i="28"/>
  <c r="R32" i="28"/>
  <c r="R31" i="28"/>
  <c r="R30" i="28"/>
  <c r="R29" i="28"/>
  <c r="R28" i="28"/>
  <c r="R27" i="28"/>
  <c r="R26" i="28"/>
  <c r="R25" i="28"/>
  <c r="R24" i="28"/>
  <c r="R23" i="28"/>
  <c r="R22" i="28"/>
  <c r="R21" i="28"/>
  <c r="R20" i="28"/>
  <c r="R19" i="28"/>
  <c r="R18" i="28"/>
  <c r="R17" i="28"/>
  <c r="R16" i="28"/>
  <c r="R15" i="28"/>
  <c r="R14" i="28"/>
  <c r="R13" i="28"/>
  <c r="R12" i="28"/>
  <c r="R11" i="28"/>
  <c r="R10" i="28"/>
  <c r="R9" i="28"/>
  <c r="R8" i="28"/>
  <c r="R7" i="28"/>
  <c r="R6" i="28"/>
  <c r="R5" i="28"/>
  <c r="R4" i="28"/>
  <c r="R3" i="28"/>
  <c r="I94" i="28"/>
  <c r="I93" i="28"/>
  <c r="I92" i="28"/>
  <c r="I91" i="28"/>
  <c r="I90" i="28"/>
  <c r="I89" i="28"/>
  <c r="I88" i="28"/>
  <c r="I87" i="28"/>
  <c r="I86" i="28"/>
  <c r="I85" i="28"/>
  <c r="I84" i="28"/>
  <c r="I83" i="28"/>
  <c r="I82" i="28"/>
  <c r="I81" i="28"/>
  <c r="I80" i="28"/>
  <c r="I79" i="28"/>
  <c r="I78" i="28"/>
  <c r="H154" i="22"/>
  <c r="B154" i="22" a="1"/>
  <c r="H153" i="22"/>
  <c r="B153" i="22" a="1"/>
  <c r="H152" i="22"/>
  <c r="B152" i="22" a="1"/>
  <c r="H151" i="22"/>
  <c r="B151" i="22" a="1"/>
  <c r="B150" i="22" a="1"/>
  <c r="H150" i="22" s="1"/>
  <c r="B149" i="22" a="1"/>
  <c r="H149" i="22" s="1"/>
  <c r="B148" i="22" a="1"/>
  <c r="H148" i="22" s="1"/>
  <c r="J106" i="22" a="1"/>
  <c r="I106" i="22"/>
  <c r="H106" i="22"/>
  <c r="G106" i="22"/>
  <c r="F106" i="22" a="1"/>
  <c r="E106" i="22" a="1"/>
  <c r="D106" i="22" a="1"/>
  <c r="C106" i="22" a="1"/>
  <c r="B106" i="22" a="1"/>
  <c r="J105" i="22" a="1"/>
  <c r="H105" i="22"/>
  <c r="F105" i="22" a="1"/>
  <c r="AE163" i="22" s="1" a="1"/>
  <c r="E105" i="22" a="1"/>
  <c r="D105" i="22" a="1"/>
  <c r="C105" i="22" a="1"/>
  <c r="B105" i="22" a="1"/>
  <c r="J104" i="22" a="1"/>
  <c r="H104" i="22"/>
  <c r="F104" i="22" a="1"/>
  <c r="AE162" i="22" s="1" a="1"/>
  <c r="E104" i="22" a="1"/>
  <c r="D104" i="22" a="1"/>
  <c r="C104" i="22" a="1"/>
  <c r="B104" i="22" a="1"/>
  <c r="J103" i="22" a="1"/>
  <c r="H103" i="22"/>
  <c r="F103" i="22" a="1"/>
  <c r="AE161" i="22" s="1" a="1"/>
  <c r="E103" i="22" a="1"/>
  <c r="D103" i="22" a="1"/>
  <c r="C103" i="22" a="1"/>
  <c r="B103" i="22" a="1"/>
  <c r="AH6" i="25"/>
  <c r="AG6" i="25"/>
  <c r="AF6" i="25"/>
  <c r="AH5" i="25"/>
  <c r="AG5" i="25"/>
  <c r="AF5" i="25"/>
  <c r="AH4" i="25"/>
  <c r="AG4" i="25"/>
  <c r="AF4" i="25"/>
  <c r="AG3" i="25"/>
  <c r="AH3" i="25"/>
  <c r="AF3" i="25"/>
  <c r="U20" i="22" a="1"/>
  <c r="E436" i="23" a="1"/>
  <c r="U18" i="22" a="1"/>
  <c r="S18" i="22"/>
  <c r="P144" i="24"/>
  <c r="P143" i="24"/>
  <c r="P142" i="24"/>
  <c r="P141" i="24"/>
  <c r="P140" i="24"/>
  <c r="P139" i="24"/>
  <c r="P138" i="24"/>
  <c r="P137" i="24"/>
  <c r="P136" i="24"/>
  <c r="P135" i="24"/>
  <c r="P134" i="24"/>
  <c r="P133" i="24"/>
  <c r="P132" i="24"/>
  <c r="P131" i="24"/>
  <c r="P130" i="24"/>
  <c r="P129" i="24"/>
  <c r="P128" i="24"/>
  <c r="P127" i="24"/>
  <c r="P126" i="24"/>
  <c r="P125" i="24"/>
  <c r="P124" i="24"/>
  <c r="P123" i="24"/>
  <c r="P122" i="24"/>
  <c r="P121" i="24"/>
  <c r="P120" i="24"/>
  <c r="P119" i="24"/>
  <c r="P118" i="24"/>
  <c r="P117" i="24"/>
  <c r="P116" i="24"/>
  <c r="P115" i="24"/>
  <c r="P114" i="24"/>
  <c r="P113" i="24"/>
  <c r="P112" i="24"/>
  <c r="P111" i="24"/>
  <c r="P110" i="24"/>
  <c r="P109" i="24"/>
  <c r="P108" i="24"/>
  <c r="P107" i="24"/>
  <c r="P106" i="24"/>
  <c r="P105" i="24"/>
  <c r="P104" i="24"/>
  <c r="P103" i="24"/>
  <c r="P102" i="24"/>
  <c r="P101" i="24"/>
  <c r="P100" i="24"/>
  <c r="P99" i="24"/>
  <c r="P98" i="24"/>
  <c r="P97" i="24"/>
  <c r="P96" i="24"/>
  <c r="P95" i="24"/>
  <c r="P94" i="24"/>
  <c r="P93" i="24"/>
  <c r="P92" i="24"/>
  <c r="P91" i="24"/>
  <c r="P90" i="24"/>
  <c r="P89" i="24"/>
  <c r="P88" i="24"/>
  <c r="P87" i="24"/>
  <c r="P86" i="24"/>
  <c r="P85" i="24"/>
  <c r="P84" i="24"/>
  <c r="P83" i="24"/>
  <c r="P82" i="24"/>
  <c r="P81" i="24"/>
  <c r="P80" i="24"/>
  <c r="P79" i="24"/>
  <c r="P78" i="24"/>
  <c r="P77" i="24"/>
  <c r="P76" i="24"/>
  <c r="P75" i="24"/>
  <c r="P74" i="24"/>
  <c r="P73" i="24"/>
  <c r="P72" i="24"/>
  <c r="P71" i="24"/>
  <c r="P70" i="24"/>
  <c r="P69" i="24"/>
  <c r="P68" i="24"/>
  <c r="P67" i="24"/>
  <c r="P66" i="24"/>
  <c r="P65" i="24"/>
  <c r="P64" i="24"/>
  <c r="P63" i="24"/>
  <c r="P62" i="24"/>
  <c r="P61" i="24"/>
  <c r="P60" i="24"/>
  <c r="P59" i="24"/>
  <c r="P58" i="24"/>
  <c r="P57" i="24"/>
  <c r="P56" i="24"/>
  <c r="P55" i="24"/>
  <c r="P54" i="24"/>
  <c r="P53" i="24"/>
  <c r="P52" i="24"/>
  <c r="P51" i="24"/>
  <c r="P50" i="24"/>
  <c r="P48" i="24"/>
  <c r="P47" i="24"/>
  <c r="P46" i="24"/>
  <c r="P45" i="24"/>
  <c r="P44" i="24"/>
  <c r="P43" i="24"/>
  <c r="P42" i="24"/>
  <c r="P41" i="24"/>
  <c r="P40" i="24"/>
  <c r="P39" i="24"/>
  <c r="P38" i="24"/>
  <c r="P37" i="24"/>
  <c r="P36" i="24"/>
  <c r="P35" i="24"/>
  <c r="P34" i="24"/>
  <c r="P33" i="24"/>
  <c r="P32" i="24"/>
  <c r="P31" i="24"/>
  <c r="P30" i="24"/>
  <c r="P29" i="24"/>
  <c r="P28" i="24"/>
  <c r="P27" i="24"/>
  <c r="P26" i="24"/>
  <c r="P25" i="24"/>
  <c r="P24" i="24"/>
  <c r="P23" i="24"/>
  <c r="P22" i="24"/>
  <c r="P21" i="24"/>
  <c r="P20" i="24"/>
  <c r="P19" i="24"/>
  <c r="P18" i="24"/>
  <c r="P17" i="24"/>
  <c r="P16" i="24"/>
  <c r="P15" i="24"/>
  <c r="P14" i="24"/>
  <c r="P13" i="24"/>
  <c r="P12" i="24"/>
  <c r="P11" i="24"/>
  <c r="P10" i="24"/>
  <c r="P9" i="24"/>
  <c r="P8" i="24"/>
  <c r="P7" i="24"/>
  <c r="P6" i="24"/>
  <c r="P5" i="24"/>
  <c r="P4" i="24"/>
  <c r="F1209" i="23" a="1"/>
  <c r="E1209" i="23" a="1"/>
  <c r="F1208" i="23" a="1"/>
  <c r="E1208" i="23" a="1"/>
  <c r="F1207" i="23" a="1"/>
  <c r="E1207" i="23" a="1"/>
  <c r="F1206" i="23" a="1"/>
  <c r="E1206" i="23" a="1"/>
  <c r="F1205" i="23" a="1"/>
  <c r="E1205" i="23" a="1"/>
  <c r="F1204" i="23" a="1"/>
  <c r="E1204" i="23" a="1"/>
  <c r="F1203" i="23" a="1"/>
  <c r="E1203" i="23" a="1"/>
  <c r="F1202" i="23" a="1"/>
  <c r="E1202" i="23" a="1"/>
  <c r="F1201" i="23" a="1"/>
  <c r="E1201" i="23" a="1"/>
  <c r="F1200" i="23" a="1"/>
  <c r="E1200" i="23" a="1"/>
  <c r="F1199" i="23" a="1"/>
  <c r="E1199" i="23" a="1"/>
  <c r="F1198" i="23" a="1"/>
  <c r="E1198" i="23" a="1"/>
  <c r="F1197" i="23" a="1"/>
  <c r="E1197" i="23" a="1"/>
  <c r="F1196" i="23" a="1"/>
  <c r="E1196" i="23" a="1"/>
  <c r="F1195" i="23" a="1"/>
  <c r="E1195" i="23" a="1"/>
  <c r="F1194" i="23" a="1"/>
  <c r="E1194" i="23" a="1"/>
  <c r="F1193" i="23" a="1"/>
  <c r="E1193" i="23" a="1"/>
  <c r="F1192" i="23" a="1"/>
  <c r="E1192" i="23" a="1"/>
  <c r="F1191" i="23" a="1"/>
  <c r="E1191" i="23" a="1"/>
  <c r="F1190" i="23" a="1"/>
  <c r="E1190" i="23" a="1"/>
  <c r="F1189" i="23" a="1"/>
  <c r="E1189" i="23" a="1"/>
  <c r="F1188" i="23" a="1"/>
  <c r="E1188" i="23" a="1"/>
  <c r="F1187" i="23" a="1"/>
  <c r="E1187" i="23" a="1"/>
  <c r="F1186" i="23" a="1"/>
  <c r="E1186" i="23" a="1"/>
  <c r="F1185" i="23" a="1"/>
  <c r="E1185" i="23" a="1"/>
  <c r="F1184" i="23" a="1"/>
  <c r="E1184" i="23" a="1"/>
  <c r="F1183" i="23" a="1"/>
  <c r="E1183" i="23" a="1"/>
  <c r="F1182" i="23" a="1"/>
  <c r="E1182" i="23" a="1"/>
  <c r="F1181" i="23" a="1"/>
  <c r="E1181" i="23" a="1"/>
  <c r="F1180" i="23" a="1"/>
  <c r="E1180" i="23" a="1"/>
  <c r="F1179" i="23" a="1"/>
  <c r="E1179" i="23" a="1"/>
  <c r="F1178" i="23" a="1"/>
  <c r="E1178" i="23" a="1"/>
  <c r="F1177" i="23" a="1"/>
  <c r="E1177" i="23" a="1"/>
  <c r="F1176" i="23" a="1"/>
  <c r="E1176" i="23" a="1"/>
  <c r="F1175" i="23" a="1"/>
  <c r="E1175" i="23" a="1"/>
  <c r="F1174" i="23" a="1"/>
  <c r="E1174" i="23" a="1"/>
  <c r="F1173" i="23" a="1"/>
  <c r="E1173" i="23" a="1"/>
  <c r="F1172" i="23" a="1"/>
  <c r="E1172" i="23" a="1"/>
  <c r="F1171" i="23" a="1"/>
  <c r="E1171" i="23" a="1"/>
  <c r="F1170" i="23" a="1"/>
  <c r="E1170" i="23" a="1"/>
  <c r="F1169" i="23" a="1"/>
  <c r="E1169" i="23" a="1"/>
  <c r="F1168" i="23" a="1"/>
  <c r="E1168" i="23" a="1"/>
  <c r="F1167" i="23" a="1"/>
  <c r="E1167" i="23" a="1"/>
  <c r="F1166" i="23" a="1"/>
  <c r="E1166" i="23" a="1"/>
  <c r="F1165" i="23" a="1"/>
  <c r="E1165" i="23" a="1"/>
  <c r="F1164" i="23" a="1"/>
  <c r="E1164" i="23" a="1"/>
  <c r="F1163" i="23" a="1"/>
  <c r="E1163" i="23" a="1"/>
  <c r="F1162" i="23" a="1"/>
  <c r="E1162" i="23" a="1"/>
  <c r="F1161" i="23" a="1"/>
  <c r="E1161" i="23" a="1"/>
  <c r="F1160" i="23" a="1"/>
  <c r="E1160" i="23" a="1"/>
  <c r="F1159" i="23" a="1"/>
  <c r="E1159" i="23" a="1"/>
  <c r="F1158" i="23" a="1"/>
  <c r="E1158" i="23" a="1"/>
  <c r="F1157" i="23" a="1"/>
  <c r="E1157" i="23" a="1"/>
  <c r="F1156" i="23" a="1"/>
  <c r="E1156" i="23" a="1"/>
  <c r="F1155" i="23" a="1"/>
  <c r="E1155" i="23" a="1"/>
  <c r="F1154" i="23" a="1"/>
  <c r="E1154" i="23" a="1"/>
  <c r="F1153" i="23" a="1"/>
  <c r="E1153" i="23" a="1"/>
  <c r="F1152" i="23" a="1"/>
  <c r="E1152" i="23" a="1"/>
  <c r="F1151" i="23" a="1"/>
  <c r="E1151" i="23" a="1"/>
  <c r="F1150" i="23" a="1"/>
  <c r="E1150" i="23" a="1"/>
  <c r="F1149" i="23" a="1"/>
  <c r="E1149" i="23" a="1"/>
  <c r="F1148" i="23" a="1"/>
  <c r="E1148" i="23" a="1"/>
  <c r="F1147" i="23" a="1"/>
  <c r="E1147" i="23" a="1"/>
  <c r="F1146" i="23" a="1"/>
  <c r="E1146" i="23" a="1"/>
  <c r="F1145" i="23" a="1"/>
  <c r="E1145" i="23" a="1"/>
  <c r="F1144" i="23" a="1"/>
  <c r="E1144" i="23" a="1"/>
  <c r="F1143" i="23" a="1"/>
  <c r="E1143" i="23" a="1"/>
  <c r="F1142" i="23" a="1"/>
  <c r="E1142" i="23" a="1"/>
  <c r="F1141" i="23" a="1"/>
  <c r="E1141" i="23" a="1"/>
  <c r="F1140" i="23" a="1"/>
  <c r="E1140" i="23" a="1"/>
  <c r="F1139" i="23" a="1"/>
  <c r="E1139" i="23" a="1"/>
  <c r="F1138" i="23" a="1"/>
  <c r="E1138" i="23" a="1"/>
  <c r="F1137" i="23" a="1"/>
  <c r="E1137" i="23" a="1"/>
  <c r="F1136" i="23" a="1"/>
  <c r="E1136" i="23" a="1"/>
  <c r="F1135" i="23" a="1"/>
  <c r="E1135" i="23" a="1"/>
  <c r="F1134" i="23" a="1"/>
  <c r="E1134" i="23" a="1"/>
  <c r="F1133" i="23" a="1"/>
  <c r="E1133" i="23" a="1"/>
  <c r="F1132" i="23" a="1"/>
  <c r="E1132" i="23" a="1"/>
  <c r="F1131" i="23" a="1"/>
  <c r="E1131" i="23" a="1"/>
  <c r="F1130" i="23" a="1"/>
  <c r="E1130" i="23" a="1"/>
  <c r="F1129" i="23" a="1"/>
  <c r="E1129" i="23" a="1"/>
  <c r="F1128" i="23" a="1"/>
  <c r="E1128" i="23" a="1"/>
  <c r="F1127" i="23" a="1"/>
  <c r="E1127" i="23" a="1"/>
  <c r="F1126" i="23" a="1"/>
  <c r="E1126" i="23" a="1"/>
  <c r="F1125" i="23" a="1"/>
  <c r="E1125" i="23" a="1"/>
  <c r="F1124" i="23" a="1"/>
  <c r="E1124" i="23" a="1"/>
  <c r="F1123" i="23" a="1"/>
  <c r="E1123" i="23" a="1"/>
  <c r="F1122" i="23" a="1"/>
  <c r="E1122" i="23" a="1"/>
  <c r="F1121" i="23" a="1"/>
  <c r="E1121" i="23" a="1"/>
  <c r="F1120" i="23" a="1"/>
  <c r="E1120" i="23" a="1"/>
  <c r="F1119" i="23" a="1"/>
  <c r="E1119" i="23" a="1"/>
  <c r="F1118" i="23" a="1"/>
  <c r="E1118" i="23" a="1"/>
  <c r="F1117" i="23" a="1"/>
  <c r="E1117" i="23" a="1"/>
  <c r="F1116" i="23" a="1"/>
  <c r="E1116" i="23" a="1"/>
  <c r="F1115" i="23" a="1"/>
  <c r="E1115" i="23" a="1"/>
  <c r="F1114" i="23" a="1"/>
  <c r="E1114" i="23" a="1"/>
  <c r="F1113" i="23" a="1"/>
  <c r="E1113" i="23" a="1"/>
  <c r="F1112" i="23" a="1"/>
  <c r="E1112" i="23" a="1"/>
  <c r="F1111" i="23" a="1"/>
  <c r="E1111" i="23" a="1"/>
  <c r="F1110" i="23" a="1"/>
  <c r="E1110" i="23" a="1"/>
  <c r="F1109" i="23" a="1"/>
  <c r="E1109" i="23" a="1"/>
  <c r="F1108" i="23" a="1"/>
  <c r="E1108" i="23" a="1"/>
  <c r="F1107" i="23" a="1"/>
  <c r="E1107" i="23" a="1"/>
  <c r="F1106" i="23" a="1"/>
  <c r="E1106" i="23" a="1"/>
  <c r="F1105" i="23" a="1"/>
  <c r="E1105" i="23" a="1"/>
  <c r="F1104" i="23" a="1"/>
  <c r="E1104" i="23" a="1"/>
  <c r="F1103" i="23" a="1"/>
  <c r="E1103" i="23" a="1"/>
  <c r="F1102" i="23" a="1"/>
  <c r="E1102" i="23" a="1"/>
  <c r="F1101" i="23" a="1"/>
  <c r="E1101" i="23" a="1"/>
  <c r="F1100" i="23" a="1"/>
  <c r="E1100" i="23" a="1"/>
  <c r="F1099" i="23" a="1"/>
  <c r="E1099" i="23" a="1"/>
  <c r="F1098" i="23" a="1"/>
  <c r="E1098" i="23" a="1"/>
  <c r="F1097" i="23" a="1"/>
  <c r="E1097" i="23" a="1"/>
  <c r="F1096" i="23" a="1"/>
  <c r="E1096" i="23" a="1"/>
  <c r="F1095" i="23" a="1"/>
  <c r="E1095" i="23" a="1"/>
  <c r="F1094" i="23" a="1"/>
  <c r="E1094" i="23" a="1"/>
  <c r="F1093" i="23" a="1"/>
  <c r="E1093" i="23" a="1"/>
  <c r="F1092" i="23" a="1"/>
  <c r="E1092" i="23" a="1"/>
  <c r="F1091" i="23" a="1"/>
  <c r="E1091" i="23" a="1"/>
  <c r="F1090" i="23" a="1"/>
  <c r="E1090" i="23" a="1"/>
  <c r="F1089" i="23" a="1"/>
  <c r="E1089" i="23" a="1"/>
  <c r="F1088" i="23" a="1"/>
  <c r="E1088" i="23" a="1"/>
  <c r="F1087" i="23" a="1"/>
  <c r="E1087" i="23" a="1"/>
  <c r="F1086" i="23" a="1"/>
  <c r="E1086" i="23" a="1"/>
  <c r="F1085" i="23" a="1"/>
  <c r="E1085" i="23" a="1"/>
  <c r="F1084" i="23" a="1"/>
  <c r="E1084" i="23" a="1"/>
  <c r="F1083" i="23" a="1"/>
  <c r="E1083" i="23" a="1"/>
  <c r="F1082" i="23" a="1"/>
  <c r="E1082" i="23" a="1"/>
  <c r="F1081" i="23" a="1"/>
  <c r="E1081" i="23" a="1"/>
  <c r="F1080" i="23" a="1"/>
  <c r="E1080" i="23" a="1"/>
  <c r="F1079" i="23" a="1"/>
  <c r="E1079" i="23" a="1"/>
  <c r="F1078" i="23" a="1"/>
  <c r="E1078" i="23" a="1"/>
  <c r="F1077" i="23" a="1"/>
  <c r="E1077" i="23" a="1"/>
  <c r="F1076" i="23" a="1"/>
  <c r="E1076" i="23" a="1"/>
  <c r="E1075" i="23" a="1"/>
  <c r="F1075" i="23" a="1"/>
  <c r="E1074" i="23" a="1"/>
  <c r="F1074" i="23" a="1"/>
  <c r="F1073" i="23" a="1"/>
  <c r="E1073" i="23" a="1"/>
  <c r="F1072" i="23" a="1"/>
  <c r="E1072" i="23" a="1"/>
  <c r="F1071" i="23" a="1"/>
  <c r="E1071" i="23" a="1"/>
  <c r="F1070" i="23" a="1"/>
  <c r="E1070" i="23" a="1"/>
  <c r="F1069" i="23" a="1"/>
  <c r="E1069" i="23" a="1"/>
  <c r="E1068" i="23" a="1"/>
  <c r="F1068" i="23" a="1"/>
  <c r="E1067" i="23" a="1"/>
  <c r="F1067" i="23" a="1"/>
  <c r="F1066" i="23" a="1"/>
  <c r="E1066" i="23" a="1"/>
  <c r="E1065" i="23" a="1"/>
  <c r="F1065" i="23" a="1"/>
  <c r="F1064" i="23" a="1"/>
  <c r="E1064" i="23" a="1"/>
  <c r="F1063" i="23" a="1"/>
  <c r="E1063" i="23" a="1"/>
  <c r="E1062" i="23" a="1"/>
  <c r="F1062" i="23" a="1"/>
  <c r="E1061" i="23" a="1"/>
  <c r="F1061" i="23" a="1"/>
  <c r="E1060" i="23" a="1"/>
  <c r="F1060" i="23" a="1"/>
  <c r="E1059" i="23" a="1"/>
  <c r="F1059" i="23" a="1"/>
  <c r="E1058" i="23" a="1"/>
  <c r="F1058" i="23" a="1"/>
  <c r="F1057" i="23" a="1"/>
  <c r="E1057" i="23" a="1"/>
  <c r="E1056" i="23" a="1"/>
  <c r="F1056" i="23" a="1"/>
  <c r="E1055" i="23" a="1"/>
  <c r="F1055" i="23" a="1"/>
  <c r="E1054" i="23" a="1"/>
  <c r="F1054" i="23" a="1"/>
  <c r="E1053" i="23" a="1"/>
  <c r="F1053" i="23" a="1"/>
  <c r="E1052" i="23" a="1"/>
  <c r="F1052" i="23" a="1"/>
  <c r="F1051" i="23" a="1"/>
  <c r="E1051" i="23" a="1"/>
  <c r="E1050" i="23" a="1"/>
  <c r="F1050" i="23" a="1"/>
  <c r="E1049" i="23" a="1"/>
  <c r="F1049" i="23" a="1"/>
  <c r="E1048" i="23" a="1"/>
  <c r="F1048" i="23" a="1"/>
  <c r="E1047" i="23" a="1"/>
  <c r="F1047" i="23" a="1"/>
  <c r="F1046" i="23" a="1"/>
  <c r="E1046" i="23" a="1"/>
  <c r="F1045" i="23" a="1"/>
  <c r="E1045" i="23" a="1"/>
  <c r="E1044" i="23" a="1"/>
  <c r="F1044" i="23" a="1"/>
  <c r="F1043" i="23" a="1"/>
  <c r="E1043" i="23" a="1"/>
  <c r="E1042" i="23" a="1"/>
  <c r="F1042" i="23" a="1"/>
  <c r="F1041" i="23" a="1"/>
  <c r="E1041" i="23" a="1"/>
  <c r="E1040" i="23" a="1"/>
  <c r="F1040" i="23" a="1"/>
  <c r="E1039" i="23" a="1"/>
  <c r="F1039" i="23" a="1"/>
  <c r="F1038" i="23" a="1"/>
  <c r="E1038" i="23" a="1"/>
  <c r="F1037" i="23" a="1"/>
  <c r="E1037" i="23" a="1"/>
  <c r="F1036" i="23" a="1"/>
  <c r="E1036" i="23" a="1"/>
  <c r="F1035" i="23" a="1"/>
  <c r="E1035" i="23" a="1"/>
  <c r="F1034" i="23" a="1"/>
  <c r="E1034" i="23" a="1"/>
  <c r="F1033" i="23" a="1"/>
  <c r="E1033" i="23" a="1"/>
  <c r="E1032" i="23" a="1"/>
  <c r="F1032" i="23" a="1"/>
  <c r="E1031" i="23" a="1"/>
  <c r="F1031" i="23" a="1"/>
  <c r="E1030" i="23" a="1"/>
  <c r="F1030" i="23" a="1"/>
  <c r="F1029" i="23" a="1"/>
  <c r="E1029" i="23" a="1"/>
  <c r="F1028" i="23" a="1"/>
  <c r="E1028" i="23" a="1"/>
  <c r="F1027" i="23" a="1"/>
  <c r="E1027" i="23" a="1"/>
  <c r="E1026" i="23" a="1"/>
  <c r="F1026" i="23" a="1"/>
  <c r="F1025" i="23" a="1"/>
  <c r="E1025" i="23" a="1"/>
  <c r="E1024" i="23" a="1"/>
  <c r="F1024" i="23" a="1"/>
  <c r="F1023" i="23" a="1"/>
  <c r="E1023" i="23" a="1"/>
  <c r="F1022" i="23" a="1"/>
  <c r="E1022" i="23" a="1"/>
  <c r="F1021" i="23" a="1"/>
  <c r="E1021" i="23" a="1"/>
  <c r="E1020" i="23" a="1"/>
  <c r="F1020" i="23" a="1"/>
  <c r="F1019" i="23" a="1"/>
  <c r="E1019" i="23" a="1"/>
  <c r="E1018" i="23" a="1"/>
  <c r="F1018" i="23" a="1"/>
  <c r="E1017" i="23" a="1"/>
  <c r="F1017" i="23" a="1"/>
  <c r="F1016" i="23" a="1"/>
  <c r="E1016" i="23" a="1"/>
  <c r="F1015" i="23" a="1"/>
  <c r="E1015" i="23" a="1"/>
  <c r="F1014" i="23" a="1"/>
  <c r="E1014" i="23" a="1"/>
  <c r="F1013" i="23" a="1"/>
  <c r="E1013" i="23" a="1"/>
  <c r="F1012" i="23" a="1"/>
  <c r="E1012" i="23" a="1"/>
  <c r="E1011" i="23" a="1"/>
  <c r="F1011" i="23" a="1"/>
  <c r="E1010" i="23" a="1"/>
  <c r="F1010" i="23" a="1"/>
  <c r="E1009" i="23" a="1"/>
  <c r="F1009" i="23" a="1"/>
  <c r="F1008" i="23" a="1"/>
  <c r="E1008" i="23" a="1"/>
  <c r="E1007" i="23" a="1"/>
  <c r="F1007" i="23" a="1"/>
  <c r="F1006" i="23" a="1"/>
  <c r="E1006" i="23" a="1"/>
  <c r="F1005" i="23" a="1"/>
  <c r="E1005" i="23" a="1"/>
  <c r="F1004" i="23" a="1"/>
  <c r="E1004" i="23" a="1"/>
  <c r="E1003" i="23" a="1"/>
  <c r="F1003" i="23" a="1"/>
  <c r="F1002" i="23" a="1"/>
  <c r="E1002" i="23" a="1"/>
  <c r="F1001" i="23" a="1"/>
  <c r="E1001" i="23" a="1"/>
  <c r="E1000" i="23" a="1"/>
  <c r="F1000" i="23" a="1"/>
  <c r="E999" i="23" a="1"/>
  <c r="F999" i="23" a="1"/>
  <c r="E998" i="23" a="1"/>
  <c r="F998" i="23" a="1"/>
  <c r="F997" i="23" a="1"/>
  <c r="E997" i="23" a="1"/>
  <c r="E996" i="23" a="1"/>
  <c r="F996" i="23" a="1"/>
  <c r="E995" i="23" a="1"/>
  <c r="F995" i="23" a="1"/>
  <c r="F994" i="23" a="1"/>
  <c r="E994" i="23" a="1"/>
  <c r="E993" i="23" a="1"/>
  <c r="F993" i="23" a="1"/>
  <c r="E992" i="23" a="1"/>
  <c r="F992" i="23" a="1"/>
  <c r="E991" i="23" a="1"/>
  <c r="F991" i="23" a="1"/>
  <c r="F990" i="23" a="1"/>
  <c r="E990" i="23" a="1"/>
  <c r="E989" i="23" a="1"/>
  <c r="F989" i="23" a="1"/>
  <c r="E988" i="23" a="1"/>
  <c r="F988" i="23" a="1"/>
  <c r="E987" i="23" a="1"/>
  <c r="F987" i="23" a="1"/>
  <c r="F986" i="23" a="1"/>
  <c r="E986" i="23" a="1"/>
  <c r="F985" i="23" a="1"/>
  <c r="E985" i="23" a="1"/>
  <c r="F984" i="23" a="1"/>
  <c r="E984" i="23" a="1"/>
  <c r="E983" i="23" a="1"/>
  <c r="F983" i="23" a="1"/>
  <c r="F982" i="23" a="1"/>
  <c r="E982" i="23" a="1"/>
  <c r="E981" i="23" a="1"/>
  <c r="F981" i="23" a="1"/>
  <c r="E980" i="23" a="1"/>
  <c r="F980" i="23" a="1"/>
  <c r="F979" i="23" a="1"/>
  <c r="E979" i="23" a="1"/>
  <c r="E978" i="23" a="1"/>
  <c r="F978" i="23" a="1"/>
  <c r="E977" i="23" a="1"/>
  <c r="F977" i="23" a="1"/>
  <c r="F976" i="23" a="1"/>
  <c r="E976" i="23" a="1"/>
  <c r="E975" i="23" a="1"/>
  <c r="F975" i="23" a="1"/>
  <c r="E974" i="23" a="1"/>
  <c r="F974" i="23" a="1"/>
  <c r="F973" i="23" a="1"/>
  <c r="E973" i="23" a="1"/>
  <c r="F972" i="23" a="1"/>
  <c r="E972" i="23" a="1"/>
  <c r="E971" i="23" a="1"/>
  <c r="F971" i="23" a="1"/>
  <c r="F970" i="23" a="1"/>
  <c r="E970" i="23" a="1"/>
  <c r="E969" i="23" a="1"/>
  <c r="F969" i="23" a="1"/>
  <c r="F968" i="23" a="1"/>
  <c r="E968" i="23" a="1"/>
  <c r="E967" i="23" a="1"/>
  <c r="F967" i="23" a="1"/>
  <c r="F966" i="23" a="1"/>
  <c r="E966" i="23" a="1"/>
  <c r="E965" i="23" a="1"/>
  <c r="F965" i="23" a="1"/>
  <c r="E964" i="23" a="1"/>
  <c r="F964" i="23" a="1"/>
  <c r="F963" i="23" a="1"/>
  <c r="E963" i="23" a="1"/>
  <c r="E962" i="23" a="1"/>
  <c r="F962" i="23" a="1"/>
  <c r="F961" i="23" a="1"/>
  <c r="E961" i="23" a="1"/>
  <c r="F960" i="23" a="1"/>
  <c r="E960" i="23" a="1"/>
  <c r="E959" i="23" a="1"/>
  <c r="F959" i="23" a="1"/>
  <c r="F958" i="23" a="1"/>
  <c r="E958" i="23" a="1"/>
  <c r="F957" i="23" a="1"/>
  <c r="E957" i="23" a="1"/>
  <c r="F956" i="23" a="1"/>
  <c r="E956" i="23" a="1"/>
  <c r="F955" i="23" a="1"/>
  <c r="E955" i="23" a="1"/>
  <c r="F954" i="23" a="1"/>
  <c r="E954" i="23" a="1"/>
  <c r="F953" i="23" a="1"/>
  <c r="E953" i="23" a="1"/>
  <c r="F952" i="23" a="1"/>
  <c r="E952" i="23" a="1"/>
  <c r="F951" i="23" a="1"/>
  <c r="E951" i="23" a="1"/>
  <c r="F950" i="23" a="1"/>
  <c r="E950" i="23" a="1"/>
  <c r="E949" i="23" a="1"/>
  <c r="F949" i="23" a="1"/>
  <c r="F948" i="23" a="1"/>
  <c r="E948" i="23" a="1"/>
  <c r="E947" i="23" a="1"/>
  <c r="F947" i="23" a="1"/>
  <c r="E946" i="23" a="1"/>
  <c r="F946" i="23" a="1"/>
  <c r="F945" i="23" a="1"/>
  <c r="E945" i="23" a="1"/>
  <c r="E944" i="23" a="1"/>
  <c r="F944" i="23" a="1"/>
  <c r="E943" i="23" a="1"/>
  <c r="F943" i="23" a="1"/>
  <c r="F942" i="23" a="1"/>
  <c r="E942" i="23" a="1"/>
  <c r="E941" i="23" a="1"/>
  <c r="F941" i="23" a="1"/>
  <c r="F940" i="23" a="1"/>
  <c r="E940" i="23" a="1"/>
  <c r="E939" i="23" a="1"/>
  <c r="F939" i="23" a="1"/>
  <c r="E938" i="23" a="1"/>
  <c r="F938" i="23" a="1"/>
  <c r="E937" i="23" a="1"/>
  <c r="F937" i="23" a="1"/>
  <c r="F936" i="23" a="1"/>
  <c r="E936" i="23" a="1"/>
  <c r="E935" i="23" a="1"/>
  <c r="F935" i="23" a="1"/>
  <c r="E934" i="23" a="1"/>
  <c r="F934" i="23" a="1"/>
  <c r="E933" i="23" a="1"/>
  <c r="F933" i="23" a="1"/>
  <c r="E932" i="23" a="1"/>
  <c r="F932" i="23" a="1"/>
  <c r="F931" i="23" a="1"/>
  <c r="E931" i="23" a="1"/>
  <c r="E930" i="23" a="1"/>
  <c r="F930" i="23" a="1"/>
  <c r="E929" i="23" a="1"/>
  <c r="F929" i="23" a="1"/>
  <c r="E928" i="23" a="1"/>
  <c r="F928" i="23" a="1"/>
  <c r="F927" i="23" a="1"/>
  <c r="E927" i="23" a="1"/>
  <c r="F926" i="23" a="1"/>
  <c r="E926" i="23" a="1"/>
  <c r="F925" i="23" a="1"/>
  <c r="E925" i="23" a="1"/>
  <c r="F924" i="23" a="1"/>
  <c r="E924" i="23" a="1"/>
  <c r="E923" i="23" a="1"/>
  <c r="F923" i="23" a="1"/>
  <c r="F922" i="23" a="1"/>
  <c r="E922" i="23" a="1"/>
  <c r="E921" i="23" a="1"/>
  <c r="F921" i="23" a="1"/>
  <c r="E920" i="23" a="1"/>
  <c r="F920" i="23" a="1"/>
  <c r="F919" i="23" a="1"/>
  <c r="E919" i="23" a="1"/>
  <c r="F918" i="23" a="1"/>
  <c r="E918" i="23" a="1"/>
  <c r="E917" i="23" a="1"/>
  <c r="F917" i="23" a="1"/>
  <c r="E916" i="23" a="1"/>
  <c r="F916" i="23" a="1"/>
  <c r="E915" i="23" a="1"/>
  <c r="F915" i="23" a="1"/>
  <c r="E914" i="23" a="1"/>
  <c r="F914" i="23" a="1"/>
  <c r="E913" i="23" a="1"/>
  <c r="F913" i="23" a="1"/>
  <c r="F912" i="23" a="1"/>
  <c r="E912" i="23" a="1"/>
  <c r="F911" i="23" a="1"/>
  <c r="E911" i="23" a="1"/>
  <c r="E910" i="23" a="1"/>
  <c r="F910" i="23" a="1"/>
  <c r="E909" i="23" a="1"/>
  <c r="F909" i="23" a="1"/>
  <c r="E908" i="23" a="1"/>
  <c r="F908" i="23" a="1"/>
  <c r="F907" i="23" a="1"/>
  <c r="E907" i="23" a="1"/>
  <c r="E906" i="23" a="1"/>
  <c r="F905" i="23" a="1"/>
  <c r="E905" i="23" a="1"/>
  <c r="E904" i="23" a="1"/>
  <c r="F904" i="23" a="1"/>
  <c r="F903" i="23" a="1"/>
  <c r="E903" i="23" a="1"/>
  <c r="E902" i="23" a="1"/>
  <c r="F902" i="23" a="1"/>
  <c r="E901" i="23" a="1"/>
  <c r="F901" i="23" a="1"/>
  <c r="F900" i="23" a="1"/>
  <c r="E900" i="23" a="1"/>
  <c r="E899" i="23" a="1"/>
  <c r="F899" i="23" a="1"/>
  <c r="E898" i="23" a="1"/>
  <c r="F898" i="23" a="1"/>
  <c r="F897" i="23" a="1"/>
  <c r="E897" i="23" a="1"/>
  <c r="F896" i="23" a="1"/>
  <c r="E896" i="23" a="1"/>
  <c r="E895" i="23" a="1"/>
  <c r="F895" i="23" a="1"/>
  <c r="F894" i="23" a="1"/>
  <c r="E894" i="23" a="1"/>
  <c r="E893" i="23" a="1"/>
  <c r="F893" i="23" a="1"/>
  <c r="F892" i="23" a="1"/>
  <c r="E892" i="23" a="1"/>
  <c r="E891" i="23" a="1"/>
  <c r="F891" i="23" a="1"/>
  <c r="F890" i="23" a="1"/>
  <c r="E890" i="23" a="1"/>
  <c r="F889" i="23" a="1"/>
  <c r="E889" i="23" a="1"/>
  <c r="F888" i="23" a="1"/>
  <c r="E888" i="23" a="1"/>
  <c r="F887" i="23" a="1"/>
  <c r="E887" i="23" a="1"/>
  <c r="E886" i="23" a="1"/>
  <c r="F886" i="23" a="1"/>
  <c r="F885" i="23" a="1"/>
  <c r="E885" i="23" a="1"/>
  <c r="E884" i="23" a="1"/>
  <c r="F884" i="23" a="1"/>
  <c r="E883" i="23" a="1"/>
  <c r="F883" i="23" a="1"/>
  <c r="E882" i="23" a="1"/>
  <c r="F882" i="23" a="1"/>
  <c r="F881" i="23" a="1"/>
  <c r="E881" i="23" a="1"/>
  <c r="E880" i="23" a="1"/>
  <c r="F880" i="23" a="1"/>
  <c r="F879" i="23" a="1"/>
  <c r="E879" i="23" a="1"/>
  <c r="F878" i="23" a="1"/>
  <c r="E878" i="23" a="1"/>
  <c r="F877" i="23" a="1"/>
  <c r="E877" i="23" a="1"/>
  <c r="E876" i="23" a="1"/>
  <c r="F876" i="23" a="1"/>
  <c r="F875" i="23" a="1"/>
  <c r="E875" i="23" a="1"/>
  <c r="F874" i="23" a="1"/>
  <c r="E874" i="23" a="1"/>
  <c r="F873" i="23" a="1"/>
  <c r="E873" i="23" a="1"/>
  <c r="E872" i="23" a="1"/>
  <c r="F872" i="23" a="1"/>
  <c r="F871" i="23" a="1"/>
  <c r="E871" i="23" a="1"/>
  <c r="F870" i="23" a="1"/>
  <c r="E870" i="23" a="1"/>
  <c r="F869" i="23" a="1"/>
  <c r="E869" i="23" a="1"/>
  <c r="E868" i="23" a="1"/>
  <c r="F868" i="23" a="1"/>
  <c r="E867" i="23" a="1"/>
  <c r="F867" i="23" a="1"/>
  <c r="E866" i="23" a="1"/>
  <c r="F866" i="23" a="1"/>
  <c r="E865" i="23" a="1"/>
  <c r="F865" i="23" a="1"/>
  <c r="E864" i="23" a="1"/>
  <c r="F864" i="23" a="1"/>
  <c r="F863" i="23" a="1"/>
  <c r="E863" i="23" a="1"/>
  <c r="F862" i="23" a="1"/>
  <c r="E862" i="23" a="1"/>
  <c r="F861" i="23" a="1"/>
  <c r="E861" i="23" a="1"/>
  <c r="E860" i="23" a="1"/>
  <c r="F860" i="23" a="1"/>
  <c r="F859" i="23" a="1"/>
  <c r="E859" i="23" a="1"/>
  <c r="E858" i="23" a="1"/>
  <c r="F858" i="23" a="1"/>
  <c r="E857" i="23" a="1"/>
  <c r="F857" i="23" a="1"/>
  <c r="F856" i="23" a="1"/>
  <c r="E856" i="23" a="1"/>
  <c r="F855" i="23" a="1"/>
  <c r="E855" i="23" a="1"/>
  <c r="E854" i="23" a="1"/>
  <c r="F854" i="23" a="1"/>
  <c r="E853" i="23" a="1"/>
  <c r="F853" i="23" a="1"/>
  <c r="F852" i="23" a="1"/>
  <c r="E852" i="23" a="1"/>
  <c r="E851" i="23" a="1"/>
  <c r="F851" i="23" a="1"/>
  <c r="E850" i="23" a="1"/>
  <c r="E849" i="23" a="1"/>
  <c r="F849" i="23" a="1"/>
  <c r="F848" i="23" a="1"/>
  <c r="E848" i="23" a="1"/>
  <c r="F847" i="23" a="1"/>
  <c r="E847" i="23" a="1"/>
  <c r="F846" i="23" a="1"/>
  <c r="E846" i="23" a="1"/>
  <c r="E845" i="23" a="1"/>
  <c r="F845" i="23" a="1"/>
  <c r="F844" i="23" a="1"/>
  <c r="E844" i="23" a="1"/>
  <c r="E843" i="23" a="1"/>
  <c r="F843" i="23" a="1"/>
  <c r="F842" i="23" a="1"/>
  <c r="E842" i="23" a="1"/>
  <c r="F841" i="23" a="1"/>
  <c r="E841" i="23" a="1"/>
  <c r="E840" i="23" a="1"/>
  <c r="F840" i="23" a="1"/>
  <c r="F839" i="23" a="1"/>
  <c r="E839" i="23" a="1"/>
  <c r="F838" i="23" a="1"/>
  <c r="E838" i="23" a="1"/>
  <c r="F837" i="23" a="1"/>
  <c r="E837" i="23" a="1"/>
  <c r="F836" i="23" a="1"/>
  <c r="E836" i="23" a="1"/>
  <c r="F835" i="23" a="1"/>
  <c r="E835" i="23" a="1"/>
  <c r="F834" i="23" a="1"/>
  <c r="E834" i="23" a="1"/>
  <c r="F833" i="23" a="1"/>
  <c r="E833" i="23" a="1"/>
  <c r="E832" i="23" a="1"/>
  <c r="F832" i="23" a="1"/>
  <c r="E831" i="23" a="1"/>
  <c r="F831" i="23" a="1"/>
  <c r="E830" i="23" a="1"/>
  <c r="F830" i="23" a="1"/>
  <c r="F829" i="23" a="1"/>
  <c r="E829" i="23" a="1"/>
  <c r="E828" i="23" a="1"/>
  <c r="F828" i="23" a="1"/>
  <c r="F827" i="23" a="1"/>
  <c r="E827" i="23" a="1"/>
  <c r="E826" i="23" a="1"/>
  <c r="F826" i="23" a="1"/>
  <c r="E825" i="23" a="1"/>
  <c r="F825" i="23" a="1"/>
  <c r="E824" i="23" a="1"/>
  <c r="F824" i="23" a="1"/>
  <c r="E823" i="23" a="1"/>
  <c r="F823" i="23" a="1"/>
  <c r="F822" i="23" a="1"/>
  <c r="E822" i="23" a="1"/>
  <c r="E821" i="23" a="1"/>
  <c r="F821" i="23" a="1"/>
  <c r="F820" i="23" a="1"/>
  <c r="F819" i="23" a="1"/>
  <c r="E819" i="23" a="1"/>
  <c r="E818" i="23" a="1"/>
  <c r="F818" i="23" a="1"/>
  <c r="E817" i="23" a="1"/>
  <c r="F817" i="23" a="1"/>
  <c r="E816" i="23" a="1"/>
  <c r="F816" i="23" a="1"/>
  <c r="E815" i="23" a="1"/>
  <c r="F815" i="23" a="1"/>
  <c r="F814" i="23" a="1"/>
  <c r="E814" i="23" a="1"/>
  <c r="E813" i="23" a="1"/>
  <c r="F813" i="23" a="1"/>
  <c r="E812" i="23" a="1"/>
  <c r="F812" i="23" a="1"/>
  <c r="E811" i="23" a="1"/>
  <c r="F811" i="23" a="1"/>
  <c r="F810" i="23" a="1"/>
  <c r="E810" i="23" a="1"/>
  <c r="E809" i="23" a="1"/>
  <c r="F809" i="23" a="1"/>
  <c r="F808" i="23" a="1"/>
  <c r="E808" i="23" a="1"/>
  <c r="E807" i="23" a="1"/>
  <c r="F807" i="23" a="1"/>
  <c r="E806" i="23" a="1"/>
  <c r="F806" i="23" a="1"/>
  <c r="E805" i="23" a="1"/>
  <c r="F805" i="23" a="1"/>
  <c r="F804" i="23" a="1"/>
  <c r="E804" i="23" a="1"/>
  <c r="E803" i="23" a="1"/>
  <c r="F803" i="23" a="1"/>
  <c r="F802" i="23" a="1"/>
  <c r="E802" i="23" a="1"/>
  <c r="F801" i="23" a="1"/>
  <c r="E801" i="23" a="1"/>
  <c r="F800" i="23" a="1"/>
  <c r="E800" i="23" a="1"/>
  <c r="E799" i="23" a="1"/>
  <c r="F799" i="23" a="1"/>
  <c r="E798" i="23" a="1"/>
  <c r="F798" i="23" a="1"/>
  <c r="F797" i="23" a="1"/>
  <c r="E797" i="23" a="1"/>
  <c r="F796" i="23" a="1"/>
  <c r="E796" i="23" a="1"/>
  <c r="F795" i="23" a="1"/>
  <c r="E795" i="23" a="1"/>
  <c r="E794" i="23" a="1"/>
  <c r="F794" i="23" a="1"/>
  <c r="E793" i="23" a="1"/>
  <c r="F793" i="23" a="1"/>
  <c r="F792" i="23" a="1"/>
  <c r="E792" i="23" a="1"/>
  <c r="F791" i="23" a="1"/>
  <c r="E791" i="23" a="1"/>
  <c r="F790" i="23" a="1"/>
  <c r="E790" i="23" a="1"/>
  <c r="E789" i="23" a="1"/>
  <c r="F789" i="23" a="1"/>
  <c r="E788" i="23" a="1"/>
  <c r="F788" i="23" a="1"/>
  <c r="E787" i="23" a="1"/>
  <c r="F787" i="23" a="1"/>
  <c r="E786" i="23" a="1"/>
  <c r="F786" i="23" a="1"/>
  <c r="F785" i="23" a="1"/>
  <c r="E785" i="23" a="1"/>
  <c r="E784" i="23" a="1"/>
  <c r="F784" i="23" a="1"/>
  <c r="F783" i="23" a="1"/>
  <c r="E783" i="23" a="1"/>
  <c r="E782" i="23" a="1"/>
  <c r="F782" i="23" a="1"/>
  <c r="F781" i="23" a="1"/>
  <c r="E781" i="23" a="1"/>
  <c r="E780" i="23" a="1"/>
  <c r="F780" i="23" a="1"/>
  <c r="F779" i="23" a="1"/>
  <c r="E779" i="23" a="1"/>
  <c r="F778" i="23" a="1"/>
  <c r="E778" i="23" a="1"/>
  <c r="E777" i="23" a="1"/>
  <c r="F777" i="23" a="1"/>
  <c r="E776" i="23" a="1"/>
  <c r="F776" i="23" a="1"/>
  <c r="E775" i="23" a="1"/>
  <c r="F775" i="23" a="1"/>
  <c r="F774" i="23" a="1"/>
  <c r="E774" i="23" a="1"/>
  <c r="E773" i="23" a="1"/>
  <c r="F773" i="23" a="1"/>
  <c r="F772" i="23" a="1"/>
  <c r="E772" i="23" a="1"/>
  <c r="E771" i="23" a="1"/>
  <c r="F771" i="23" a="1"/>
  <c r="E770" i="23" a="1"/>
  <c r="F770" i="23" a="1"/>
  <c r="E769" i="23" a="1"/>
  <c r="F769" i="23" a="1"/>
  <c r="F768" i="23" a="1"/>
  <c r="E768" i="23" a="1"/>
  <c r="E767" i="23" a="1"/>
  <c r="F767" i="23" a="1"/>
  <c r="F766" i="23" a="1"/>
  <c r="E766" i="23" a="1"/>
  <c r="F765" i="23" a="1"/>
  <c r="E765" i="23" a="1"/>
  <c r="F764" i="23" a="1"/>
  <c r="E764" i="23" a="1"/>
  <c r="F763" i="23" a="1"/>
  <c r="E763" i="23" a="1"/>
  <c r="F762" i="23" a="1"/>
  <c r="E762" i="23" a="1"/>
  <c r="F761" i="23" a="1"/>
  <c r="E761" i="23" a="1"/>
  <c r="E760" i="23" a="1"/>
  <c r="F760" i="23" a="1"/>
  <c r="E759" i="23" a="1"/>
  <c r="F759" i="23" a="1"/>
  <c r="F758" i="23" a="1"/>
  <c r="E758" i="23" a="1"/>
  <c r="F757" i="23" a="1"/>
  <c r="E757" i="23" a="1"/>
  <c r="F756" i="23" a="1"/>
  <c r="E756" i="23" a="1"/>
  <c r="F755" i="23" a="1"/>
  <c r="E755" i="23" a="1"/>
  <c r="E754" i="23" a="1"/>
  <c r="F754" i="23" a="1"/>
  <c r="F753" i="23" a="1"/>
  <c r="E753" i="23" a="1"/>
  <c r="F752" i="23" a="1"/>
  <c r="E752" i="23" a="1"/>
  <c r="F751" i="23" a="1"/>
  <c r="E751" i="23" a="1"/>
  <c r="E750" i="23" a="1"/>
  <c r="F750" i="23" a="1"/>
  <c r="F749" i="23" a="1"/>
  <c r="E749" i="23" a="1"/>
  <c r="F748" i="23" a="1"/>
  <c r="E748" i="23" a="1"/>
  <c r="F747" i="23" a="1"/>
  <c r="E747" i="23" a="1"/>
  <c r="F746" i="23" a="1"/>
  <c r="E746" i="23" a="1"/>
  <c r="F745" i="23" a="1"/>
  <c r="E745" i="23" a="1"/>
  <c r="F744" i="23" a="1"/>
  <c r="E744" i="23" a="1"/>
  <c r="F743" i="23" a="1"/>
  <c r="E743" i="23" a="1"/>
  <c r="F742" i="23" a="1"/>
  <c r="E742" i="23" a="1"/>
  <c r="E741" i="23" a="1"/>
  <c r="F741" i="23" a="1"/>
  <c r="F740" i="23" a="1"/>
  <c r="E740" i="23" a="1"/>
  <c r="F739" i="23" a="1"/>
  <c r="E739" i="23" a="1"/>
  <c r="F738" i="23" a="1"/>
  <c r="E738" i="23" a="1"/>
  <c r="F737" i="23" a="1"/>
  <c r="E737" i="23" a="1"/>
  <c r="F736" i="23" a="1"/>
  <c r="E736" i="23" a="1"/>
  <c r="F735" i="23" a="1"/>
  <c r="E735" i="23" a="1"/>
  <c r="F734" i="23" a="1"/>
  <c r="E734" i="23" a="1"/>
  <c r="F733" i="23" a="1"/>
  <c r="E733" i="23" a="1"/>
  <c r="F732" i="23" a="1"/>
  <c r="E732" i="23" a="1"/>
  <c r="F731" i="23" a="1"/>
  <c r="E731" i="23" a="1"/>
  <c r="E730" i="23" a="1"/>
  <c r="F730" i="23" a="1"/>
  <c r="E729" i="23" a="1"/>
  <c r="F729" i="23" a="1"/>
  <c r="F728" i="23" a="1"/>
  <c r="E728" i="23" a="1"/>
  <c r="E727" i="23" a="1"/>
  <c r="F727" i="23" a="1"/>
  <c r="F726" i="23" a="1"/>
  <c r="E726" i="23" a="1"/>
  <c r="F725" i="23" a="1"/>
  <c r="E725" i="23" a="1"/>
  <c r="F724" i="23" a="1"/>
  <c r="E724" i="23" a="1"/>
  <c r="F723" i="23" a="1"/>
  <c r="E723" i="23" a="1"/>
  <c r="F722" i="23" a="1"/>
  <c r="E722" i="23" a="1"/>
  <c r="F721" i="23" a="1"/>
  <c r="E721" i="23" a="1"/>
  <c r="E720" i="23" a="1"/>
  <c r="F720" i="23" a="1"/>
  <c r="E719" i="23" a="1"/>
  <c r="F719" i="23" a="1"/>
  <c r="F718" i="23" a="1"/>
  <c r="E718" i="23" a="1"/>
  <c r="E717" i="23" a="1"/>
  <c r="F717" i="23" a="1"/>
  <c r="F716" i="23" a="1"/>
  <c r="E716" i="23" a="1"/>
  <c r="F715" i="23" a="1"/>
  <c r="E715" i="23" a="1"/>
  <c r="E714" i="23" a="1"/>
  <c r="F714" i="23" a="1"/>
  <c r="E713" i="23" a="1"/>
  <c r="F713" i="23" a="1"/>
  <c r="E712" i="23" a="1"/>
  <c r="F712" i="23" a="1"/>
  <c r="E711" i="23" a="1"/>
  <c r="F711" i="23" a="1"/>
  <c r="F710" i="23" a="1"/>
  <c r="E710" i="23" a="1"/>
  <c r="E709" i="23" a="1"/>
  <c r="F709" i="23" a="1"/>
  <c r="E708" i="23" a="1"/>
  <c r="F708" i="23" a="1"/>
  <c r="F707" i="23" a="1"/>
  <c r="E707" i="23" a="1"/>
  <c r="F706" i="23" a="1"/>
  <c r="E706" i="23" a="1"/>
  <c r="F705" i="23" a="1"/>
  <c r="E705" i="23" a="1"/>
  <c r="E704" i="23" a="1"/>
  <c r="F704" i="23" a="1"/>
  <c r="E703" i="23" a="1"/>
  <c r="F703" i="23" a="1"/>
  <c r="E702" i="23" a="1"/>
  <c r="F702" i="23" a="1"/>
  <c r="F701" i="23" a="1"/>
  <c r="E701" i="23" a="1"/>
  <c r="E700" i="23" a="1"/>
  <c r="F700" i="23" a="1"/>
  <c r="E699" i="23" a="1"/>
  <c r="F699" i="23" a="1"/>
  <c r="F698" i="23" a="1"/>
  <c r="E698" i="23" a="1"/>
  <c r="E697" i="23" a="1"/>
  <c r="F697" i="23" a="1"/>
  <c r="E696" i="23" a="1"/>
  <c r="F696" i="23" a="1"/>
  <c r="E695" i="23" a="1"/>
  <c r="F695" i="23" a="1"/>
  <c r="F694" i="23" a="1"/>
  <c r="E694" i="23" a="1"/>
  <c r="E693" i="23" a="1"/>
  <c r="F693" i="23" a="1"/>
  <c r="E692" i="23" a="1"/>
  <c r="F692" i="23" a="1"/>
  <c r="E691" i="23" a="1"/>
  <c r="F691" i="23" a="1"/>
  <c r="F690" i="23" a="1"/>
  <c r="E690" i="23" a="1"/>
  <c r="F689" i="23" a="1"/>
  <c r="E689" i="23" a="1"/>
  <c r="E688" i="23" a="1"/>
  <c r="F688" i="23" a="1"/>
  <c r="E687" i="23" a="1"/>
  <c r="F687" i="23" a="1"/>
  <c r="F686" i="23" a="1"/>
  <c r="E686" i="23" a="1"/>
  <c r="F685" i="23" a="1"/>
  <c r="E685" i="23" a="1"/>
  <c r="F684" i="23" a="1"/>
  <c r="E684" i="23" a="1"/>
  <c r="F683" i="23" a="1"/>
  <c r="E683" i="23" a="1"/>
  <c r="F682" i="23" a="1"/>
  <c r="E682" i="23" a="1"/>
  <c r="E681" i="23" a="1"/>
  <c r="F681" i="23" a="1"/>
  <c r="E680" i="23" a="1"/>
  <c r="F680" i="23" a="1"/>
  <c r="F679" i="23" a="1"/>
  <c r="E679" i="23" a="1"/>
  <c r="F678" i="23" a="1"/>
  <c r="E678" i="23" a="1"/>
  <c r="E677" i="23" a="1"/>
  <c r="F677" i="23" a="1"/>
  <c r="E676" i="23" a="1"/>
  <c r="F676" i="23" a="1"/>
  <c r="E675" i="23" a="1"/>
  <c r="F675" i="23" a="1"/>
  <c r="E674" i="23" a="1"/>
  <c r="F674" i="23" a="1"/>
  <c r="F673" i="23" a="1"/>
  <c r="E673" i="23" a="1"/>
  <c r="F672" i="23" a="1"/>
  <c r="E672" i="23" a="1"/>
  <c r="E671" i="23" a="1"/>
  <c r="F671" i="23" a="1"/>
  <c r="E670" i="23" a="1"/>
  <c r="F670" i="23" a="1"/>
  <c r="F669" i="23" a="1"/>
  <c r="E669" i="23" a="1"/>
  <c r="E668" i="23" a="1"/>
  <c r="F668" i="23" a="1"/>
  <c r="F667" i="23" a="1"/>
  <c r="E667" i="23" a="1"/>
  <c r="F666" i="23" a="1"/>
  <c r="E666" i="23" a="1"/>
  <c r="E665" i="23" a="1"/>
  <c r="F665" i="23" a="1"/>
  <c r="F664" i="23" a="1"/>
  <c r="E664" i="23" a="1"/>
  <c r="F663" i="23" a="1"/>
  <c r="E663" i="23" a="1"/>
  <c r="F662" i="23" a="1"/>
  <c r="E662" i="23" a="1"/>
  <c r="F661" i="23" a="1"/>
  <c r="E661" i="23" a="1"/>
  <c r="F660" i="23" a="1"/>
  <c r="E660" i="23" a="1"/>
  <c r="F659" i="23" a="1"/>
  <c r="E659" i="23" a="1"/>
  <c r="E658" i="23" a="1"/>
  <c r="F658" i="23" a="1"/>
  <c r="F657" i="23" a="1"/>
  <c r="E657" i="23" a="1"/>
  <c r="E656" i="23" a="1"/>
  <c r="F656" i="23" a="1"/>
  <c r="F655" i="23" a="1"/>
  <c r="E655" i="23" a="1"/>
  <c r="F654" i="23" a="1"/>
  <c r="E654" i="23" a="1"/>
  <c r="E653" i="23" a="1"/>
  <c r="F653" i="23" a="1"/>
  <c r="F652" i="23" a="1"/>
  <c r="E652" i="23" a="1"/>
  <c r="F651" i="23" a="1"/>
  <c r="E651" i="23" a="1"/>
  <c r="F650" i="23" a="1"/>
  <c r="E650" i="23" a="1"/>
  <c r="F649" i="23" a="1"/>
  <c r="E649" i="23" a="1"/>
  <c r="E648" i="23" a="1"/>
  <c r="F648" i="23" a="1"/>
  <c r="E647" i="23" a="1"/>
  <c r="F647" i="23" a="1"/>
  <c r="F646" i="23" a="1"/>
  <c r="E646" i="23" a="1"/>
  <c r="F645" i="23" a="1"/>
  <c r="E645" i="23" a="1"/>
  <c r="F644" i="23" a="1"/>
  <c r="E644" i="23" a="1"/>
  <c r="F643" i="23" a="1"/>
  <c r="E643" i="23" a="1"/>
  <c r="F642" i="23" a="1"/>
  <c r="E642" i="23" a="1"/>
  <c r="E641" i="23" a="1"/>
  <c r="F641" i="23" a="1"/>
  <c r="E640" i="23" a="1"/>
  <c r="F640" i="23" a="1"/>
  <c r="E639" i="23" a="1"/>
  <c r="F639" i="23" a="1"/>
  <c r="E638" i="23" a="1"/>
  <c r="F638" i="23" a="1"/>
  <c r="E637" i="23" a="1"/>
  <c r="F637" i="23" a="1"/>
  <c r="F636" i="23" a="1"/>
  <c r="E636" i="23" a="1"/>
  <c r="F635" i="23" a="1"/>
  <c r="E635" i="23" a="1"/>
  <c r="E634" i="23" a="1"/>
  <c r="F634" i="23" a="1"/>
  <c r="E633" i="23" a="1"/>
  <c r="F633" i="23" a="1"/>
  <c r="F632" i="23" a="1"/>
  <c r="E632" i="23" a="1"/>
  <c r="E631" i="23" a="1"/>
  <c r="F631" i="23" a="1"/>
  <c r="E630" i="23" a="1"/>
  <c r="F630" i="23" a="1"/>
  <c r="F629" i="23" a="1"/>
  <c r="E629" i="23" a="1"/>
  <c r="F628" i="23" a="1"/>
  <c r="E628" i="23" a="1"/>
  <c r="F627" i="23" a="1"/>
  <c r="E627" i="23" a="1"/>
  <c r="F626" i="23" a="1"/>
  <c r="E626" i="23" a="1"/>
  <c r="F625" i="23" a="1"/>
  <c r="E625" i="23" a="1"/>
  <c r="F624" i="23" a="1"/>
  <c r="E624" i="23" a="1"/>
  <c r="F623" i="23" a="1"/>
  <c r="E623" i="23" a="1"/>
  <c r="F622" i="23" a="1"/>
  <c r="E622" i="23" a="1"/>
  <c r="E621" i="23" a="1"/>
  <c r="F621" i="23" a="1"/>
  <c r="E620" i="23" a="1"/>
  <c r="F620" i="23" a="1"/>
  <c r="E619" i="23" a="1"/>
  <c r="F619" i="23" a="1"/>
  <c r="F618" i="23" a="1"/>
  <c r="E618" i="23" a="1"/>
  <c r="F617" i="23" a="1"/>
  <c r="E617" i="23" a="1"/>
  <c r="F616" i="23" a="1"/>
  <c r="E616" i="23" a="1"/>
  <c r="E615" i="23" a="1"/>
  <c r="F615" i="23" a="1"/>
  <c r="E614" i="23" a="1"/>
  <c r="F614" i="23" a="1"/>
  <c r="E613" i="23" a="1"/>
  <c r="F613" i="23" a="1"/>
  <c r="F612" i="23" a="1"/>
  <c r="E612" i="23" a="1"/>
  <c r="E611" i="23" a="1"/>
  <c r="F611" i="23" a="1"/>
  <c r="E610" i="23" a="1"/>
  <c r="F610" i="23" a="1"/>
  <c r="F609" i="23" a="1"/>
  <c r="E609" i="23" a="1"/>
  <c r="F608" i="23" a="1"/>
  <c r="E608" i="23" a="1"/>
  <c r="E607" i="23" a="1"/>
  <c r="F607" i="23" a="1"/>
  <c r="E606" i="23" a="1"/>
  <c r="F606" i="23" a="1"/>
  <c r="E605" i="23" a="1"/>
  <c r="F605" i="23" a="1"/>
  <c r="E604" i="23" a="1"/>
  <c r="F604" i="23" a="1"/>
  <c r="F602" i="23" a="1"/>
  <c r="E602" i="23" a="1"/>
  <c r="E601" i="23" a="1"/>
  <c r="F601" i="23" a="1"/>
  <c r="E600" i="23" a="1"/>
  <c r="F600" i="23" a="1"/>
  <c r="E599" i="23" a="1"/>
  <c r="F599" i="23" a="1"/>
  <c r="E598" i="23" a="1"/>
  <c r="F598" i="23" a="1"/>
  <c r="F597" i="23" a="1"/>
  <c r="E597" i="23" a="1"/>
  <c r="E596" i="23" a="1"/>
  <c r="F596" i="23" a="1"/>
  <c r="E595" i="23" a="1"/>
  <c r="F595" i="23" a="1"/>
  <c r="E594" i="23" a="1"/>
  <c r="F594" i="23" a="1"/>
  <c r="F593" i="23" a="1"/>
  <c r="E593" i="23" a="1"/>
  <c r="F592" i="23" a="1"/>
  <c r="E592" i="23" a="1"/>
  <c r="F591" i="23" a="1"/>
  <c r="E591" i="23" a="1"/>
  <c r="F590" i="23" a="1"/>
  <c r="E590" i="23" a="1"/>
  <c r="F589" i="23" a="1"/>
  <c r="E589" i="23" a="1"/>
  <c r="F588" i="23" a="1"/>
  <c r="E588" i="23" a="1"/>
  <c r="F587" i="23" a="1"/>
  <c r="E587" i="23" a="1"/>
  <c r="E586" i="23" a="1"/>
  <c r="F586" i="23" a="1"/>
  <c r="E585" i="23" a="1"/>
  <c r="F585" i="23" a="1"/>
  <c r="F584" i="23" a="1"/>
  <c r="E584" i="23" a="1"/>
  <c r="F583" i="23" a="1"/>
  <c r="E583" i="23" a="1"/>
  <c r="F582" i="23" a="1"/>
  <c r="E582" i="23" a="1"/>
  <c r="E581" i="23" a="1"/>
  <c r="F581" i="23" a="1"/>
  <c r="F580" i="23" a="1"/>
  <c r="E580" i="23" a="1"/>
  <c r="F579" i="23" a="1"/>
  <c r="E579" i="23" a="1"/>
  <c r="E578" i="23" a="1"/>
  <c r="F578" i="23" a="1"/>
  <c r="F577" i="23" a="1"/>
  <c r="E577" i="23" a="1"/>
  <c r="E576" i="23" a="1"/>
  <c r="F576" i="23" a="1"/>
  <c r="E575" i="23" a="1"/>
  <c r="F575" i="23" a="1"/>
  <c r="F574" i="23" a="1"/>
  <c r="E574" i="23" a="1"/>
  <c r="F573" i="23" a="1"/>
  <c r="E573" i="23" a="1"/>
  <c r="E572" i="23" a="1"/>
  <c r="F572" i="23" a="1"/>
  <c r="E571" i="23" a="1"/>
  <c r="F571" i="23" a="1"/>
  <c r="E570" i="23" a="1"/>
  <c r="F570" i="23" a="1"/>
  <c r="E569" i="23" a="1"/>
  <c r="F569" i="23" a="1"/>
  <c r="F568" i="23" a="1"/>
  <c r="E568" i="23" a="1"/>
  <c r="F567" i="23" a="1"/>
  <c r="E567" i="23" a="1"/>
  <c r="F566" i="23" a="1"/>
  <c r="E566" i="23" a="1"/>
  <c r="E565" i="23" a="1"/>
  <c r="F565" i="23" a="1"/>
  <c r="E564" i="23" a="1"/>
  <c r="F564" i="23" a="1"/>
  <c r="E563" i="23" a="1"/>
  <c r="F563" i="23" a="1"/>
  <c r="F562" i="23" a="1"/>
  <c r="E562" i="23" a="1"/>
  <c r="E561" i="23" a="1"/>
  <c r="F561" i="23" a="1"/>
  <c r="E560" i="23" a="1"/>
  <c r="F560" i="23" a="1"/>
  <c r="E559" i="23" a="1"/>
  <c r="F559" i="23" a="1"/>
  <c r="F558" i="23" a="1"/>
  <c r="E558" i="23" a="1"/>
  <c r="E557" i="23" a="1"/>
  <c r="F557" i="23" a="1"/>
  <c r="E556" i="23" a="1"/>
  <c r="F556" i="23" a="1"/>
  <c r="F555" i="23" a="1"/>
  <c r="E555" i="23" a="1"/>
  <c r="E554" i="23" a="1"/>
  <c r="F554" i="23" a="1"/>
  <c r="E553" i="23" a="1"/>
  <c r="F553" i="23" a="1"/>
  <c r="F552" i="23" a="1"/>
  <c r="E552" i="23" a="1"/>
  <c r="F551" i="23" a="1"/>
  <c r="E551" i="23" a="1"/>
  <c r="E550" i="23" a="1"/>
  <c r="F550" i="23" a="1"/>
  <c r="F549" i="23" a="1"/>
  <c r="E549" i="23" a="1"/>
  <c r="F548" i="23" a="1"/>
  <c r="E548" i="23" a="1"/>
  <c r="E547" i="23" a="1"/>
  <c r="F547" i="23" a="1"/>
  <c r="E546" i="23" a="1"/>
  <c r="F546" i="23" a="1"/>
  <c r="E545" i="23" a="1"/>
  <c r="F545" i="23" a="1"/>
  <c r="F544" i="23" a="1"/>
  <c r="E544" i="23" a="1"/>
  <c r="E543" i="23" a="1"/>
  <c r="F543" i="23" a="1"/>
  <c r="F542" i="23" a="1"/>
  <c r="E542" i="23" a="1"/>
  <c r="F541" i="23" a="1"/>
  <c r="E541" i="23" a="1"/>
  <c r="F540" i="23" a="1"/>
  <c r="E540" i="23" a="1"/>
  <c r="E539" i="23" a="1"/>
  <c r="F539" i="23" a="1"/>
  <c r="F538" i="23" a="1"/>
  <c r="E538" i="23" a="1"/>
  <c r="E537" i="23" a="1"/>
  <c r="F537" i="23" a="1"/>
  <c r="F536" i="23" a="1"/>
  <c r="E536" i="23" a="1"/>
  <c r="F535" i="23" a="1"/>
  <c r="E535" i="23" a="1"/>
  <c r="E534" i="23" a="1"/>
  <c r="F534" i="23" a="1"/>
  <c r="F533" i="23" a="1"/>
  <c r="E533" i="23" a="1"/>
  <c r="E532" i="23" a="1"/>
  <c r="F532" i="23" a="1"/>
  <c r="F531" i="23" a="1"/>
  <c r="E531" i="23" a="1"/>
  <c r="F530" i="23" a="1"/>
  <c r="E530" i="23" a="1"/>
  <c r="F529" i="23" a="1"/>
  <c r="E529" i="23" a="1"/>
  <c r="F528" i="23" a="1"/>
  <c r="E528" i="23" a="1"/>
  <c r="F527" i="23" a="1"/>
  <c r="E527" i="23" a="1"/>
  <c r="F526" i="23" a="1"/>
  <c r="E526" i="23" a="1"/>
  <c r="F525" i="23" a="1"/>
  <c r="E525" i="23" a="1"/>
  <c r="E524" i="23" a="1"/>
  <c r="F524" i="23" a="1"/>
  <c r="E523" i="23" a="1"/>
  <c r="F523" i="23" a="1"/>
  <c r="F522" i="23" a="1"/>
  <c r="E522" i="23" a="1"/>
  <c r="E521" i="23" a="1"/>
  <c r="F521" i="23" a="1"/>
  <c r="E520" i="23" a="1"/>
  <c r="F520" i="23" a="1"/>
  <c r="F519" i="23" a="1"/>
  <c r="E519" i="23" a="1"/>
  <c r="E518" i="23" a="1"/>
  <c r="F518" i="23" a="1"/>
  <c r="F517" i="23" a="1"/>
  <c r="E517" i="23" a="1"/>
  <c r="E516" i="23" a="1"/>
  <c r="F516" i="23" a="1"/>
  <c r="F515" i="23" a="1"/>
  <c r="E515" i="23" a="1"/>
  <c r="E514" i="23" a="1"/>
  <c r="F514" i="23" a="1"/>
  <c r="E513" i="23" a="1"/>
  <c r="F513" i="23" a="1"/>
  <c r="F512" i="23" a="1"/>
  <c r="E512" i="23" a="1"/>
  <c r="E511" i="23" a="1"/>
  <c r="F511" i="23" a="1"/>
  <c r="E510" i="23" a="1"/>
  <c r="F510" i="23" a="1"/>
  <c r="F509" i="23" a="1"/>
  <c r="E509" i="23" a="1"/>
  <c r="E508" i="23" a="1"/>
  <c r="F508" i="23" a="1"/>
  <c r="F507" i="23" a="1"/>
  <c r="E507" i="23" a="1"/>
  <c r="E506" i="23" a="1"/>
  <c r="F506" i="23" a="1"/>
  <c r="F505" i="23" a="1"/>
  <c r="E505" i="23" a="1"/>
  <c r="F504" i="23" a="1"/>
  <c r="E504" i="23" a="1"/>
  <c r="E503" i="23" a="1"/>
  <c r="F503" i="23" a="1"/>
  <c r="E502" i="23" a="1"/>
  <c r="F502" i="23" a="1"/>
  <c r="E501" i="23" a="1"/>
  <c r="F501" i="23" a="1"/>
  <c r="E500" i="23" a="1"/>
  <c r="F500" i="23" a="1"/>
  <c r="E499" i="23" a="1"/>
  <c r="F499" i="23" a="1"/>
  <c r="E498" i="23" a="1"/>
  <c r="F498" i="23" a="1"/>
  <c r="F497" i="23" a="1"/>
  <c r="E497" i="23" a="1"/>
  <c r="F496" i="23" a="1"/>
  <c r="E496" i="23" a="1"/>
  <c r="F495" i="23" a="1"/>
  <c r="E495" i="23" a="1"/>
  <c r="F494" i="23" a="1"/>
  <c r="E494" i="23" a="1"/>
  <c r="F493" i="23" a="1"/>
  <c r="E493" i="23" a="1"/>
  <c r="F492" i="23" a="1"/>
  <c r="E492" i="23" a="1"/>
  <c r="E491" i="23" a="1"/>
  <c r="F491" i="23" a="1"/>
  <c r="E490" i="23" a="1"/>
  <c r="F490" i="23" a="1"/>
  <c r="E489" i="23" a="1"/>
  <c r="F489" i="23" a="1"/>
  <c r="E488" i="23" a="1"/>
  <c r="F488" i="23" a="1"/>
  <c r="F487" i="23" a="1"/>
  <c r="E487" i="23" a="1"/>
  <c r="E486" i="23" a="1"/>
  <c r="F486" i="23" a="1"/>
  <c r="F485" i="23" a="1"/>
  <c r="E485" i="23" a="1"/>
  <c r="E484" i="23" a="1"/>
  <c r="F484" i="23" a="1"/>
  <c r="F483" i="23" a="1"/>
  <c r="E483" i="23" a="1"/>
  <c r="E482" i="23" a="1"/>
  <c r="F482" i="23" a="1"/>
  <c r="F481" i="23" a="1"/>
  <c r="E481" i="23" a="1"/>
  <c r="F480" i="23" a="1"/>
  <c r="E480" i="23" a="1"/>
  <c r="E479" i="23" a="1"/>
  <c r="F479" i="23" a="1"/>
  <c r="F478" i="23" a="1"/>
  <c r="E478" i="23" a="1"/>
  <c r="F477" i="23" a="1"/>
  <c r="E477" i="23" a="1"/>
  <c r="F476" i="23" a="1"/>
  <c r="E476" i="23" a="1"/>
  <c r="E475" i="23" a="1"/>
  <c r="F475" i="23" a="1"/>
  <c r="E474" i="23" a="1"/>
  <c r="F474" i="23" a="1"/>
  <c r="F473" i="23" a="1"/>
  <c r="E473" i="23" a="1"/>
  <c r="F472" i="23" a="1"/>
  <c r="E472" i="23" a="1"/>
  <c r="F471" i="23" a="1"/>
  <c r="E471" i="23" a="1"/>
  <c r="F470" i="23" a="1"/>
  <c r="E470" i="23" a="1"/>
  <c r="F469" i="23" a="1"/>
  <c r="E469" i="23" a="1"/>
  <c r="F468" i="23" a="1"/>
  <c r="E468" i="23" a="1"/>
  <c r="E467" i="23" a="1"/>
  <c r="F467" i="23" a="1"/>
  <c r="F466" i="23" a="1"/>
  <c r="E466" i="23" a="1"/>
  <c r="F465" i="23" a="1"/>
  <c r="E465" i="23" a="1"/>
  <c r="E464" i="23" a="1"/>
  <c r="F464" i="23" a="1"/>
  <c r="F463" i="23" a="1"/>
  <c r="E463" i="23" a="1"/>
  <c r="E462" i="23" a="1"/>
  <c r="F462" i="23" a="1"/>
  <c r="F461" i="23" a="1"/>
  <c r="E461" i="23" a="1"/>
  <c r="F460" i="23" a="1"/>
  <c r="E460" i="23" a="1"/>
  <c r="E459" i="23" a="1"/>
  <c r="F459" i="23" a="1"/>
  <c r="E458" i="23" a="1"/>
  <c r="F458" i="23" a="1"/>
  <c r="E457" i="23" a="1"/>
  <c r="F457" i="23" a="1"/>
  <c r="F456" i="23" a="1"/>
  <c r="E456" i="23" a="1"/>
  <c r="F455" i="23" a="1"/>
  <c r="E455" i="23" a="1"/>
  <c r="F454" i="23" a="1"/>
  <c r="E454" i="23" a="1"/>
  <c r="F453" i="23" a="1"/>
  <c r="E453" i="23" a="1"/>
  <c r="F452" i="23" a="1"/>
  <c r="E452" i="23" a="1"/>
  <c r="E451" i="23" a="1"/>
  <c r="F451" i="23" a="1"/>
  <c r="F450" i="23" a="1"/>
  <c r="E450" i="23" a="1"/>
  <c r="F449" i="23" a="1"/>
  <c r="E449" i="23" a="1"/>
  <c r="E448" i="23" a="1"/>
  <c r="F448" i="23" a="1"/>
  <c r="F447" i="23" a="1"/>
  <c r="E447" i="23" a="1"/>
  <c r="F446" i="23" a="1"/>
  <c r="E446" i="23" a="1"/>
  <c r="E445" i="23" a="1"/>
  <c r="F445" i="23" a="1"/>
  <c r="E444" i="23" a="1"/>
  <c r="F444" i="23" a="1"/>
  <c r="F443" i="23" a="1"/>
  <c r="E443" i="23" a="1"/>
  <c r="F442" i="23" a="1"/>
  <c r="E442" i="23" a="1"/>
  <c r="F441" i="23" a="1"/>
  <c r="E441" i="23" a="1"/>
  <c r="E440" i="23" a="1"/>
  <c r="F440" i="23" a="1"/>
  <c r="F439" i="23" a="1"/>
  <c r="E439" i="23" a="1"/>
  <c r="F438" i="23" a="1"/>
  <c r="E438" i="23" a="1"/>
  <c r="F437" i="23" a="1"/>
  <c r="E437" i="23" a="1"/>
  <c r="F436" i="23" a="1"/>
  <c r="E435" i="23" a="1"/>
  <c r="F435" i="23" a="1"/>
  <c r="E434" i="23" a="1"/>
  <c r="F434" i="23" a="1"/>
  <c r="F433" i="23" a="1"/>
  <c r="E433" i="23" a="1"/>
  <c r="F432" i="23" a="1"/>
  <c r="E432" i="23" a="1"/>
  <c r="F431" i="23" a="1"/>
  <c r="E431" i="23" a="1"/>
  <c r="E430" i="23" a="1"/>
  <c r="F430" i="23" a="1"/>
  <c r="E429" i="23" a="1"/>
  <c r="F429" i="23" a="1"/>
  <c r="E428" i="23" a="1"/>
  <c r="F428" i="23" a="1"/>
  <c r="F427" i="23" a="1"/>
  <c r="E427" i="23" a="1"/>
  <c r="F426" i="23" a="1"/>
  <c r="E426" i="23" a="1"/>
  <c r="E425" i="23" a="1"/>
  <c r="F425" i="23" a="1"/>
  <c r="F424" i="23" a="1"/>
  <c r="E424" i="23" a="1"/>
  <c r="E423" i="23" a="1"/>
  <c r="F423" i="23" a="1"/>
  <c r="F422" i="23" a="1"/>
  <c r="E422" i="23" a="1"/>
  <c r="E421" i="23" a="1"/>
  <c r="F421" i="23" a="1"/>
  <c r="F420" i="23" a="1"/>
  <c r="E420" i="23" a="1"/>
  <c r="F419" i="23" a="1"/>
  <c r="E419" i="23" a="1"/>
  <c r="E418" i="23" a="1"/>
  <c r="F418" i="23" a="1"/>
  <c r="E417" i="23" a="1"/>
  <c r="F417" i="23" a="1"/>
  <c r="F416" i="23" a="1"/>
  <c r="E416" i="23" a="1"/>
  <c r="E415" i="23" a="1"/>
  <c r="F415" i="23" a="1"/>
  <c r="E414" i="23" a="1"/>
  <c r="F414" i="23" a="1"/>
  <c r="F413" i="23" a="1"/>
  <c r="E413" i="23" a="1"/>
  <c r="E412" i="23" a="1"/>
  <c r="F412" i="23" a="1"/>
  <c r="F411" i="23" a="1"/>
  <c r="E411" i="23" a="1"/>
  <c r="E410" i="23" a="1"/>
  <c r="F410" i="23" a="1"/>
  <c r="E409" i="23" a="1"/>
  <c r="F409" i="23" a="1"/>
  <c r="F408" i="23" a="1"/>
  <c r="E408" i="23" a="1"/>
  <c r="E407" i="23" a="1"/>
  <c r="F407" i="23" a="1"/>
  <c r="F406" i="23" a="1"/>
  <c r="E406" i="23" a="1"/>
  <c r="F405" i="23" a="1"/>
  <c r="E405" i="23" a="1"/>
  <c r="F404" i="23" a="1"/>
  <c r="E404" i="23" a="1"/>
  <c r="F403" i="23" a="1"/>
  <c r="E403" i="23" a="1"/>
  <c r="F402" i="23" a="1"/>
  <c r="E402" i="23" a="1"/>
  <c r="E401" i="23" a="1"/>
  <c r="F401" i="23" a="1"/>
  <c r="E400" i="23" a="1"/>
  <c r="F400" i="23" a="1"/>
  <c r="F399" i="23" a="1"/>
  <c r="E399" i="23" a="1"/>
  <c r="F398" i="23" a="1"/>
  <c r="E398" i="23" a="1"/>
  <c r="F397" i="23" a="1"/>
  <c r="E397" i="23" a="1"/>
  <c r="F396" i="23" a="1"/>
  <c r="E396" i="23" a="1"/>
  <c r="E395" i="23" a="1"/>
  <c r="F395" i="23" a="1"/>
  <c r="E394" i="23" a="1"/>
  <c r="F394" i="23" a="1"/>
  <c r="F393" i="23" a="1"/>
  <c r="E393" i="23" a="1"/>
  <c r="F392" i="23" a="1"/>
  <c r="E392" i="23" a="1"/>
  <c r="E391" i="23" a="1"/>
  <c r="F391" i="23" a="1"/>
  <c r="E390" i="23" a="1"/>
  <c r="F390" i="23" a="1"/>
  <c r="F389" i="23" a="1"/>
  <c r="E389" i="23" a="1"/>
  <c r="F388" i="23" a="1"/>
  <c r="E388" i="23" a="1"/>
  <c r="E387" i="23" a="1"/>
  <c r="F387" i="23" a="1"/>
  <c r="F386" i="23" a="1"/>
  <c r="E386" i="23" a="1"/>
  <c r="F385" i="23" a="1"/>
  <c r="E385" i="23" a="1"/>
  <c r="E384" i="23" a="1"/>
  <c r="F384" i="23" a="1"/>
  <c r="E383" i="23" a="1"/>
  <c r="F383" i="23" a="1"/>
  <c r="F382" i="23" a="1"/>
  <c r="E382" i="23" a="1"/>
  <c r="F381" i="23" a="1"/>
  <c r="E381" i="23" a="1"/>
  <c r="E380" i="23" a="1"/>
  <c r="F380" i="23" a="1"/>
  <c r="F379" i="23" a="1"/>
  <c r="E379" i="23" a="1"/>
  <c r="E378" i="23" a="1"/>
  <c r="F378" i="23" a="1"/>
  <c r="F377" i="23" a="1"/>
  <c r="E377" i="23" a="1"/>
  <c r="F376" i="23" a="1"/>
  <c r="E376" i="23" a="1"/>
  <c r="F375" i="23" a="1"/>
  <c r="E375" i="23" a="1"/>
  <c r="E374" i="23" a="1"/>
  <c r="F374" i="23" a="1"/>
  <c r="F373" i="23" a="1"/>
  <c r="E373" i="23" a="1"/>
  <c r="E372" i="23" a="1"/>
  <c r="F372" i="23" a="1"/>
  <c r="F371" i="23" a="1"/>
  <c r="E371" i="23" a="1"/>
  <c r="F370" i="23" a="1"/>
  <c r="E370" i="23" a="1"/>
  <c r="F369" i="23" a="1"/>
  <c r="E369" i="23" a="1"/>
  <c r="E368" i="23" a="1"/>
  <c r="F368" i="23" a="1"/>
  <c r="E367" i="23" a="1"/>
  <c r="F367" i="23" a="1"/>
  <c r="F366" i="23" a="1"/>
  <c r="E366" i="23" a="1"/>
  <c r="E365" i="23" a="1"/>
  <c r="F365" i="23" a="1"/>
  <c r="E364" i="23" a="1"/>
  <c r="F364" i="23" a="1"/>
  <c r="E363" i="23" a="1"/>
  <c r="F363" i="23" a="1"/>
  <c r="E362" i="23" a="1"/>
  <c r="F362" i="23" a="1"/>
  <c r="F361" i="23" a="1"/>
  <c r="E361" i="23" a="1"/>
  <c r="E360" i="23" a="1"/>
  <c r="F360" i="23" a="1"/>
  <c r="E359" i="23" a="1"/>
  <c r="F359" i="23" a="1"/>
  <c r="F358" i="23" a="1"/>
  <c r="E358" i="23" a="1"/>
  <c r="F357" i="23" a="1"/>
  <c r="E357" i="23" a="1"/>
  <c r="E356" i="23" a="1"/>
  <c r="F356" i="23" a="1"/>
  <c r="E355" i="23" a="1"/>
  <c r="F355" i="23" a="1"/>
  <c r="E354" i="23" a="1"/>
  <c r="F354" i="23" a="1"/>
  <c r="F353" i="23" a="1"/>
  <c r="E353" i="23" a="1"/>
  <c r="E352" i="23" a="1"/>
  <c r="F352" i="23" a="1"/>
  <c r="E351" i="23" a="1"/>
  <c r="F351" i="23" a="1"/>
  <c r="E350" i="23" a="1"/>
  <c r="F350" i="23" a="1"/>
  <c r="F349" i="23" a="1"/>
  <c r="E349" i="23" a="1"/>
  <c r="F348" i="23" a="1"/>
  <c r="E348" i="23" a="1"/>
  <c r="F347" i="23" a="1"/>
  <c r="E347" i="23" a="1"/>
  <c r="F346" i="23" a="1"/>
  <c r="E346" i="23" a="1"/>
  <c r="F345" i="23" a="1"/>
  <c r="E345" i="23" a="1"/>
  <c r="F344" i="23" a="1"/>
  <c r="E344" i="23" a="1"/>
  <c r="F343" i="23" a="1"/>
  <c r="E343" i="23" a="1"/>
  <c r="F342" i="23" a="1"/>
  <c r="E342" i="23" a="1"/>
  <c r="F341" i="23" a="1"/>
  <c r="E341" i="23" a="1"/>
  <c r="E340" i="23" a="1"/>
  <c r="F340" i="23" a="1"/>
  <c r="E339" i="23" a="1"/>
  <c r="F339" i="23" a="1"/>
  <c r="E338" i="23" a="1"/>
  <c r="F338" i="23" a="1"/>
  <c r="E337" i="23" a="1"/>
  <c r="F337" i="23" a="1"/>
  <c r="F336" i="23" a="1"/>
  <c r="E336" i="23" a="1"/>
  <c r="F335" i="23" a="1"/>
  <c r="E335" i="23" a="1"/>
  <c r="E334" i="23" a="1"/>
  <c r="F334" i="23" a="1"/>
  <c r="F333" i="23" a="1"/>
  <c r="E333" i="23" a="1"/>
  <c r="F332" i="23" a="1"/>
  <c r="E332" i="23" a="1"/>
  <c r="E331" i="23" a="1"/>
  <c r="F331" i="23" a="1"/>
  <c r="E330" i="23" a="1"/>
  <c r="F330" i="23" a="1"/>
  <c r="F329" i="23" a="1"/>
  <c r="E329" i="23" a="1"/>
  <c r="F328" i="23" a="1"/>
  <c r="E328" i="23" a="1"/>
  <c r="F327" i="23" a="1"/>
  <c r="E327" i="23" a="1"/>
  <c r="E326" i="23" a="1"/>
  <c r="F326" i="23" a="1"/>
  <c r="E325" i="23" a="1"/>
  <c r="F325" i="23" a="1"/>
  <c r="F324" i="23" a="1"/>
  <c r="E324" i="23" a="1"/>
  <c r="E323" i="23" a="1"/>
  <c r="F323" i="23" a="1"/>
  <c r="F322" i="23" a="1"/>
  <c r="E322" i="23" a="1"/>
  <c r="E321" i="23" a="1"/>
  <c r="F321" i="23" a="1"/>
  <c r="E320" i="23" a="1"/>
  <c r="F320" i="23" a="1"/>
  <c r="F319" i="23" a="1"/>
  <c r="E319" i="23" a="1"/>
  <c r="F318" i="23" a="1"/>
  <c r="E318" i="23" a="1"/>
  <c r="E317" i="23" a="1"/>
  <c r="F317" i="23" a="1"/>
  <c r="F316" i="23" a="1"/>
  <c r="E316" i="23" a="1"/>
  <c r="F315" i="23" a="1"/>
  <c r="E315" i="23" a="1"/>
  <c r="E314" i="23" a="1"/>
  <c r="F314" i="23" a="1"/>
  <c r="F313" i="23" a="1"/>
  <c r="E313" i="23" a="1"/>
  <c r="E312" i="23" a="1"/>
  <c r="F312" i="23" a="1"/>
  <c r="E311" i="23" a="1"/>
  <c r="F311" i="23" a="1"/>
  <c r="E310" i="23" a="1"/>
  <c r="F310" i="23" a="1"/>
  <c r="E309" i="23" a="1"/>
  <c r="F309" i="23" a="1"/>
  <c r="E308" i="23" a="1"/>
  <c r="F308" i="23" a="1"/>
  <c r="E307" i="23" a="1"/>
  <c r="F307" i="23" a="1"/>
  <c r="F306" i="23" a="1"/>
  <c r="E306" i="23" a="1"/>
  <c r="E305" i="23" a="1"/>
  <c r="F305" i="23" a="1"/>
  <c r="F304" i="23" a="1"/>
  <c r="E304" i="23" a="1"/>
  <c r="F303" i="23" a="1"/>
  <c r="E303" i="23" a="1"/>
  <c r="E302" i="23" a="1"/>
  <c r="F302" i="23" a="1"/>
  <c r="E301" i="23" a="1"/>
  <c r="F301" i="23" a="1"/>
  <c r="F300" i="23" a="1"/>
  <c r="E300" i="23" a="1"/>
  <c r="E299" i="23" a="1"/>
  <c r="F299" i="23" a="1"/>
  <c r="F298" i="23" a="1"/>
  <c r="E298" i="23" a="1"/>
  <c r="E297" i="23" a="1"/>
  <c r="F297" i="23" a="1"/>
  <c r="F296" i="23" a="1"/>
  <c r="E296" i="23" a="1"/>
  <c r="F295" i="23" a="1"/>
  <c r="E295" i="23" a="1"/>
  <c r="E294" i="23" a="1"/>
  <c r="F294" i="23" a="1"/>
  <c r="F293" i="23" a="1"/>
  <c r="E293" i="23" a="1"/>
  <c r="F292" i="23" a="1"/>
  <c r="E292" i="23" a="1"/>
  <c r="F291" i="23" a="1"/>
  <c r="E291" i="23" a="1"/>
  <c r="F290" i="23" a="1"/>
  <c r="E290" i="23" a="1"/>
  <c r="E289" i="23" a="1"/>
  <c r="F289" i="23" a="1"/>
  <c r="F288" i="23" a="1"/>
  <c r="E288" i="23" a="1"/>
  <c r="F287" i="23" a="1"/>
  <c r="E287" i="23" a="1"/>
  <c r="E286" i="23" a="1"/>
  <c r="F286" i="23" a="1"/>
  <c r="F285" i="23" a="1"/>
  <c r="E285" i="23" a="1"/>
  <c r="E284" i="23" a="1"/>
  <c r="F284" i="23" a="1"/>
  <c r="F283" i="23" a="1"/>
  <c r="E283" i="23" a="1"/>
  <c r="F282" i="23" a="1"/>
  <c r="E282" i="23" a="1"/>
  <c r="E281" i="23" a="1"/>
  <c r="F281" i="23" a="1"/>
  <c r="E280" i="23" a="1"/>
  <c r="F280" i="23" a="1"/>
  <c r="F279" i="23" a="1"/>
  <c r="E279" i="23" a="1"/>
  <c r="E278" i="23" a="1"/>
  <c r="F278" i="23" a="1"/>
  <c r="E277" i="23" a="1"/>
  <c r="F277" i="23" a="1"/>
  <c r="F276" i="23" a="1"/>
  <c r="E276" i="23" a="1"/>
  <c r="F275" i="23" a="1"/>
  <c r="E275" i="23" a="1"/>
  <c r="F274" i="23" a="1"/>
  <c r="E274" i="23" a="1"/>
  <c r="E273" i="23" a="1"/>
  <c r="F273" i="23" a="1"/>
  <c r="E272" i="23" a="1"/>
  <c r="F272" i="23" a="1"/>
  <c r="F271" i="23" a="1"/>
  <c r="E271" i="23" a="1"/>
  <c r="F270" i="23" a="1"/>
  <c r="E270" i="23" a="1"/>
  <c r="E269" i="23" a="1"/>
  <c r="F269" i="23" a="1"/>
  <c r="F268" i="23" a="1"/>
  <c r="E268" i="23" a="1"/>
  <c r="E267" i="23" a="1"/>
  <c r="F267" i="23" a="1"/>
  <c r="F266" i="23" a="1"/>
  <c r="E266" i="23" a="1"/>
  <c r="F265" i="23" a="1"/>
  <c r="E265" i="23" a="1"/>
  <c r="E264" i="23" a="1"/>
  <c r="F264" i="23" a="1"/>
  <c r="E263" i="23" a="1"/>
  <c r="F263" i="23" a="1"/>
  <c r="F262" i="23" a="1"/>
  <c r="E262" i="23" a="1"/>
  <c r="F261" i="23" a="1"/>
  <c r="E261" i="23" a="1"/>
  <c r="F260" i="23" a="1"/>
  <c r="E260" i="23" a="1"/>
  <c r="F259" i="23" a="1"/>
  <c r="E259" i="23" a="1"/>
  <c r="E258" i="23" a="1"/>
  <c r="F258" i="23" a="1"/>
  <c r="E257" i="23" a="1"/>
  <c r="F257" i="23" a="1"/>
  <c r="F256" i="23" a="1"/>
  <c r="E256" i="23" a="1"/>
  <c r="E255" i="23" a="1"/>
  <c r="F255" i="23" a="1"/>
  <c r="F254" i="23" a="1"/>
  <c r="E254" i="23" a="1"/>
  <c r="F253" i="23" a="1"/>
  <c r="E253" i="23" a="1"/>
  <c r="F252" i="23" a="1"/>
  <c r="E252" i="23" a="1"/>
  <c r="F251" i="23" a="1"/>
  <c r="E251" i="23" a="1"/>
  <c r="F250" i="23" a="1"/>
  <c r="E250" i="23" a="1"/>
  <c r="F249" i="23" a="1"/>
  <c r="E249" i="23" a="1"/>
  <c r="F248" i="23" a="1"/>
  <c r="E248" i="23" a="1"/>
  <c r="F247" i="23" a="1"/>
  <c r="E247" i="23" a="1"/>
  <c r="F246" i="23" a="1"/>
  <c r="E246" i="23" a="1"/>
  <c r="E245" i="23" a="1"/>
  <c r="F245" i="23" a="1"/>
  <c r="E244" i="23" a="1"/>
  <c r="F244" i="23" a="1"/>
  <c r="E243" i="23" a="1"/>
  <c r="F243" i="23" a="1"/>
  <c r="F242" i="23" a="1"/>
  <c r="E242" i="23" a="1"/>
  <c r="E241" i="23" a="1"/>
  <c r="F241" i="23" a="1"/>
  <c r="E240" i="23" a="1"/>
  <c r="F240" i="23" a="1"/>
  <c r="E239" i="23" a="1"/>
  <c r="F239" i="23" a="1"/>
  <c r="F238" i="23" a="1"/>
  <c r="E238" i="23" a="1"/>
  <c r="F237" i="23" a="1"/>
  <c r="E237" i="23" a="1"/>
  <c r="F236" i="23" a="1"/>
  <c r="E236" i="23" a="1"/>
  <c r="F235" i="23" a="1"/>
  <c r="E235" i="23" a="1"/>
  <c r="F234" i="23" a="1"/>
  <c r="E234" i="23" a="1"/>
  <c r="F233" i="23" a="1"/>
  <c r="E233" i="23" a="1"/>
  <c r="F232" i="23" a="1"/>
  <c r="E232" i="23" a="1"/>
  <c r="F231" i="23" a="1"/>
  <c r="E231" i="23" a="1"/>
  <c r="E230" i="23" a="1"/>
  <c r="F230" i="23" a="1"/>
  <c r="E229" i="23" a="1"/>
  <c r="F229" i="23" a="1"/>
  <c r="F228" i="23" a="1"/>
  <c r="E228" i="23" a="1"/>
  <c r="F227" i="23" a="1"/>
  <c r="E227" i="23" a="1"/>
  <c r="F226" i="23" a="1"/>
  <c r="E226" i="23" a="1"/>
  <c r="F225" i="23" a="1"/>
  <c r="E225" i="23" a="1"/>
  <c r="F224" i="23" a="1"/>
  <c r="E224" i="23" a="1"/>
  <c r="F223" i="23" a="1"/>
  <c r="E223" i="23" a="1"/>
  <c r="F222" i="23" a="1"/>
  <c r="E222" i="23" a="1"/>
  <c r="F221" i="23" a="1"/>
  <c r="E221" i="23" a="1"/>
  <c r="E220" i="23" a="1"/>
  <c r="F220" i="23" a="1"/>
  <c r="E219" i="23" a="1"/>
  <c r="F219" i="23" a="1"/>
  <c r="E218" i="23" a="1"/>
  <c r="F218" i="23" a="1"/>
  <c r="F217" i="23" a="1"/>
  <c r="E217" i="23" a="1"/>
  <c r="E216" i="23" a="1"/>
  <c r="F216" i="23" a="1"/>
  <c r="E215" i="23" a="1"/>
  <c r="F215" i="23" a="1"/>
  <c r="E214" i="23" a="1"/>
  <c r="F214" i="23" a="1"/>
  <c r="E213" i="23" a="1"/>
  <c r="F213" i="23" a="1"/>
  <c r="F212" i="23" a="1"/>
  <c r="E212" i="23" a="1"/>
  <c r="F211" i="23" a="1"/>
  <c r="E211" i="23" a="1"/>
  <c r="F210" i="23" a="1"/>
  <c r="E210" i="23" a="1"/>
  <c r="E209" i="23" a="1"/>
  <c r="F209" i="23" a="1"/>
  <c r="F208" i="23" a="1"/>
  <c r="E208" i="23" a="1"/>
  <c r="E207" i="23" a="1"/>
  <c r="F207" i="23" a="1"/>
  <c r="F206" i="23" a="1"/>
  <c r="E206" i="23" a="1"/>
  <c r="F205" i="23" a="1"/>
  <c r="E205" i="23" a="1"/>
  <c r="F204" i="23" a="1"/>
  <c r="E204" i="23" a="1"/>
  <c r="E203" i="23" a="1"/>
  <c r="F203" i="23" a="1"/>
  <c r="F202" i="23" a="1"/>
  <c r="E202" i="23" a="1"/>
  <c r="E201" i="23" a="1"/>
  <c r="F201" i="23" a="1"/>
  <c r="F200" i="23" a="1"/>
  <c r="E200" i="23" a="1"/>
  <c r="F199" i="23" a="1"/>
  <c r="E199" i="23" a="1"/>
  <c r="F198" i="23" a="1"/>
  <c r="E198" i="23" a="1"/>
  <c r="F197" i="23" a="1"/>
  <c r="E197" i="23" a="1"/>
  <c r="F196" i="23" a="1"/>
  <c r="E196" i="23" a="1"/>
  <c r="F195" i="23" a="1"/>
  <c r="E195" i="23" a="1"/>
  <c r="E194" i="23" a="1"/>
  <c r="F194" i="23" a="1"/>
  <c r="F193" i="23" a="1"/>
  <c r="E193" i="23" a="1"/>
  <c r="F192" i="23" a="1"/>
  <c r="E192" i="23" a="1"/>
  <c r="F191" i="23" a="1"/>
  <c r="E191" i="23" a="1"/>
  <c r="E190" i="23" a="1"/>
  <c r="F190" i="23" a="1"/>
  <c r="F189" i="23" a="1"/>
  <c r="E189" i="23" a="1"/>
  <c r="E188" i="23" a="1"/>
  <c r="F188" i="23" a="1"/>
  <c r="F187" i="23" a="1"/>
  <c r="E187" i="23" a="1"/>
  <c r="F186" i="23" a="1"/>
  <c r="E186" i="23" a="1"/>
  <c r="F185" i="23" a="1"/>
  <c r="E185" i="23" a="1"/>
  <c r="E184" i="23" a="1"/>
  <c r="F184" i="23" a="1"/>
  <c r="E183" i="23" a="1"/>
  <c r="F183" i="23" a="1"/>
  <c r="E182" i="23" a="1"/>
  <c r="F182" i="23" a="1"/>
  <c r="F181" i="23" a="1"/>
  <c r="E181" i="23" a="1"/>
  <c r="F180" i="23" a="1"/>
  <c r="E180" i="23" a="1"/>
  <c r="F179" i="23" a="1"/>
  <c r="E179" i="23" a="1"/>
  <c r="F178" i="23" a="1"/>
  <c r="E178" i="23" a="1"/>
  <c r="E177" i="23" a="1"/>
  <c r="F177" i="23" a="1"/>
  <c r="F176" i="23" a="1"/>
  <c r="E176" i="23" a="1"/>
  <c r="E175" i="23" a="1"/>
  <c r="F175" i="23" a="1"/>
  <c r="E174" i="23" a="1"/>
  <c r="F174" i="23" a="1"/>
  <c r="F173" i="23" a="1"/>
  <c r="E173" i="23" a="1"/>
  <c r="F172" i="23" a="1"/>
  <c r="E172" i="23" a="1"/>
  <c r="F171" i="23" a="1"/>
  <c r="E171" i="23" a="1"/>
  <c r="F170" i="23" a="1"/>
  <c r="E170" i="23" a="1"/>
  <c r="E169" i="23" a="1"/>
  <c r="F169" i="23" a="1"/>
  <c r="F168" i="23" a="1"/>
  <c r="E168" i="23" a="1"/>
  <c r="F167" i="23" a="1"/>
  <c r="E167" i="23" a="1"/>
  <c r="F166" i="23" a="1"/>
  <c r="E166" i="23" a="1"/>
  <c r="E165" i="23" a="1"/>
  <c r="F165" i="23" a="1"/>
  <c r="F164" i="23" a="1"/>
  <c r="E164" i="23" a="1"/>
  <c r="F163" i="23" a="1"/>
  <c r="E163" i="23" a="1"/>
  <c r="E162" i="23" a="1"/>
  <c r="F162" i="23" a="1"/>
  <c r="E161" i="23" a="1"/>
  <c r="F161" i="23" a="1"/>
  <c r="E160" i="23" a="1"/>
  <c r="F160" i="23" a="1"/>
  <c r="E159" i="23" a="1"/>
  <c r="F159" i="23" a="1"/>
  <c r="E158" i="23" a="1"/>
  <c r="F158" i="23" a="1"/>
  <c r="F157" i="23" a="1"/>
  <c r="E157" i="23" a="1"/>
  <c r="F156" i="23" a="1"/>
  <c r="E156" i="23" a="1"/>
  <c r="F155" i="23" a="1"/>
  <c r="E155" i="23" a="1"/>
  <c r="E154" i="23" a="1"/>
  <c r="F154" i="23" a="1"/>
  <c r="F153" i="23" a="1"/>
  <c r="E153" i="23" a="1"/>
  <c r="F152" i="23" a="1"/>
  <c r="E152" i="23" a="1"/>
  <c r="D152" i="23" a="1"/>
  <c r="C152" i="23" a="1"/>
  <c r="C151" i="23" a="1"/>
  <c r="D151" i="23" a="1"/>
  <c r="E151" i="23" a="1"/>
  <c r="F151" i="23" a="1"/>
  <c r="C150" i="23" a="1"/>
  <c r="D150" i="23" a="1"/>
  <c r="E150" i="23" a="1"/>
  <c r="F150" i="23" a="1"/>
  <c r="C149" i="23" a="1"/>
  <c r="D149" i="23" a="1"/>
  <c r="E149" i="23" a="1"/>
  <c r="F149" i="23" a="1"/>
  <c r="E148" i="23" a="1"/>
  <c r="F148" i="23" a="1"/>
  <c r="C148" i="23" a="1"/>
  <c r="D148" i="23" a="1"/>
  <c r="F147" i="23" a="1"/>
  <c r="C147" i="23" a="1"/>
  <c r="D147" i="23" a="1"/>
  <c r="E147" i="23" a="1"/>
  <c r="C146" i="23" a="1"/>
  <c r="F146" i="23" a="1"/>
  <c r="E146" i="23" a="1"/>
  <c r="D146" i="23" a="1"/>
  <c r="D145" i="23" a="1"/>
  <c r="E145" i="23" a="1"/>
  <c r="F145" i="23" a="1"/>
  <c r="C145" i="23" a="1"/>
  <c r="C144" i="23" a="1"/>
  <c r="D144" i="23" a="1"/>
  <c r="E144" i="23" a="1"/>
  <c r="F144" i="23" a="1"/>
  <c r="F143" i="23" a="1"/>
  <c r="C143" i="23" a="1"/>
  <c r="D143" i="23" a="1"/>
  <c r="E143" i="23" a="1"/>
  <c r="D142" i="23" a="1"/>
  <c r="E142" i="23" a="1"/>
  <c r="F142" i="23" a="1"/>
  <c r="C142" i="23" a="1"/>
  <c r="F141" i="23" a="1"/>
  <c r="C141" i="23" a="1"/>
  <c r="D141" i="23" a="1"/>
  <c r="E141" i="23" a="1"/>
  <c r="E140" i="23" a="1"/>
  <c r="D140" i="23" a="1"/>
  <c r="C140" i="23" a="1"/>
  <c r="F140" i="23" a="1"/>
  <c r="F139" i="23" a="1"/>
  <c r="E139" i="23" a="1"/>
  <c r="D139" i="23" a="1"/>
  <c r="C139" i="23" a="1"/>
  <c r="F138" i="23" a="1"/>
  <c r="E138" i="23" a="1"/>
  <c r="D138" i="23" a="1"/>
  <c r="C138" i="23" a="1"/>
  <c r="F137" i="23" a="1"/>
  <c r="E137" i="23" a="1"/>
  <c r="D137" i="23" a="1"/>
  <c r="C137" i="23" a="1"/>
  <c r="D136" i="23" a="1"/>
  <c r="C136" i="23" a="1"/>
  <c r="F136" i="23" a="1"/>
  <c r="E136" i="23" a="1"/>
  <c r="F135" i="23" a="1"/>
  <c r="E135" i="23" a="1"/>
  <c r="D135" i="23" a="1"/>
  <c r="C135" i="23" a="1"/>
  <c r="F134" i="23" a="1"/>
  <c r="E134" i="23" a="1"/>
  <c r="D134" i="23" a="1"/>
  <c r="C134" i="23" a="1"/>
  <c r="C133" i="23" a="1"/>
  <c r="F133" i="23" a="1"/>
  <c r="E133" i="23" a="1"/>
  <c r="D133" i="23" a="1"/>
  <c r="F132" i="23" a="1"/>
  <c r="E132" i="23" a="1"/>
  <c r="D132" i="23" a="1"/>
  <c r="C132" i="23" a="1"/>
  <c r="D131" i="23" a="1"/>
  <c r="F131" i="23" a="1"/>
  <c r="E131" i="23" a="1"/>
  <c r="C131" i="23" a="1"/>
  <c r="C130" i="23" a="1"/>
  <c r="D130" i="23" a="1"/>
  <c r="E130" i="23" a="1"/>
  <c r="F130" i="23" a="1"/>
  <c r="C129" i="23" a="1"/>
  <c r="D129" i="23" a="1"/>
  <c r="E129" i="23" a="1"/>
  <c r="F129" i="23" a="1"/>
  <c r="F128" i="23" a="1"/>
  <c r="E128" i="23" a="1"/>
  <c r="D128" i="23" a="1"/>
  <c r="C128" i="23" a="1"/>
  <c r="F127" i="23" a="1"/>
  <c r="E127" i="23" a="1"/>
  <c r="D127" i="23" a="1"/>
  <c r="C127" i="23" a="1"/>
  <c r="C126" i="23" a="1"/>
  <c r="D126" i="23" a="1"/>
  <c r="E126" i="23" a="1"/>
  <c r="F126" i="23" a="1"/>
  <c r="D125" i="23" a="1"/>
  <c r="E125" i="23" a="1"/>
  <c r="F125" i="23" a="1"/>
  <c r="C125" i="23" a="1"/>
  <c r="E124" i="23" a="1"/>
  <c r="C124" i="23" a="1"/>
  <c r="D124" i="23" a="1"/>
  <c r="F124" i="23" a="1"/>
  <c r="C123" i="23" a="1"/>
  <c r="D123" i="23" a="1"/>
  <c r="E123" i="23" a="1"/>
  <c r="F123" i="23" a="1"/>
  <c r="C122" i="23" a="1"/>
  <c r="D122" i="23" a="1"/>
  <c r="E122" i="23" a="1"/>
  <c r="F122" i="23" a="1"/>
  <c r="F121" i="23" a="1"/>
  <c r="E121" i="23" a="1"/>
  <c r="D121" i="23" a="1"/>
  <c r="C121" i="23" a="1"/>
  <c r="F120" i="23" a="1"/>
  <c r="E120" i="23" a="1"/>
  <c r="D120" i="23" a="1"/>
  <c r="C120" i="23" a="1"/>
  <c r="C119" i="23" a="1"/>
  <c r="F119" i="23" a="1"/>
  <c r="E119" i="23" a="1"/>
  <c r="D119" i="23" a="1"/>
  <c r="F118" i="23" a="1"/>
  <c r="E118" i="23" a="1"/>
  <c r="D118" i="23" a="1"/>
  <c r="C118" i="23" a="1"/>
  <c r="F117" i="23" a="1"/>
  <c r="E117" i="23" a="1"/>
  <c r="D117" i="23" a="1"/>
  <c r="C117" i="23" a="1"/>
  <c r="F116" i="23" a="1"/>
  <c r="E116" i="23" a="1"/>
  <c r="D116" i="23" a="1"/>
  <c r="C116" i="23" a="1"/>
  <c r="F115" i="23" a="1"/>
  <c r="E115" i="23" a="1"/>
  <c r="D115" i="23" a="1"/>
  <c r="C115" i="23" a="1"/>
  <c r="E114" i="23" a="1"/>
  <c r="C114" i="23" a="1"/>
  <c r="D114" i="23" a="1"/>
  <c r="F114" i="23" a="1"/>
  <c r="F113" i="23" a="1"/>
  <c r="E113" i="23" a="1"/>
  <c r="D113" i="23" a="1"/>
  <c r="C113" i="23" a="1"/>
  <c r="F112" i="23" a="1"/>
  <c r="D112" i="23" a="1"/>
  <c r="C112" i="23" a="1"/>
  <c r="E112" i="23" a="1"/>
  <c r="C111" i="23" a="1"/>
  <c r="D111" i="23" a="1"/>
  <c r="E111" i="23" a="1"/>
  <c r="F111" i="23" a="1"/>
  <c r="D110" i="23" a="1"/>
  <c r="C110" i="23" a="1"/>
  <c r="E110" i="23" a="1"/>
  <c r="F110" i="23" a="1"/>
  <c r="F109" i="23" a="1"/>
  <c r="E109" i="23" a="1"/>
  <c r="D109" i="23" a="1"/>
  <c r="C109" i="23" a="1"/>
  <c r="C108" i="23" a="1"/>
  <c r="E108" i="23" a="1"/>
  <c r="F108" i="23" a="1"/>
  <c r="D108" i="23" a="1"/>
  <c r="C107" i="23" a="1"/>
  <c r="D107" i="23" a="1"/>
  <c r="E107" i="23" a="1"/>
  <c r="F107" i="23" a="1"/>
  <c r="C106" i="23" a="1"/>
  <c r="D106" i="23" a="1"/>
  <c r="E106" i="23" a="1"/>
  <c r="F106" i="23" a="1"/>
  <c r="E105" i="23" a="1"/>
  <c r="C105" i="23" a="1"/>
  <c r="D105" i="23" a="1"/>
  <c r="F105" i="23" a="1"/>
  <c r="F104" i="23" a="1"/>
  <c r="C104" i="23" a="1"/>
  <c r="D104" i="23" a="1"/>
  <c r="E104" i="23" a="1"/>
  <c r="F103" i="23" a="1"/>
  <c r="E103" i="23" a="1"/>
  <c r="D103" i="23" a="1"/>
  <c r="C103" i="23" a="1"/>
  <c r="F102" i="23" a="1"/>
  <c r="E102" i="23" a="1"/>
  <c r="D102" i="23" a="1"/>
  <c r="C102" i="23" a="1"/>
  <c r="F101" i="23" a="1"/>
  <c r="E101" i="23" a="1"/>
  <c r="C101" i="23" a="1"/>
  <c r="D101" i="23" a="1"/>
  <c r="E100" i="23" a="1"/>
  <c r="F100" i="23" a="1"/>
  <c r="D100" i="23" a="1"/>
  <c r="C100" i="23" a="1"/>
  <c r="F99" i="23" a="1"/>
  <c r="D99" i="23" a="1"/>
  <c r="E99" i="23" a="1"/>
  <c r="C99" i="23" a="1"/>
  <c r="F98" i="23" a="1"/>
  <c r="D98" i="23" a="1"/>
  <c r="C98" i="23" a="1"/>
  <c r="E98" i="23" a="1"/>
  <c r="F97" i="23" a="1"/>
  <c r="E97" i="23" a="1"/>
  <c r="D97" i="23" a="1"/>
  <c r="C97" i="23" a="1"/>
  <c r="D96" i="23" a="1"/>
  <c r="C96" i="23" a="1"/>
  <c r="F96" i="23" a="1"/>
  <c r="E96" i="23" a="1"/>
  <c r="D95" i="23" a="1"/>
  <c r="E95" i="23" a="1"/>
  <c r="F95" i="23" a="1"/>
  <c r="C95" i="23" a="1"/>
  <c r="E94" i="23" a="1"/>
  <c r="F94" i="23" a="1"/>
  <c r="D94" i="23" a="1"/>
  <c r="C94" i="23" a="1"/>
  <c r="F93" i="23" a="1"/>
  <c r="E93" i="23" a="1"/>
  <c r="D93" i="23" a="1"/>
  <c r="C93" i="23" a="1"/>
  <c r="E92" i="23" a="1"/>
  <c r="F92" i="23" a="1"/>
  <c r="C92" i="23" a="1"/>
  <c r="D92" i="23" a="1"/>
  <c r="F91" i="23" a="1"/>
  <c r="E91" i="23" a="1"/>
  <c r="D91" i="23" a="1"/>
  <c r="C91" i="23" a="1"/>
  <c r="D90" i="23" a="1"/>
  <c r="C90" i="23" a="1"/>
  <c r="E90" i="23" a="1"/>
  <c r="F90" i="23" a="1"/>
  <c r="C89" i="23" a="1"/>
  <c r="D89" i="23" a="1"/>
  <c r="E89" i="23" a="1"/>
  <c r="F89" i="23" a="1"/>
  <c r="F88" i="23" a="1"/>
  <c r="C88" i="23" a="1"/>
  <c r="D88" i="23" a="1"/>
  <c r="E88" i="23" a="1"/>
  <c r="C87" i="23" a="1"/>
  <c r="D87" i="23" a="1"/>
  <c r="F87" i="23" a="1"/>
  <c r="E87" i="23" a="1"/>
  <c r="C86" i="23" a="1"/>
  <c r="D86" i="23" a="1"/>
  <c r="F86" i="23" a="1"/>
  <c r="E86" i="23" a="1"/>
  <c r="D85" i="23" a="1"/>
  <c r="E85" i="23" a="1"/>
  <c r="F85" i="23" a="1"/>
  <c r="C85" i="23" a="1"/>
  <c r="C84" i="23" a="1"/>
  <c r="D84" i="23" a="1"/>
  <c r="E84" i="23" a="1"/>
  <c r="F84" i="23" a="1"/>
  <c r="C83" i="23" a="1"/>
  <c r="D83" i="23" a="1"/>
  <c r="E83" i="23" a="1"/>
  <c r="F83" i="23" a="1"/>
  <c r="D82" i="23" a="1"/>
  <c r="F82" i="23" a="1"/>
  <c r="E82" i="23" a="1"/>
  <c r="C82" i="23" a="1"/>
  <c r="F81" i="23" a="1"/>
  <c r="E81" i="23" a="1"/>
  <c r="D81" i="23" a="1"/>
  <c r="C81" i="23" a="1"/>
  <c r="F80" i="23" a="1"/>
  <c r="D80" i="23" a="1"/>
  <c r="C80" i="23" a="1"/>
  <c r="E80" i="23" a="1"/>
  <c r="D79" i="23" a="1"/>
  <c r="F79" i="23" a="1"/>
  <c r="E79" i="23" a="1"/>
  <c r="C79" i="23" a="1"/>
  <c r="C78" i="23" a="1"/>
  <c r="F78" i="23" a="1"/>
  <c r="E78" i="23" a="1"/>
  <c r="D78" i="23" a="1"/>
  <c r="F77" i="23" a="1"/>
  <c r="E77" i="23" a="1"/>
  <c r="D77" i="23" a="1"/>
  <c r="C77" i="23" a="1"/>
  <c r="F76" i="23" a="1"/>
  <c r="E76" i="23" a="1"/>
  <c r="D76" i="23" a="1"/>
  <c r="C76" i="23" a="1"/>
  <c r="F75" i="23" a="1"/>
  <c r="E75" i="23" a="1"/>
  <c r="D75" i="23" a="1"/>
  <c r="C75" i="23" a="1"/>
  <c r="F74" i="23" a="1"/>
  <c r="E74" i="23" a="1"/>
  <c r="D74" i="23" a="1"/>
  <c r="C74" i="23" a="1"/>
  <c r="F73" i="23" a="1"/>
  <c r="E73" i="23" a="1"/>
  <c r="D73" i="23" a="1"/>
  <c r="C73" i="23" a="1"/>
  <c r="F72" i="23" a="1"/>
  <c r="E72" i="23" a="1"/>
  <c r="D72" i="23" a="1"/>
  <c r="C72" i="23" a="1"/>
  <c r="F71" i="23" a="1"/>
  <c r="E71" i="23" a="1"/>
  <c r="D71" i="23" a="1"/>
  <c r="C71" i="23" a="1"/>
  <c r="F70" i="23" a="1"/>
  <c r="E70" i="23" a="1"/>
  <c r="D70" i="23" a="1"/>
  <c r="C70" i="23" a="1"/>
  <c r="F69" i="23" a="1"/>
  <c r="E69" i="23" a="1"/>
  <c r="D69" i="23" a="1"/>
  <c r="C69" i="23" a="1"/>
  <c r="F68" i="23" a="1"/>
  <c r="E68" i="23" a="1"/>
  <c r="C68" i="23" a="1"/>
  <c r="D68" i="23" a="1"/>
  <c r="F67" i="23" a="1"/>
  <c r="E67" i="23" a="1"/>
  <c r="D67" i="23" a="1"/>
  <c r="C67" i="23" a="1"/>
  <c r="F66" i="23" a="1"/>
  <c r="E66" i="23" a="1"/>
  <c r="D66" i="23" a="1"/>
  <c r="C66" i="23" a="1"/>
  <c r="F65" i="23" a="1"/>
  <c r="E65" i="23" a="1"/>
  <c r="D65" i="23" a="1"/>
  <c r="C65" i="23" a="1"/>
  <c r="F64" i="23" a="1"/>
  <c r="E64" i="23" a="1"/>
  <c r="D64" i="23" a="1"/>
  <c r="C64" i="23" a="1"/>
  <c r="F63" i="23" a="1"/>
  <c r="E63" i="23" a="1"/>
  <c r="D63" i="23" a="1"/>
  <c r="C63" i="23" a="1"/>
  <c r="F62" i="23" a="1"/>
  <c r="E62" i="23" a="1"/>
  <c r="D62" i="23" a="1"/>
  <c r="C62" i="23" a="1"/>
  <c r="F61" i="23" a="1"/>
  <c r="E61" i="23" a="1"/>
  <c r="D61" i="23" a="1"/>
  <c r="C61" i="23" a="1"/>
  <c r="F60" i="23" a="1"/>
  <c r="E60" i="23" a="1"/>
  <c r="D60" i="23" a="1"/>
  <c r="C60" i="23" a="1"/>
  <c r="F59" i="23" a="1"/>
  <c r="E59" i="23" a="1"/>
  <c r="D59" i="23" a="1"/>
  <c r="C59" i="23" a="1"/>
  <c r="F58" i="23" a="1"/>
  <c r="E58" i="23" a="1"/>
  <c r="C58" i="23" a="1"/>
  <c r="D58" i="23" a="1"/>
  <c r="F57" i="23" a="1"/>
  <c r="E57" i="23" a="1"/>
  <c r="D57" i="23" a="1"/>
  <c r="C57" i="23" a="1"/>
  <c r="F56" i="23" a="1"/>
  <c r="E56" i="23" a="1"/>
  <c r="D56" i="23" a="1"/>
  <c r="C56" i="23" a="1"/>
  <c r="F55" i="23" a="1"/>
  <c r="E55" i="23" a="1"/>
  <c r="D55" i="23" a="1"/>
  <c r="C55" i="23" a="1"/>
  <c r="F54" i="23" a="1"/>
  <c r="E54" i="23" a="1"/>
  <c r="C54" i="23" a="1"/>
  <c r="D54" i="23" a="1"/>
  <c r="F53" i="23" a="1"/>
  <c r="E53" i="23" a="1"/>
  <c r="D53" i="23" a="1"/>
  <c r="C53" i="23" a="1"/>
  <c r="F52" i="23" a="1"/>
  <c r="E52" i="23" a="1"/>
  <c r="D52" i="23" a="1"/>
  <c r="C52" i="23" a="1"/>
  <c r="F51" i="23" a="1"/>
  <c r="E51" i="23" a="1"/>
  <c r="D51" i="23" a="1"/>
  <c r="C51" i="23" a="1"/>
  <c r="F50" i="23" a="1"/>
  <c r="E50" i="23" a="1"/>
  <c r="D50" i="23" a="1"/>
  <c r="C50" i="23" a="1"/>
  <c r="F49" i="23" a="1"/>
  <c r="E49" i="23" a="1"/>
  <c r="D49" i="23" a="1"/>
  <c r="C49" i="23" a="1"/>
  <c r="F48" i="23" a="1"/>
  <c r="E48" i="23" a="1"/>
  <c r="D48" i="23" a="1"/>
  <c r="C48" i="23" a="1"/>
  <c r="F47" i="23" a="1"/>
  <c r="E47" i="23" a="1"/>
  <c r="C47" i="23" a="1"/>
  <c r="D47" i="23" a="1"/>
  <c r="F46" i="23" a="1"/>
  <c r="E46" i="23" a="1"/>
  <c r="D46" i="23" a="1"/>
  <c r="C46" i="23" a="1"/>
  <c r="F45" i="23" a="1"/>
  <c r="E45" i="23" a="1"/>
  <c r="D45" i="23" a="1"/>
  <c r="C45" i="23" a="1"/>
  <c r="F44" i="23" a="1"/>
  <c r="D44" i="23" a="1"/>
  <c r="C44" i="23" a="1"/>
  <c r="E44" i="23" a="1"/>
  <c r="D43" i="23" a="1"/>
  <c r="C43" i="23" a="1"/>
  <c r="F43" i="23" a="1"/>
  <c r="E43" i="23" a="1"/>
  <c r="F42" i="23" a="1"/>
  <c r="C42" i="23" a="1"/>
  <c r="E42" i="23" a="1"/>
  <c r="D42" i="23" a="1"/>
  <c r="C41" i="23" a="1"/>
  <c r="F41" i="23" a="1"/>
  <c r="E41" i="23" a="1"/>
  <c r="D41" i="23" a="1"/>
  <c r="C40" i="23" a="1"/>
  <c r="F40" i="23" a="1"/>
  <c r="E40" i="23" a="1"/>
  <c r="D40" i="23" a="1"/>
  <c r="E39" i="23" a="1"/>
  <c r="C39" i="23" a="1"/>
  <c r="D39" i="23" a="1"/>
  <c r="F39" i="23" a="1"/>
  <c r="C38" i="23" a="1"/>
  <c r="E38" i="23" a="1"/>
  <c r="D38" i="23" a="1"/>
  <c r="F38" i="23" a="1"/>
  <c r="C37" i="23" a="1"/>
  <c r="D37" i="23" a="1"/>
  <c r="E37" i="23" a="1"/>
  <c r="F37" i="23" a="1"/>
  <c r="F36" i="23" a="1"/>
  <c r="E36" i="23" a="1"/>
  <c r="D36" i="23" a="1"/>
  <c r="C36" i="23" a="1"/>
  <c r="C35" i="23" a="1"/>
  <c r="D35" i="23" a="1"/>
  <c r="F35" i="23" a="1"/>
  <c r="E35" i="23" a="1"/>
  <c r="D34" i="23" a="1"/>
  <c r="C34" i="23" a="1"/>
  <c r="E34" i="23" a="1"/>
  <c r="F34" i="23" a="1"/>
  <c r="F33" i="23" a="1"/>
  <c r="D33" i="23" a="1"/>
  <c r="C33" i="23" a="1"/>
  <c r="E33" i="23" a="1"/>
  <c r="C32" i="23" a="1"/>
  <c r="F32" i="23" a="1"/>
  <c r="E32" i="23" a="1"/>
  <c r="D32" i="23" a="1"/>
  <c r="F31" i="23" a="1"/>
  <c r="E31" i="23" a="1"/>
  <c r="D31" i="23" a="1"/>
  <c r="C31" i="23" a="1"/>
  <c r="F30" i="23" a="1"/>
  <c r="E30" i="23" a="1"/>
  <c r="D30" i="23" a="1"/>
  <c r="C30" i="23" a="1"/>
  <c r="C29" i="23" a="1"/>
  <c r="F29" i="23" a="1"/>
  <c r="E29" i="23" a="1"/>
  <c r="D29" i="23" a="1"/>
  <c r="C28" i="23" a="1"/>
  <c r="D28" i="23" a="1"/>
  <c r="E28" i="23" a="1"/>
  <c r="F28" i="23" a="1"/>
  <c r="C27" i="23" a="1"/>
  <c r="D27" i="23" a="1"/>
  <c r="E27" i="23" a="1"/>
  <c r="F27" i="23" a="1"/>
  <c r="F26" i="23" a="1"/>
  <c r="C26" i="23" a="1"/>
  <c r="D26" i="23" a="1"/>
  <c r="E26" i="23" a="1"/>
  <c r="F25" i="23" a="1"/>
  <c r="E25" i="23" a="1"/>
  <c r="D25" i="23" a="1"/>
  <c r="C25" i="23" a="1"/>
  <c r="F24" i="23" a="1"/>
  <c r="E24" i="23" a="1"/>
  <c r="C24" i="23" a="1"/>
  <c r="D24" i="23" a="1"/>
  <c r="F23" i="23" a="1"/>
  <c r="E23" i="23" a="1"/>
  <c r="C23" i="23" a="1"/>
  <c r="D23" i="23" a="1"/>
  <c r="F22" i="23" a="1"/>
  <c r="C22" i="23" a="1"/>
  <c r="D22" i="23" a="1"/>
  <c r="E22" i="23" a="1"/>
  <c r="F21" i="23" a="1"/>
  <c r="C21" i="23" a="1"/>
  <c r="D21" i="23" a="1"/>
  <c r="E21" i="23" a="1"/>
  <c r="C20" i="23" a="1"/>
  <c r="D20" i="23" a="1"/>
  <c r="E20" i="23" a="1"/>
  <c r="F20" i="23" a="1"/>
  <c r="E19" i="23" a="1"/>
  <c r="F19" i="23" a="1"/>
  <c r="D19" i="23" a="1"/>
  <c r="C19" i="23" a="1"/>
  <c r="C18" i="23" a="1"/>
  <c r="F18" i="23" a="1"/>
  <c r="E18" i="23" a="1"/>
  <c r="D18" i="23" a="1"/>
  <c r="D17" i="23" a="1"/>
  <c r="E17" i="23" a="1"/>
  <c r="F17" i="23" a="1"/>
  <c r="C17" i="23" a="1"/>
  <c r="C16" i="23" a="1"/>
  <c r="D16" i="23" a="1"/>
  <c r="E16" i="23" a="1"/>
  <c r="F16" i="23" a="1"/>
  <c r="E15" i="23" a="1"/>
  <c r="C15" i="23" a="1"/>
  <c r="D15" i="23" a="1"/>
  <c r="F15" i="23" a="1"/>
  <c r="C14" i="23" a="1"/>
  <c r="E14" i="23" a="1"/>
  <c r="F14" i="23" a="1"/>
  <c r="D14" i="23" a="1"/>
  <c r="F13" i="23" a="1"/>
  <c r="E13" i="23" a="1"/>
  <c r="D13" i="23" a="1"/>
  <c r="C13" i="23" a="1"/>
  <c r="F12" i="23" a="1"/>
  <c r="C12" i="23" a="1"/>
  <c r="D12" i="23" a="1"/>
  <c r="E12" i="23" a="1"/>
  <c r="C11" i="23" a="1"/>
  <c r="D11" i="23" a="1"/>
  <c r="E11" i="23" a="1"/>
  <c r="F11" i="23" a="1"/>
  <c r="C10" i="23" a="1"/>
  <c r="D10" i="23" a="1"/>
  <c r="E10" i="23" a="1"/>
  <c r="F10" i="23" a="1"/>
  <c r="D9" i="23" a="1"/>
  <c r="C9" i="23" a="1"/>
  <c r="E9" i="23" a="1"/>
  <c r="F9" i="23" a="1"/>
  <c r="E8" i="23" a="1"/>
  <c r="F8" i="23" a="1"/>
  <c r="D8" i="23" a="1"/>
  <c r="C8" i="23" a="1"/>
  <c r="C7" i="23" a="1"/>
  <c r="D7" i="23" a="1"/>
  <c r="F7" i="23" a="1"/>
  <c r="E7" i="23" a="1"/>
  <c r="C6" i="23" a="1"/>
  <c r="D6" i="23" a="1"/>
  <c r="F6" i="23" a="1"/>
  <c r="E6" i="23" a="1"/>
  <c r="F5" i="23" a="1"/>
  <c r="E5" i="23" a="1"/>
  <c r="C5" i="23" a="1"/>
  <c r="D5" i="23" a="1"/>
  <c r="F4" i="23" a="1"/>
  <c r="E4" i="23" a="1"/>
  <c r="D4" i="23" a="1"/>
  <c r="C4" i="23" a="1"/>
  <c r="E3" i="23" a="1"/>
  <c r="F3" i="23" a="1"/>
  <c r="D3" i="23" a="1"/>
  <c r="C3" i="23" a="1"/>
  <c r="C2" i="23" a="1"/>
  <c r="F2" i="23" a="1"/>
  <c r="D2" i="23" a="1"/>
  <c r="E2" i="23" a="1"/>
  <c r="P25" i="22"/>
  <c r="O25" i="22"/>
  <c r="D25" i="22"/>
  <c r="C25" i="22"/>
  <c r="P24" i="22"/>
  <c r="O24" i="22"/>
  <c r="D24" i="22"/>
  <c r="C24" i="22"/>
  <c r="P23" i="22"/>
  <c r="O23" i="22"/>
  <c r="D23" i="22"/>
  <c r="C23" i="22"/>
  <c r="P22" i="22"/>
  <c r="O22" i="22"/>
  <c r="D22" i="22"/>
  <c r="C22" i="22"/>
  <c r="P21" i="22"/>
  <c r="O21" i="22"/>
  <c r="D21" i="22"/>
  <c r="W163" i="22" s="1" a="1"/>
  <c r="C21" i="22"/>
  <c r="P20" i="22"/>
  <c r="O20" i="22"/>
  <c r="D20" i="22"/>
  <c r="W162" i="22" s="1" a="1"/>
  <c r="C20" i="22"/>
  <c r="P19" i="22"/>
  <c r="O19" i="22"/>
  <c r="D19" i="22"/>
  <c r="W161" i="22" s="1" a="1"/>
  <c r="C19" i="22"/>
  <c r="L94" i="28" l="1"/>
  <c r="L91" i="28"/>
  <c r="J89" i="28"/>
  <c r="K87" i="28"/>
  <c r="K86" i="28"/>
  <c r="K85" i="28"/>
  <c r="L84" i="28"/>
  <c r="L81" i="28"/>
  <c r="L78" i="28"/>
  <c r="I150" i="28"/>
  <c r="J150" i="28"/>
  <c r="I149" i="28"/>
  <c r="L149" i="28"/>
  <c r="I148" i="28"/>
  <c r="I147" i="28"/>
  <c r="K147" i="28"/>
  <c r="I146" i="28"/>
  <c r="K146" i="28" s="1"/>
  <c r="J146" i="28"/>
  <c r="L146" i="28"/>
  <c r="I145" i="28"/>
  <c r="L145" i="28" s="1"/>
  <c r="J145" i="28"/>
  <c r="K145" i="28"/>
  <c r="I144" i="28"/>
  <c r="I143" i="28"/>
  <c r="K143" i="28"/>
  <c r="I142" i="28"/>
  <c r="L142" i="28"/>
  <c r="J142" i="28"/>
  <c r="K142" i="28"/>
  <c r="I141" i="28"/>
  <c r="J141" i="28"/>
  <c r="K141" i="28"/>
  <c r="L141" i="28"/>
  <c r="I140" i="28"/>
  <c r="I139" i="28"/>
  <c r="K139" i="28"/>
  <c r="I138" i="28"/>
  <c r="I137" i="28"/>
  <c r="I136" i="28"/>
  <c r="I135" i="28"/>
  <c r="I134" i="28"/>
  <c r="I133" i="28"/>
  <c r="I132" i="28"/>
  <c r="J132" i="28"/>
  <c r="I131" i="28"/>
  <c r="L131" i="28"/>
  <c r="K131" i="28"/>
  <c r="J131" i="28"/>
  <c r="I129" i="28"/>
  <c r="I128" i="28"/>
  <c r="L128" i="28" s="1"/>
  <c r="J128" i="28"/>
  <c r="K128" i="28"/>
  <c r="I127" i="28"/>
  <c r="L127" i="28" s="1"/>
  <c r="K127" i="28"/>
  <c r="J127" i="28"/>
  <c r="I126" i="28"/>
  <c r="L126" i="28"/>
  <c r="I125" i="28"/>
  <c r="J125" i="28"/>
  <c r="K125" i="28"/>
  <c r="L125" i="28"/>
  <c r="I124" i="28"/>
  <c r="K124" i="28" s="1"/>
  <c r="J124" i="28"/>
  <c r="L124" i="28"/>
  <c r="I123" i="28"/>
  <c r="I122" i="28"/>
  <c r="J122" i="28"/>
  <c r="K122" i="28"/>
  <c r="L122" i="28"/>
  <c r="I121" i="28"/>
  <c r="I120" i="28"/>
  <c r="I119" i="28"/>
  <c r="I118" i="28"/>
  <c r="I117" i="28"/>
  <c r="L117" i="28"/>
  <c r="K117" i="28"/>
  <c r="J117" i="28"/>
  <c r="I116" i="28"/>
  <c r="K116" i="28"/>
  <c r="L116" i="28"/>
  <c r="J116" i="28"/>
  <c r="I115" i="28"/>
  <c r="I114" i="28"/>
  <c r="I113" i="28"/>
  <c r="K113" i="28" s="1"/>
  <c r="J113" i="28"/>
  <c r="L113" i="28"/>
  <c r="I111" i="28"/>
  <c r="L111" i="28" s="1"/>
  <c r="J111" i="28"/>
  <c r="K111" i="28"/>
  <c r="I110" i="28"/>
  <c r="J110" i="28"/>
  <c r="K110" i="28"/>
  <c r="L110" i="28"/>
  <c r="I109" i="28"/>
  <c r="J109" i="28"/>
  <c r="K109" i="28"/>
  <c r="L109" i="28"/>
  <c r="I108" i="28"/>
  <c r="J108" i="28"/>
  <c r="K108" i="28"/>
  <c r="L108" i="28"/>
  <c r="I107" i="28"/>
  <c r="J107" i="28"/>
  <c r="K107" i="28"/>
  <c r="L107" i="28"/>
  <c r="I106" i="28"/>
  <c r="J106" i="28"/>
  <c r="K106" i="28"/>
  <c r="L106" i="28"/>
  <c r="I105" i="28"/>
  <c r="J105" i="28"/>
  <c r="K105" i="28"/>
  <c r="L105" i="28"/>
  <c r="I104" i="28"/>
  <c r="J104" i="28"/>
  <c r="K104" i="28"/>
  <c r="L104" i="28"/>
  <c r="I103" i="28"/>
  <c r="J103" i="28"/>
  <c r="K103" i="28"/>
  <c r="L103" i="28"/>
  <c r="I102" i="28"/>
  <c r="K102" i="28" s="1"/>
  <c r="L102" i="28"/>
  <c r="J102" i="28"/>
  <c r="I101" i="28"/>
  <c r="K101" i="28"/>
  <c r="I99" i="28"/>
  <c r="L99" i="28" s="1"/>
  <c r="J99" i="28"/>
  <c r="K99" i="28"/>
  <c r="I98" i="28"/>
  <c r="J98" i="28"/>
  <c r="I96" i="28"/>
  <c r="L96" i="28" s="1"/>
  <c r="J96" i="28"/>
  <c r="K96" i="28"/>
  <c r="I95" i="28"/>
  <c r="K95" i="28" s="1"/>
  <c r="J95" i="28"/>
  <c r="L95" i="28"/>
  <c r="J94" i="28"/>
  <c r="K94" i="28"/>
  <c r="K91" i="28"/>
  <c r="J91" i="28"/>
  <c r="K81" i="28"/>
  <c r="J81" i="28"/>
  <c r="D1105" i="23" a="1"/>
  <c r="D1102" i="23" a="1"/>
  <c r="D1189" i="23" a="1"/>
  <c r="D1187" i="23" a="1"/>
  <c r="D1183" i="23" a="1"/>
  <c r="D1181" i="23" a="1"/>
  <c r="D1173" i="23" a="1"/>
  <c r="D1168" i="23" a="1"/>
  <c r="D1163" i="23" a="1"/>
  <c r="D1161" i="23" a="1"/>
  <c r="D1160" i="23" a="1"/>
  <c r="D1158" i="23" a="1"/>
  <c r="D1156" i="23" a="1"/>
  <c r="D1154" i="23" a="1"/>
  <c r="D1146" i="23" a="1"/>
  <c r="D1144" i="23" a="1"/>
  <c r="D1142" i="23" a="1"/>
  <c r="D1130" i="23" a="1"/>
  <c r="D1128" i="23" a="1"/>
  <c r="D1117" i="23" a="1"/>
  <c r="D1116" i="23" a="1"/>
  <c r="D1114" i="23" a="1"/>
  <c r="D1113" i="23" a="1"/>
  <c r="D1112" i="23" a="1"/>
  <c r="D1111" i="23" a="1"/>
  <c r="D1110" i="23" a="1"/>
  <c r="D1108" i="23" a="1"/>
  <c r="D1103" i="23" a="1"/>
  <c r="D1098" i="23" a="1"/>
  <c r="D1100" i="23" a="1"/>
  <c r="D1182" i="23" a="1"/>
  <c r="D1180" i="23" a="1"/>
  <c r="D1171" i="23" a="1"/>
  <c r="D1169" i="23" a="1"/>
  <c r="D1167" i="23" a="1"/>
  <c r="D1165" i="23" a="1"/>
  <c r="D1152" i="23" a="1"/>
  <c r="D1150" i="23" a="1"/>
  <c r="D1148" i="23" a="1"/>
  <c r="D1136" i="23" a="1"/>
  <c r="D1133" i="23" a="1"/>
  <c r="D1131" i="23" a="1"/>
  <c r="D1129" i="23" a="1"/>
  <c r="D1121" i="23" a="1"/>
  <c r="D1119" i="23" a="1"/>
  <c r="D1188" i="23" a="1"/>
  <c r="D1186" i="23" a="1"/>
  <c r="D1184" i="23" a="1"/>
  <c r="D1175" i="23" a="1"/>
  <c r="D1174" i="23" a="1"/>
  <c r="D1172" i="23" a="1"/>
  <c r="D1170" i="23" a="1"/>
  <c r="D1166" i="23" a="1"/>
  <c r="D1164" i="23" a="1"/>
  <c r="D1162" i="23" a="1"/>
  <c r="D1157" i="23" a="1"/>
  <c r="D1149" i="23" a="1"/>
  <c r="D1147" i="23" a="1"/>
  <c r="D1145" i="23" a="1"/>
  <c r="D1141" i="23" a="1"/>
  <c r="D1134" i="23" a="1"/>
  <c r="D1132" i="23" a="1"/>
  <c r="D1127" i="23" a="1"/>
  <c r="D1125" i="23" a="1"/>
  <c r="D1123" i="23" a="1"/>
  <c r="D1120" i="23" a="1"/>
  <c r="D1118" i="23" a="1"/>
  <c r="D1115" i="23" a="1"/>
  <c r="D1106" i="23" a="1"/>
  <c r="D1101" i="23" a="1"/>
  <c r="D1096" i="23" a="1"/>
  <c r="D1185" i="23" a="1"/>
  <c r="D1179" i="23" a="1"/>
  <c r="D1159" i="23" a="1"/>
  <c r="D1155" i="23" a="1"/>
  <c r="D1153" i="23" a="1"/>
  <c r="D1151" i="23" a="1"/>
  <c r="D1143" i="23" a="1"/>
  <c r="D1140" i="23" a="1"/>
  <c r="D1139" i="23" a="1"/>
  <c r="D1138" i="23" a="1"/>
  <c r="D1137" i="23" a="1"/>
  <c r="D1135" i="23" a="1"/>
  <c r="D1126" i="23" a="1"/>
  <c r="D1124" i="23" a="1"/>
  <c r="D1122" i="23" a="1"/>
  <c r="D1109" i="23" a="1"/>
  <c r="D1107" i="23" a="1"/>
  <c r="D1104" i="23" a="1"/>
  <c r="D1099" i="23" a="1"/>
  <c r="D1097" i="23" a="1"/>
  <c r="C1131" i="23" a="1"/>
  <c r="C1133" i="23" a="1"/>
  <c r="C1186" i="23" a="1"/>
  <c r="C1185" i="23" a="1"/>
  <c r="C1134" i="23" a="1"/>
  <c r="C1181" i="23" a="1"/>
  <c r="C1179" i="23" a="1"/>
  <c r="C1148" i="23" a="1"/>
  <c r="C1150" i="23" a="1"/>
  <c r="C1152" i="23" a="1"/>
  <c r="C1164" i="23" a="1"/>
  <c r="C1167" i="23" a="1"/>
  <c r="C1169" i="23" a="1"/>
  <c r="C1171" i="23" a="1"/>
  <c r="C1097" i="23" a="1"/>
  <c r="C1159" i="23" a="1"/>
  <c r="C1099" i="23" a="1"/>
  <c r="C1155" i="23" a="1"/>
  <c r="C1153" i="23" a="1"/>
  <c r="C1151" i="23" a="1"/>
  <c r="C1106" i="23" a="1"/>
  <c r="C1109" i="23" a="1"/>
  <c r="C1115" i="23" a="1"/>
  <c r="C1143" i="23" a="1"/>
  <c r="C1117" i="23" a="1"/>
  <c r="C1141" i="23" a="1"/>
  <c r="C1122" i="23" a="1"/>
  <c r="C1124" i="23" a="1"/>
  <c r="C1129" i="23" a="1"/>
  <c r="C1126" i="23" a="1"/>
  <c r="C1127" i="23" a="1"/>
  <c r="C1135" i="23" a="1"/>
  <c r="C1136" i="23" a="1"/>
  <c r="C1137" i="23" a="1"/>
  <c r="C1142" i="23" a="1"/>
  <c r="C1108" i="23" a="1"/>
  <c r="C1144" i="23" a="1"/>
  <c r="C1104" i="23" a="1"/>
  <c r="C1103" i="23" a="1"/>
  <c r="C1146" i="23" a="1"/>
  <c r="C1188" i="23" a="1"/>
  <c r="C1098" i="23" a="1"/>
  <c r="C1154" i="23" a="1"/>
  <c r="C1187" i="23" a="1"/>
  <c r="C1156" i="23" a="1"/>
  <c r="C1183" i="23" a="1"/>
  <c r="C1182" i="23" a="1"/>
  <c r="C1180" i="23" a="1"/>
  <c r="C1158" i="23" a="1"/>
  <c r="C1175" i="23" a="1"/>
  <c r="C1174" i="23" a="1"/>
  <c r="C1172" i="23" a="1"/>
  <c r="C1170" i="23" a="1"/>
  <c r="C1168" i="23" a="1"/>
  <c r="C1165" i="23" a="1"/>
  <c r="C1163" i="23" a="1"/>
  <c r="C1161" i="23" a="1"/>
  <c r="C1160" i="23" a="1"/>
  <c r="C1157" i="23" a="1"/>
  <c r="C1162" i="23" a="1"/>
  <c r="C1173" i="23" a="1"/>
  <c r="C1184" i="23" a="1"/>
  <c r="C1149" i="23" a="1"/>
  <c r="C1147" i="23" a="1"/>
  <c r="C1145" i="23" a="1"/>
  <c r="C1166" i="23" a="1"/>
  <c r="C1096" i="23" a="1"/>
  <c r="C1140" i="23" a="1"/>
  <c r="C1100" i="23" a="1"/>
  <c r="C1139" i="23" a="1"/>
  <c r="C1101" i="23" a="1"/>
  <c r="C1138" i="23" a="1"/>
  <c r="C1105" i="23" a="1"/>
  <c r="C1107" i="23" a="1"/>
  <c r="C1132" i="23" a="1"/>
  <c r="C1130" i="23" a="1"/>
  <c r="C1128" i="23" a="1"/>
  <c r="C1111" i="23" a="1"/>
  <c r="C1112" i="23" a="1"/>
  <c r="C1113" i="23" a="1"/>
  <c r="C1120" i="23" a="1"/>
  <c r="C1118" i="23" a="1"/>
  <c r="C1116" i="23" a="1"/>
  <c r="C1110" i="23" a="1"/>
  <c r="C1114" i="23" a="1"/>
  <c r="C1119" i="23" a="1"/>
  <c r="C1121" i="23" a="1"/>
  <c r="C1102" i="23" a="1"/>
  <c r="C1123" i="23" a="1"/>
  <c r="C1125" i="23" a="1"/>
  <c r="AR167" i="22"/>
  <c r="AQ167" i="22" a="1"/>
  <c r="AP167" i="22"/>
  <c r="AO167" i="22"/>
  <c r="AK167" i="22" a="1"/>
  <c r="AJ167" i="22" a="1"/>
  <c r="AI167" i="22" a="1"/>
  <c r="AH167" i="22" a="1"/>
  <c r="AG167" i="22" a="1"/>
  <c r="AF167" i="22" a="1"/>
  <c r="AE167" i="22" a="1"/>
  <c r="AD167" i="22" a="1"/>
  <c r="AC167" i="22" a="1"/>
  <c r="AB167" i="22" a="1"/>
  <c r="AA167" i="22" a="1"/>
  <c r="Z167" i="22" a="1"/>
  <c r="Y167" i="22" a="1"/>
  <c r="X167" i="22" a="1"/>
  <c r="W167" i="22" a="1"/>
  <c r="V167" i="22" a="1"/>
  <c r="U167" i="22" a="1"/>
  <c r="T167" i="22"/>
  <c r="C109" i="22" a="1"/>
  <c r="D109" i="22" a="1"/>
  <c r="G109" i="22"/>
  <c r="E109" i="22" a="1"/>
  <c r="F109" i="22" a="1"/>
  <c r="H109" i="22"/>
  <c r="I109" i="22"/>
  <c r="J109" i="22" a="1"/>
  <c r="B109" i="22" a="1"/>
  <c r="AR166" i="22"/>
  <c r="AQ166" i="22" a="1"/>
  <c r="AP166" i="22"/>
  <c r="AO166" i="22"/>
  <c r="AK166" i="22" a="1"/>
  <c r="AJ166" i="22" a="1"/>
  <c r="AI166" i="22" a="1"/>
  <c r="AH166" i="22" a="1"/>
  <c r="AG166" i="22" a="1"/>
  <c r="AF166" i="22" a="1"/>
  <c r="AE166" i="22" a="1"/>
  <c r="AD166" i="22" a="1"/>
  <c r="AC166" i="22" a="1"/>
  <c r="AB166" i="22" a="1"/>
  <c r="AA166" i="22" a="1"/>
  <c r="Z166" i="22" a="1"/>
  <c r="Y166" i="22" a="1"/>
  <c r="X166" i="22" a="1"/>
  <c r="W166" i="22" a="1"/>
  <c r="V166" i="22" a="1"/>
  <c r="T166" i="22"/>
  <c r="U166" i="22" a="1"/>
  <c r="I108" i="22"/>
  <c r="H108" i="22"/>
  <c r="G108" i="22"/>
  <c r="F108" i="22" a="1"/>
  <c r="B108" i="22" a="1"/>
  <c r="E108" i="22" a="1"/>
  <c r="D108" i="22" a="1"/>
  <c r="C108" i="22" a="1"/>
  <c r="J108" i="22" a="1"/>
  <c r="AR165" i="22"/>
  <c r="AQ165" i="22" a="1"/>
  <c r="AP165" i="22"/>
  <c r="AO165" i="22"/>
  <c r="AB165" i="22" a="1"/>
  <c r="AA165" i="22" a="1"/>
  <c r="Z165" i="22" a="1"/>
  <c r="X165" i="22" a="1"/>
  <c r="W165" i="22" a="1"/>
  <c r="V165" i="22" a="1"/>
  <c r="U165" i="22" a="1"/>
  <c r="T165" i="22"/>
  <c r="AD165" i="22" a="1"/>
  <c r="AE165" i="22" a="1"/>
  <c r="AF165" i="22" a="1"/>
  <c r="AC165" i="22" a="1"/>
  <c r="AG165" i="22" a="1"/>
  <c r="AH165" i="22" a="1"/>
  <c r="AI165" i="22" a="1"/>
  <c r="AJ165" i="22" a="1"/>
  <c r="AK165" i="22" a="1"/>
  <c r="Y165" i="22" a="1"/>
  <c r="J107" i="22" a="1"/>
  <c r="I107" i="22"/>
  <c r="H107" i="22"/>
  <c r="G107" i="22"/>
  <c r="F107" i="22" a="1"/>
  <c r="E107" i="22" a="1"/>
  <c r="D107" i="22" a="1"/>
  <c r="C107" i="22" a="1"/>
  <c r="B107" i="22" a="1"/>
  <c r="D1095" i="23" a="1"/>
  <c r="D1094" i="23" a="1"/>
  <c r="D1093" i="23" a="1"/>
  <c r="D1092" i="23" a="1"/>
  <c r="D1091" i="23" a="1"/>
  <c r="D1090" i="23" a="1"/>
  <c r="D1086" i="23" a="1"/>
  <c r="D1089" i="23" a="1"/>
  <c r="D1088" i="23" a="1"/>
  <c r="D1087" i="23" a="1"/>
  <c r="C1095" i="23" a="1"/>
  <c r="C1094" i="23" a="1"/>
  <c r="C1093" i="23" a="1"/>
  <c r="C1092" i="23" a="1"/>
  <c r="C1091" i="23" a="1"/>
  <c r="C1089" i="23" a="1"/>
  <c r="C1088" i="23" a="1"/>
  <c r="C1087" i="23" a="1"/>
  <c r="C1090" i="23" a="1"/>
  <c r="I102" i="22"/>
  <c r="AE160" i="22" a="1"/>
  <c r="AH18" i="22"/>
  <c r="AI18" i="22" s="1"/>
  <c r="AJ18" i="22" s="1"/>
  <c r="E87" i="22" s="1"/>
  <c r="AH19" i="22"/>
  <c r="AI19" i="22" s="1"/>
  <c r="AJ19" i="22" s="1"/>
  <c r="AH20" i="22"/>
  <c r="AI20" i="22" s="1"/>
  <c r="AJ20" i="22" s="1"/>
  <c r="AH21" i="22"/>
  <c r="AI21" i="22" s="1"/>
  <c r="AJ21" i="22" s="1"/>
  <c r="AH22" i="22"/>
  <c r="AI22" i="22" s="1"/>
  <c r="AJ22" i="22" s="1"/>
  <c r="AH23" i="22"/>
  <c r="AI23" i="22" s="1"/>
  <c r="AJ23" i="22" s="1"/>
  <c r="AH24" i="22"/>
  <c r="AI24" i="22" s="1"/>
  <c r="AJ24" i="22" s="1"/>
  <c r="AH25" i="22"/>
  <c r="AI25" i="22" s="1"/>
  <c r="AJ25" i="22" s="1"/>
  <c r="AH26" i="22"/>
  <c r="AI26" i="22" s="1"/>
  <c r="AJ26" i="22" s="1"/>
  <c r="AH27" i="22"/>
  <c r="AI27" i="22" s="1"/>
  <c r="AJ27" i="22" s="1"/>
  <c r="AH28" i="22"/>
  <c r="AI28" i="22" s="1"/>
  <c r="AJ28" i="22" s="1"/>
  <c r="AH29" i="22"/>
  <c r="AI29" i="22" s="1"/>
  <c r="AJ29" i="22" s="1"/>
  <c r="AH30" i="22"/>
  <c r="AI30" i="22" s="1"/>
  <c r="AJ30" i="22" s="1"/>
  <c r="AH31" i="22"/>
  <c r="AI31" i="22" s="1"/>
  <c r="AJ31" i="22" s="1"/>
  <c r="AH32" i="22"/>
  <c r="AI32" i="22" s="1"/>
  <c r="AJ32" i="22" s="1"/>
  <c r="AH33" i="22"/>
  <c r="AI33" i="22" s="1"/>
  <c r="AJ33" i="22" s="1"/>
  <c r="AH34" i="22"/>
  <c r="AI34" i="22" s="1"/>
  <c r="AJ34" i="22" s="1"/>
  <c r="AH35" i="22"/>
  <c r="AI35" i="22" s="1"/>
  <c r="AJ35" i="22" s="1"/>
  <c r="AH36" i="22"/>
  <c r="AI36" i="22" s="1"/>
  <c r="AJ36" i="22" s="1"/>
  <c r="AH37" i="22"/>
  <c r="AI37" i="22" s="1"/>
  <c r="AJ37" i="22" s="1"/>
  <c r="A123" i="22"/>
  <c r="A124" i="22"/>
  <c r="A125" i="22"/>
  <c r="A126" i="22"/>
  <c r="A127" i="22"/>
  <c r="A128" i="22"/>
  <c r="A129" i="22"/>
  <c r="A130" i="22"/>
  <c r="A131" i="22"/>
  <c r="A132" i="22"/>
  <c r="A133" i="22"/>
  <c r="A134" i="22"/>
  <c r="A135" i="22"/>
  <c r="A136" i="22"/>
  <c r="A137" i="22"/>
  <c r="A138" i="22"/>
  <c r="A139" i="22"/>
  <c r="A140" i="22"/>
  <c r="A141" i="22"/>
  <c r="A142" i="22"/>
  <c r="G102" i="22"/>
  <c r="AG160" i="22" s="1" a="1"/>
  <c r="AF160" i="22" a="1"/>
  <c r="B114" i="22"/>
  <c r="AE8" i="27"/>
  <c r="D1072" i="23" a="1"/>
  <c r="D1085" i="23" a="1"/>
  <c r="D1071" i="23" a="1"/>
  <c r="D1084" i="23" a="1"/>
  <c r="D1070" i="23" a="1"/>
  <c r="D1083" i="23" a="1"/>
  <c r="D1068" i="23" a="1"/>
  <c r="D1082" i="23" a="1"/>
  <c r="D1067" i="23" a="1"/>
  <c r="D1081" i="23" a="1"/>
  <c r="D1066" i="23" a="1"/>
  <c r="D1080" i="23" a="1"/>
  <c r="D1059" i="23" a="1"/>
  <c r="D1079" i="23" a="1"/>
  <c r="D1065" i="23" a="1"/>
  <c r="D1078" i="23" a="1"/>
  <c r="D1064" i="23" a="1"/>
  <c r="D1077" i="23" a="1"/>
  <c r="D1063" i="23" a="1"/>
  <c r="D1076" i="23" a="1"/>
  <c r="D1062" i="23" a="1"/>
  <c r="D1075" i="23" a="1"/>
  <c r="D1061" i="23" a="1"/>
  <c r="D1060" i="23" a="1"/>
  <c r="D1074" i="23" a="1"/>
  <c r="D1073" i="23" a="1"/>
  <c r="D1069" i="23" a="1"/>
  <c r="C1086" i="23" a="1"/>
  <c r="C1085" i="23" a="1"/>
  <c r="C1084" i="23" a="1"/>
  <c r="C1083" i="23" a="1"/>
  <c r="C1082" i="23" a="1"/>
  <c r="C1081" i="23" a="1"/>
  <c r="C1080" i="23" a="1"/>
  <c r="C1079" i="23" a="1"/>
  <c r="C1078" i="23" a="1"/>
  <c r="C1077" i="23" a="1"/>
  <c r="C1076" i="23" a="1"/>
  <c r="C1075" i="23" a="1"/>
  <c r="C1074" i="23" a="1"/>
  <c r="C1073" i="23" a="1"/>
  <c r="C1065" i="23" a="1"/>
  <c r="C1069" i="23" a="1"/>
  <c r="C1068" i="23" a="1"/>
  <c r="C1064" i="23" a="1"/>
  <c r="C1072" i="23" a="1"/>
  <c r="C1063" i="23" a="1"/>
  <c r="C1066" i="23" a="1"/>
  <c r="C1067" i="23" a="1"/>
  <c r="C1061" i="23" a="1"/>
  <c r="C1071" i="23" a="1"/>
  <c r="C1060" i="23" a="1"/>
  <c r="C1070" i="23" a="1"/>
  <c r="C1059" i="23" a="1"/>
  <c r="C1062" i="23" a="1"/>
  <c r="D1044" i="23" a="1"/>
  <c r="D1058" i="23" a="1"/>
  <c r="D1037" i="23" a="1"/>
  <c r="D1057" i="23" a="1"/>
  <c r="D1056" i="23" a="1"/>
  <c r="D1031" i="23" a="1"/>
  <c r="D1043" i="23" a="1"/>
  <c r="D1055" i="23" a="1"/>
  <c r="D1054" i="23" a="1"/>
  <c r="D1036" i="23" a="1"/>
  <c r="D1053" i="23" a="1"/>
  <c r="D1042" i="23" a="1"/>
  <c r="D1033" i="23" a="1"/>
  <c r="D1052" i="23" a="1"/>
  <c r="D1051" i="23" a="1"/>
  <c r="D1041" i="23" a="1"/>
  <c r="D1040" i="23" a="1"/>
  <c r="D1050" i="23" a="1"/>
  <c r="D1035" i="23" a="1"/>
  <c r="D1049" i="23" a="1"/>
  <c r="D1032" i="23" a="1"/>
  <c r="D1048" i="23" a="1"/>
  <c r="D1039" i="23" a="1"/>
  <c r="D1047" i="23" a="1"/>
  <c r="D1038" i="23" a="1"/>
  <c r="D1046" i="23" a="1"/>
  <c r="D1045" i="23" a="1"/>
  <c r="D1034" i="23" a="1"/>
  <c r="C1058" i="23" a="1"/>
  <c r="C1057" i="23" a="1"/>
  <c r="C1056" i="23" a="1"/>
  <c r="C1055" i="23" a="1"/>
  <c r="C1054" i="23" a="1"/>
  <c r="C1053" i="23" a="1"/>
  <c r="C1052" i="23" a="1"/>
  <c r="C1051" i="23" a="1"/>
  <c r="C1050" i="23" a="1"/>
  <c r="C1049" i="23" a="1"/>
  <c r="C1048" i="23" a="1"/>
  <c r="C1047" i="23" a="1"/>
  <c r="C1046" i="23" a="1"/>
  <c r="C1045" i="23" a="1"/>
  <c r="C1044" i="23" a="1"/>
  <c r="C1043" i="23" a="1"/>
  <c r="C1042" i="23" a="1"/>
  <c r="C1041" i="23" a="1"/>
  <c r="C1040" i="23" a="1"/>
  <c r="C1039" i="23" a="1"/>
  <c r="C1038" i="23" a="1"/>
  <c r="C1037" i="23" a="1"/>
  <c r="C1036" i="23" a="1"/>
  <c r="C1035" i="23" a="1"/>
  <c r="C1034" i="23" a="1"/>
  <c r="C1033" i="23" a="1"/>
  <c r="C1032" i="23" a="1"/>
  <c r="C1031" i="23" a="1"/>
  <c r="C1030" i="23" a="1"/>
  <c r="D776" i="23" a="1"/>
  <c r="D802" i="23" a="1"/>
  <c r="D774" i="23" a="1"/>
  <c r="D773" i="23" a="1"/>
  <c r="D801" i="23" a="1"/>
  <c r="D772" i="23" a="1"/>
  <c r="D800" i="23" a="1"/>
  <c r="D771" i="23" a="1"/>
  <c r="D799" i="23" a="1"/>
  <c r="D798" i="23" a="1"/>
  <c r="D770" i="23" a="1"/>
  <c r="D769" i="23" a="1"/>
  <c r="D797" i="23" a="1"/>
  <c r="D796" i="23" a="1"/>
  <c r="D768" i="23" a="1"/>
  <c r="D795" i="23" a="1"/>
  <c r="D767" i="23" a="1"/>
  <c r="D794" i="23" a="1"/>
  <c r="D766" i="23" a="1"/>
  <c r="D765" i="23" a="1"/>
  <c r="D793" i="23" a="1"/>
  <c r="D792" i="23" a="1"/>
  <c r="D783" i="23" a="1"/>
  <c r="D791" i="23" a="1"/>
  <c r="D764" i="23" a="1"/>
  <c r="D763" i="23" a="1"/>
  <c r="D790" i="23" a="1"/>
  <c r="D789" i="23" a="1"/>
  <c r="D762" i="23" a="1"/>
  <c r="D761" i="23" a="1"/>
  <c r="D788" i="23" a="1"/>
  <c r="D760" i="23" a="1"/>
  <c r="D787" i="23" a="1"/>
  <c r="D759" i="23" a="1"/>
  <c r="D786" i="23" a="1"/>
  <c r="D785" i="23" a="1"/>
  <c r="D758" i="23" a="1"/>
  <c r="D757" i="23" a="1"/>
  <c r="D784" i="23" a="1"/>
  <c r="D775" i="23" a="1"/>
  <c r="D782" i="23" a="1"/>
  <c r="D781" i="23" a="1"/>
  <c r="D780" i="23" a="1"/>
  <c r="D779" i="23" a="1"/>
  <c r="D778" i="23" a="1"/>
  <c r="D777" i="23" a="1"/>
  <c r="C803" i="23" a="1"/>
  <c r="C802" i="23" a="1"/>
  <c r="C801" i="23" a="1"/>
  <c r="C800" i="23" a="1"/>
  <c r="C799" i="23" a="1"/>
  <c r="C798" i="23" a="1"/>
  <c r="C797" i="23" a="1"/>
  <c r="C796" i="23" a="1"/>
  <c r="C795" i="23" a="1"/>
  <c r="C794" i="23" a="1"/>
  <c r="C793" i="23" a="1"/>
  <c r="C791" i="23" a="1"/>
  <c r="C790" i="23" a="1"/>
  <c r="C789" i="23" a="1"/>
  <c r="C788" i="23" a="1"/>
  <c r="C787" i="23" a="1"/>
  <c r="C786" i="23" a="1"/>
  <c r="C785" i="23" a="1"/>
  <c r="C784" i="23" a="1"/>
  <c r="C770" i="23" a="1"/>
  <c r="C777" i="23" a="1"/>
  <c r="C769" i="23" a="1"/>
  <c r="C783" i="23" a="1"/>
  <c r="C768" i="23" a="1"/>
  <c r="C776" i="23" a="1"/>
  <c r="C767" i="23" a="1"/>
  <c r="C780" i="23" a="1"/>
  <c r="C766" i="23" a="1"/>
  <c r="C775" i="23" a="1"/>
  <c r="C765" i="23" a="1"/>
  <c r="C792" i="23" a="1"/>
  <c r="C774" i="23" a="1"/>
  <c r="C764" i="23" a="1"/>
  <c r="C782" i="23" a="1"/>
  <c r="C763" i="23" a="1"/>
  <c r="C773" i="23" a="1"/>
  <c r="C762" i="23" a="1"/>
  <c r="C779" i="23" a="1"/>
  <c r="C761" i="23" a="1"/>
  <c r="C781" i="23" a="1"/>
  <c r="C760" i="23" a="1"/>
  <c r="C772" i="23" a="1"/>
  <c r="C759" i="23" a="1"/>
  <c r="C778" i="23" a="1"/>
  <c r="C758" i="23" a="1"/>
  <c r="C771" i="23" a="1"/>
  <c r="C757" i="23" a="1"/>
  <c r="D703" i="23" a="1"/>
  <c r="D702" i="23" a="1"/>
  <c r="D701" i="23" a="1"/>
  <c r="D700" i="23" a="1"/>
  <c r="D699" i="23" a="1"/>
  <c r="D698" i="23" a="1"/>
  <c r="D697" i="23" a="1"/>
  <c r="D696" i="23" a="1"/>
  <c r="C701" i="23" a="1"/>
  <c r="C700" i="23" a="1"/>
  <c r="C699" i="23" a="1"/>
  <c r="C698" i="23" a="1"/>
  <c r="C697" i="23" a="1"/>
  <c r="C696" i="23" a="1"/>
  <c r="AC92" i="27"/>
  <c r="H147" i="22"/>
  <c r="G147" i="22"/>
  <c r="F147" i="22"/>
  <c r="E147" i="22"/>
  <c r="D147" i="22"/>
  <c r="C147" i="22"/>
  <c r="AH6" i="32"/>
  <c r="I105" i="22"/>
  <c r="I104" i="22"/>
  <c r="I103" i="22"/>
  <c r="I23" i="28"/>
  <c r="K23" i="28"/>
  <c r="I66" i="28"/>
  <c r="J66" i="28" s="1"/>
  <c r="I26" i="28"/>
  <c r="L26" i="28" s="1"/>
  <c r="K26" i="28"/>
  <c r="J26" i="28"/>
  <c r="I4" i="28"/>
  <c r="I22" i="28"/>
  <c r="I40" i="28"/>
  <c r="K40" i="28" s="1"/>
  <c r="I53" i="28"/>
  <c r="K53" i="28" s="1"/>
  <c r="I64" i="28"/>
  <c r="K64" i="28"/>
  <c r="I25" i="28"/>
  <c r="K25" i="28" s="1"/>
  <c r="J25" i="28"/>
  <c r="L25" i="28"/>
  <c r="I21" i="28"/>
  <c r="K21" i="28" s="1"/>
  <c r="L21" i="28"/>
  <c r="J21" i="28"/>
  <c r="I3" i="28"/>
  <c r="J3" i="28" s="1"/>
  <c r="I39" i="28"/>
  <c r="J39" i="28"/>
  <c r="I58" i="28"/>
  <c r="J58" i="28"/>
  <c r="K58" i="28"/>
  <c r="L58" i="28"/>
  <c r="I42" i="28"/>
  <c r="L42" i="28"/>
  <c r="I20" i="28"/>
  <c r="J20" i="28"/>
  <c r="I51" i="28"/>
  <c r="J51" i="28" s="1"/>
  <c r="I65" i="28"/>
  <c r="J65" i="28" s="1"/>
  <c r="I38" i="28"/>
  <c r="J38" i="28"/>
  <c r="I19" i="28"/>
  <c r="I68" i="28"/>
  <c r="J68" i="28" s="1"/>
  <c r="I69" i="28"/>
  <c r="K69" i="28" s="1"/>
  <c r="I37" i="28"/>
  <c r="I18" i="28"/>
  <c r="J18" i="28"/>
  <c r="L18" i="28"/>
  <c r="K18" i="28"/>
  <c r="I52" i="28"/>
  <c r="J52" i="28" s="1"/>
  <c r="I59" i="28"/>
  <c r="J59" i="28" s="1"/>
  <c r="I70" i="28"/>
  <c r="J70" i="28"/>
  <c r="I71" i="28"/>
  <c r="J71" i="28"/>
  <c r="I17" i="28"/>
  <c r="L17" i="28"/>
  <c r="K17" i="28"/>
  <c r="J17" i="28"/>
  <c r="I72" i="28"/>
  <c r="K72" i="28" s="1"/>
  <c r="I60" i="28"/>
  <c r="J60" i="28"/>
  <c r="I16" i="28"/>
  <c r="I15" i="28"/>
  <c r="J15" i="28"/>
  <c r="K15" i="28"/>
  <c r="L15" i="28"/>
  <c r="I55" i="28"/>
  <c r="I14" i="28"/>
  <c r="J14" i="28"/>
  <c r="K14" i="28"/>
  <c r="L14" i="28"/>
  <c r="I77" i="28"/>
  <c r="J77" i="28"/>
  <c r="K78" i="28"/>
  <c r="J78" i="28"/>
  <c r="I33" i="28"/>
  <c r="L33" i="28" s="1"/>
  <c r="J33" i="28"/>
  <c r="K33" i="28"/>
  <c r="I13" i="28"/>
  <c r="K13" i="28"/>
  <c r="I12" i="28"/>
  <c r="I32" i="28"/>
  <c r="I48" i="28"/>
  <c r="I61" i="28"/>
  <c r="J61" i="28"/>
  <c r="I11" i="28"/>
  <c r="L11" i="28" s="1"/>
  <c r="J11" i="28"/>
  <c r="K11" i="28"/>
  <c r="I47" i="28"/>
  <c r="J47" i="28"/>
  <c r="I10" i="28"/>
  <c r="J10" i="28"/>
  <c r="K10" i="28"/>
  <c r="L10" i="28"/>
  <c r="I62" i="28"/>
  <c r="J62" i="28"/>
  <c r="I30" i="28"/>
  <c r="K30" i="28"/>
  <c r="I9" i="28"/>
  <c r="J9" i="28"/>
  <c r="K9" i="28"/>
  <c r="L9" i="28"/>
  <c r="I63" i="28"/>
  <c r="J63" i="28"/>
  <c r="I8" i="28"/>
  <c r="I45" i="28"/>
  <c r="J45" i="28"/>
  <c r="I7" i="28"/>
  <c r="L7" i="28" s="1"/>
  <c r="K7" i="28"/>
  <c r="J7" i="28"/>
  <c r="I28" i="28"/>
  <c r="I54" i="28"/>
  <c r="I6" i="28"/>
  <c r="I27" i="28"/>
  <c r="L27" i="28"/>
  <c r="K27" i="28"/>
  <c r="J27" i="28"/>
  <c r="I57" i="28"/>
  <c r="L57" i="28" s="1"/>
  <c r="K57" i="28"/>
  <c r="J57" i="28"/>
  <c r="I5" i="28"/>
  <c r="J5" i="28"/>
  <c r="K5" i="28"/>
  <c r="L5" i="28"/>
  <c r="L2" i="28"/>
  <c r="K2" i="28"/>
  <c r="L98" i="28"/>
  <c r="K98" i="28"/>
  <c r="L80" i="28"/>
  <c r="K80" i="28"/>
  <c r="G105" i="22"/>
  <c r="AG163" i="22" s="1" a="1"/>
  <c r="AF163" i="22" a="1"/>
  <c r="G104" i="22"/>
  <c r="AG162" i="22" s="1" a="1"/>
  <c r="AF162" i="22" a="1"/>
  <c r="G103" i="22"/>
  <c r="AG161" i="22" s="1" a="1"/>
  <c r="AF161" i="22" a="1"/>
  <c r="AM162" i="22" a="1"/>
  <c r="AK21" i="22"/>
  <c r="AL21" i="22"/>
  <c r="AM21" i="22"/>
  <c r="AN160" i="22" a="1"/>
  <c r="AM19" i="22"/>
  <c r="AK19" i="22"/>
  <c r="AL19" i="22"/>
  <c r="AM160" i="22" a="1"/>
  <c r="G145" i="23" a="1"/>
  <c r="I145" i="23" s="1"/>
  <c r="G133" i="23" a="1"/>
  <c r="I133" i="23" s="1"/>
  <c r="G134" i="23" a="1"/>
  <c r="I134" i="23" s="1"/>
  <c r="G146" i="23" a="1"/>
  <c r="I146" i="23" s="1"/>
  <c r="G147" i="23" a="1"/>
  <c r="I147" i="23" s="1"/>
  <c r="G135" i="23" a="1"/>
  <c r="I135" i="23" s="1"/>
  <c r="G149" i="23" a="1"/>
  <c r="I149" i="23" s="1"/>
  <c r="G150" i="23" a="1"/>
  <c r="I150" i="23" s="1"/>
  <c r="G151" i="23" a="1"/>
  <c r="I151" i="23" s="1"/>
  <c r="G138" i="23" a="1"/>
  <c r="I138" i="23" s="1"/>
  <c r="G136" i="23" a="1"/>
  <c r="I136" i="23" s="1"/>
  <c r="G152" i="23" a="1"/>
  <c r="I152" i="23" s="1"/>
  <c r="G137" i="23" a="1"/>
  <c r="I137" i="23" s="1"/>
  <c r="G148" i="23" a="1"/>
  <c r="I148" i="23" s="1"/>
  <c r="G139" i="23" a="1"/>
  <c r="I139" i="23" s="1"/>
  <c r="G131" i="23" a="1"/>
  <c r="I131" i="23" s="1"/>
  <c r="G140" i="23" a="1"/>
  <c r="I140" i="23" s="1"/>
  <c r="J140" i="23" s="1"/>
  <c r="G141" i="23" a="1"/>
  <c r="I141" i="23" s="1"/>
  <c r="J141" i="23" s="1"/>
  <c r="G142" i="23" a="1"/>
  <c r="I142" i="23" s="1"/>
  <c r="G132" i="23" a="1"/>
  <c r="I132" i="23" s="1"/>
  <c r="J132" i="23" s="1"/>
  <c r="G143" i="23" a="1"/>
  <c r="I143" i="23" s="1"/>
  <c r="G144" i="23" a="1"/>
  <c r="I144" i="23" s="1"/>
  <c r="D1207" i="23" a="1"/>
  <c r="D1198" i="23" a="1"/>
  <c r="D1206" i="23" a="1"/>
  <c r="D1191" i="23" a="1"/>
  <c r="D1201" i="23" a="1"/>
  <c r="D1204" i="23" a="1"/>
  <c r="D1202" i="23" a="1"/>
  <c r="D1199" i="23" a="1"/>
  <c r="D1190" i="23" a="1"/>
  <c r="D1196" i="23" a="1"/>
  <c r="D1194" i="23" a="1"/>
  <c r="D1209" i="23" a="1"/>
  <c r="D1200" i="23" a="1"/>
  <c r="D1203" i="23" a="1"/>
  <c r="D1197" i="23" a="1"/>
  <c r="D1176" i="23" a="1"/>
  <c r="D1192" i="23" a="1"/>
  <c r="D1195" i="23" a="1"/>
  <c r="D1177" i="23" a="1"/>
  <c r="D1208" i="23" a="1"/>
  <c r="D1193" i="23" a="1"/>
  <c r="D1178" i="23" a="1"/>
  <c r="D1205" i="23" a="1"/>
  <c r="S25" i="22"/>
  <c r="C1207" i="23" a="1"/>
  <c r="C1176" i="23" a="1"/>
  <c r="C1201" i="23" a="1"/>
  <c r="C1204" i="23" a="1"/>
  <c r="C1200" i="23" a="1"/>
  <c r="C1199" i="23" a="1"/>
  <c r="C1198" i="23" a="1"/>
  <c r="C1196" i="23" a="1"/>
  <c r="C1194" i="23" a="1"/>
  <c r="C1192" i="23" a="1"/>
  <c r="C1209" i="23" a="1"/>
  <c r="C1208" i="23" a="1"/>
  <c r="C1206" i="23" a="1"/>
  <c r="C1205" i="23" a="1"/>
  <c r="T25" i="22" a="1"/>
  <c r="C1203" i="23" a="1"/>
  <c r="C1202" i="23" a="1"/>
  <c r="C1189" i="23" a="1"/>
  <c r="C1190" i="23" a="1"/>
  <c r="C1191" i="23" a="1"/>
  <c r="C1193" i="23" a="1"/>
  <c r="C1195" i="23" a="1"/>
  <c r="C1197" i="23" a="1"/>
  <c r="C1178" i="23" a="1"/>
  <c r="C1177" i="23" a="1"/>
  <c r="D1029" i="23" a="1"/>
  <c r="D948" i="23" a="1"/>
  <c r="D964" i="23" a="1"/>
  <c r="D1027" i="23" a="1"/>
  <c r="D933" i="23" a="1"/>
  <c r="D980" i="23" a="1"/>
  <c r="D1026" i="23" a="1"/>
  <c r="D949" i="23" a="1"/>
  <c r="D1025" i="23" a="1"/>
  <c r="D1024" i="23" a="1"/>
  <c r="D979" i="23" a="1"/>
  <c r="D1023" i="23" a="1"/>
  <c r="D934" i="23" a="1"/>
  <c r="D959" i="23" a="1"/>
  <c r="D1022" i="23" a="1"/>
  <c r="D1021" i="23" a="1"/>
  <c r="D978" i="23" a="1"/>
  <c r="D1017" i="23" a="1"/>
  <c r="D1014" i="23" a="1"/>
  <c r="D954" i="23" a="1"/>
  <c r="D1013" i="23" a="1"/>
  <c r="D950" i="23" a="1"/>
  <c r="D975" i="23" a="1"/>
  <c r="D1016" i="23" a="1"/>
  <c r="D1012" i="23" a="1"/>
  <c r="D938" i="23" a="1"/>
  <c r="D937" i="23" a="1"/>
  <c r="D1011" i="23" a="1"/>
  <c r="D1010" i="23" a="1"/>
  <c r="D1018" i="23" a="1"/>
  <c r="D939" i="23" a="1"/>
  <c r="D951" i="23" a="1"/>
  <c r="D1028" i="23" a="1"/>
  <c r="D1009" i="23" a="1"/>
  <c r="D1008" i="23" a="1"/>
  <c r="D977" i="23" a="1"/>
  <c r="D974" i="23" a="1"/>
  <c r="D1015" i="23" a="1"/>
  <c r="D973" i="23" a="1"/>
  <c r="D1007" i="23" a="1"/>
  <c r="D976" i="23" a="1"/>
  <c r="D1006" i="23" a="1"/>
  <c r="D962" i="23" a="1"/>
  <c r="D963" i="23" a="1"/>
  <c r="D1005" i="23" a="1"/>
  <c r="D940" i="23" a="1"/>
  <c r="D972" i="23" a="1"/>
  <c r="D1004" i="23" a="1"/>
  <c r="D908" i="23" a="1"/>
  <c r="D1003" i="23" a="1"/>
  <c r="D941" i="23" a="1"/>
  <c r="D909" i="23" a="1"/>
  <c r="D1002" i="23" a="1"/>
  <c r="D955" i="23" a="1"/>
  <c r="D910" i="23" a="1"/>
  <c r="D1001" i="23" a="1"/>
  <c r="D911" i="23" a="1"/>
  <c r="D971" i="23" a="1"/>
  <c r="D952" i="23" a="1"/>
  <c r="D1000" i="23" a="1"/>
  <c r="D912" i="23" a="1"/>
  <c r="D942" i="23" a="1"/>
  <c r="D999" i="23" a="1"/>
  <c r="D913" i="23" a="1"/>
  <c r="D943" i="23" a="1"/>
  <c r="D998" i="23" a="1"/>
  <c r="D915" i="23" a="1"/>
  <c r="D997" i="23" a="1"/>
  <c r="D916" i="23" a="1"/>
  <c r="D961" i="23" a="1"/>
  <c r="D970" i="23" a="1"/>
  <c r="D996" i="23" a="1"/>
  <c r="D917" i="23" a="1"/>
  <c r="D918" i="23" a="1"/>
  <c r="D944" i="23" a="1"/>
  <c r="D995" i="23" a="1"/>
  <c r="D994" i="23" a="1"/>
  <c r="D958" i="23" a="1"/>
  <c r="D919" i="23" a="1"/>
  <c r="D969" i="23" a="1"/>
  <c r="D920" i="23" a="1"/>
  <c r="D993" i="23" a="1"/>
  <c r="D992" i="23" a="1"/>
  <c r="D921" i="23" a="1"/>
  <c r="D968" i="23" a="1"/>
  <c r="D922" i="23" a="1"/>
  <c r="D957" i="23" a="1"/>
  <c r="D991" i="23" a="1"/>
  <c r="D990" i="23" a="1"/>
  <c r="D923" i="23" a="1"/>
  <c r="D945" i="23" a="1"/>
  <c r="D924" i="23" a="1"/>
  <c r="D960" i="23" a="1"/>
  <c r="D989" i="23" a="1"/>
  <c r="D967" i="23" a="1"/>
  <c r="D988" i="23" a="1"/>
  <c r="D925" i="23" a="1"/>
  <c r="D926" i="23" a="1"/>
  <c r="D987" i="23" a="1"/>
  <c r="D946" i="23" a="1"/>
  <c r="D927" i="23" a="1"/>
  <c r="D986" i="23" a="1"/>
  <c r="D953" i="23" a="1"/>
  <c r="D947" i="23" a="1"/>
  <c r="D985" i="23" a="1"/>
  <c r="D928" i="23" a="1"/>
  <c r="D929" i="23" a="1"/>
  <c r="D984" i="23" a="1"/>
  <c r="D966" i="23" a="1"/>
  <c r="D983" i="23" a="1"/>
  <c r="D965" i="23" a="1"/>
  <c r="D930" i="23" a="1"/>
  <c r="D931" i="23" a="1"/>
  <c r="D982" i="23" a="1"/>
  <c r="D956" i="23" a="1"/>
  <c r="D981" i="23" a="1"/>
  <c r="D932" i="23" a="1"/>
  <c r="D936" i="23" a="1"/>
  <c r="D1019" i="23" a="1"/>
  <c r="D935" i="23" a="1"/>
  <c r="D1020" i="23" a="1"/>
  <c r="D1030" i="23" a="1"/>
  <c r="D914" i="23" a="1"/>
  <c r="S24" i="22"/>
  <c r="C1023" i="23" a="1"/>
  <c r="C1022" i="23" a="1"/>
  <c r="C1021" i="23" a="1"/>
  <c r="C1020" i="23" a="1"/>
  <c r="C1019" i="23" a="1"/>
  <c r="C1018" i="23" a="1"/>
  <c r="C1017" i="23" a="1"/>
  <c r="C1016" i="23" a="1"/>
  <c r="C1015" i="23" a="1"/>
  <c r="C1014" i="23" a="1"/>
  <c r="C1013" i="23" a="1"/>
  <c r="C1012" i="23" a="1"/>
  <c r="C1011" i="23" a="1"/>
  <c r="C1010" i="23" a="1"/>
  <c r="C1009" i="23" a="1"/>
  <c r="C1008" i="23" a="1"/>
  <c r="C1007" i="23" a="1"/>
  <c r="C1006" i="23" a="1"/>
  <c r="C1005" i="23" a="1"/>
  <c r="C1004" i="23" a="1"/>
  <c r="C1003" i="23" a="1"/>
  <c r="C1002" i="23" a="1"/>
  <c r="C1001" i="23" a="1"/>
  <c r="C1000" i="23" a="1"/>
  <c r="C999" i="23" a="1"/>
  <c r="C998" i="23" a="1"/>
  <c r="C997" i="23" a="1"/>
  <c r="C996" i="23" a="1"/>
  <c r="C995" i="23" a="1"/>
  <c r="C994" i="23" a="1"/>
  <c r="C993" i="23" a="1"/>
  <c r="C992" i="23" a="1"/>
  <c r="C991" i="23" a="1"/>
  <c r="C990" i="23" a="1"/>
  <c r="C989" i="23" a="1"/>
  <c r="C988" i="23" a="1"/>
  <c r="C987" i="23" a="1"/>
  <c r="C986" i="23" a="1"/>
  <c r="C985" i="23" a="1"/>
  <c r="C984" i="23" a="1"/>
  <c r="C983" i="23" a="1"/>
  <c r="C982" i="23" a="1"/>
  <c r="C981" i="23" a="1"/>
  <c r="C980" i="23" a="1"/>
  <c r="C979" i="23" a="1"/>
  <c r="C978" i="23" a="1"/>
  <c r="C977" i="23" a="1"/>
  <c r="C976" i="23" a="1"/>
  <c r="C975" i="23" a="1"/>
  <c r="C974" i="23" a="1"/>
  <c r="C973" i="23" a="1"/>
  <c r="C972" i="23" a="1"/>
  <c r="C971" i="23" a="1"/>
  <c r="C970" i="23" a="1"/>
  <c r="C969" i="23" a="1"/>
  <c r="C968" i="23" a="1"/>
  <c r="C967" i="23" a="1"/>
  <c r="C966" i="23" a="1"/>
  <c r="C965" i="23" a="1"/>
  <c r="C964" i="23" a="1"/>
  <c r="C963" i="23" a="1"/>
  <c r="C962" i="23" a="1"/>
  <c r="C961" i="23" a="1"/>
  <c r="C960" i="23" a="1"/>
  <c r="C959" i="23" a="1"/>
  <c r="C958" i="23" a="1"/>
  <c r="C957" i="23" a="1"/>
  <c r="C956" i="23" a="1"/>
  <c r="C955" i="23" a="1"/>
  <c r="C954" i="23" a="1"/>
  <c r="C953" i="23" a="1"/>
  <c r="C952" i="23" a="1"/>
  <c r="C951" i="23" a="1"/>
  <c r="C950" i="23" a="1"/>
  <c r="C949" i="23" a="1"/>
  <c r="C948" i="23" a="1"/>
  <c r="C947" i="23" a="1"/>
  <c r="C946" i="23" a="1"/>
  <c r="C945" i="23" a="1"/>
  <c r="C944" i="23" a="1"/>
  <c r="C943" i="23" a="1"/>
  <c r="C942" i="23" a="1"/>
  <c r="C941" i="23" a="1"/>
  <c r="C940" i="23" a="1"/>
  <c r="C939" i="23" a="1"/>
  <c r="C938" i="23" a="1"/>
  <c r="C937" i="23" a="1"/>
  <c r="C936" i="23" a="1"/>
  <c r="C935" i="23" a="1"/>
  <c r="C934" i="23" a="1"/>
  <c r="C933" i="23" a="1"/>
  <c r="C932" i="23" a="1"/>
  <c r="C931" i="23" a="1"/>
  <c r="C930" i="23" a="1"/>
  <c r="C929" i="23" a="1"/>
  <c r="C928" i="23" a="1"/>
  <c r="C927" i="23" a="1"/>
  <c r="C926" i="23" a="1"/>
  <c r="C925" i="23" a="1"/>
  <c r="C924" i="23" a="1"/>
  <c r="C923" i="23" a="1"/>
  <c r="C922" i="23" a="1"/>
  <c r="C921" i="23" a="1"/>
  <c r="C920" i="23" a="1"/>
  <c r="C919" i="23" a="1"/>
  <c r="C918" i="23" a="1"/>
  <c r="C917" i="23" a="1"/>
  <c r="C916" i="23" a="1"/>
  <c r="C915" i="23" a="1"/>
  <c r="C914" i="23" a="1"/>
  <c r="C913" i="23" a="1"/>
  <c r="C912" i="23" a="1"/>
  <c r="C911" i="23" a="1"/>
  <c r="C910" i="23" a="1"/>
  <c r="C909" i="23" a="1"/>
  <c r="C908" i="23" a="1"/>
  <c r="C1029" i="23" a="1"/>
  <c r="C1028" i="23" a="1"/>
  <c r="C1027" i="23" a="1"/>
  <c r="C1026" i="23" a="1"/>
  <c r="C1025" i="23" a="1"/>
  <c r="T24" i="22" a="1"/>
  <c r="C1024" i="23" a="1"/>
  <c r="D818" i="23" a="1"/>
  <c r="D907" i="23" a="1"/>
  <c r="D848" i="23" a="1"/>
  <c r="D819" i="23" a="1"/>
  <c r="D906" i="23" a="1"/>
  <c r="D867" i="23" a="1"/>
  <c r="D820" i="23" a="1"/>
  <c r="D905" i="23" a="1"/>
  <c r="D877" i="23" a="1"/>
  <c r="D821" i="23" a="1"/>
  <c r="D904" i="23" a="1"/>
  <c r="D849" i="23" a="1"/>
  <c r="D857" i="23" a="1"/>
  <c r="D822" i="23" a="1"/>
  <c r="D903" i="23" a="1"/>
  <c r="D876" i="23" a="1"/>
  <c r="D902" i="23" a="1"/>
  <c r="D823" i="23" a="1"/>
  <c r="D901" i="23" a="1"/>
  <c r="D824" i="23" a="1"/>
  <c r="D850" i="23" a="1"/>
  <c r="D900" i="23" a="1"/>
  <c r="D825" i="23" a="1"/>
  <c r="D875" i="23" a="1"/>
  <c r="D888" i="23" a="1"/>
  <c r="D865" i="23" a="1"/>
  <c r="D837" i="23" a="1"/>
  <c r="D838" i="23" a="1"/>
  <c r="D887" i="23" a="1"/>
  <c r="D853" i="23" a="1"/>
  <c r="D839" i="23" a="1"/>
  <c r="D861" i="23" a="1"/>
  <c r="D886" i="23" a="1"/>
  <c r="D870" i="23" a="1"/>
  <c r="D885" i="23" a="1"/>
  <c r="D840" i="23" a="1"/>
  <c r="D841" i="23" a="1"/>
  <c r="D884" i="23" a="1"/>
  <c r="D854" i="23" a="1"/>
  <c r="D842" i="23" a="1"/>
  <c r="D860" i="23" a="1"/>
  <c r="D883" i="23" a="1"/>
  <c r="D882" i="23" a="1"/>
  <c r="D843" i="23" a="1"/>
  <c r="D855" i="23" a="1"/>
  <c r="D844" i="23" a="1"/>
  <c r="D881" i="23" a="1"/>
  <c r="D869" i="23" a="1"/>
  <c r="D864" i="23" a="1"/>
  <c r="D880" i="23" a="1"/>
  <c r="D868" i="23" a="1"/>
  <c r="D846" i="23" a="1"/>
  <c r="D856" i="23" a="1"/>
  <c r="D879" i="23" a="1"/>
  <c r="D878" i="23" a="1"/>
  <c r="D847" i="23" a="1"/>
  <c r="D863" i="23" a="1"/>
  <c r="D817" i="23" a="1"/>
  <c r="D816" i="23" a="1"/>
  <c r="D815" i="23" a="1"/>
  <c r="D814" i="23" a="1"/>
  <c r="D813" i="23" a="1"/>
  <c r="D812" i="23" a="1"/>
  <c r="D811" i="23" a="1"/>
  <c r="D810" i="23" a="1"/>
  <c r="D809" i="23" a="1"/>
  <c r="D808" i="23" a="1"/>
  <c r="D807" i="23" a="1"/>
  <c r="D806" i="23" a="1"/>
  <c r="D805" i="23" a="1"/>
  <c r="D804" i="23" a="1"/>
  <c r="D803" i="23" a="1"/>
  <c r="D899" i="23" a="1"/>
  <c r="D827" i="23" a="1"/>
  <c r="D858" i="23" a="1"/>
  <c r="D898" i="23" a="1"/>
  <c r="D826" i="23" a="1"/>
  <c r="D897" i="23" a="1"/>
  <c r="D828" i="23" a="1"/>
  <c r="D851" i="23" a="1"/>
  <c r="D874" i="23" a="1"/>
  <c r="D896" i="23" a="1"/>
  <c r="D829" i="23" a="1"/>
  <c r="D830" i="23" a="1"/>
  <c r="D866" i="23" a="1"/>
  <c r="D895" i="23" a="1"/>
  <c r="D894" i="23" a="1"/>
  <c r="D852" i="23" a="1"/>
  <c r="D831" i="23" a="1"/>
  <c r="D832" i="23" a="1"/>
  <c r="D893" i="23" a="1"/>
  <c r="D873" i="23" a="1"/>
  <c r="D892" i="23" a="1"/>
  <c r="D833" i="23" a="1"/>
  <c r="D872" i="23" a="1"/>
  <c r="D891" i="23" a="1"/>
  <c r="D834" i="23" a="1"/>
  <c r="D862" i="23" a="1"/>
  <c r="D890" i="23" a="1"/>
  <c r="D835" i="23" a="1"/>
  <c r="D859" i="23" a="1"/>
  <c r="D871" i="23" a="1"/>
  <c r="D889" i="23" a="1"/>
  <c r="D836" i="23" a="1"/>
  <c r="D845" i="23" a="1"/>
  <c r="S23" i="22"/>
  <c r="C860" i="23" a="1"/>
  <c r="C859" i="23" a="1"/>
  <c r="C858" i="23" a="1"/>
  <c r="C857" i="23" a="1"/>
  <c r="C856" i="23" a="1"/>
  <c r="C855" i="23" a="1"/>
  <c r="C854" i="23" a="1"/>
  <c r="C853" i="23" a="1"/>
  <c r="C852" i="23" a="1"/>
  <c r="C851" i="23" a="1"/>
  <c r="C850" i="23" a="1"/>
  <c r="C849" i="23" a="1"/>
  <c r="C848" i="23" a="1"/>
  <c r="C847" i="23" a="1"/>
  <c r="C846" i="23" a="1"/>
  <c r="C845" i="23" a="1"/>
  <c r="C844" i="23" a="1"/>
  <c r="C843" i="23" a="1"/>
  <c r="C842" i="23" a="1"/>
  <c r="C841" i="23" a="1"/>
  <c r="C840" i="23" a="1"/>
  <c r="C839" i="23" a="1"/>
  <c r="C838" i="23" a="1"/>
  <c r="C837" i="23" a="1"/>
  <c r="C836" i="23" a="1"/>
  <c r="C835" i="23" a="1"/>
  <c r="C834" i="23" a="1"/>
  <c r="C833" i="23" a="1"/>
  <c r="C832" i="23" a="1"/>
  <c r="C831" i="23" a="1"/>
  <c r="C830" i="23" a="1"/>
  <c r="C828" i="23" a="1"/>
  <c r="C827" i="23" a="1"/>
  <c r="C826" i="23" a="1"/>
  <c r="C825" i="23" a="1"/>
  <c r="C805" i="23" a="1"/>
  <c r="C824" i="23" a="1"/>
  <c r="C823" i="23" a="1"/>
  <c r="C822" i="23" a="1"/>
  <c r="C821" i="23" a="1"/>
  <c r="C820" i="23" a="1"/>
  <c r="C819" i="23" a="1"/>
  <c r="C818" i="23" a="1"/>
  <c r="C907" i="23" a="1"/>
  <c r="C817" i="23" a="1"/>
  <c r="C906" i="23" a="1"/>
  <c r="C816" i="23" a="1"/>
  <c r="C905" i="23" a="1"/>
  <c r="C815" i="23" a="1"/>
  <c r="C814" i="23" a="1"/>
  <c r="C904" i="23" a="1"/>
  <c r="C813" i="23" a="1"/>
  <c r="C903" i="23" a="1"/>
  <c r="C902" i="23" a="1"/>
  <c r="C812" i="23" a="1"/>
  <c r="C901" i="23" a="1"/>
  <c r="C811" i="23" a="1"/>
  <c r="C810" i="23" a="1"/>
  <c r="C900" i="23" a="1"/>
  <c r="C809" i="23" a="1"/>
  <c r="C899" i="23" a="1"/>
  <c r="C808" i="23" a="1"/>
  <c r="C898" i="23" a="1"/>
  <c r="C807" i="23" a="1"/>
  <c r="C897" i="23" a="1"/>
  <c r="C806" i="23" a="1"/>
  <c r="C896" i="23" a="1"/>
  <c r="C895" i="23" a="1"/>
  <c r="C804" i="23" a="1"/>
  <c r="C894" i="23" a="1"/>
  <c r="C893" i="23" a="1"/>
  <c r="C892" i="23" a="1"/>
  <c r="C891" i="23" a="1"/>
  <c r="C890" i="23" a="1"/>
  <c r="C889" i="23" a="1"/>
  <c r="C888" i="23" a="1"/>
  <c r="C887" i="23" a="1"/>
  <c r="C886" i="23" a="1"/>
  <c r="C885" i="23" a="1"/>
  <c r="C884" i="23" a="1"/>
  <c r="C883" i="23" a="1"/>
  <c r="C882" i="23" a="1"/>
  <c r="C881" i="23" a="1"/>
  <c r="C880" i="23" a="1"/>
  <c r="C879" i="23" a="1"/>
  <c r="C878" i="23" a="1"/>
  <c r="C877" i="23" a="1"/>
  <c r="C876" i="23" a="1"/>
  <c r="C875" i="23" a="1"/>
  <c r="C874" i="23" a="1"/>
  <c r="C873" i="23" a="1"/>
  <c r="C872" i="23" a="1"/>
  <c r="C829" i="23" a="1"/>
  <c r="C871" i="23" a="1"/>
  <c r="C870" i="23" a="1"/>
  <c r="C869" i="23" a="1"/>
  <c r="C868" i="23" a="1"/>
  <c r="C867" i="23" a="1"/>
  <c r="C866" i="23" a="1"/>
  <c r="C865" i="23" a="1"/>
  <c r="C864" i="23" a="1"/>
  <c r="C863" i="23" a="1"/>
  <c r="C862" i="23" a="1"/>
  <c r="T23" i="22" a="1"/>
  <c r="C861" i="23" a="1"/>
  <c r="D695" i="23" a="1"/>
  <c r="D694" i="23" a="1"/>
  <c r="C694" i="23" a="1"/>
  <c r="C695" i="23" a="1"/>
  <c r="V163" i="22" a="1"/>
  <c r="A70" i="34" a="1"/>
  <c r="V162" i="22" a="1"/>
  <c r="A68" i="34" a="1"/>
  <c r="A66" i="34" a="1"/>
  <c r="V161" i="22" a="1"/>
  <c r="K160" i="22"/>
  <c r="K161" i="22"/>
  <c r="K162" i="22"/>
  <c r="K163" i="22"/>
  <c r="F87" i="22"/>
  <c r="J130" i="28"/>
  <c r="L130" i="28"/>
  <c r="K130" i="28"/>
  <c r="L97" i="28"/>
  <c r="K97" i="28"/>
  <c r="L35" i="28"/>
  <c r="K35" i="28"/>
  <c r="J35" i="28"/>
  <c r="K20" i="28"/>
  <c r="L20" i="28"/>
  <c r="B30" i="27"/>
  <c r="AB92" i="27" s="1"/>
  <c r="K112" i="28"/>
  <c r="L112" i="28"/>
  <c r="J112" i="28"/>
  <c r="K65" i="28"/>
  <c r="L65" i="28"/>
  <c r="L39" i="28"/>
  <c r="K39" i="28"/>
  <c r="K152" i="28"/>
  <c r="J152" i="28"/>
  <c r="L152" i="28"/>
  <c r="J151" i="28"/>
  <c r="L151" i="28"/>
  <c r="K151" i="28"/>
  <c r="L101" i="28"/>
  <c r="J101" i="28"/>
  <c r="L100" i="28"/>
  <c r="J100" i="28"/>
  <c r="K100" i="28"/>
  <c r="L93" i="28"/>
  <c r="K93" i="28"/>
  <c r="J93" i="28"/>
  <c r="L92" i="28"/>
  <c r="J92" i="28"/>
  <c r="L90" i="28"/>
  <c r="K90" i="28"/>
  <c r="J90" i="28"/>
  <c r="K89" i="28"/>
  <c r="L89" i="28"/>
  <c r="J88" i="28"/>
  <c r="L88" i="28"/>
  <c r="L87" i="28"/>
  <c r="J87" i="28"/>
  <c r="L86" i="28"/>
  <c r="J86" i="28"/>
  <c r="L85" i="28"/>
  <c r="J85" i="28"/>
  <c r="J84" i="28"/>
  <c r="K84" i="28"/>
  <c r="L83" i="28"/>
  <c r="K83" i="28"/>
  <c r="K82" i="28"/>
  <c r="L82" i="28"/>
  <c r="J82" i="28"/>
  <c r="L79" i="28"/>
  <c r="J79" i="28"/>
  <c r="K79" i="28"/>
  <c r="K76" i="28"/>
  <c r="L76" i="28"/>
  <c r="J76" i="28"/>
  <c r="J75" i="28"/>
  <c r="L75" i="28"/>
  <c r="K75" i="28"/>
  <c r="J74" i="28"/>
  <c r="L74" i="28"/>
  <c r="K74" i="28"/>
  <c r="J73" i="28"/>
  <c r="K73" i="28"/>
  <c r="L73" i="28"/>
  <c r="L71" i="28"/>
  <c r="K71" i="28"/>
  <c r="K70" i="28"/>
  <c r="L70" i="28"/>
  <c r="L67" i="28"/>
  <c r="K67" i="28"/>
  <c r="J67" i="28"/>
  <c r="K66" i="28"/>
  <c r="L66" i="28"/>
  <c r="K62" i="28"/>
  <c r="L62" i="28"/>
  <c r="K59" i="28"/>
  <c r="L59" i="28"/>
  <c r="L56" i="28"/>
  <c r="K56" i="28"/>
  <c r="J56" i="28"/>
  <c r="J53" i="28"/>
  <c r="L53" i="28"/>
  <c r="L52" i="28"/>
  <c r="K52" i="28"/>
  <c r="K51" i="28"/>
  <c r="L51" i="28"/>
  <c r="J50" i="28"/>
  <c r="K50" i="28"/>
  <c r="L50" i="28"/>
  <c r="L49" i="28"/>
  <c r="K49" i="28"/>
  <c r="J49" i="28"/>
  <c r="L47" i="28"/>
  <c r="K47" i="28"/>
  <c r="K46" i="28"/>
  <c r="J46" i="28"/>
  <c r="L46" i="28"/>
  <c r="K44" i="28"/>
  <c r="L44" i="28"/>
  <c r="J44" i="28"/>
  <c r="K43" i="28"/>
  <c r="J43" i="28"/>
  <c r="L43" i="28"/>
  <c r="J41" i="28"/>
  <c r="K41" i="28"/>
  <c r="L41" i="28"/>
  <c r="J36" i="28"/>
  <c r="K36" i="28"/>
  <c r="L36" i="28"/>
  <c r="M36" i="28" s="1"/>
  <c r="K34" i="28"/>
  <c r="J34" i="28"/>
  <c r="L34" i="28"/>
  <c r="L31" i="28"/>
  <c r="K31" i="28"/>
  <c r="J31" i="28"/>
  <c r="J29" i="28"/>
  <c r="K29" i="28"/>
  <c r="L29" i="28"/>
  <c r="K24" i="28"/>
  <c r="L24" i="28"/>
  <c r="J24" i="28"/>
  <c r="C154" i="22"/>
  <c r="D154" i="22"/>
  <c r="E154" i="22"/>
  <c r="F154" i="22"/>
  <c r="G154" i="22"/>
  <c r="C153" i="22"/>
  <c r="D153" i="22"/>
  <c r="E153" i="22"/>
  <c r="F153" i="22"/>
  <c r="G153" i="22"/>
  <c r="C152" i="22"/>
  <c r="D152" i="22"/>
  <c r="E152" i="22"/>
  <c r="F152" i="22"/>
  <c r="G152" i="22"/>
  <c r="C151" i="22"/>
  <c r="D151" i="22"/>
  <c r="E151" i="22"/>
  <c r="F151" i="22"/>
  <c r="G151" i="22"/>
  <c r="C150" i="22"/>
  <c r="D150" i="22"/>
  <c r="E150" i="22"/>
  <c r="F150" i="22"/>
  <c r="G150" i="22"/>
  <c r="C149" i="22"/>
  <c r="D149" i="22"/>
  <c r="E149" i="22"/>
  <c r="F149" i="22"/>
  <c r="G149" i="22"/>
  <c r="C148" i="22"/>
  <c r="D148" i="22"/>
  <c r="E148" i="22"/>
  <c r="F148" i="22"/>
  <c r="G148" i="22"/>
  <c r="D693" i="23" a="1"/>
  <c r="D692" i="23" a="1"/>
  <c r="D691" i="23" a="1"/>
  <c r="D690" i="23" a="1"/>
  <c r="D689" i="23" a="1"/>
  <c r="D688" i="23" a="1"/>
  <c r="D687" i="23" a="1"/>
  <c r="D686" i="23" a="1"/>
  <c r="D685" i="23" a="1"/>
  <c r="D684" i="23" a="1"/>
  <c r="D683" i="23" a="1"/>
  <c r="D682" i="23" a="1"/>
  <c r="D681" i="23" a="1"/>
  <c r="D680" i="23" a="1"/>
  <c r="D679" i="23" a="1"/>
  <c r="D678" i="23" a="1"/>
  <c r="C693" i="23" a="1"/>
  <c r="C692" i="23" a="1"/>
  <c r="C691" i="23" a="1"/>
  <c r="C690" i="23" a="1"/>
  <c r="C689" i="23" a="1"/>
  <c r="C688" i="23" a="1"/>
  <c r="C687" i="23" a="1"/>
  <c r="C686" i="23" a="1"/>
  <c r="C685" i="23" a="1"/>
  <c r="C684" i="23" a="1"/>
  <c r="C683" i="23" a="1"/>
  <c r="C682" i="23" a="1"/>
  <c r="C681" i="23" a="1"/>
  <c r="C680" i="23" a="1"/>
  <c r="C679" i="23" a="1"/>
  <c r="C678" i="23" a="1"/>
  <c r="D662" i="23" a="1"/>
  <c r="D756" i="23" a="1"/>
  <c r="D668" i="23" a="1"/>
  <c r="D755" i="23" a="1"/>
  <c r="D714" i="23" a="1"/>
  <c r="D646" i="23" a="1"/>
  <c r="D713" i="23" a="1"/>
  <c r="D754" i="23" a="1"/>
  <c r="D606" i="23" a="1"/>
  <c r="D753" i="23" a="1"/>
  <c r="D607" i="23" a="1"/>
  <c r="D647" i="23" a="1"/>
  <c r="D608" i="23" a="1"/>
  <c r="D752" i="23" a="1"/>
  <c r="D671" i="23" a="1"/>
  <c r="D609" i="23" a="1"/>
  <c r="D751" i="23" a="1"/>
  <c r="D648" i="23" a="1"/>
  <c r="D750" i="23" a="1"/>
  <c r="D675" i="23" a="1"/>
  <c r="D610" i="23" a="1"/>
  <c r="D611" i="23" a="1"/>
  <c r="D749" i="23" a="1"/>
  <c r="D712" i="23" a="1"/>
  <c r="D663" i="23" a="1"/>
  <c r="D748" i="23" a="1"/>
  <c r="D612" i="23" a="1"/>
  <c r="D613" i="23" a="1"/>
  <c r="D747" i="23" a="1"/>
  <c r="D711" i="23" a="1"/>
  <c r="D614" i="23" a="1"/>
  <c r="D746" i="23" a="1"/>
  <c r="D649" i="23" a="1"/>
  <c r="D615" i="23" a="1"/>
  <c r="D745" i="23" a="1"/>
  <c r="D650" i="23" a="1"/>
  <c r="D616" i="23" a="1"/>
  <c r="D744" i="23" a="1"/>
  <c r="D674" i="23" a="1"/>
  <c r="D710" i="23" a="1"/>
  <c r="D617" i="23" a="1"/>
  <c r="D743" i="23" a="1"/>
  <c r="D618" i="23" a="1"/>
  <c r="D742" i="23" a="1"/>
  <c r="D653" i="23" a="1"/>
  <c r="D725" i="23" a="1"/>
  <c r="D741" i="23" a="1"/>
  <c r="D709" i="23" a="1"/>
  <c r="D740" i="23" a="1"/>
  <c r="D651" i="23" a="1"/>
  <c r="D619" i="23" a="1"/>
  <c r="D620" i="23" a="1"/>
  <c r="D739" i="23" a="1"/>
  <c r="D667" i="23" a="1"/>
  <c r="D621" i="23" a="1"/>
  <c r="D738" i="23" a="1"/>
  <c r="D708" i="23" a="1"/>
  <c r="D622" i="23" a="1"/>
  <c r="D737" i="23" a="1"/>
  <c r="D652" i="23" a="1"/>
  <c r="D623" i="23" a="1"/>
  <c r="D736" i="23" a="1"/>
  <c r="D654" i="23" a="1"/>
  <c r="D624" i="23" a="1"/>
  <c r="D735" i="23" a="1"/>
  <c r="D707" i="23" a="1"/>
  <c r="D625" i="23" a="1"/>
  <c r="D734" i="23" a="1"/>
  <c r="D664" i="23" a="1"/>
  <c r="D733" i="23" a="1"/>
  <c r="D626" i="23" a="1"/>
  <c r="D655" i="23" a="1"/>
  <c r="D627" i="23" a="1"/>
  <c r="D732" i="23" a="1"/>
  <c r="D706" i="23" a="1"/>
  <c r="D628" i="23" a="1"/>
  <c r="D665" i="23" a="1"/>
  <c r="D731" i="23" a="1"/>
  <c r="D730" i="23" a="1"/>
  <c r="D656" i="23" a="1"/>
  <c r="D629" i="23" a="1"/>
  <c r="D630" i="23" a="1"/>
  <c r="D705" i="23" a="1"/>
  <c r="D729" i="23" a="1"/>
  <c r="D631" i="23" a="1"/>
  <c r="D669" i="23" a="1"/>
  <c r="D728" i="23" a="1"/>
  <c r="D727" i="23" a="1"/>
  <c r="D704" i="23" a="1"/>
  <c r="D632" i="23" a="1"/>
  <c r="D726" i="23" a="1"/>
  <c r="D673" i="23" a="1"/>
  <c r="D633" i="23" a="1"/>
  <c r="D634" i="23" a="1"/>
  <c r="D635" i="23" a="1"/>
  <c r="D657" i="23" a="1"/>
  <c r="D636" i="23" a="1"/>
  <c r="D724" i="23" a="1"/>
  <c r="D658" i="23" a="1"/>
  <c r="D723" i="23" a="1"/>
  <c r="D670" i="23" a="1"/>
  <c r="D637" i="23" a="1"/>
  <c r="D638" i="23" a="1"/>
  <c r="D722" i="23" a="1"/>
  <c r="D659" i="23" a="1"/>
  <c r="D639" i="23" a="1"/>
  <c r="D721" i="23" a="1"/>
  <c r="D672" i="23" a="1"/>
  <c r="D720" i="23" a="1"/>
  <c r="D660" i="23" a="1"/>
  <c r="D640" i="23" a="1"/>
  <c r="D661" i="23" a="1"/>
  <c r="D719" i="23" a="1"/>
  <c r="D641" i="23" a="1"/>
  <c r="D677" i="23" a="1"/>
  <c r="D718" i="23" a="1"/>
  <c r="D642" i="23" a="1"/>
  <c r="D666" i="23" a="1"/>
  <c r="D717" i="23" a="1"/>
  <c r="D643" i="23" a="1"/>
  <c r="D644" i="23" a="1"/>
  <c r="D676" i="23" a="1"/>
  <c r="D716" i="23" a="1"/>
  <c r="D645" i="23" a="1"/>
  <c r="D715" i="23" a="1"/>
  <c r="S22" i="22"/>
  <c r="C606" i="23" a="1"/>
  <c r="C756" i="23" a="1"/>
  <c r="C755" i="23" a="1"/>
  <c r="T22" i="22" a="1"/>
  <c r="C754" i="23" a="1"/>
  <c r="C753" i="23" a="1"/>
  <c r="C752" i="23" a="1"/>
  <c r="C751" i="23" a="1"/>
  <c r="C750" i="23" a="1"/>
  <c r="C749" i="23" a="1"/>
  <c r="C748" i="23" a="1"/>
  <c r="C747" i="23" a="1"/>
  <c r="C746" i="23" a="1"/>
  <c r="C745" i="23" a="1"/>
  <c r="C744" i="23" a="1"/>
  <c r="C743" i="23" a="1"/>
  <c r="C742" i="23" a="1"/>
  <c r="C741" i="23" a="1"/>
  <c r="C740" i="23" a="1"/>
  <c r="C739" i="23" a="1"/>
  <c r="C738" i="23" a="1"/>
  <c r="C737" i="23" a="1"/>
  <c r="C736" i="23" a="1"/>
  <c r="C735" i="23" a="1"/>
  <c r="C734" i="23" a="1"/>
  <c r="C733" i="23" a="1"/>
  <c r="C732" i="23" a="1"/>
  <c r="C731" i="23" a="1"/>
  <c r="C730" i="23" a="1"/>
  <c r="C729" i="23" a="1"/>
  <c r="C728" i="23" a="1"/>
  <c r="C727" i="23" a="1"/>
  <c r="C726" i="23" a="1"/>
  <c r="C725" i="23" a="1"/>
  <c r="C724" i="23" a="1"/>
  <c r="C723" i="23" a="1"/>
  <c r="C722" i="23" a="1"/>
  <c r="C721" i="23" a="1"/>
  <c r="C720" i="23" a="1"/>
  <c r="C719" i="23" a="1"/>
  <c r="C718" i="23" a="1"/>
  <c r="C717" i="23" a="1"/>
  <c r="C716" i="23" a="1"/>
  <c r="C715" i="23" a="1"/>
  <c r="C714" i="23" a="1"/>
  <c r="C713" i="23" a="1"/>
  <c r="C712" i="23" a="1"/>
  <c r="C711" i="23" a="1"/>
  <c r="C710" i="23" a="1"/>
  <c r="C708" i="23" a="1"/>
  <c r="C707" i="23" a="1"/>
  <c r="C706" i="23" a="1"/>
  <c r="C705" i="23" a="1"/>
  <c r="C704" i="23" a="1"/>
  <c r="C703" i="23" a="1"/>
  <c r="C702" i="23" a="1"/>
  <c r="C677" i="23" a="1"/>
  <c r="C676" i="23" a="1"/>
  <c r="C675" i="23" a="1"/>
  <c r="C674" i="23" a="1"/>
  <c r="C673" i="23" a="1"/>
  <c r="C672" i="23" a="1"/>
  <c r="C671" i="23" a="1"/>
  <c r="C670" i="23" a="1"/>
  <c r="C709" i="23" a="1"/>
  <c r="C668" i="23" a="1"/>
  <c r="C667" i="23" a="1"/>
  <c r="C666" i="23" a="1"/>
  <c r="C665" i="23" a="1"/>
  <c r="C664" i="23" a="1"/>
  <c r="C663" i="23" a="1"/>
  <c r="C662" i="23" a="1"/>
  <c r="C661" i="23" a="1"/>
  <c r="C660" i="23" a="1"/>
  <c r="C659" i="23" a="1"/>
  <c r="C658" i="23" a="1"/>
  <c r="C657" i="23" a="1"/>
  <c r="C656" i="23" a="1"/>
  <c r="C655" i="23" a="1"/>
  <c r="C654" i="23" a="1"/>
  <c r="C653" i="23" a="1"/>
  <c r="C669" i="23" a="1"/>
  <c r="C652" i="23" a="1"/>
  <c r="C651" i="23" a="1"/>
  <c r="C650" i="23" a="1"/>
  <c r="C649" i="23" a="1"/>
  <c r="C648" i="23" a="1"/>
  <c r="C647" i="23" a="1"/>
  <c r="C646" i="23" a="1"/>
  <c r="C645" i="23" a="1"/>
  <c r="C644" i="23" a="1"/>
  <c r="C643" i="23" a="1"/>
  <c r="C642" i="23" a="1"/>
  <c r="C641" i="23" a="1"/>
  <c r="C640" i="23" a="1"/>
  <c r="C639" i="23" a="1"/>
  <c r="C638" i="23" a="1"/>
  <c r="C637" i="23" a="1"/>
  <c r="C636" i="23" a="1"/>
  <c r="C635" i="23" a="1"/>
  <c r="C634" i="23" a="1"/>
  <c r="C633" i="23" a="1"/>
  <c r="C632" i="23" a="1"/>
  <c r="C631" i="23" a="1"/>
  <c r="C630" i="23" a="1"/>
  <c r="C629" i="23" a="1"/>
  <c r="C628" i="23" a="1"/>
  <c r="C627" i="23" a="1"/>
  <c r="C626" i="23" a="1"/>
  <c r="C625" i="23" a="1"/>
  <c r="C624" i="23" a="1"/>
  <c r="C623" i="23" a="1"/>
  <c r="C622" i="23" a="1"/>
  <c r="C621" i="23" a="1"/>
  <c r="C620" i="23" a="1"/>
  <c r="C619" i="23" a="1"/>
  <c r="C618" i="23" a="1"/>
  <c r="C617" i="23" a="1"/>
  <c r="C616" i="23" a="1"/>
  <c r="C615" i="23" a="1"/>
  <c r="C614" i="23" a="1"/>
  <c r="C613" i="23" a="1"/>
  <c r="C612" i="23" a="1"/>
  <c r="C611" i="23" a="1"/>
  <c r="C610" i="23" a="1"/>
  <c r="C609" i="23" a="1"/>
  <c r="C608" i="23" a="1"/>
  <c r="C607" i="23" a="1"/>
  <c r="D401" i="23" a="1"/>
  <c r="D400" i="23" a="1"/>
  <c r="D399" i="23" a="1"/>
  <c r="D398" i="23" a="1"/>
  <c r="D397" i="23" a="1"/>
  <c r="D396" i="23" a="1"/>
  <c r="D395" i="23" a="1"/>
  <c r="D394" i="23" a="1"/>
  <c r="C402" i="23" a="1"/>
  <c r="C401" i="23" a="1"/>
  <c r="C400" i="23" a="1"/>
  <c r="C399" i="23" a="1"/>
  <c r="C398" i="23" a="1"/>
  <c r="C397" i="23" a="1"/>
  <c r="C396" i="23" a="1"/>
  <c r="C395" i="23" a="1"/>
  <c r="C394" i="23" a="1"/>
  <c r="G130" i="23" a="1"/>
  <c r="I130" i="23" s="1"/>
  <c r="G129" i="23" a="1"/>
  <c r="I129" i="23" s="1"/>
  <c r="G128" i="23" a="1"/>
  <c r="I128" i="23" s="1"/>
  <c r="G127" i="23" a="1"/>
  <c r="I127" i="23" s="1"/>
  <c r="G126" i="23" a="1"/>
  <c r="I126" i="23" s="1"/>
  <c r="G125" i="23" a="1"/>
  <c r="I125" i="23" s="1"/>
  <c r="G124" i="23" a="1"/>
  <c r="I124" i="23" s="1"/>
  <c r="G123" i="23" a="1"/>
  <c r="I123" i="23" s="1"/>
  <c r="G122" i="23" a="1"/>
  <c r="I122" i="23" s="1"/>
  <c r="G121" i="23" a="1"/>
  <c r="I121" i="23" s="1"/>
  <c r="G120" i="23" a="1"/>
  <c r="I120" i="23" s="1"/>
  <c r="G119" i="23" a="1"/>
  <c r="I119" i="23" s="1"/>
  <c r="G118" i="23" a="1"/>
  <c r="I118" i="23" s="1"/>
  <c r="G117" i="23" a="1"/>
  <c r="I117" i="23" s="1"/>
  <c r="G116" i="23" a="1"/>
  <c r="I116" i="23" s="1"/>
  <c r="G115" i="23" a="1"/>
  <c r="I115" i="23" s="1"/>
  <c r="G114" i="23" a="1"/>
  <c r="I114" i="23" s="1"/>
  <c r="G113" i="23" a="1"/>
  <c r="I113" i="23" s="1"/>
  <c r="G112" i="23" a="1"/>
  <c r="I112" i="23" s="1"/>
  <c r="G111" i="23" a="1"/>
  <c r="I111" i="23" s="1"/>
  <c r="G110" i="23" a="1"/>
  <c r="I110" i="23" s="1"/>
  <c r="G109" i="23" a="1"/>
  <c r="I109" i="23" s="1"/>
  <c r="G108" i="23" a="1"/>
  <c r="I108" i="23" s="1"/>
  <c r="G107" i="23" a="1"/>
  <c r="I107" i="23" s="1"/>
  <c r="G106" i="23" a="1"/>
  <c r="I106" i="23" s="1"/>
  <c r="D605" i="23" a="1"/>
  <c r="D586" i="23" a="1"/>
  <c r="D589" i="23" a="1"/>
  <c r="D604" i="23" a="1"/>
  <c r="D603" i="23" a="1"/>
  <c r="D588" i="23" a="1"/>
  <c r="D602" i="23" a="1"/>
  <c r="D598" i="23" a="1"/>
  <c r="D587" i="23" a="1"/>
  <c r="D601" i="23" a="1"/>
  <c r="D585" i="23" a="1"/>
  <c r="D600" i="23" a="1"/>
  <c r="D599" i="23" a="1"/>
  <c r="D584" i="23" a="1"/>
  <c r="D583" i="23" a="1"/>
  <c r="D582" i="23" a="1"/>
  <c r="D578" i="23" a="1"/>
  <c r="D597" i="23" a="1"/>
  <c r="D581" i="23" a="1"/>
  <c r="D596" i="23" a="1"/>
  <c r="D595" i="23" a="1"/>
  <c r="D580" i="23" a="1"/>
  <c r="D594" i="23" a="1"/>
  <c r="D579" i="23" a="1"/>
  <c r="D593" i="23" a="1"/>
  <c r="D577" i="23" a="1"/>
  <c r="D592" i="23" a="1"/>
  <c r="D576" i="23" a="1"/>
  <c r="D591" i="23" a="1"/>
  <c r="D575" i="23" a="1"/>
  <c r="D590" i="23" a="1"/>
  <c r="C605" i="23" a="1"/>
  <c r="C604" i="23" a="1"/>
  <c r="C603" i="23" a="1"/>
  <c r="C601" i="23" a="1"/>
  <c r="C600" i="23" a="1"/>
  <c r="C599" i="23" a="1"/>
  <c r="C602" i="23" a="1"/>
  <c r="C598" i="23" a="1"/>
  <c r="C597" i="23" a="1"/>
  <c r="C596" i="23" a="1"/>
  <c r="C595" i="23" a="1"/>
  <c r="C594" i="23" a="1"/>
  <c r="C593" i="23" a="1"/>
  <c r="C592" i="23" a="1"/>
  <c r="C591" i="23" a="1"/>
  <c r="C590" i="23" a="1"/>
  <c r="C582" i="23" a="1"/>
  <c r="C586" i="23" a="1"/>
  <c r="C585" i="23" a="1"/>
  <c r="C589" i="23" a="1"/>
  <c r="C580" i="23" a="1"/>
  <c r="C588" i="23" a="1"/>
  <c r="C579" i="23" a="1"/>
  <c r="C578" i="23" a="1"/>
  <c r="C581" i="23" a="1"/>
  <c r="C584" i="23" a="1"/>
  <c r="C577" i="23" a="1"/>
  <c r="C576" i="23" a="1"/>
  <c r="C587" i="23" a="1"/>
  <c r="C575" i="23" a="1"/>
  <c r="C583" i="23" a="1"/>
  <c r="C574" i="23" a="1"/>
  <c r="D393" i="23" a="1"/>
  <c r="D382" i="23" a="1"/>
  <c r="D392" i="23" a="1"/>
  <c r="D377" i="23" a="1"/>
  <c r="D391" i="23" a="1"/>
  <c r="D374" i="23" a="1"/>
  <c r="D390" i="23" a="1"/>
  <c r="D381" i="23" a="1"/>
  <c r="D389" i="23" a="1"/>
  <c r="D376" i="23" a="1"/>
  <c r="D359" i="23" a="1"/>
  <c r="D388" i="23" a="1"/>
  <c r="D387" i="23" a="1"/>
  <c r="D380" i="23" a="1"/>
  <c r="D386" i="23" a="1"/>
  <c r="D375" i="23" a="1"/>
  <c r="D385" i="23" a="1"/>
  <c r="D379" i="23" a="1"/>
  <c r="D368" i="23" a="1"/>
  <c r="D384" i="23" a="1"/>
  <c r="D378" i="23" a="1"/>
  <c r="D383" i="23" a="1"/>
  <c r="D373" i="23" a="1"/>
  <c r="D372" i="23" a="1"/>
  <c r="D371" i="23" a="1"/>
  <c r="D370" i="23" a="1"/>
  <c r="D369" i="23" a="1"/>
  <c r="D367" i="23" a="1"/>
  <c r="D366" i="23" a="1"/>
  <c r="D365" i="23" a="1"/>
  <c r="D364" i="23" a="1"/>
  <c r="D363" i="23" a="1"/>
  <c r="D362" i="23" a="1"/>
  <c r="D361" i="23" a="1"/>
  <c r="D360" i="23" a="1"/>
  <c r="D358" i="23" a="1"/>
  <c r="D357" i="23" a="1"/>
  <c r="D356" i="23" a="1"/>
  <c r="D355" i="23" a="1"/>
  <c r="D354" i="23" a="1"/>
  <c r="C388" i="23" a="1"/>
  <c r="C393" i="23" a="1"/>
  <c r="C372" i="23" a="1"/>
  <c r="C392" i="23" a="1"/>
  <c r="C391" i="23" a="1"/>
  <c r="C371" i="23" a="1"/>
  <c r="C390" i="23" a="1"/>
  <c r="C370" i="23" a="1"/>
  <c r="C389" i="23" a="1"/>
  <c r="C369" i="23" a="1"/>
  <c r="C373" i="23" a="1"/>
  <c r="C368" i="23" a="1"/>
  <c r="C387" i="23" a="1"/>
  <c r="C367" i="23" a="1"/>
  <c r="C386" i="23" a="1"/>
  <c r="C366" i="23" a="1"/>
  <c r="C365" i="23" a="1"/>
  <c r="C385" i="23" a="1"/>
  <c r="C364" i="23" a="1"/>
  <c r="C384" i="23" a="1"/>
  <c r="C383" i="23" a="1"/>
  <c r="C363" i="23" a="1"/>
  <c r="C362" i="23" a="1"/>
  <c r="C382" i="23" a="1"/>
  <c r="C381" i="23" a="1"/>
  <c r="C361" i="23" a="1"/>
  <c r="C360" i="23" a="1"/>
  <c r="C380" i="23" a="1"/>
  <c r="C359" i="23" a="1"/>
  <c r="C378" i="23" a="1"/>
  <c r="C358" i="23" a="1"/>
  <c r="C379" i="23" a="1"/>
  <c r="C377" i="23" a="1"/>
  <c r="C357" i="23" a="1"/>
  <c r="C376" i="23" a="1"/>
  <c r="C356" i="23" a="1"/>
  <c r="C375" i="23" a="1"/>
  <c r="C355" i="23" a="1"/>
  <c r="C354" i="23" a="1"/>
  <c r="C374" i="23" a="1"/>
  <c r="D574" i="23" a="1"/>
  <c r="D534" i="23" a="1"/>
  <c r="D573" i="23" a="1"/>
  <c r="D533" i="23" a="1"/>
  <c r="D494" i="23" a="1"/>
  <c r="D572" i="23" a="1"/>
  <c r="D455" i="23" a="1"/>
  <c r="D520" i="23" a="1"/>
  <c r="D571" i="23" a="1"/>
  <c r="D456" i="23" a="1"/>
  <c r="D532" i="23" a="1"/>
  <c r="D457" i="23" a="1"/>
  <c r="D570" i="23" a="1"/>
  <c r="D507" i="23" a="1"/>
  <c r="D569" i="23" a="1"/>
  <c r="D458" i="23" a="1"/>
  <c r="D495" i="23" a="1"/>
  <c r="D568" i="23" a="1"/>
  <c r="D459" i="23" a="1"/>
  <c r="D460" i="23" a="1"/>
  <c r="D515" i="23" a="1"/>
  <c r="D567" i="23" a="1"/>
  <c r="D461" i="23" a="1"/>
  <c r="D566" i="23" a="1"/>
  <c r="D531" i="23" a="1"/>
  <c r="D462" i="23" a="1"/>
  <c r="D565" i="23" a="1"/>
  <c r="D496" i="23" a="1"/>
  <c r="D463" i="23" a="1"/>
  <c r="D497" i="23" a="1"/>
  <c r="D564" i="23" a="1"/>
  <c r="D464" i="23" a="1"/>
  <c r="D508" i="23" a="1"/>
  <c r="D563" i="23" a="1"/>
  <c r="D562" i="23" a="1"/>
  <c r="D465" i="23" a="1"/>
  <c r="D530" i="23" a="1"/>
  <c r="D529" i="23" a="1"/>
  <c r="D466" i="23" a="1"/>
  <c r="D561" i="23" a="1"/>
  <c r="D467" i="23" a="1"/>
  <c r="D560" i="23" a="1"/>
  <c r="D512" i="23" a="1"/>
  <c r="D511" i="23" a="1"/>
  <c r="D468" i="23" a="1"/>
  <c r="D559" i="23" a="1"/>
  <c r="D469" i="23" a="1"/>
  <c r="D558" i="23" a="1"/>
  <c r="D498" i="23" a="1"/>
  <c r="D557" i="23" a="1"/>
  <c r="D499" i="23" a="1"/>
  <c r="D470" i="23" a="1"/>
  <c r="D519" i="23" a="1"/>
  <c r="D556" i="23" a="1"/>
  <c r="D471" i="23" a="1"/>
  <c r="D555" i="23" a="1"/>
  <c r="D528" i="23" a="1"/>
  <c r="D472" i="23" a="1"/>
  <c r="D509" i="23" a="1"/>
  <c r="D554" i="23" a="1"/>
  <c r="D473" i="23" a="1"/>
  <c r="D500" i="23" a="1"/>
  <c r="D474" i="23" a="1"/>
  <c r="D553" i="23" a="1"/>
  <c r="D552" i="23" a="1"/>
  <c r="D475" i="23" a="1"/>
  <c r="D527" i="23" a="1"/>
  <c r="D513" i="23" a="1"/>
  <c r="D476" i="23" a="1"/>
  <c r="D551" i="23" a="1"/>
  <c r="D526" i="23" a="1"/>
  <c r="D477" i="23" a="1"/>
  <c r="D550" i="23" a="1"/>
  <c r="D549" i="23" a="1"/>
  <c r="D501" i="23" a="1"/>
  <c r="D478" i="23" a="1"/>
  <c r="D479" i="23" a="1"/>
  <c r="D548" i="23" a="1"/>
  <c r="D525" i="23" a="1"/>
  <c r="D502" i="23" a="1"/>
  <c r="D480" i="23" a="1"/>
  <c r="D547" i="23" a="1"/>
  <c r="D518" i="23" a="1"/>
  <c r="D481" i="23" a="1"/>
  <c r="D546" i="23" a="1"/>
  <c r="D524" i="23" a="1"/>
  <c r="D482" i="23" a="1"/>
  <c r="D545" i="23" a="1"/>
  <c r="D483" i="23" a="1"/>
  <c r="D503" i="23" a="1"/>
  <c r="D544" i="23" a="1"/>
  <c r="D484" i="23" a="1"/>
  <c r="D510" i="23" a="1"/>
  <c r="D543" i="23" a="1"/>
  <c r="D504" i="23" a="1"/>
  <c r="D542" i="23" a="1"/>
  <c r="D485" i="23" a="1"/>
  <c r="D523" i="23" a="1"/>
  <c r="D541" i="23" a="1"/>
  <c r="D486" i="23" a="1"/>
  <c r="D487" i="23" a="1"/>
  <c r="D517" i="23" a="1"/>
  <c r="D540" i="23" a="1"/>
  <c r="D488" i="23" a="1"/>
  <c r="D505" i="23" a="1"/>
  <c r="D539" i="23" a="1"/>
  <c r="D489" i="23" a="1"/>
  <c r="D514" i="23" a="1"/>
  <c r="D538" i="23" a="1"/>
  <c r="D490" i="23" a="1"/>
  <c r="D537" i="23" a="1"/>
  <c r="D522" i="23" a="1"/>
  <c r="D536" i="23" a="1"/>
  <c r="D491" i="23" a="1"/>
  <c r="D516" i="23" a="1"/>
  <c r="D492" i="23" a="1"/>
  <c r="D535" i="23" a="1"/>
  <c r="D521" i="23" a="1"/>
  <c r="D493" i="23" a="1"/>
  <c r="D506" i="23" a="1"/>
  <c r="S21" i="22"/>
  <c r="T21" i="22" a="1"/>
  <c r="AN163" i="22" s="1" a="1"/>
  <c r="C573" i="23" a="1"/>
  <c r="C572" i="23" a="1"/>
  <c r="C571" i="23" a="1"/>
  <c r="C570" i="23" a="1"/>
  <c r="C569" i="23" a="1"/>
  <c r="C568" i="23" a="1"/>
  <c r="C567" i="23" a="1"/>
  <c r="C566" i="23" a="1"/>
  <c r="C565" i="23" a="1"/>
  <c r="C564" i="23" a="1"/>
  <c r="C563" i="23" a="1"/>
  <c r="C562" i="23" a="1"/>
  <c r="C561" i="23" a="1"/>
  <c r="C560" i="23" a="1"/>
  <c r="C558" i="23" a="1"/>
  <c r="C557" i="23" a="1"/>
  <c r="C556" i="23" a="1"/>
  <c r="C555" i="23" a="1"/>
  <c r="C554" i="23" a="1"/>
  <c r="C553" i="23" a="1"/>
  <c r="C552" i="23" a="1"/>
  <c r="C551" i="23" a="1"/>
  <c r="C550" i="23" a="1"/>
  <c r="C549" i="23" a="1"/>
  <c r="C548" i="23" a="1"/>
  <c r="C547" i="23" a="1"/>
  <c r="C546" i="23" a="1"/>
  <c r="C545" i="23" a="1"/>
  <c r="C544" i="23" a="1"/>
  <c r="C543" i="23" a="1"/>
  <c r="C542" i="23" a="1"/>
  <c r="C541" i="23" a="1"/>
  <c r="C540" i="23" a="1"/>
  <c r="C539" i="23" a="1"/>
  <c r="C538" i="23" a="1"/>
  <c r="C537" i="23" a="1"/>
  <c r="C536" i="23" a="1"/>
  <c r="C535" i="23" a="1"/>
  <c r="C534" i="23" a="1"/>
  <c r="C533" i="23" a="1"/>
  <c r="C532" i="23" a="1"/>
  <c r="C531" i="23" a="1"/>
  <c r="C530" i="23" a="1"/>
  <c r="C529" i="23" a="1"/>
  <c r="C528" i="23" a="1"/>
  <c r="C527" i="23" a="1"/>
  <c r="C526" i="23" a="1"/>
  <c r="C525" i="23" a="1"/>
  <c r="C524" i="23" a="1"/>
  <c r="C523" i="23" a="1"/>
  <c r="C522" i="23" a="1"/>
  <c r="C521" i="23" a="1"/>
  <c r="C520" i="23" a="1"/>
  <c r="C519" i="23" a="1"/>
  <c r="C518" i="23" a="1"/>
  <c r="C517" i="23" a="1"/>
  <c r="C516" i="23" a="1"/>
  <c r="C515" i="23" a="1"/>
  <c r="C559" i="23" a="1"/>
  <c r="C513" i="23" a="1"/>
  <c r="C512" i="23" a="1"/>
  <c r="C511" i="23" a="1"/>
  <c r="C510" i="23" a="1"/>
  <c r="C509" i="23" a="1"/>
  <c r="C508" i="23" a="1"/>
  <c r="C507" i="23" a="1"/>
  <c r="C506" i="23" a="1"/>
  <c r="C505" i="23" a="1"/>
  <c r="C504" i="23" a="1"/>
  <c r="C503" i="23" a="1"/>
  <c r="C502" i="23" a="1"/>
  <c r="C501" i="23" a="1"/>
  <c r="C500" i="23" a="1"/>
  <c r="C499" i="23" a="1"/>
  <c r="C498" i="23" a="1"/>
  <c r="C497" i="23" a="1"/>
  <c r="C496" i="23" a="1"/>
  <c r="C495" i="23" a="1"/>
  <c r="C494" i="23" a="1"/>
  <c r="C493" i="23" a="1"/>
  <c r="C492" i="23" a="1"/>
  <c r="C491" i="23" a="1"/>
  <c r="C490" i="23" a="1"/>
  <c r="C489" i="23" a="1"/>
  <c r="C488" i="23" a="1"/>
  <c r="C487" i="23" a="1"/>
  <c r="C486" i="23" a="1"/>
  <c r="C485" i="23" a="1"/>
  <c r="C484" i="23" a="1"/>
  <c r="C483" i="23" a="1"/>
  <c r="C482" i="23" a="1"/>
  <c r="C481" i="23" a="1"/>
  <c r="C480" i="23" a="1"/>
  <c r="C479" i="23" a="1"/>
  <c r="C478" i="23" a="1"/>
  <c r="C477" i="23" a="1"/>
  <c r="C476" i="23" a="1"/>
  <c r="C475" i="23" a="1"/>
  <c r="C474" i="23" a="1"/>
  <c r="C473" i="23" a="1"/>
  <c r="C472" i="23" a="1"/>
  <c r="C471" i="23" a="1"/>
  <c r="C470" i="23" a="1"/>
  <c r="C469" i="23" a="1"/>
  <c r="C514" i="23" a="1"/>
  <c r="C468" i="23" a="1"/>
  <c r="C467" i="23" a="1"/>
  <c r="C466" i="23" a="1"/>
  <c r="C465" i="23" a="1"/>
  <c r="C464" i="23" a="1"/>
  <c r="C463" i="23" a="1"/>
  <c r="C462" i="23" a="1"/>
  <c r="C461" i="23" a="1"/>
  <c r="C460" i="23" a="1"/>
  <c r="C459" i="23" a="1"/>
  <c r="C458" i="23" a="1"/>
  <c r="C457" i="23" a="1"/>
  <c r="C456" i="23" a="1"/>
  <c r="C455" i="23" a="1"/>
  <c r="J18" i="22"/>
  <c r="G105" i="23" a="1"/>
  <c r="I105" i="23" s="1"/>
  <c r="G104" i="23" a="1"/>
  <c r="I104" i="23" s="1"/>
  <c r="G103" i="23" a="1"/>
  <c r="I103" i="23" s="1"/>
  <c r="G102" i="23" a="1"/>
  <c r="I102" i="23" s="1"/>
  <c r="G101" i="23" a="1"/>
  <c r="I101" i="23" s="1"/>
  <c r="G100" i="23" a="1"/>
  <c r="I100" i="23" s="1"/>
  <c r="G99" i="23" a="1"/>
  <c r="I99" i="23" s="1"/>
  <c r="G98" i="23" a="1"/>
  <c r="I98" i="23" s="1"/>
  <c r="G97" i="23" a="1"/>
  <c r="I97" i="23" s="1"/>
  <c r="G96" i="23" a="1"/>
  <c r="I96" i="23" s="1"/>
  <c r="G95" i="23" a="1"/>
  <c r="I95" i="23" s="1"/>
  <c r="G94" i="23" a="1"/>
  <c r="I94" i="23" s="1"/>
  <c r="G93" i="23" a="1"/>
  <c r="I93" i="23" s="1"/>
  <c r="G92" i="23" a="1"/>
  <c r="I92" i="23" s="1"/>
  <c r="G91" i="23" a="1"/>
  <c r="I91" i="23" s="1"/>
  <c r="G90" i="23" a="1"/>
  <c r="I90" i="23" s="1"/>
  <c r="G89" i="23" a="1"/>
  <c r="I89" i="23" s="1"/>
  <c r="G88" i="23" a="1"/>
  <c r="I88" i="23" s="1"/>
  <c r="G87" i="23" a="1"/>
  <c r="I87" i="23" s="1"/>
  <c r="G86" i="23" a="1"/>
  <c r="I86" i="23" s="1"/>
  <c r="G85" i="23" a="1"/>
  <c r="I85" i="23" s="1"/>
  <c r="G84" i="23" a="1"/>
  <c r="I84" i="23" s="1"/>
  <c r="G83" i="23" a="1"/>
  <c r="I83" i="23" s="1"/>
  <c r="G82" i="23" a="1"/>
  <c r="I82" i="23" s="1"/>
  <c r="G81" i="23" a="1"/>
  <c r="I81" i="23" s="1"/>
  <c r="G80" i="23" a="1"/>
  <c r="I80" i="23" s="1"/>
  <c r="G79" i="23" a="1"/>
  <c r="I79" i="23" s="1"/>
  <c r="G78" i="23" a="1"/>
  <c r="I78" i="23" s="1"/>
  <c r="G77" i="23" a="1"/>
  <c r="I77" i="23" s="1"/>
  <c r="G76" i="23" a="1"/>
  <c r="I76" i="23" s="1"/>
  <c r="G75" i="23" a="1"/>
  <c r="I75" i="23" s="1"/>
  <c r="G74" i="23" a="1"/>
  <c r="I74" i="23" s="1"/>
  <c r="G73" i="23" a="1"/>
  <c r="I73" i="23" s="1"/>
  <c r="G72" i="23" a="1"/>
  <c r="I72" i="23" s="1"/>
  <c r="G71" i="23" a="1"/>
  <c r="I71" i="23" s="1"/>
  <c r="G70" i="23" a="1"/>
  <c r="I70" i="23" s="1"/>
  <c r="G69" i="23" a="1"/>
  <c r="I69" i="23" s="1"/>
  <c r="G68" i="23" a="1"/>
  <c r="I68" i="23" s="1"/>
  <c r="G67" i="23" a="1"/>
  <c r="I67" i="23" s="1"/>
  <c r="G66" i="23" a="1"/>
  <c r="I66" i="23" s="1"/>
  <c r="G65" i="23" a="1"/>
  <c r="I65" i="23" s="1"/>
  <c r="G64" i="23" a="1"/>
  <c r="I64" i="23" s="1"/>
  <c r="G63" i="23" a="1"/>
  <c r="I63" i="23" s="1"/>
  <c r="G62" i="23" a="1"/>
  <c r="I62" i="23" s="1"/>
  <c r="G61" i="23" a="1"/>
  <c r="I61" i="23" s="1"/>
  <c r="G60" i="23" a="1"/>
  <c r="I60" i="23" s="1"/>
  <c r="G59" i="23" a="1"/>
  <c r="I59" i="23" s="1"/>
  <c r="G58" i="23" a="1"/>
  <c r="I58" i="23" s="1"/>
  <c r="G57" i="23" a="1"/>
  <c r="I57" i="23" s="1"/>
  <c r="G56" i="23" a="1"/>
  <c r="I56" i="23" s="1"/>
  <c r="G55" i="23" a="1"/>
  <c r="I55" i="23" s="1"/>
  <c r="G54" i="23" a="1"/>
  <c r="I54" i="23" s="1"/>
  <c r="G53" i="23" a="1"/>
  <c r="I53" i="23" s="1"/>
  <c r="G52" i="23" a="1"/>
  <c r="I52" i="23" s="1"/>
  <c r="G51" i="23" a="1"/>
  <c r="I51" i="23" s="1"/>
  <c r="G50" i="23" a="1"/>
  <c r="I50" i="23" s="1"/>
  <c r="G49" i="23" a="1"/>
  <c r="I49" i="23" s="1"/>
  <c r="J49" i="23" s="1"/>
  <c r="G48" i="23" a="1"/>
  <c r="I48" i="23" s="1"/>
  <c r="G47" i="23" a="1"/>
  <c r="I47" i="23" s="1"/>
  <c r="G46" i="23" a="1"/>
  <c r="I46" i="23" s="1"/>
  <c r="G45" i="23" a="1"/>
  <c r="I45" i="23" s="1"/>
  <c r="G44" i="23" a="1"/>
  <c r="I44" i="23" s="1"/>
  <c r="G43" i="23" a="1"/>
  <c r="I43" i="23" s="1"/>
  <c r="G42" i="23" a="1"/>
  <c r="I42" i="23" s="1"/>
  <c r="G41" i="23" a="1"/>
  <c r="I41" i="23" s="1"/>
  <c r="G40" i="23" a="1"/>
  <c r="I40" i="23" s="1"/>
  <c r="G39" i="23" a="1"/>
  <c r="I39" i="23" s="1"/>
  <c r="G38" i="23" a="1"/>
  <c r="I38" i="23" s="1"/>
  <c r="G37" i="23" a="1"/>
  <c r="I37" i="23" s="1"/>
  <c r="G36" i="23" a="1"/>
  <c r="I36" i="23" s="1"/>
  <c r="G35" i="23" a="1"/>
  <c r="I35" i="23" s="1"/>
  <c r="G34" i="23" a="1"/>
  <c r="I34" i="23" s="1"/>
  <c r="G33" i="23" a="1"/>
  <c r="I33" i="23" s="1"/>
  <c r="G32" i="23" a="1"/>
  <c r="I32" i="23" s="1"/>
  <c r="G31" i="23" a="1"/>
  <c r="I31" i="23" s="1"/>
  <c r="G30" i="23" a="1"/>
  <c r="I30" i="23" s="1"/>
  <c r="G29" i="23" a="1"/>
  <c r="I29" i="23" s="1"/>
  <c r="G28" i="23" a="1"/>
  <c r="I28" i="23" s="1"/>
  <c r="G27" i="23" a="1"/>
  <c r="I27" i="23" s="1"/>
  <c r="G26" i="23" a="1"/>
  <c r="I26" i="23" s="1"/>
  <c r="G25" i="23" a="1"/>
  <c r="I25" i="23" s="1"/>
  <c r="G24" i="23" a="1"/>
  <c r="I24" i="23" s="1"/>
  <c r="G23" i="23" a="1"/>
  <c r="I23" i="23" s="1"/>
  <c r="G22" i="23" a="1"/>
  <c r="I22" i="23" s="1"/>
  <c r="G21" i="23" a="1"/>
  <c r="I21" i="23" s="1"/>
  <c r="G20" i="23" a="1"/>
  <c r="I20" i="23" s="1"/>
  <c r="G19" i="23" a="1"/>
  <c r="I19" i="23" s="1"/>
  <c r="G18" i="23" a="1"/>
  <c r="I18" i="23" s="1"/>
  <c r="G17" i="23" a="1"/>
  <c r="I17" i="23" s="1"/>
  <c r="G16" i="23" a="1"/>
  <c r="I16" i="23" s="1"/>
  <c r="G15" i="23" a="1"/>
  <c r="I15" i="23" s="1"/>
  <c r="G14" i="23" a="1"/>
  <c r="I14" i="23" s="1"/>
  <c r="G13" i="23" a="1"/>
  <c r="I13" i="23" s="1"/>
  <c r="G12" i="23" a="1"/>
  <c r="I12" i="23" s="1"/>
  <c r="G11" i="23" a="1"/>
  <c r="I11" i="23" s="1"/>
  <c r="G10" i="23" a="1"/>
  <c r="I10" i="23" s="1"/>
  <c r="G9" i="23" a="1"/>
  <c r="I9" i="23" s="1"/>
  <c r="G8" i="23" a="1"/>
  <c r="I8" i="23" s="1"/>
  <c r="G7" i="23" a="1"/>
  <c r="I7" i="23" s="1"/>
  <c r="G6" i="23" a="1"/>
  <c r="I6" i="23" s="1"/>
  <c r="G5" i="23" a="1"/>
  <c r="I5" i="23" s="1"/>
  <c r="G4" i="23" a="1"/>
  <c r="I4" i="23" s="1"/>
  <c r="G3" i="23" a="1"/>
  <c r="I3" i="23" s="1"/>
  <c r="G2" i="23" a="1"/>
  <c r="I2" i="23" s="1"/>
  <c r="D332" i="23" a="1"/>
  <c r="D311" i="23" a="1"/>
  <c r="D419" i="23" a="1"/>
  <c r="D348" i="23" a="1"/>
  <c r="D453" i="23" a="1"/>
  <c r="D347" i="23" a="1"/>
  <c r="D452" i="23" a="1"/>
  <c r="D418" i="23" a="1"/>
  <c r="D335" i="23" a="1"/>
  <c r="D451" i="23" a="1"/>
  <c r="D312" i="23" a="1"/>
  <c r="D313" i="23" a="1"/>
  <c r="D450" i="23" a="1"/>
  <c r="D417" i="23" a="1"/>
  <c r="D346" i="23" a="1"/>
  <c r="D449" i="23" a="1"/>
  <c r="D331" i="23" a="1"/>
  <c r="D314" i="23" a="1"/>
  <c r="D448" i="23" a="1"/>
  <c r="D416" i="23" a="1"/>
  <c r="D415" i="23" a="1"/>
  <c r="D447" i="23" a="1"/>
  <c r="D345" i="23" a="1"/>
  <c r="D324" i="23" a="1"/>
  <c r="D414" i="23" a="1"/>
  <c r="D446" i="23" a="1"/>
  <c r="D344" i="23" a="1"/>
  <c r="D325" i="23" a="1"/>
  <c r="D445" i="23" a="1"/>
  <c r="D413" i="23" a="1"/>
  <c r="D444" i="23" a="1"/>
  <c r="D315" i="23" a="1"/>
  <c r="D343" i="23" a="1"/>
  <c r="D334" i="23" a="1"/>
  <c r="D316" i="23" a="1"/>
  <c r="D443" i="23" a="1"/>
  <c r="D412" i="23" a="1"/>
  <c r="D411" i="23" a="1"/>
  <c r="D442" i="23" a="1"/>
  <c r="D317" i="23" a="1"/>
  <c r="D441" i="23" a="1"/>
  <c r="D342" i="23" a="1"/>
  <c r="D440" i="23" a="1"/>
  <c r="D410" i="23" a="1"/>
  <c r="D329" i="23" a="1"/>
  <c r="D318" i="23" a="1"/>
  <c r="D409" i="23" a="1"/>
  <c r="D439" i="23" a="1"/>
  <c r="D341" i="23" a="1"/>
  <c r="D328" i="23" a="1"/>
  <c r="D438" i="23" a="1"/>
  <c r="D437" i="23" a="1"/>
  <c r="D408" i="23" a="1"/>
  <c r="D326" i="23" a="1"/>
  <c r="D436" i="23" a="1"/>
  <c r="D340" i="23" a="1"/>
  <c r="D319" i="23" a="1"/>
  <c r="D333" i="23" a="1"/>
  <c r="D407" i="23" a="1"/>
  <c r="D435" i="23" a="1"/>
  <c r="D406" i="23" a="1"/>
  <c r="D339" i="23" a="1"/>
  <c r="D434" i="23" a="1"/>
  <c r="D320" i="23" a="1"/>
  <c r="D454" i="23" a="1"/>
  <c r="D433" i="23" a="1"/>
  <c r="D321" i="23" a="1"/>
  <c r="D432" i="23" a="1"/>
  <c r="D405" i="23" a="1"/>
  <c r="D404" i="23" a="1"/>
  <c r="D431" i="23" a="1"/>
  <c r="D338" i="23" a="1"/>
  <c r="D430" i="23" a="1"/>
  <c r="D304" i="23" a="1"/>
  <c r="D403" i="23" a="1"/>
  <c r="D330" i="23" a="1"/>
  <c r="D305" i="23" a="1"/>
  <c r="D429" i="23" a="1"/>
  <c r="D402" i="23" a="1"/>
  <c r="D428" i="23" a="1"/>
  <c r="D306" i="23" a="1"/>
  <c r="D427" i="23" a="1"/>
  <c r="D337" i="23" a="1"/>
  <c r="D353" i="23" a="1"/>
  <c r="D307" i="23" a="1"/>
  <c r="D327" i="23" a="1"/>
  <c r="D426" i="23" a="1"/>
  <c r="D352" i="23" a="1"/>
  <c r="D425" i="23" a="1"/>
  <c r="D322" i="23" a="1"/>
  <c r="D424" i="23" a="1"/>
  <c r="D351" i="23" a="1"/>
  <c r="D308" i="23" a="1"/>
  <c r="D323" i="23" a="1"/>
  <c r="D423" i="23" a="1"/>
  <c r="D350" i="23" a="1"/>
  <c r="D309" i="23" a="1"/>
  <c r="D336" i="23" a="1"/>
  <c r="D422" i="23" a="1"/>
  <c r="D349" i="23" a="1"/>
  <c r="D421" i="23" a="1"/>
  <c r="D310" i="23" a="1"/>
  <c r="D420" i="23" a="1"/>
  <c r="S20" i="22"/>
  <c r="C423" i="23" a="1"/>
  <c r="C352" i="23" a="1"/>
  <c r="C454" i="23" a="1"/>
  <c r="C351" i="23" a="1"/>
  <c r="C453" i="23" a="1"/>
  <c r="C452" i="23" a="1"/>
  <c r="C350" i="23" a="1"/>
  <c r="C451" i="23" a="1"/>
  <c r="C349" i="23" a="1"/>
  <c r="C348" i="23" a="1"/>
  <c r="C450" i="23" a="1"/>
  <c r="C347" i="23" a="1"/>
  <c r="C449" i="23" a="1"/>
  <c r="C448" i="23" a="1"/>
  <c r="C346" i="23" a="1"/>
  <c r="C447" i="23" a="1"/>
  <c r="C345" i="23" a="1"/>
  <c r="C446" i="23" a="1"/>
  <c r="C344" i="23" a="1"/>
  <c r="C445" i="23" a="1"/>
  <c r="C343" i="23" a="1"/>
  <c r="C444" i="23" a="1"/>
  <c r="C342" i="23" a="1"/>
  <c r="C341" i="23" a="1"/>
  <c r="C443" i="23" a="1"/>
  <c r="C442" i="23" a="1"/>
  <c r="C340" i="23" a="1"/>
  <c r="C339" i="23" a="1"/>
  <c r="C441" i="23" a="1"/>
  <c r="C338" i="23" a="1"/>
  <c r="C440" i="23" a="1"/>
  <c r="C337" i="23" a="1"/>
  <c r="C439" i="23" a="1"/>
  <c r="C438" i="23" a="1"/>
  <c r="C336" i="23" a="1"/>
  <c r="C437" i="23" a="1"/>
  <c r="C335" i="23" a="1"/>
  <c r="C334" i="23" a="1"/>
  <c r="C436" i="23" a="1"/>
  <c r="C416" i="23" a="1"/>
  <c r="C435" i="23" a="1"/>
  <c r="C434" i="23" a="1"/>
  <c r="C333" i="23" a="1"/>
  <c r="C433" i="23" a="1"/>
  <c r="C332" i="23" a="1"/>
  <c r="C331" i="23" a="1"/>
  <c r="C432" i="23" a="1"/>
  <c r="C431" i="23" a="1"/>
  <c r="C330" i="23" a="1"/>
  <c r="C310" i="23" a="1"/>
  <c r="C430" i="23" a="1"/>
  <c r="C429" i="23" a="1"/>
  <c r="C329" i="23" a="1"/>
  <c r="C328" i="23" a="1"/>
  <c r="C428" i="23" a="1"/>
  <c r="C427" i="23" a="1"/>
  <c r="C327" i="23" a="1"/>
  <c r="C426" i="23" a="1"/>
  <c r="C326" i="23" a="1"/>
  <c r="C425" i="23" a="1"/>
  <c r="C325" i="23" a="1"/>
  <c r="C424" i="23" a="1"/>
  <c r="C324" i="23" a="1"/>
  <c r="C323" i="23" a="1"/>
  <c r="C322" i="23" a="1"/>
  <c r="C321" i="23" a="1"/>
  <c r="C422" i="23" a="1"/>
  <c r="C320" i="23" a="1"/>
  <c r="C421" i="23" a="1"/>
  <c r="C420" i="23" a="1"/>
  <c r="C319" i="23" a="1"/>
  <c r="C419" i="23" a="1"/>
  <c r="C318" i="23" a="1"/>
  <c r="C418" i="23" a="1"/>
  <c r="C317" i="23" a="1"/>
  <c r="C417" i="23" a="1"/>
  <c r="C316" i="23" a="1"/>
  <c r="C315" i="23" a="1"/>
  <c r="C314" i="23" a="1"/>
  <c r="C313" i="23" a="1"/>
  <c r="C415" i="23" a="1"/>
  <c r="C312" i="23" a="1"/>
  <c r="C414" i="23" a="1"/>
  <c r="C311" i="23" a="1"/>
  <c r="C413" i="23" a="1"/>
  <c r="C412" i="23" a="1"/>
  <c r="C309" i="23" a="1"/>
  <c r="C308" i="23" a="1"/>
  <c r="C411" i="23" a="1"/>
  <c r="C410" i="23" a="1"/>
  <c r="C307" i="23" a="1"/>
  <c r="C409" i="23" a="1"/>
  <c r="C306" i="23" a="1"/>
  <c r="C408" i="23" a="1"/>
  <c r="C305" i="23" a="1"/>
  <c r="C304" i="23" a="1"/>
  <c r="C407" i="23" a="1"/>
  <c r="C406" i="23" a="1"/>
  <c r="T20" i="22" a="1"/>
  <c r="AN162" i="22" s="1" a="1"/>
  <c r="C405" i="23" a="1"/>
  <c r="C404" i="23" a="1"/>
  <c r="C403" i="23" a="1"/>
  <c r="C353" i="23" a="1"/>
  <c r="D303" i="23" a="1"/>
  <c r="D254" i="23" a="1"/>
  <c r="D302" i="23" a="1"/>
  <c r="D281" i="23" a="1"/>
  <c r="D255" i="23" a="1"/>
  <c r="D301" i="23" a="1"/>
  <c r="D256" i="23" a="1"/>
  <c r="D271" i="23" a="1"/>
  <c r="D300" i="23" a="1"/>
  <c r="D257" i="23" a="1"/>
  <c r="D286" i="23" a="1"/>
  <c r="D299" i="23" a="1"/>
  <c r="D272" i="23" a="1"/>
  <c r="D258" i="23" a="1"/>
  <c r="D259" i="23" a="1"/>
  <c r="D298" i="23" a="1"/>
  <c r="D285" i="23" a="1"/>
  <c r="D260" i="23" a="1"/>
  <c r="D297" i="23" a="1"/>
  <c r="D276" i="23" a="1"/>
  <c r="D261" i="23" a="1"/>
  <c r="D296" i="23" a="1"/>
  <c r="D279" i="23" a="1"/>
  <c r="D284" i="23" a="1"/>
  <c r="D262" i="23" a="1"/>
  <c r="D295" i="23" a="1"/>
  <c r="D273" i="23" a="1"/>
  <c r="D294" i="23" a="1"/>
  <c r="D263" i="23" a="1"/>
  <c r="D264" i="23" a="1"/>
  <c r="D293" i="23" a="1"/>
  <c r="D283" i="23" a="1"/>
  <c r="D280" i="23" a="1"/>
  <c r="D265" i="23" a="1"/>
  <c r="D292" i="23" a="1"/>
  <c r="D291" i="23" a="1"/>
  <c r="D253" i="23" a="1"/>
  <c r="D266" i="23" a="1"/>
  <c r="D267" i="23" a="1"/>
  <c r="D277" i="23" a="1"/>
  <c r="D290" i="23" a="1"/>
  <c r="D289" i="23" a="1"/>
  <c r="D282" i="23" a="1"/>
  <c r="D268" i="23" a="1"/>
  <c r="D269" i="23" a="1"/>
  <c r="D288" i="23" a="1"/>
  <c r="D275" i="23" a="1"/>
  <c r="D278" i="23" a="1"/>
  <c r="D270" i="23" a="1"/>
  <c r="D252" i="23" a="1"/>
  <c r="D251" i="23" a="1"/>
  <c r="D250" i="23" a="1"/>
  <c r="D249" i="23" a="1"/>
  <c r="D248" i="23" a="1"/>
  <c r="D247" i="23" a="1"/>
  <c r="D246" i="23" a="1"/>
  <c r="D245" i="23" a="1"/>
  <c r="D244" i="23" a="1"/>
  <c r="D243" i="23" a="1"/>
  <c r="D242" i="23" a="1"/>
  <c r="D241" i="23" a="1"/>
  <c r="D240" i="23" a="1"/>
  <c r="D239" i="23" a="1"/>
  <c r="D238" i="23" a="1"/>
  <c r="D237" i="23" a="1"/>
  <c r="D236" i="23" a="1"/>
  <c r="D235" i="23" a="1"/>
  <c r="D234" i="23" a="1"/>
  <c r="D233" i="23" a="1"/>
  <c r="D232" i="23" a="1"/>
  <c r="D231" i="23" a="1"/>
  <c r="D230" i="23" a="1"/>
  <c r="D229" i="23" a="1"/>
  <c r="D228" i="23" a="1"/>
  <c r="D227" i="23" a="1"/>
  <c r="D226" i="23" a="1"/>
  <c r="D225" i="23" a="1"/>
  <c r="D224" i="23" a="1"/>
  <c r="D223" i="23" a="1"/>
  <c r="D222" i="23" a="1"/>
  <c r="D221" i="23" a="1"/>
  <c r="D220" i="23" a="1"/>
  <c r="D219" i="23" a="1"/>
  <c r="D218" i="23" a="1"/>
  <c r="D217" i="23" a="1"/>
  <c r="D216" i="23" a="1"/>
  <c r="D215" i="23" a="1"/>
  <c r="D214" i="23" a="1"/>
  <c r="D213" i="23" a="1"/>
  <c r="D212" i="23" a="1"/>
  <c r="D211" i="23" a="1"/>
  <c r="D210" i="23" a="1"/>
  <c r="D209" i="23" a="1"/>
  <c r="D274" i="23" a="1"/>
  <c r="D207" i="23" a="1"/>
  <c r="D206" i="23" a="1"/>
  <c r="D205" i="23" a="1"/>
  <c r="D204" i="23" a="1"/>
  <c r="D203" i="23" a="1"/>
  <c r="D202" i="23" a="1"/>
  <c r="D201" i="23" a="1"/>
  <c r="D200" i="23" a="1"/>
  <c r="D199" i="23" a="1"/>
  <c r="D198" i="23" a="1"/>
  <c r="D197" i="23" a="1"/>
  <c r="D196" i="23" a="1"/>
  <c r="D195" i="23" a="1"/>
  <c r="D194" i="23" a="1"/>
  <c r="D193" i="23" a="1"/>
  <c r="D192" i="23" a="1"/>
  <c r="D191" i="23" a="1"/>
  <c r="D190" i="23" a="1"/>
  <c r="D189" i="23" a="1"/>
  <c r="D188" i="23" a="1"/>
  <c r="D187" i="23" a="1"/>
  <c r="D186" i="23" a="1"/>
  <c r="D185" i="23" a="1"/>
  <c r="D184" i="23" a="1"/>
  <c r="D183" i="23" a="1"/>
  <c r="D182" i="23" a="1"/>
  <c r="D181" i="23" a="1"/>
  <c r="D180" i="23" a="1"/>
  <c r="D179" i="23" a="1"/>
  <c r="D178" i="23" a="1"/>
  <c r="D177" i="23" a="1"/>
  <c r="D176" i="23" a="1"/>
  <c r="D175" i="23" a="1"/>
  <c r="D174" i="23" a="1"/>
  <c r="D173" i="23" a="1"/>
  <c r="D172" i="23" a="1"/>
  <c r="D171" i="23" a="1"/>
  <c r="D170" i="23" a="1"/>
  <c r="D169" i="23" a="1"/>
  <c r="D168" i="23" a="1"/>
  <c r="D167" i="23" a="1"/>
  <c r="D166" i="23" a="1"/>
  <c r="D165" i="23" a="1"/>
  <c r="D164" i="23" a="1"/>
  <c r="D163" i="23" a="1"/>
  <c r="D162" i="23" a="1"/>
  <c r="D161" i="23" a="1"/>
  <c r="D160" i="23" a="1"/>
  <c r="D159" i="23" a="1"/>
  <c r="D158" i="23" a="1"/>
  <c r="D157" i="23" a="1"/>
  <c r="D156" i="23" a="1"/>
  <c r="D155" i="23" a="1"/>
  <c r="D154" i="23" a="1"/>
  <c r="D153" i="23" a="1"/>
  <c r="D287" i="23" a="1"/>
  <c r="D208" i="23" a="1"/>
  <c r="S19" i="22"/>
  <c r="C227" i="23" a="1"/>
  <c r="C278" i="23" a="1"/>
  <c r="C226" i="23" a="1"/>
  <c r="C225" i="23" a="1"/>
  <c r="C277" i="23" a="1"/>
  <c r="C276" i="23" a="1"/>
  <c r="C224" i="23" a="1"/>
  <c r="C223" i="23" a="1"/>
  <c r="C275" i="23" a="1"/>
  <c r="C274" i="23" a="1"/>
  <c r="C222" i="23" a="1"/>
  <c r="C221" i="23" a="1"/>
  <c r="C273" i="23" a="1"/>
  <c r="C220" i="23" a="1"/>
  <c r="C272" i="23" a="1"/>
  <c r="C219" i="23" a="1"/>
  <c r="C271" i="23" a="1"/>
  <c r="C218" i="23" a="1"/>
  <c r="C270" i="23" a="1"/>
  <c r="C217" i="23" a="1"/>
  <c r="C269" i="23" a="1"/>
  <c r="C216" i="23" a="1"/>
  <c r="C268" i="23" a="1"/>
  <c r="C215" i="23" a="1"/>
  <c r="C267" i="23" a="1"/>
  <c r="C214" i="23" a="1"/>
  <c r="C266" i="23" a="1"/>
  <c r="C265" i="23" a="1"/>
  <c r="C213" i="23" a="1"/>
  <c r="C264" i="23" a="1"/>
  <c r="C212" i="23" a="1"/>
  <c r="C263" i="23" a="1"/>
  <c r="C211" i="23" a="1"/>
  <c r="C262" i="23" a="1"/>
  <c r="C210" i="23" a="1"/>
  <c r="C261" i="23" a="1"/>
  <c r="C209" i="23" a="1"/>
  <c r="C208" i="23" a="1"/>
  <c r="C260" i="23" a="1"/>
  <c r="C259" i="23" a="1"/>
  <c r="C207" i="23" a="1"/>
  <c r="C258" i="23" a="1"/>
  <c r="C206" i="23" a="1"/>
  <c r="C257" i="23" a="1"/>
  <c r="C205" i="23" a="1"/>
  <c r="C256" i="23" a="1"/>
  <c r="C204" i="23" a="1"/>
  <c r="C203" i="23" a="1"/>
  <c r="C255" i="23" a="1"/>
  <c r="C202" i="23" a="1"/>
  <c r="C254" i="23" a="1"/>
  <c r="C201" i="23" a="1"/>
  <c r="C253" i="23" a="1"/>
  <c r="C252" i="23" a="1"/>
  <c r="C200" i="23" a="1"/>
  <c r="C303" i="23" a="1"/>
  <c r="C199" i="23" a="1"/>
  <c r="C251" i="23" a="1"/>
  <c r="C198" i="23" a="1"/>
  <c r="C302" i="23" a="1"/>
  <c r="C197" i="23" a="1"/>
  <c r="C301" i="23" a="1"/>
  <c r="C196" i="23" a="1"/>
  <c r="C250" i="23" a="1"/>
  <c r="C195" i="23" a="1"/>
  <c r="C194" i="23" a="1"/>
  <c r="C249" i="23" a="1"/>
  <c r="C300" i="23" a="1"/>
  <c r="C193" i="23" a="1"/>
  <c r="C248" i="23" a="1"/>
  <c r="C192" i="23" a="1"/>
  <c r="C191" i="23" a="1"/>
  <c r="C299" i="23" a="1"/>
  <c r="C190" i="23" a="1"/>
  <c r="C298" i="23" a="1"/>
  <c r="C189" i="23" a="1"/>
  <c r="C297" i="23" a="1"/>
  <c r="C188" i="23" a="1"/>
  <c r="C246" i="23" a="1"/>
  <c r="C245" i="23" a="1"/>
  <c r="C187" i="23" a="1"/>
  <c r="C296" i="23" a="1"/>
  <c r="C186" i="23" a="1"/>
  <c r="C185" i="23" a="1"/>
  <c r="C244" i="23" a="1"/>
  <c r="C184" i="23" a="1"/>
  <c r="C295" i="23" a="1"/>
  <c r="C183" i="23" a="1"/>
  <c r="C294" i="23" a="1"/>
  <c r="C182" i="23" a="1"/>
  <c r="C243" i="23" a="1"/>
  <c r="C242" i="23" a="1"/>
  <c r="C181" i="23" a="1"/>
  <c r="C180" i="23" a="1"/>
  <c r="C293" i="23" a="1"/>
  <c r="C241" i="23" a="1"/>
  <c r="C179" i="23" a="1"/>
  <c r="C292" i="23" a="1"/>
  <c r="C178" i="23" a="1"/>
  <c r="C177" i="23" a="1"/>
  <c r="C240" i="23" a="1"/>
  <c r="C291" i="23" a="1"/>
  <c r="C176" i="23" a="1"/>
  <c r="C175" i="23" a="1"/>
  <c r="C290" i="23" a="1"/>
  <c r="C174" i="23" a="1"/>
  <c r="C239" i="23" a="1"/>
  <c r="C238" i="23" a="1"/>
  <c r="C173" i="23" a="1"/>
  <c r="C172" i="23" a="1"/>
  <c r="C289" i="23" a="1"/>
  <c r="C171" i="23" a="1"/>
  <c r="C288" i="23" a="1"/>
  <c r="C237" i="23" a="1"/>
  <c r="C170" i="23" a="1"/>
  <c r="C236" i="23" a="1"/>
  <c r="C169" i="23" a="1"/>
  <c r="C168" i="23" a="1"/>
  <c r="C287" i="23" a="1"/>
  <c r="C286" i="23" a="1"/>
  <c r="C167" i="23" a="1"/>
  <c r="C235" i="23" a="1"/>
  <c r="C166" i="23" a="1"/>
  <c r="C165" i="23" a="1"/>
  <c r="C285" i="23" a="1"/>
  <c r="C234" i="23" a="1"/>
  <c r="C164" i="23" a="1"/>
  <c r="C284" i="23" a="1"/>
  <c r="C163" i="23" a="1"/>
  <c r="C162" i="23" a="1"/>
  <c r="C233" i="23" a="1"/>
  <c r="C232" i="23" a="1"/>
  <c r="C161" i="23" a="1"/>
  <c r="C160" i="23" a="1"/>
  <c r="C283" i="23" a="1"/>
  <c r="C282" i="23" a="1"/>
  <c r="C159" i="23" a="1"/>
  <c r="C231" i="23" a="1"/>
  <c r="C158" i="23" a="1"/>
  <c r="C230" i="23" a="1"/>
  <c r="C157" i="23" a="1"/>
  <c r="C281" i="23" a="1"/>
  <c r="C156" i="23" a="1"/>
  <c r="C280" i="23" a="1"/>
  <c r="C155" i="23" a="1"/>
  <c r="C154" i="23" a="1"/>
  <c r="C229" i="23" a="1"/>
  <c r="C279" i="23" a="1"/>
  <c r="C153" i="23" a="1"/>
  <c r="C228" i="23" a="1"/>
  <c r="T19" i="22" a="1"/>
  <c r="AN161" i="22" s="1" a="1"/>
  <c r="C247" i="23" a="1"/>
  <c r="L150" i="28" l="1"/>
  <c r="K150" i="28"/>
  <c r="J149" i="28"/>
  <c r="K149" i="28"/>
  <c r="M149" i="28"/>
  <c r="N149" i="28"/>
  <c r="L148" i="28"/>
  <c r="K148" i="28"/>
  <c r="J148" i="28"/>
  <c r="J147" i="28"/>
  <c r="L147" i="28"/>
  <c r="N146" i="28"/>
  <c r="M146" i="28"/>
  <c r="N145" i="28"/>
  <c r="M145" i="28"/>
  <c r="L144" i="28"/>
  <c r="K144" i="28"/>
  <c r="J144" i="28"/>
  <c r="L143" i="28"/>
  <c r="J143" i="28"/>
  <c r="M142" i="28"/>
  <c r="N142" i="28"/>
  <c r="N141" i="28"/>
  <c r="M141" i="28"/>
  <c r="J140" i="28"/>
  <c r="L140" i="28"/>
  <c r="K140" i="28"/>
  <c r="L139" i="28"/>
  <c r="J139" i="28"/>
  <c r="L138" i="28"/>
  <c r="K138" i="28"/>
  <c r="J138" i="28"/>
  <c r="L137" i="28"/>
  <c r="K137" i="28"/>
  <c r="J137" i="28"/>
  <c r="J136" i="28"/>
  <c r="L136" i="28"/>
  <c r="K136" i="28"/>
  <c r="L135" i="28"/>
  <c r="K135" i="28"/>
  <c r="J135" i="28"/>
  <c r="J134" i="28"/>
  <c r="L134" i="28"/>
  <c r="K134" i="28"/>
  <c r="L133" i="28"/>
  <c r="K133" i="28"/>
  <c r="J133" i="28"/>
  <c r="L132" i="28"/>
  <c r="K132" i="28"/>
  <c r="M131" i="28"/>
  <c r="N131" i="28"/>
  <c r="L129" i="28"/>
  <c r="K129" i="28"/>
  <c r="J129" i="28"/>
  <c r="N128" i="28"/>
  <c r="M128" i="28"/>
  <c r="N127" i="28"/>
  <c r="M127" i="28"/>
  <c r="K126" i="28"/>
  <c r="J126" i="28"/>
  <c r="M126" i="28"/>
  <c r="N126" i="28"/>
  <c r="N125" i="28"/>
  <c r="M125" i="28"/>
  <c r="M124" i="28"/>
  <c r="N124" i="28"/>
  <c r="K123" i="28"/>
  <c r="L123" i="28"/>
  <c r="J123" i="28"/>
  <c r="N122" i="28"/>
  <c r="M122" i="28"/>
  <c r="L121" i="28"/>
  <c r="K121" i="28"/>
  <c r="J121" i="28"/>
  <c r="L120" i="28"/>
  <c r="K120" i="28"/>
  <c r="J120" i="28"/>
  <c r="L119" i="28"/>
  <c r="K119" i="28"/>
  <c r="J119" i="28"/>
  <c r="K118" i="28"/>
  <c r="J118" i="28"/>
  <c r="L118" i="28"/>
  <c r="M117" i="28"/>
  <c r="N117" i="28"/>
  <c r="M116" i="28"/>
  <c r="N116" i="28"/>
  <c r="L115" i="28"/>
  <c r="K115" i="28"/>
  <c r="J115" i="28"/>
  <c r="L114" i="28"/>
  <c r="K114" i="28"/>
  <c r="J114" i="28"/>
  <c r="M113" i="28"/>
  <c r="N113" i="28"/>
  <c r="N111" i="28"/>
  <c r="M111" i="28"/>
  <c r="M110" i="28"/>
  <c r="N110" i="28"/>
  <c r="M109" i="28"/>
  <c r="N109" i="28"/>
  <c r="M108" i="28"/>
  <c r="N108" i="28"/>
  <c r="M107" i="28"/>
  <c r="N107" i="28"/>
  <c r="M106" i="28"/>
  <c r="N106" i="28"/>
  <c r="M105" i="28"/>
  <c r="N105" i="28"/>
  <c r="M104" i="28"/>
  <c r="N104" i="28"/>
  <c r="M103" i="28"/>
  <c r="N103" i="28"/>
  <c r="N102" i="28"/>
  <c r="M102" i="28"/>
  <c r="O102" i="28" s="1" a="1"/>
  <c r="M99" i="28"/>
  <c r="N99" i="28"/>
  <c r="N96" i="28"/>
  <c r="M96" i="28"/>
  <c r="M95" i="28"/>
  <c r="N95" i="28"/>
  <c r="M94" i="28"/>
  <c r="N94" i="28"/>
  <c r="N91" i="28"/>
  <c r="M91" i="28"/>
  <c r="O91" i="28" s="1" a="1"/>
  <c r="N81" i="28"/>
  <c r="M81" i="28"/>
  <c r="O81" i="28" s="1" a="1"/>
  <c r="AN4" i="25" a="1"/>
  <c r="AN5" i="25" a="1"/>
  <c r="AN6" i="25" a="1"/>
  <c r="AN3" i="25" a="1"/>
  <c r="L23" i="28"/>
  <c r="J23" i="28"/>
  <c r="K38" i="28"/>
  <c r="L38" i="28"/>
  <c r="K19" i="28"/>
  <c r="L19" i="28"/>
  <c r="J19" i="28"/>
  <c r="K37" i="28"/>
  <c r="L37" i="28"/>
  <c r="J37" i="28"/>
  <c r="N98" i="28"/>
  <c r="M98" i="28"/>
  <c r="M130" i="28"/>
  <c r="O130" i="28" s="1" a="1"/>
  <c r="N130" i="28"/>
  <c r="M97" i="28"/>
  <c r="N97" i="28"/>
  <c r="N112" i="28"/>
  <c r="M112" i="28"/>
  <c r="N152" i="28"/>
  <c r="M152" i="28"/>
  <c r="M151" i="28"/>
  <c r="N151" i="28"/>
  <c r="M101" i="28"/>
  <c r="N101" i="28"/>
  <c r="N100" i="28"/>
  <c r="M100" i="28"/>
  <c r="O100" i="28" s="1" a="1"/>
  <c r="M93" i="28"/>
  <c r="N93" i="28"/>
  <c r="N92" i="28"/>
  <c r="M92" i="28"/>
  <c r="O92" i="28" s="1" a="1"/>
  <c r="M90" i="28"/>
  <c r="N90" i="28"/>
  <c r="O152" i="28" a="1"/>
  <c r="O151" i="28" a="1"/>
  <c r="O149" i="28" a="1"/>
  <c r="O141" i="28" a="1"/>
  <c r="O131" i="28" a="1"/>
  <c r="O128" i="28" a="1"/>
  <c r="O125" i="28" a="1"/>
  <c r="O124" i="28" a="1"/>
  <c r="O122" i="28" a="1"/>
  <c r="O117" i="28" a="1"/>
  <c r="O112" i="28" a="1"/>
  <c r="O111" i="28" a="1"/>
  <c r="O110" i="28" a="1"/>
  <c r="O109" i="28" a="1"/>
  <c r="O108" i="28" a="1"/>
  <c r="G87" i="22"/>
  <c r="H87" i="22"/>
  <c r="H97" i="22" s="1"/>
  <c r="I87" i="22"/>
  <c r="I97" i="22" s="1"/>
  <c r="J87" i="22"/>
  <c r="J97" i="22" s="1"/>
  <c r="H19" i="27" a="1"/>
  <c r="H20" i="27" a="1"/>
  <c r="H21" i="27" a="1"/>
  <c r="H22" i="27" a="1"/>
  <c r="I22" i="27" s="1"/>
  <c r="H23" i="27" a="1"/>
  <c r="H24" i="27" a="1"/>
  <c r="H25" i="27" a="1"/>
  <c r="H26" i="27" a="1"/>
  <c r="H27" i="27" a="1"/>
  <c r="H28" i="27" a="1"/>
  <c r="H29" i="27" a="1"/>
  <c r="H30" i="27" a="1"/>
  <c r="H17" i="27" a="1"/>
  <c r="I17" i="27" s="1"/>
  <c r="H18" i="27" a="1"/>
  <c r="K55" i="28"/>
  <c r="L55" i="28"/>
  <c r="J55" i="28"/>
  <c r="K77" i="28"/>
  <c r="L77" i="28"/>
  <c r="N78" i="28"/>
  <c r="M78" i="28"/>
  <c r="O78" i="28" s="1" a="1"/>
  <c r="L13" i="28"/>
  <c r="J13" i="28"/>
  <c r="K32" i="28"/>
  <c r="J32" i="28"/>
  <c r="L32" i="28"/>
  <c r="M2" i="28"/>
  <c r="N2" i="28"/>
  <c r="N80" i="28"/>
  <c r="M80" i="28"/>
  <c r="O80" i="28" s="1" a="1"/>
  <c r="M89" i="28"/>
  <c r="N89" i="28"/>
  <c r="O89" i="28" s="1" a="1"/>
  <c r="L123" i="22"/>
  <c r="G123" i="22"/>
  <c r="F123" i="22"/>
  <c r="E123" i="22"/>
  <c r="D123" i="22"/>
  <c r="C123" i="22"/>
  <c r="B123" i="22"/>
  <c r="B124" i="22"/>
  <c r="C124" i="22"/>
  <c r="E124" i="22"/>
  <c r="L124" i="22"/>
  <c r="D124" i="22"/>
  <c r="F124" i="22"/>
  <c r="G124" i="22"/>
  <c r="C125" i="22"/>
  <c r="E125" i="22"/>
  <c r="G125" i="22"/>
  <c r="L125" i="22"/>
  <c r="B125" i="22"/>
  <c r="D125" i="22"/>
  <c r="F125" i="22"/>
  <c r="J125" i="22"/>
  <c r="C126" i="22"/>
  <c r="E126" i="22"/>
  <c r="G126" i="22"/>
  <c r="L126" i="22"/>
  <c r="B126" i="22"/>
  <c r="D126" i="22"/>
  <c r="F126" i="22"/>
  <c r="J126" i="22"/>
  <c r="C127" i="22"/>
  <c r="E127" i="22"/>
  <c r="G127" i="22"/>
  <c r="I127" i="22"/>
  <c r="K127" i="22"/>
  <c r="B127" i="22"/>
  <c r="D127" i="22"/>
  <c r="F127" i="22"/>
  <c r="H127" i="22"/>
  <c r="J127" i="22"/>
  <c r="L127" i="22"/>
  <c r="B128" i="22"/>
  <c r="D128" i="22"/>
  <c r="F128" i="22"/>
  <c r="H128" i="22"/>
  <c r="J128" i="22"/>
  <c r="L128" i="22"/>
  <c r="C128" i="22"/>
  <c r="E128" i="22"/>
  <c r="G128" i="22"/>
  <c r="I128" i="22"/>
  <c r="K128" i="22"/>
  <c r="C129" i="22"/>
  <c r="E129" i="22"/>
  <c r="H129" i="22"/>
  <c r="J129" i="22"/>
  <c r="B129" i="22"/>
  <c r="D129" i="22"/>
  <c r="F129" i="22"/>
  <c r="G129" i="22"/>
  <c r="I129" i="22"/>
  <c r="K129" i="22"/>
  <c r="L129" i="22"/>
  <c r="D130" i="22"/>
  <c r="F130" i="22"/>
  <c r="G130" i="22"/>
  <c r="I130" i="22"/>
  <c r="K130" i="22"/>
  <c r="B130" i="22"/>
  <c r="C130" i="22"/>
  <c r="E130" i="22"/>
  <c r="H130" i="22"/>
  <c r="J130" i="22"/>
  <c r="L130" i="22"/>
  <c r="B131" i="22"/>
  <c r="D131" i="22"/>
  <c r="G131" i="22"/>
  <c r="I131" i="22"/>
  <c r="K131" i="22"/>
  <c r="C131" i="22"/>
  <c r="E131" i="22"/>
  <c r="F131" i="22"/>
  <c r="H131" i="22"/>
  <c r="J131" i="22"/>
  <c r="L131" i="22"/>
  <c r="B132" i="22"/>
  <c r="D132" i="22"/>
  <c r="F132" i="22"/>
  <c r="H132" i="22"/>
  <c r="K132" i="22"/>
  <c r="C132" i="22"/>
  <c r="E132" i="22"/>
  <c r="G132" i="22"/>
  <c r="I132" i="22"/>
  <c r="J132" i="22"/>
  <c r="L132" i="22"/>
  <c r="B133" i="22"/>
  <c r="D133" i="22"/>
  <c r="F133" i="22"/>
  <c r="G133" i="22"/>
  <c r="I133" i="22"/>
  <c r="K133" i="22"/>
  <c r="C133" i="22"/>
  <c r="E133" i="22"/>
  <c r="H133" i="22"/>
  <c r="J133" i="22"/>
  <c r="L133" i="22"/>
  <c r="B134" i="22"/>
  <c r="D134" i="22"/>
  <c r="F134" i="22"/>
  <c r="H134" i="22"/>
  <c r="J134" i="22"/>
  <c r="L134" i="22"/>
  <c r="C134" i="22"/>
  <c r="E134" i="22"/>
  <c r="G134" i="22"/>
  <c r="I134" i="22"/>
  <c r="K134" i="22"/>
  <c r="C135" i="22"/>
  <c r="E135" i="22"/>
  <c r="G135" i="22"/>
  <c r="I135" i="22"/>
  <c r="L135" i="22"/>
  <c r="B135" i="22"/>
  <c r="D135" i="22"/>
  <c r="F135" i="22"/>
  <c r="H135" i="22"/>
  <c r="J135" i="22"/>
  <c r="K135" i="22"/>
  <c r="C136" i="22"/>
  <c r="E136" i="22"/>
  <c r="G136" i="22"/>
  <c r="I136" i="22"/>
  <c r="K136" i="22"/>
  <c r="B136" i="22"/>
  <c r="D136" i="22"/>
  <c r="F136" i="22"/>
  <c r="H136" i="22"/>
  <c r="J136" i="22"/>
  <c r="L136" i="22"/>
  <c r="B137" i="22"/>
  <c r="D137" i="22"/>
  <c r="F137" i="22"/>
  <c r="H137" i="22"/>
  <c r="J137" i="22"/>
  <c r="K137" i="22"/>
  <c r="C137" i="22"/>
  <c r="E137" i="22"/>
  <c r="G137" i="22"/>
  <c r="I137" i="22"/>
  <c r="L137" i="22"/>
  <c r="B138" i="22"/>
  <c r="D138" i="22"/>
  <c r="F138" i="22"/>
  <c r="H138" i="22"/>
  <c r="K138" i="22"/>
  <c r="C138" i="22"/>
  <c r="E138" i="22"/>
  <c r="G138" i="22"/>
  <c r="I138" i="22"/>
  <c r="J138" i="22"/>
  <c r="L138" i="22"/>
  <c r="B139" i="22"/>
  <c r="D139" i="22"/>
  <c r="G139" i="22"/>
  <c r="H139" i="22"/>
  <c r="J139" i="22"/>
  <c r="L139" i="22"/>
  <c r="C139" i="22"/>
  <c r="E139" i="22"/>
  <c r="F139" i="22"/>
  <c r="I139" i="22"/>
  <c r="K139" i="22"/>
  <c r="B140" i="22"/>
  <c r="D140" i="22"/>
  <c r="F140" i="22"/>
  <c r="H140" i="22"/>
  <c r="J140" i="22"/>
  <c r="L140" i="22"/>
  <c r="C140" i="22"/>
  <c r="E140" i="22"/>
  <c r="G140" i="22"/>
  <c r="I140" i="22"/>
  <c r="K140" i="22"/>
  <c r="C141" i="22"/>
  <c r="E141" i="22"/>
  <c r="G141" i="22"/>
  <c r="I141" i="22"/>
  <c r="K141" i="22"/>
  <c r="B141" i="22"/>
  <c r="D141" i="22"/>
  <c r="F141" i="22"/>
  <c r="H141" i="22"/>
  <c r="J141" i="22"/>
  <c r="L141" i="22"/>
  <c r="B142" i="22"/>
  <c r="D142" i="22"/>
  <c r="E142" i="22"/>
  <c r="F142" i="22"/>
  <c r="G142" i="22"/>
  <c r="H142" i="22"/>
  <c r="I142" i="22"/>
  <c r="J142" i="22"/>
  <c r="K142" i="22"/>
  <c r="L142" i="22"/>
  <c r="C142" i="22"/>
  <c r="M24" i="28"/>
  <c r="K42" i="28"/>
  <c r="J42" i="28"/>
  <c r="G1123" i="23" a="1"/>
  <c r="I1123" i="23" s="1"/>
  <c r="G1119" i="23" a="1"/>
  <c r="I1119" i="23" s="1"/>
  <c r="G1117" i="23" a="1"/>
  <c r="I1117" i="23" s="1"/>
  <c r="G1113" i="23" a="1"/>
  <c r="I1113" i="23" s="1"/>
  <c r="G1107" i="23" a="1"/>
  <c r="I1107" i="23" s="1"/>
  <c r="G1104" i="23" a="1"/>
  <c r="I1104" i="23" s="1"/>
  <c r="G1097" i="23" a="1"/>
  <c r="I1097" i="23" s="1"/>
  <c r="G1093" i="23" a="1"/>
  <c r="I1093" i="23" s="1"/>
  <c r="G1090" i="23" a="1"/>
  <c r="I1090" i="23" s="1"/>
  <c r="G1088" i="23" a="1"/>
  <c r="I1088" i="23" s="1"/>
  <c r="G1122" i="23" a="1"/>
  <c r="I1122" i="23" s="1"/>
  <c r="G1156" i="23" a="1"/>
  <c r="I1156" i="23" s="1"/>
  <c r="G1155" i="23" a="1"/>
  <c r="I1155" i="23" s="1"/>
  <c r="G1153" i="23" a="1"/>
  <c r="I1153" i="23" s="1"/>
  <c r="G1150" i="23" a="1"/>
  <c r="I1150" i="23" s="1"/>
  <c r="G1144" i="23" a="1"/>
  <c r="I1144" i="23" s="1"/>
  <c r="G1137" i="23" a="1"/>
  <c r="I1137" i="23" s="1"/>
  <c r="G1133" i="23" a="1"/>
  <c r="I1133" i="23" s="1"/>
  <c r="G1128" i="23" a="1"/>
  <c r="I1128" i="23" s="1"/>
  <c r="G1087" i="23" a="1"/>
  <c r="I1087" i="23" s="1"/>
  <c r="G1118" i="23" a="1"/>
  <c r="I1118" i="23" s="1"/>
  <c r="G1114" i="23" a="1"/>
  <c r="I1114" i="23" s="1"/>
  <c r="G1111" i="23" a="1"/>
  <c r="I1111" i="23" s="1"/>
  <c r="G1165" i="23" a="1"/>
  <c r="I1165" i="23" s="1"/>
  <c r="G1110" i="23" a="1"/>
  <c r="I1110" i="23" s="1"/>
  <c r="G1096" i="23" a="1"/>
  <c r="I1096" i="23" s="1"/>
  <c r="G1148" i="23" a="1"/>
  <c r="I1148" i="23" s="1"/>
  <c r="G1160" i="23" a="1"/>
  <c r="I1160" i="23" s="1"/>
  <c r="G1151" i="23" a="1"/>
  <c r="I1151" i="23" s="1"/>
  <c r="G1109" i="23" a="1"/>
  <c r="I1109" i="23" s="1"/>
  <c r="G1102" i="23" a="1"/>
  <c r="I1102" i="23" s="1"/>
  <c r="G1099" i="23" a="1"/>
  <c r="I1099" i="23" s="1"/>
  <c r="G1086" i="23" a="1"/>
  <c r="I1086" i="23" s="1"/>
  <c r="G1187" i="23" a="1"/>
  <c r="I1187" i="23" s="1"/>
  <c r="G1186" i="23" a="1"/>
  <c r="I1186" i="23" s="1"/>
  <c r="G1185" i="23" a="1"/>
  <c r="I1185" i="23" s="1"/>
  <c r="G1184" i="23" a="1"/>
  <c r="I1184" i="23" s="1"/>
  <c r="G1183" i="23" a="1"/>
  <c r="I1183" i="23" s="1"/>
  <c r="G1182" i="23" a="1"/>
  <c r="I1182" i="23" s="1"/>
  <c r="G1181" i="23" a="1"/>
  <c r="I1181" i="23" s="1"/>
  <c r="G1180" i="23" a="1"/>
  <c r="I1180" i="23" s="1"/>
  <c r="G1179" i="23" a="1"/>
  <c r="I1179" i="23" s="1"/>
  <c r="G1173" i="23" a="1"/>
  <c r="I1173" i="23" s="1"/>
  <c r="G1172" i="23" a="1"/>
  <c r="I1172" i="23" s="1"/>
  <c r="G1171" i="23" a="1"/>
  <c r="I1171" i="23" s="1"/>
  <c r="G1170" i="23" a="1"/>
  <c r="I1170" i="23" s="1"/>
  <c r="G1169" i="23" a="1"/>
  <c r="I1169" i="23" s="1"/>
  <c r="G1168" i="23" a="1"/>
  <c r="I1168" i="23" s="1"/>
  <c r="G1167" i="23" a="1"/>
  <c r="I1167" i="23" s="1"/>
  <c r="G1166" i="23" a="1"/>
  <c r="I1166" i="23" s="1"/>
  <c r="G1141" i="23" a="1"/>
  <c r="I1141" i="23" s="1"/>
  <c r="G1164" i="23" a="1"/>
  <c r="I1164" i="23" s="1"/>
  <c r="G1163" i="23" a="1"/>
  <c r="I1163" i="23" s="1"/>
  <c r="G1162" i="23" a="1"/>
  <c r="I1162" i="23" s="1"/>
  <c r="G1161" i="23" a="1"/>
  <c r="I1161" i="23" s="1"/>
  <c r="G1147" i="23" a="1"/>
  <c r="I1147" i="23" s="1"/>
  <c r="G1142" i="23" a="1"/>
  <c r="I1142" i="23" s="1"/>
  <c r="G1135" i="23" a="1"/>
  <c r="I1135" i="23" s="1"/>
  <c r="G1129" i="23" a="1"/>
  <c r="I1129" i="23" s="1"/>
  <c r="G1125" i="23" a="1"/>
  <c r="I1125" i="23" s="1"/>
  <c r="G1121" i="23" a="1"/>
  <c r="I1121" i="23" s="1"/>
  <c r="G1115" i="23" a="1"/>
  <c r="I1115" i="23" s="1"/>
  <c r="G1085" i="23" a="1"/>
  <c r="I1085" i="23" s="1"/>
  <c r="G1084" i="23" a="1"/>
  <c r="I1084" i="23" s="1"/>
  <c r="G1083" i="23" a="1"/>
  <c r="I1083" i="23" s="1"/>
  <c r="G1082" i="23" a="1"/>
  <c r="I1082" i="23" s="1"/>
  <c r="G1081" i="23" a="1"/>
  <c r="I1081" i="23" s="1"/>
  <c r="G1080" i="23" a="1"/>
  <c r="I1080" i="23" s="1"/>
  <c r="G1079" i="23" a="1"/>
  <c r="I1079" i="23" s="1"/>
  <c r="G1078" i="23" a="1"/>
  <c r="I1078" i="23" s="1"/>
  <c r="G1077" i="23" a="1"/>
  <c r="I1077" i="23" s="1"/>
  <c r="G1076" i="23" a="1"/>
  <c r="I1076" i="23" s="1"/>
  <c r="G1075" i="23" a="1"/>
  <c r="I1075" i="23" s="1"/>
  <c r="G1074" i="23" a="1"/>
  <c r="I1074" i="23" s="1"/>
  <c r="G1073" i="23" a="1"/>
  <c r="I1073" i="23" s="1"/>
  <c r="G1072" i="23" a="1"/>
  <c r="I1072" i="23" s="1"/>
  <c r="G1071" i="23" a="1"/>
  <c r="I1071" i="23" s="1"/>
  <c r="G1070" i="23" a="1"/>
  <c r="I1070" i="23" s="1"/>
  <c r="G1069" i="23" a="1"/>
  <c r="I1069" i="23" s="1"/>
  <c r="G1068" i="23" a="1"/>
  <c r="I1068" i="23" s="1"/>
  <c r="G1067" i="23" a="1"/>
  <c r="I1067" i="23" s="1"/>
  <c r="G1066" i="23" a="1"/>
  <c r="I1066" i="23" s="1"/>
  <c r="G1065" i="23" a="1"/>
  <c r="I1065" i="23" s="1"/>
  <c r="G1064" i="23" a="1"/>
  <c r="I1064" i="23" s="1"/>
  <c r="G1063" i="23" a="1"/>
  <c r="I1063" i="23" s="1"/>
  <c r="G1062" i="23" a="1"/>
  <c r="I1062" i="23" s="1"/>
  <c r="G1061" i="23" a="1"/>
  <c r="I1061" i="23" s="1"/>
  <c r="G1060" i="23" a="1"/>
  <c r="I1060" i="23" s="1"/>
  <c r="G1059" i="23" a="1"/>
  <c r="I1059" i="23" s="1"/>
  <c r="G1139" i="23" a="1"/>
  <c r="I1139" i="23" s="1"/>
  <c r="G1136" i="23" a="1"/>
  <c r="I1136" i="23" s="1"/>
  <c r="G1132" i="23" a="1"/>
  <c r="I1132" i="23" s="1"/>
  <c r="G1130" i="23" a="1"/>
  <c r="I1130" i="23" s="1"/>
  <c r="G1126" i="23" a="1"/>
  <c r="I1126" i="23" s="1"/>
  <c r="G1124" i="23" a="1"/>
  <c r="I1124" i="23" s="1"/>
  <c r="G1120" i="23" a="1"/>
  <c r="I1120" i="23" s="1"/>
  <c r="G1116" i="23" a="1"/>
  <c r="I1116" i="23" s="1"/>
  <c r="G1112" i="23" a="1"/>
  <c r="I1112" i="23" s="1"/>
  <c r="G1108" i="23" a="1"/>
  <c r="I1108" i="23" s="1"/>
  <c r="G1106" i="23" a="1"/>
  <c r="I1106" i="23" s="1"/>
  <c r="G1105" i="23" a="1"/>
  <c r="I1105" i="23" s="1"/>
  <c r="G1103" i="23" a="1"/>
  <c r="I1103" i="23" s="1"/>
  <c r="G1100" i="23" a="1"/>
  <c r="I1100" i="23" s="1"/>
  <c r="G1098" i="23" a="1"/>
  <c r="I1098" i="23" s="1"/>
  <c r="G1095" i="23" a="1"/>
  <c r="I1095" i="23" s="1"/>
  <c r="G1094" i="23" a="1"/>
  <c r="I1094" i="23" s="1"/>
  <c r="G1092" i="23" a="1"/>
  <c r="I1092" i="23" s="1"/>
  <c r="G1091" i="23" a="1"/>
  <c r="I1091" i="23" s="1"/>
  <c r="G1089" i="23" a="1"/>
  <c r="I1089" i="23" s="1"/>
  <c r="G1101" i="23" a="1"/>
  <c r="I1101" i="23" s="1"/>
  <c r="G1159" i="23" a="1"/>
  <c r="I1159" i="23" s="1"/>
  <c r="G1158" i="23" a="1"/>
  <c r="I1158" i="23" s="1"/>
  <c r="G1157" i="23" a="1"/>
  <c r="I1157" i="23" s="1"/>
  <c r="G1154" i="23" a="1"/>
  <c r="I1154" i="23" s="1"/>
  <c r="G1152" i="23" a="1"/>
  <c r="I1152" i="23" s="1"/>
  <c r="G1149" i="23" a="1"/>
  <c r="I1149" i="23" s="1"/>
  <c r="G1146" i="23" a="1"/>
  <c r="I1146" i="23" s="1"/>
  <c r="G1145" i="23" a="1"/>
  <c r="I1145" i="23" s="1"/>
  <c r="G1143" i="23" a="1"/>
  <c r="I1143" i="23" s="1"/>
  <c r="G1140" i="23" a="1"/>
  <c r="I1140" i="23" s="1"/>
  <c r="G1138" i="23" a="1"/>
  <c r="I1138" i="23" s="1"/>
  <c r="G1134" i="23" a="1"/>
  <c r="I1134" i="23" s="1"/>
  <c r="G1131" i="23" a="1"/>
  <c r="I1131" i="23" s="1"/>
  <c r="G1127" i="23" a="1"/>
  <c r="I1127" i="23" s="1"/>
  <c r="G1057" i="23" a="1"/>
  <c r="I1057" i="23" s="1"/>
  <c r="G1056" i="23" a="1"/>
  <c r="I1056" i="23" s="1"/>
  <c r="G1055" i="23" a="1"/>
  <c r="I1055" i="23" s="1"/>
  <c r="G1054" i="23" a="1"/>
  <c r="I1054" i="23" s="1"/>
  <c r="G1053" i="23" a="1"/>
  <c r="I1053" i="23" s="1"/>
  <c r="G1052" i="23" a="1"/>
  <c r="I1052" i="23" s="1"/>
  <c r="G1051" i="23" a="1"/>
  <c r="I1051" i="23" s="1"/>
  <c r="G1050" i="23" a="1"/>
  <c r="I1050" i="23" s="1"/>
  <c r="G1049" i="23" a="1"/>
  <c r="I1049" i="23" s="1"/>
  <c r="G1048" i="23" a="1"/>
  <c r="I1048" i="23" s="1"/>
  <c r="G1047" i="23" a="1"/>
  <c r="I1047" i="23" s="1"/>
  <c r="G1046" i="23" a="1"/>
  <c r="I1046" i="23" s="1"/>
  <c r="G1045" i="23" a="1"/>
  <c r="I1045" i="23" s="1"/>
  <c r="G1044" i="23" a="1"/>
  <c r="I1044" i="23" s="1"/>
  <c r="G1043" i="23" a="1"/>
  <c r="I1043" i="23" s="1"/>
  <c r="G1042" i="23" a="1"/>
  <c r="I1042" i="23" s="1"/>
  <c r="G1041" i="23" a="1"/>
  <c r="I1041" i="23" s="1"/>
  <c r="G1040" i="23" a="1"/>
  <c r="I1040" i="23" s="1"/>
  <c r="G1039" i="23" a="1"/>
  <c r="I1039" i="23" s="1"/>
  <c r="G1034" i="23" a="1"/>
  <c r="I1034" i="23" s="1"/>
  <c r="G1035" i="23" a="1"/>
  <c r="I1035" i="23" s="1"/>
  <c r="G1036" i="23" a="1"/>
  <c r="I1036" i="23" s="1"/>
  <c r="G1037" i="23" a="1"/>
  <c r="I1037" i="23" s="1"/>
  <c r="G1031" i="23" a="1"/>
  <c r="I1031" i="23" s="1"/>
  <c r="G1038" i="23" a="1"/>
  <c r="I1038" i="23" s="1"/>
  <c r="G1032" i="23" a="1"/>
  <c r="I1032" i="23" s="1"/>
  <c r="G1033" i="23" a="1"/>
  <c r="I1033" i="23" s="1"/>
  <c r="G1058" i="23" a="1"/>
  <c r="I1058" i="23" s="1"/>
  <c r="G791" i="23" a="1"/>
  <c r="I791" i="23" s="1"/>
  <c r="G790" i="23" a="1"/>
  <c r="I790" i="23" s="1"/>
  <c r="G789" i="23" a="1"/>
  <c r="I789" i="23" s="1"/>
  <c r="G788" i="23" a="1"/>
  <c r="I788" i="23" s="1"/>
  <c r="G787" i="23" a="1"/>
  <c r="I787" i="23" s="1"/>
  <c r="G786" i="23" a="1"/>
  <c r="I786" i="23" s="1"/>
  <c r="G785" i="23" a="1"/>
  <c r="I785" i="23" s="1"/>
  <c r="G783" i="23" a="1"/>
  <c r="I783" i="23" s="1"/>
  <c r="G782" i="23" a="1"/>
  <c r="I782" i="23" s="1"/>
  <c r="G781" i="23" a="1"/>
  <c r="I781" i="23" s="1"/>
  <c r="G780" i="23" a="1"/>
  <c r="I780" i="23" s="1"/>
  <c r="G779" i="23" a="1"/>
  <c r="I779" i="23" s="1"/>
  <c r="G769" i="23" a="1"/>
  <c r="I769" i="23" s="1"/>
  <c r="G778" i="23" a="1"/>
  <c r="I778" i="23" s="1"/>
  <c r="G777" i="23" a="1"/>
  <c r="I777" i="23" s="1"/>
  <c r="G775" i="23" a="1"/>
  <c r="I775" i="23" s="1"/>
  <c r="G774" i="23" a="1"/>
  <c r="I774" i="23" s="1"/>
  <c r="G773" i="23" a="1"/>
  <c r="I773" i="23" s="1"/>
  <c r="G776" i="23" a="1"/>
  <c r="I776" i="23" s="1"/>
  <c r="G772" i="23" a="1"/>
  <c r="I772" i="23" s="1"/>
  <c r="G771" i="23" a="1"/>
  <c r="I771" i="23" s="1"/>
  <c r="G770" i="23" a="1"/>
  <c r="I770" i="23" s="1"/>
  <c r="G784" i="23" a="1"/>
  <c r="I784" i="23" s="1"/>
  <c r="G768" i="23" a="1"/>
  <c r="I768" i="23" s="1"/>
  <c r="G767" i="23" a="1"/>
  <c r="I767" i="23" s="1"/>
  <c r="G766" i="23" a="1"/>
  <c r="I766" i="23" s="1"/>
  <c r="G765" i="23" a="1"/>
  <c r="I765" i="23" s="1"/>
  <c r="G764" i="23" a="1"/>
  <c r="I764" i="23" s="1"/>
  <c r="G763" i="23" a="1"/>
  <c r="I763" i="23" s="1"/>
  <c r="G762" i="23" a="1"/>
  <c r="I762" i="23" s="1"/>
  <c r="G761" i="23" a="1"/>
  <c r="I761" i="23" s="1"/>
  <c r="G760" i="23" a="1"/>
  <c r="I760" i="23" s="1"/>
  <c r="G759" i="23" a="1"/>
  <c r="I759" i="23" s="1"/>
  <c r="G758" i="23" a="1"/>
  <c r="I758" i="23" s="1"/>
  <c r="G757" i="23" a="1"/>
  <c r="I757" i="23" s="1"/>
  <c r="G801" i="23" a="1"/>
  <c r="I801" i="23" s="1"/>
  <c r="G800" i="23" a="1"/>
  <c r="I800" i="23" s="1"/>
  <c r="G799" i="23" a="1"/>
  <c r="I799" i="23" s="1"/>
  <c r="G798" i="23" a="1"/>
  <c r="I798" i="23" s="1"/>
  <c r="G797" i="23" a="1"/>
  <c r="I797" i="23" s="1"/>
  <c r="G796" i="23" a="1"/>
  <c r="I796" i="23" s="1"/>
  <c r="G795" i="23" a="1"/>
  <c r="I795" i="23" s="1"/>
  <c r="G794" i="23" a="1"/>
  <c r="I794" i="23" s="1"/>
  <c r="G793" i="23" a="1"/>
  <c r="I793" i="23" s="1"/>
  <c r="G792" i="23" a="1"/>
  <c r="I792" i="23" s="1"/>
  <c r="M88" i="28"/>
  <c r="N88" i="28"/>
  <c r="M87" i="28"/>
  <c r="N87" i="28"/>
  <c r="N86" i="28"/>
  <c r="M86" i="28"/>
  <c r="O86" i="28" s="1" a="1"/>
  <c r="N85" i="28"/>
  <c r="M85" i="28"/>
  <c r="O85" i="28" s="1" a="1"/>
  <c r="N84" i="28"/>
  <c r="M84" i="28"/>
  <c r="O84" i="28" s="1" a="1"/>
  <c r="N83" i="28"/>
  <c r="M83" i="28"/>
  <c r="O83" i="28" s="1" a="1"/>
  <c r="N82" i="28"/>
  <c r="M82" i="28"/>
  <c r="O82" i="28" s="1" a="1"/>
  <c r="N79" i="28"/>
  <c r="M79" i="28"/>
  <c r="O79" i="28" s="1" a="1"/>
  <c r="M76" i="28"/>
  <c r="N76" i="28"/>
  <c r="N75" i="28"/>
  <c r="M75" i="28"/>
  <c r="O75" i="28" s="1" a="1"/>
  <c r="M74" i="28"/>
  <c r="N74" i="28"/>
  <c r="N73" i="28"/>
  <c r="M73" i="28"/>
  <c r="AO20" i="22"/>
  <c r="AO22" i="22"/>
  <c r="AP22" i="22" s="1"/>
  <c r="AO19" i="22"/>
  <c r="G1176" i="23" a="1"/>
  <c r="I1176" i="23" s="1"/>
  <c r="G1204" i="23" a="1"/>
  <c r="I1204" i="23" s="1"/>
  <c r="G1199" i="23" a="1"/>
  <c r="I1199" i="23" s="1"/>
  <c r="G1201" i="23" a="1"/>
  <c r="I1201" i="23" s="1"/>
  <c r="G1198" i="23" a="1"/>
  <c r="I1198" i="23" s="1"/>
  <c r="G1174" i="23" a="1"/>
  <c r="I1174" i="23" s="1"/>
  <c r="G1175" i="23" a="1"/>
  <c r="I1175" i="23" s="1"/>
  <c r="G1206" i="23" a="1"/>
  <c r="I1206" i="23" s="1"/>
  <c r="G1196" i="23" a="1"/>
  <c r="I1196" i="23" s="1"/>
  <c r="G1200" i="23" a="1"/>
  <c r="I1200" i="23" s="1"/>
  <c r="G1190" i="23" a="1"/>
  <c r="I1190" i="23" s="1"/>
  <c r="G1194" i="23" a="1"/>
  <c r="I1194" i="23" s="1"/>
  <c r="G1177" i="23" a="1"/>
  <c r="I1177" i="23" s="1"/>
  <c r="G1202" i="23" a="1"/>
  <c r="I1202" i="23" s="1"/>
  <c r="G1192" i="23" a="1"/>
  <c r="I1192" i="23" s="1"/>
  <c r="G1178" i="23" a="1"/>
  <c r="I1178" i="23" s="1"/>
  <c r="G1191" i="23" a="1"/>
  <c r="I1191" i="23" s="1"/>
  <c r="G1197" i="23" a="1"/>
  <c r="I1197" i="23" s="1"/>
  <c r="G1189" i="23" a="1"/>
  <c r="I1189" i="23" s="1"/>
  <c r="G1188" i="23" a="1"/>
  <c r="I1188" i="23" s="1"/>
  <c r="G1195" i="23" a="1"/>
  <c r="I1195" i="23" s="1"/>
  <c r="G1203" i="23" a="1"/>
  <c r="I1203" i="23" s="1"/>
  <c r="G1209" i="23" a="1"/>
  <c r="I1209" i="23" s="1"/>
  <c r="G1193" i="23" a="1"/>
  <c r="I1193" i="23" s="1"/>
  <c r="G1207" i="23" a="1"/>
  <c r="I1207" i="23" s="1"/>
  <c r="G1208" i="23" a="1"/>
  <c r="I1208" i="23" s="1"/>
  <c r="G1205" i="23" a="1"/>
  <c r="I1205" i="23" s="1"/>
  <c r="J25" i="22"/>
  <c r="K25" i="22" s="1"/>
  <c r="L25" i="22" s="1"/>
  <c r="M25" i="22" s="1"/>
  <c r="G1012" i="23" a="1"/>
  <c r="I1012" i="23" s="1"/>
  <c r="G1011" i="23" a="1"/>
  <c r="I1011" i="23" s="1"/>
  <c r="G1010" i="23" a="1"/>
  <c r="I1010" i="23" s="1"/>
  <c r="G1008" i="23" a="1"/>
  <c r="I1008" i="23" s="1"/>
  <c r="G1007" i="23" a="1"/>
  <c r="I1007" i="23" s="1"/>
  <c r="G1006" i="23" a="1"/>
  <c r="I1006" i="23" s="1"/>
  <c r="G1005" i="23" a="1"/>
  <c r="I1005" i="23" s="1"/>
  <c r="G1009" i="23" a="1"/>
  <c r="I1009" i="23" s="1"/>
  <c r="G975" i="23" a="1"/>
  <c r="I975" i="23" s="1"/>
  <c r="G938" i="23" a="1"/>
  <c r="I938" i="23" s="1"/>
  <c r="G939" i="23" a="1"/>
  <c r="I939" i="23" s="1"/>
  <c r="G974" i="23" a="1"/>
  <c r="I974" i="23" s="1"/>
  <c r="G957" i="23" a="1"/>
  <c r="I957" i="23" s="1"/>
  <c r="G940" i="23" a="1"/>
  <c r="I940" i="23" s="1"/>
  <c r="G973" i="23" a="1"/>
  <c r="I973" i="23" s="1"/>
  <c r="G1030" i="23" a="1"/>
  <c r="I1030" i="23" s="1"/>
  <c r="G1029" i="23" a="1"/>
  <c r="I1029" i="23" s="1"/>
  <c r="G1028" i="23" a="1"/>
  <c r="I1028" i="23" s="1"/>
  <c r="G1027" i="23" a="1"/>
  <c r="I1027" i="23" s="1"/>
  <c r="G1026" i="23" a="1"/>
  <c r="I1026" i="23" s="1"/>
  <c r="G1025" i="23" a="1"/>
  <c r="I1025" i="23" s="1"/>
  <c r="G1024" i="23" a="1"/>
  <c r="I1024" i="23" s="1"/>
  <c r="G1023" i="23" a="1"/>
  <c r="I1023" i="23" s="1"/>
  <c r="G1022" i="23" a="1"/>
  <c r="I1022" i="23" s="1"/>
  <c r="G1021" i="23" a="1"/>
  <c r="I1021" i="23" s="1"/>
  <c r="G1020" i="23" a="1"/>
  <c r="I1020" i="23" s="1"/>
  <c r="G1019" i="23" a="1"/>
  <c r="I1019" i="23" s="1"/>
  <c r="G1018" i="23" a="1"/>
  <c r="I1018" i="23" s="1"/>
  <c r="G1017" i="23" a="1"/>
  <c r="I1017" i="23" s="1"/>
  <c r="G1016" i="23" a="1"/>
  <c r="I1016" i="23" s="1"/>
  <c r="G1015" i="23" a="1"/>
  <c r="I1015" i="23" s="1"/>
  <c r="G1014" i="23" a="1"/>
  <c r="I1014" i="23" s="1"/>
  <c r="G1013" i="23" a="1"/>
  <c r="I1013" i="23" s="1"/>
  <c r="G962" i="23" a="1"/>
  <c r="I962" i="23" s="1"/>
  <c r="G908" i="23" a="1"/>
  <c r="I908" i="23" s="1"/>
  <c r="G1004" i="23" a="1"/>
  <c r="I1004" i="23" s="1"/>
  <c r="G909" i="23" a="1"/>
  <c r="I909" i="23" s="1"/>
  <c r="G1003" i="23" a="1"/>
  <c r="I1003" i="23" s="1"/>
  <c r="G941" i="23" a="1"/>
  <c r="I941" i="23" s="1"/>
  <c r="G1002" i="23" a="1"/>
  <c r="I1002" i="23" s="1"/>
  <c r="G972" i="23" a="1"/>
  <c r="I972" i="23" s="1"/>
  <c r="G910" i="23" a="1"/>
  <c r="I910" i="23" s="1"/>
  <c r="G951" i="23" a="1"/>
  <c r="I951" i="23" s="1"/>
  <c r="G1001" i="23" a="1"/>
  <c r="I1001" i="23" s="1"/>
  <c r="G911" i="23" a="1"/>
  <c r="I911" i="23" s="1"/>
  <c r="G942" i="23" a="1"/>
  <c r="I942" i="23" s="1"/>
  <c r="G1000" i="23" a="1"/>
  <c r="I1000" i="23" s="1"/>
  <c r="G912" i="23" a="1"/>
  <c r="I912" i="23" s="1"/>
  <c r="G913" i="23" a="1"/>
  <c r="I913" i="23" s="1"/>
  <c r="G999" i="23" a="1"/>
  <c r="I999" i="23" s="1"/>
  <c r="G958" i="23" a="1"/>
  <c r="I958" i="23" s="1"/>
  <c r="G914" i="23" a="1"/>
  <c r="I914" i="23" s="1"/>
  <c r="G971" i="23" a="1"/>
  <c r="I971" i="23" s="1"/>
  <c r="G961" i="23" a="1"/>
  <c r="I961" i="23" s="1"/>
  <c r="G915" i="23" a="1"/>
  <c r="I915" i="23" s="1"/>
  <c r="G998" i="23" a="1"/>
  <c r="I998" i="23" s="1"/>
  <c r="G997" i="23" a="1"/>
  <c r="I997" i="23" s="1"/>
  <c r="G970" i="23" a="1"/>
  <c r="I970" i="23" s="1"/>
  <c r="G916" i="23" a="1"/>
  <c r="I916" i="23" s="1"/>
  <c r="G917" i="23" a="1"/>
  <c r="I917" i="23" s="1"/>
  <c r="G996" i="23" a="1"/>
  <c r="I996" i="23" s="1"/>
  <c r="G943" i="23" a="1"/>
  <c r="I943" i="23" s="1"/>
  <c r="G995" i="23" a="1"/>
  <c r="I995" i="23" s="1"/>
  <c r="G944" i="23" a="1"/>
  <c r="I944" i="23" s="1"/>
  <c r="G918" i="23" a="1"/>
  <c r="I918" i="23" s="1"/>
  <c r="G969" i="23" a="1"/>
  <c r="I969" i="23" s="1"/>
  <c r="G994" i="23" a="1"/>
  <c r="I994" i="23" s="1"/>
  <c r="G919" i="23" a="1"/>
  <c r="I919" i="23" s="1"/>
  <c r="G952" i="23" a="1"/>
  <c r="I952" i="23" s="1"/>
  <c r="G920" i="23" a="1"/>
  <c r="I920" i="23" s="1"/>
  <c r="G993" i="23" a="1"/>
  <c r="I993" i="23" s="1"/>
  <c r="G955" i="23" a="1"/>
  <c r="I955" i="23" s="1"/>
  <c r="G921" i="23" a="1"/>
  <c r="I921" i="23" s="1"/>
  <c r="G992" i="23" a="1"/>
  <c r="I992" i="23" s="1"/>
  <c r="G991" i="23" a="1"/>
  <c r="I991" i="23" s="1"/>
  <c r="G945" i="23" a="1"/>
  <c r="I945" i="23" s="1"/>
  <c r="G922" i="23" a="1"/>
  <c r="I922" i="23" s="1"/>
  <c r="G923" i="23" a="1"/>
  <c r="I923" i="23" s="1"/>
  <c r="G990" i="23" a="1"/>
  <c r="I990" i="23" s="1"/>
  <c r="G968" i="23" a="1"/>
  <c r="I968" i="23" s="1"/>
  <c r="G989" i="23" a="1"/>
  <c r="I989" i="23" s="1"/>
  <c r="G946" i="23" a="1"/>
  <c r="I946" i="23" s="1"/>
  <c r="G924" i="23" a="1"/>
  <c r="I924" i="23" s="1"/>
  <c r="G960" i="23" a="1"/>
  <c r="I960" i="23" s="1"/>
  <c r="G988" i="23" a="1"/>
  <c r="I988" i="23" s="1"/>
  <c r="G925" i="23" a="1"/>
  <c r="I925" i="23" s="1"/>
  <c r="G987" i="23" a="1"/>
  <c r="I987" i="23" s="1"/>
  <c r="G967" i="23" a="1"/>
  <c r="I967" i="23" s="1"/>
  <c r="G926" i="23" a="1"/>
  <c r="I926" i="23" s="1"/>
  <c r="G927" i="23" a="1"/>
  <c r="I927" i="23" s="1"/>
  <c r="G953" i="23" a="1"/>
  <c r="I953" i="23" s="1"/>
  <c r="G986" i="23" a="1"/>
  <c r="I986" i="23" s="1"/>
  <c r="G928" i="23" a="1"/>
  <c r="I928" i="23" s="1"/>
  <c r="G985" i="23" a="1"/>
  <c r="I985" i="23" s="1"/>
  <c r="G966" i="23" a="1"/>
  <c r="I966" i="23" s="1"/>
  <c r="G929" i="23" a="1"/>
  <c r="I929" i="23" s="1"/>
  <c r="G947" i="23" a="1"/>
  <c r="I947" i="23" s="1"/>
  <c r="G984" i="23" a="1"/>
  <c r="I984" i="23" s="1"/>
  <c r="G956" i="23" a="1"/>
  <c r="I956" i="23" s="1"/>
  <c r="G930" i="23" a="1"/>
  <c r="I930" i="23" s="1"/>
  <c r="G983" i="23" a="1"/>
  <c r="I983" i="23" s="1"/>
  <c r="G965" i="23" a="1"/>
  <c r="I965" i="23" s="1"/>
  <c r="G982" i="23" a="1"/>
  <c r="I982" i="23" s="1"/>
  <c r="G931" i="23" a="1"/>
  <c r="I931" i="23" s="1"/>
  <c r="G981" i="23" a="1"/>
  <c r="I981" i="23" s="1"/>
  <c r="G932" i="23" a="1"/>
  <c r="I932" i="23" s="1"/>
  <c r="G948" i="23" a="1"/>
  <c r="I948" i="23" s="1"/>
  <c r="G949" i="23" a="1"/>
  <c r="I949" i="23" s="1"/>
  <c r="G933" i="23" a="1"/>
  <c r="I933" i="23" s="1"/>
  <c r="G980" i="23" a="1"/>
  <c r="I980" i="23" s="1"/>
  <c r="G934" i="23" a="1"/>
  <c r="I934" i="23" s="1"/>
  <c r="G959" i="23" a="1"/>
  <c r="I959" i="23" s="1"/>
  <c r="G979" i="23" a="1"/>
  <c r="I979" i="23" s="1"/>
  <c r="G935" i="23" a="1"/>
  <c r="I935" i="23" s="1"/>
  <c r="G978" i="23" a="1"/>
  <c r="I978" i="23" s="1"/>
  <c r="G964" i="23" a="1"/>
  <c r="I964" i="23" s="1"/>
  <c r="G977" i="23" a="1"/>
  <c r="I977" i="23" s="1"/>
  <c r="G954" i="23" a="1"/>
  <c r="I954" i="23" s="1"/>
  <c r="G936" i="23" a="1"/>
  <c r="I936" i="23" s="1"/>
  <c r="G937" i="23" a="1"/>
  <c r="I937" i="23" s="1"/>
  <c r="G963" i="23" a="1"/>
  <c r="I963" i="23" s="1"/>
  <c r="G976" i="23" a="1"/>
  <c r="I976" i="23" s="1"/>
  <c r="G950" i="23" a="1"/>
  <c r="I950" i="23" s="1"/>
  <c r="J24" i="22"/>
  <c r="K24" i="22" s="1"/>
  <c r="L24" i="22" s="1"/>
  <c r="M24" i="22" s="1"/>
  <c r="G898" i="23" a="1"/>
  <c r="I898" i="23" s="1"/>
  <c r="G827" i="23" a="1"/>
  <c r="I827" i="23" s="1"/>
  <c r="G862" i="23" a="1"/>
  <c r="I862" i="23" s="1"/>
  <c r="G828" i="23" a="1"/>
  <c r="I828" i="23" s="1"/>
  <c r="G851" i="23" a="1"/>
  <c r="I851" i="23" s="1"/>
  <c r="G897" i="23" a="1"/>
  <c r="I897" i="23" s="1"/>
  <c r="G896" i="23" a="1"/>
  <c r="I896" i="23" s="1"/>
  <c r="G829" i="23" a="1"/>
  <c r="I829" i="23" s="1"/>
  <c r="G810" i="23" a="1"/>
  <c r="I810" i="23" s="1"/>
  <c r="G872" i="23" a="1"/>
  <c r="I872" i="23" s="1"/>
  <c r="G895" i="23" a="1"/>
  <c r="I895" i="23" s="1"/>
  <c r="G874" i="23" a="1"/>
  <c r="I874" i="23" s="1"/>
  <c r="G830" i="23" a="1"/>
  <c r="I830" i="23" s="1"/>
  <c r="G894" i="23" a="1"/>
  <c r="I894" i="23" s="1"/>
  <c r="G861" i="23" a="1"/>
  <c r="I861" i="23" s="1"/>
  <c r="G831" i="23" a="1"/>
  <c r="I831" i="23" s="1"/>
  <c r="G852" i="23" a="1"/>
  <c r="I852" i="23" s="1"/>
  <c r="G893" i="23" a="1"/>
  <c r="I893" i="23" s="1"/>
  <c r="G832" i="23" a="1"/>
  <c r="I832" i="23" s="1"/>
  <c r="G833" i="23" a="1"/>
  <c r="I833" i="23" s="1"/>
  <c r="G873" i="23" a="1"/>
  <c r="I873" i="23" s="1"/>
  <c r="G892" i="23" a="1"/>
  <c r="I892" i="23" s="1"/>
  <c r="G834" i="23" a="1"/>
  <c r="I834" i="23" s="1"/>
  <c r="G853" i="23" a="1"/>
  <c r="I853" i="23" s="1"/>
  <c r="G891" i="23" a="1"/>
  <c r="I891" i="23" s="1"/>
  <c r="G871" i="23" a="1"/>
  <c r="I871" i="23" s="1"/>
  <c r="G835" i="23" a="1"/>
  <c r="I835" i="23" s="1"/>
  <c r="G890" i="23" a="1"/>
  <c r="I890" i="23" s="1"/>
  <c r="G865" i="23" a="1"/>
  <c r="I865" i="23" s="1"/>
  <c r="G889" i="23" a="1"/>
  <c r="I889" i="23" s="1"/>
  <c r="G836" i="23" a="1"/>
  <c r="I836" i="23" s="1"/>
  <c r="G888" i="23" a="1"/>
  <c r="I888" i="23" s="1"/>
  <c r="G854" i="23" a="1"/>
  <c r="I854" i="23" s="1"/>
  <c r="G837" i="23" a="1"/>
  <c r="I837" i="23" s="1"/>
  <c r="G838" i="23" a="1"/>
  <c r="I838" i="23" s="1"/>
  <c r="G802" i="23" a="1"/>
  <c r="I802" i="23" s="1"/>
  <c r="G887" i="23" a="1"/>
  <c r="I887" i="23" s="1"/>
  <c r="G803" i="23" a="1"/>
  <c r="I803" i="23" s="1"/>
  <c r="G804" i="23" a="1"/>
  <c r="I804" i="23" s="1"/>
  <c r="G859" i="23" a="1"/>
  <c r="I859" i="23" s="1"/>
  <c r="G870" i="23" a="1"/>
  <c r="I870" i="23" s="1"/>
  <c r="G805" i="23" a="1"/>
  <c r="I805" i="23" s="1"/>
  <c r="G839" i="23" a="1"/>
  <c r="I839" i="23" s="1"/>
  <c r="G824" i="23" a="1"/>
  <c r="I824" i="23" s="1"/>
  <c r="G886" i="23" a="1"/>
  <c r="I886" i="23" s="1"/>
  <c r="G806" i="23" a="1"/>
  <c r="I806" i="23" s="1"/>
  <c r="G885" i="23" a="1"/>
  <c r="I885" i="23" s="1"/>
  <c r="G840" i="23" a="1"/>
  <c r="I840" i="23" s="1"/>
  <c r="G807" i="23" a="1"/>
  <c r="I807" i="23" s="1"/>
  <c r="G855" i="23" a="1"/>
  <c r="I855" i="23" s="1"/>
  <c r="G808" i="23" a="1"/>
  <c r="I808" i="23" s="1"/>
  <c r="G841" i="23" a="1"/>
  <c r="I841" i="23" s="1"/>
  <c r="G884" i="23" a="1"/>
  <c r="I884" i="23" s="1"/>
  <c r="G869" i="23" a="1"/>
  <c r="I869" i="23" s="1"/>
  <c r="G842" i="23" a="1"/>
  <c r="I842" i="23" s="1"/>
  <c r="G809" i="23" a="1"/>
  <c r="I809" i="23" s="1"/>
  <c r="G883" i="23" a="1"/>
  <c r="I883" i="23" s="1"/>
  <c r="G863" i="23" a="1"/>
  <c r="I863" i="23" s="1"/>
  <c r="G882" i="23" a="1"/>
  <c r="I882" i="23" s="1"/>
  <c r="G843" i="23" a="1"/>
  <c r="I843" i="23" s="1"/>
  <c r="G811" i="23" a="1"/>
  <c r="I811" i="23" s="1"/>
  <c r="G812" i="23" a="1"/>
  <c r="I812" i="23" s="1"/>
  <c r="G864" i="23" a="1"/>
  <c r="I864" i="23" s="1"/>
  <c r="G881" i="23" a="1"/>
  <c r="I881" i="23" s="1"/>
  <c r="G868" i="23" a="1"/>
  <c r="I868" i="23" s="1"/>
  <c r="G813" i="23" a="1"/>
  <c r="I813" i="23" s="1"/>
  <c r="G844" i="23" a="1"/>
  <c r="I844" i="23" s="1"/>
  <c r="G845" i="23" a="1"/>
  <c r="I845" i="23" s="1"/>
  <c r="G856" i="23" a="1"/>
  <c r="I856" i="23" s="1"/>
  <c r="G814" i="23" a="1"/>
  <c r="I814" i="23" s="1"/>
  <c r="G880" i="23" a="1"/>
  <c r="I880" i="23" s="1"/>
  <c r="G867" i="23" a="1"/>
  <c r="I867" i="23" s="1"/>
  <c r="G815" i="23" a="1"/>
  <c r="I815" i="23" s="1"/>
  <c r="G846" i="23" a="1"/>
  <c r="I846" i="23" s="1"/>
  <c r="G879" i="23" a="1"/>
  <c r="I879" i="23" s="1"/>
  <c r="G816" i="23" a="1"/>
  <c r="I816" i="23" s="1"/>
  <c r="G817" i="23" a="1"/>
  <c r="I817" i="23" s="1"/>
  <c r="G847" i="23" a="1"/>
  <c r="I847" i="23" s="1"/>
  <c r="G860" i="23" a="1"/>
  <c r="I860" i="23" s="1"/>
  <c r="G878" i="23" a="1"/>
  <c r="I878" i="23" s="1"/>
  <c r="G907" i="23" a="1"/>
  <c r="I907" i="23" s="1"/>
  <c r="G818" i="23" a="1"/>
  <c r="I818" i="23" s="1"/>
  <c r="G848" i="23" a="1"/>
  <c r="I848" i="23" s="1"/>
  <c r="G906" i="23" a="1"/>
  <c r="I906" i="23" s="1"/>
  <c r="G819" i="23" a="1"/>
  <c r="I819" i="23" s="1"/>
  <c r="G857" i="23" a="1"/>
  <c r="I857" i="23" s="1"/>
  <c r="G820" i="23" a="1"/>
  <c r="I820" i="23" s="1"/>
  <c r="G905" i="23" a="1"/>
  <c r="I905" i="23" s="1"/>
  <c r="G877" i="23" a="1"/>
  <c r="I877" i="23" s="1"/>
  <c r="G821" i="23" a="1"/>
  <c r="I821" i="23" s="1"/>
  <c r="G904" i="23" a="1"/>
  <c r="I904" i="23" s="1"/>
  <c r="G903" i="23" a="1"/>
  <c r="I903" i="23" s="1"/>
  <c r="G876" i="23" a="1"/>
  <c r="I876" i="23" s="1"/>
  <c r="G822" i="23" a="1"/>
  <c r="I822" i="23" s="1"/>
  <c r="G902" i="23" a="1"/>
  <c r="I902" i="23" s="1"/>
  <c r="G823" i="23" a="1"/>
  <c r="I823" i="23" s="1"/>
  <c r="G858" i="23" a="1"/>
  <c r="I858" i="23" s="1"/>
  <c r="G849" i="23" a="1"/>
  <c r="I849" i="23" s="1"/>
  <c r="G901" i="23" a="1"/>
  <c r="I901" i="23" s="1"/>
  <c r="G866" i="23" a="1"/>
  <c r="I866" i="23" s="1"/>
  <c r="G875" i="23" a="1"/>
  <c r="I875" i="23" s="1"/>
  <c r="G900" i="23" a="1"/>
  <c r="I900" i="23" s="1"/>
  <c r="G825" i="23" a="1"/>
  <c r="I825" i="23" s="1"/>
  <c r="G826" i="23" a="1"/>
  <c r="I826" i="23" s="1"/>
  <c r="G899" i="23" a="1"/>
  <c r="I899" i="23" s="1"/>
  <c r="G850" i="23" a="1"/>
  <c r="I850" i="23" s="1"/>
  <c r="J23" i="22"/>
  <c r="K23" i="22" s="1"/>
  <c r="L23" i="22" s="1"/>
  <c r="M23" i="22" s="1"/>
  <c r="N24" i="28"/>
  <c r="AO21" i="22"/>
  <c r="M26" i="28"/>
  <c r="N26" i="28"/>
  <c r="K4" i="28"/>
  <c r="J4" i="28"/>
  <c r="L4" i="28"/>
  <c r="L22" i="28"/>
  <c r="J22" i="28"/>
  <c r="K22" i="28"/>
  <c r="L40" i="28"/>
  <c r="J40" i="28"/>
  <c r="L64" i="28"/>
  <c r="J64" i="28"/>
  <c r="M25" i="28"/>
  <c r="N25" i="28"/>
  <c r="M21" i="28"/>
  <c r="N21" i="28"/>
  <c r="K3" i="28"/>
  <c r="L3" i="28"/>
  <c r="M58" i="28"/>
  <c r="N58" i="28"/>
  <c r="L68" i="28"/>
  <c r="K68" i="28"/>
  <c r="L69" i="28"/>
  <c r="J69" i="28"/>
  <c r="N18" i="28"/>
  <c r="M18" i="28"/>
  <c r="M17" i="28"/>
  <c r="N17" i="28"/>
  <c r="L72" i="28"/>
  <c r="J72" i="28"/>
  <c r="L60" i="28"/>
  <c r="K60" i="28"/>
  <c r="K16" i="28"/>
  <c r="L16" i="28"/>
  <c r="J16" i="28"/>
  <c r="M15" i="28"/>
  <c r="N15" i="28"/>
  <c r="M14" i="28"/>
  <c r="N14" i="28"/>
  <c r="N33" i="28"/>
  <c r="M33" i="28"/>
  <c r="O33" i="28" s="1" a="1"/>
  <c r="K12" i="28"/>
  <c r="L12" i="28"/>
  <c r="J12" i="28"/>
  <c r="L48" i="28"/>
  <c r="J48" i="28"/>
  <c r="K48" i="28"/>
  <c r="L61" i="28"/>
  <c r="K61" i="28"/>
  <c r="N11" i="28"/>
  <c r="M11" i="28"/>
  <c r="M10" i="28"/>
  <c r="N10" i="28"/>
  <c r="L30" i="28"/>
  <c r="J30" i="28"/>
  <c r="M9" i="28"/>
  <c r="N9" i="28"/>
  <c r="K63" i="28"/>
  <c r="L63" i="28"/>
  <c r="L8" i="28"/>
  <c r="K8" i="28"/>
  <c r="J8" i="28"/>
  <c r="L45" i="28"/>
  <c r="K45" i="28"/>
  <c r="N7" i="28"/>
  <c r="M7" i="28"/>
  <c r="K28" i="28"/>
  <c r="L28" i="28"/>
  <c r="J28" i="28"/>
  <c r="L54" i="28"/>
  <c r="K54" i="28"/>
  <c r="J54" i="28"/>
  <c r="J6" i="28"/>
  <c r="L6" i="28"/>
  <c r="K6" i="28"/>
  <c r="N27" i="28"/>
  <c r="M27" i="28"/>
  <c r="M57" i="28"/>
  <c r="N57" i="28"/>
  <c r="M5" i="28"/>
  <c r="N5" i="28"/>
  <c r="J145" i="23"/>
  <c r="K145" i="23" s="1"/>
  <c r="L145" i="23"/>
  <c r="M145" i="23"/>
  <c r="J133" i="23"/>
  <c r="J134" i="23"/>
  <c r="M134" i="23" s="1"/>
  <c r="K134" i="23"/>
  <c r="L134" i="23"/>
  <c r="J146" i="23"/>
  <c r="L146" i="23"/>
  <c r="J147" i="23"/>
  <c r="J135" i="23"/>
  <c r="K135" i="23"/>
  <c r="J149" i="23"/>
  <c r="K149" i="23" s="1"/>
  <c r="M149" i="23"/>
  <c r="L149" i="23"/>
  <c r="J150" i="23"/>
  <c r="K150" i="23"/>
  <c r="J151" i="23"/>
  <c r="L151" i="23" s="1"/>
  <c r="K151" i="23"/>
  <c r="M151" i="23"/>
  <c r="J138" i="23"/>
  <c r="L138" i="23"/>
  <c r="J136" i="23"/>
  <c r="L136" i="23" s="1"/>
  <c r="K136" i="23"/>
  <c r="M136" i="23"/>
  <c r="J152" i="23"/>
  <c r="L152" i="23"/>
  <c r="M152" i="23"/>
  <c r="K152" i="23"/>
  <c r="J137" i="23"/>
  <c r="M137" i="23" s="1"/>
  <c r="K137" i="23"/>
  <c r="L137" i="23"/>
  <c r="J148" i="23"/>
  <c r="K148" i="23"/>
  <c r="J139" i="23"/>
  <c r="L139" i="23" s="1"/>
  <c r="M139" i="23"/>
  <c r="K139" i="23"/>
  <c r="J131" i="23"/>
  <c r="J142" i="23"/>
  <c r="J143" i="23"/>
  <c r="L143" i="23"/>
  <c r="J144" i="23"/>
  <c r="M55" i="28"/>
  <c r="N55" i="28"/>
  <c r="M35" i="28"/>
  <c r="N35" i="28"/>
  <c r="M23" i="28"/>
  <c r="N23" i="28"/>
  <c r="M20" i="28"/>
  <c r="N20" i="28"/>
  <c r="N65" i="28"/>
  <c r="M65" i="28"/>
  <c r="O65" i="28" s="1" a="1"/>
  <c r="M39" i="28"/>
  <c r="N39" i="28"/>
  <c r="N32" i="28"/>
  <c r="M32" i="28"/>
  <c r="O32" i="28" s="1" a="1"/>
  <c r="N71" i="28"/>
  <c r="M71" i="28"/>
  <c r="O71" i="28" s="1" a="1"/>
  <c r="N70" i="28"/>
  <c r="M70" i="28"/>
  <c r="O70" i="28" s="1" a="1"/>
  <c r="M67" i="28"/>
  <c r="N67" i="28"/>
  <c r="N66" i="28"/>
  <c r="M66" i="28"/>
  <c r="N62" i="28"/>
  <c r="M62" i="28"/>
  <c r="O62" i="28" s="1" a="1"/>
  <c r="N59" i="28"/>
  <c r="M59" i="28"/>
  <c r="O59" i="28" s="1" a="1"/>
  <c r="M56" i="28"/>
  <c r="N56" i="28"/>
  <c r="N53" i="28"/>
  <c r="M53" i="28"/>
  <c r="O53" i="28" s="1" a="1"/>
  <c r="N52" i="28"/>
  <c r="M52" i="28"/>
  <c r="O52" i="28" s="1" a="1"/>
  <c r="M51" i="28"/>
  <c r="N51" i="28"/>
  <c r="N50" i="28"/>
  <c r="M50" i="28"/>
  <c r="O50" i="28" s="1" a="1"/>
  <c r="N49" i="28"/>
  <c r="M49" i="28"/>
  <c r="O49" i="28" s="1" a="1"/>
  <c r="N47" i="28"/>
  <c r="M47" i="28"/>
  <c r="O47" i="28" s="1" a="1"/>
  <c r="M46" i="28"/>
  <c r="N46" i="28"/>
  <c r="N44" i="28"/>
  <c r="M44" i="28"/>
  <c r="O44" i="28" s="1" a="1"/>
  <c r="M43" i="28"/>
  <c r="N43" i="28"/>
  <c r="N41" i="28"/>
  <c r="M41" i="28"/>
  <c r="O41" i="28" s="1" a="1"/>
  <c r="N38" i="28"/>
  <c r="M38" i="28"/>
  <c r="O38" i="28" s="1" a="1"/>
  <c r="N37" i="28"/>
  <c r="M37" i="28"/>
  <c r="O37" i="28" s="1" a="1"/>
  <c r="M29" i="28"/>
  <c r="N29" i="28"/>
  <c r="K18" i="22"/>
  <c r="Y18" i="22"/>
  <c r="AC160" i="22" a="1"/>
  <c r="O146" i="28" a="1"/>
  <c r="N36" i="28"/>
  <c r="M19" i="28"/>
  <c r="N19" i="28"/>
  <c r="O36" i="28" a="1"/>
  <c r="O35" i="28" a="1"/>
  <c r="O29" i="28" a="1"/>
  <c r="O27" i="28" a="1"/>
  <c r="O23" i="28" a="1"/>
  <c r="O21" i="28" a="1"/>
  <c r="O19" i="28" a="1"/>
  <c r="O18" i="28" a="1"/>
  <c r="O17" i="28" a="1"/>
  <c r="O15" i="28" a="1"/>
  <c r="O11" i="28" a="1"/>
  <c r="O10" i="28" a="1"/>
  <c r="O9" i="28" a="1"/>
  <c r="O7" i="28" a="1"/>
  <c r="O5" i="28" a="1"/>
  <c r="O113" i="28" a="1"/>
  <c r="O142" i="28" a="1"/>
  <c r="O107" i="28" a="1"/>
  <c r="N34" i="28"/>
  <c r="M34" i="28"/>
  <c r="O34" i="28" s="1" a="1"/>
  <c r="M31" i="28"/>
  <c r="N31" i="28"/>
  <c r="O106" i="28" a="1"/>
  <c r="O105" i="28" a="1"/>
  <c r="O104" i="28" a="1"/>
  <c r="O103" i="28" a="1"/>
  <c r="O98" i="28" a="1"/>
  <c r="O96" i="28" a="1"/>
  <c r="O94" i="28" a="1"/>
  <c r="O93" i="28" a="1"/>
  <c r="O90" i="28" a="1"/>
  <c r="O88" i="28" a="1"/>
  <c r="O87" i="28" a="1"/>
  <c r="O66" i="28" a="1"/>
  <c r="O145" i="28" a="1"/>
  <c r="O73" i="28" a="1"/>
  <c r="O58" i="28" a="1"/>
  <c r="O20" i="28" a="1"/>
  <c r="O127" i="28" a="1"/>
  <c r="O116" i="28" a="1"/>
  <c r="O126" i="28" a="1"/>
  <c r="O14" i="28" a="1"/>
  <c r="S16" i="28"/>
  <c r="G700" i="23" a="1"/>
  <c r="I700" i="23" s="1"/>
  <c r="G699" i="23" a="1"/>
  <c r="I699" i="23" s="1"/>
  <c r="G698" i="23" a="1"/>
  <c r="I698" i="23" s="1"/>
  <c r="G697" i="23" a="1"/>
  <c r="I697" i="23" s="1"/>
  <c r="G696" i="23" a="1"/>
  <c r="I696" i="23" s="1"/>
  <c r="G695" i="23" a="1"/>
  <c r="I695" i="23" s="1"/>
  <c r="G694" i="23" a="1"/>
  <c r="I694" i="23" s="1"/>
  <c r="G693" i="23" a="1"/>
  <c r="I693" i="23" s="1"/>
  <c r="G692" i="23" a="1"/>
  <c r="I692" i="23" s="1"/>
  <c r="G691" i="23" a="1"/>
  <c r="I691" i="23" s="1"/>
  <c r="G690" i="23" a="1"/>
  <c r="I690" i="23" s="1"/>
  <c r="G689" i="23" a="1"/>
  <c r="I689" i="23" s="1"/>
  <c r="G688" i="23" a="1"/>
  <c r="I688" i="23" s="1"/>
  <c r="G687" i="23" a="1"/>
  <c r="I687" i="23" s="1"/>
  <c r="G686" i="23" a="1"/>
  <c r="I686" i="23" s="1"/>
  <c r="G685" i="23" a="1"/>
  <c r="I685" i="23" s="1"/>
  <c r="G684" i="23" a="1"/>
  <c r="I684" i="23" s="1"/>
  <c r="G683" i="23" a="1"/>
  <c r="I683" i="23" s="1"/>
  <c r="G682" i="23" a="1"/>
  <c r="I682" i="23" s="1"/>
  <c r="G681" i="23" a="1"/>
  <c r="I681" i="23" s="1"/>
  <c r="G680" i="23" a="1"/>
  <c r="I680" i="23" s="1"/>
  <c r="G679" i="23" a="1"/>
  <c r="I679" i="23" s="1"/>
  <c r="G678" i="23" a="1"/>
  <c r="I678" i="23" s="1"/>
  <c r="G647" i="23" a="1"/>
  <c r="I647" i="23" s="1"/>
  <c r="G754" i="23" a="1"/>
  <c r="I754" i="23" s="1"/>
  <c r="G648" i="23" a="1"/>
  <c r="I648" i="23" s="1"/>
  <c r="G606" i="23" a="1"/>
  <c r="I606" i="23" s="1"/>
  <c r="G607" i="23" a="1"/>
  <c r="I607" i="23" s="1"/>
  <c r="G753" i="23" a="1"/>
  <c r="I753" i="23" s="1"/>
  <c r="G712" i="23" a="1"/>
  <c r="I712" i="23" s="1"/>
  <c r="G608" i="23" a="1"/>
  <c r="I608" i="23" s="1"/>
  <c r="G671" i="23" a="1"/>
  <c r="I671" i="23" s="1"/>
  <c r="G752" i="23" a="1"/>
  <c r="I752" i="23" s="1"/>
  <c r="G751" i="23" a="1"/>
  <c r="I751" i="23" s="1"/>
  <c r="G609" i="23" a="1"/>
  <c r="I609" i="23" s="1"/>
  <c r="G676" i="23" a="1"/>
  <c r="I676" i="23" s="1"/>
  <c r="G610" i="23" a="1"/>
  <c r="I610" i="23" s="1"/>
  <c r="G711" i="23" a="1"/>
  <c r="I711" i="23" s="1"/>
  <c r="G750" i="23" a="1"/>
  <c r="I750" i="23" s="1"/>
  <c r="G649" i="23" a="1"/>
  <c r="I649" i="23" s="1"/>
  <c r="G611" i="23" a="1"/>
  <c r="I611" i="23" s="1"/>
  <c r="G749" i="23" a="1"/>
  <c r="I749" i="23" s="1"/>
  <c r="G748" i="23" a="1"/>
  <c r="I748" i="23" s="1"/>
  <c r="G612" i="23" a="1"/>
  <c r="I612" i="23" s="1"/>
  <c r="G650" i="23" a="1"/>
  <c r="I650" i="23" s="1"/>
  <c r="G613" i="23" a="1"/>
  <c r="I613" i="23" s="1"/>
  <c r="G747" i="23" a="1"/>
  <c r="I747" i="23" s="1"/>
  <c r="G662" i="23" a="1"/>
  <c r="I662" i="23" s="1"/>
  <c r="G614" i="23" a="1"/>
  <c r="I614" i="23" s="1"/>
  <c r="G746" i="23" a="1"/>
  <c r="I746" i="23" s="1"/>
  <c r="G710" i="23" a="1"/>
  <c r="I710" i="23" s="1"/>
  <c r="G675" i="23" a="1"/>
  <c r="I675" i="23" s="1"/>
  <c r="G745" i="23" a="1"/>
  <c r="I745" i="23" s="1"/>
  <c r="G615" i="23" a="1"/>
  <c r="I615" i="23" s="1"/>
  <c r="G709" i="23" a="1"/>
  <c r="I709" i="23" s="1"/>
  <c r="G744" i="23" a="1"/>
  <c r="I744" i="23" s="1"/>
  <c r="G616" i="23" a="1"/>
  <c r="I616" i="23" s="1"/>
  <c r="G651" i="23" a="1"/>
  <c r="I651" i="23" s="1"/>
  <c r="G743" i="23" a="1"/>
  <c r="I743" i="23" s="1"/>
  <c r="G617" i="23" a="1"/>
  <c r="I617" i="23" s="1"/>
  <c r="G742" i="23" a="1"/>
  <c r="I742" i="23" s="1"/>
  <c r="G618" i="23" a="1"/>
  <c r="I618" i="23" s="1"/>
  <c r="G667" i="23" a="1"/>
  <c r="I667" i="23" s="1"/>
  <c r="G708" i="23" a="1"/>
  <c r="I708" i="23" s="1"/>
  <c r="G619" i="23" a="1"/>
  <c r="I619" i="23" s="1"/>
  <c r="G740" i="23" a="1"/>
  <c r="I740" i="23" s="1"/>
  <c r="G620" i="23" a="1"/>
  <c r="I620" i="23" s="1"/>
  <c r="G739" i="23" a="1"/>
  <c r="I739" i="23" s="1"/>
  <c r="G652" i="23" a="1"/>
  <c r="I652" i="23" s="1"/>
  <c r="G621" i="23" a="1"/>
  <c r="I621" i="23" s="1"/>
  <c r="G738" i="23" a="1"/>
  <c r="I738" i="23" s="1"/>
  <c r="G653" i="23" a="1"/>
  <c r="I653" i="23" s="1"/>
  <c r="G663" i="23" a="1"/>
  <c r="I663" i="23" s="1"/>
  <c r="G737" i="23" a="1"/>
  <c r="I737" i="23" s="1"/>
  <c r="G622" i="23" a="1"/>
  <c r="I622" i="23" s="1"/>
  <c r="G736" i="23" a="1"/>
  <c r="I736" i="23" s="1"/>
  <c r="G674" i="23" a="1"/>
  <c r="I674" i="23" s="1"/>
  <c r="G623" i="23" a="1"/>
  <c r="I623" i="23" s="1"/>
  <c r="G664" i="23" a="1"/>
  <c r="I664" i="23" s="1"/>
  <c r="G735" i="23" a="1"/>
  <c r="I735" i="23" s="1"/>
  <c r="G624" i="23" a="1"/>
  <c r="I624" i="23" s="1"/>
  <c r="G707" i="23" a="1"/>
  <c r="I707" i="23" s="1"/>
  <c r="G734" i="23" a="1"/>
  <c r="I734" i="23" s="1"/>
  <c r="G625" i="23" a="1"/>
  <c r="I625" i="23" s="1"/>
  <c r="G654" i="23" a="1"/>
  <c r="I654" i="23" s="1"/>
  <c r="G733" i="23" a="1"/>
  <c r="I733" i="23" s="1"/>
  <c r="G626" i="23" a="1"/>
  <c r="I626" i="23" s="1"/>
  <c r="G669" i="23" a="1"/>
  <c r="I669" i="23" s="1"/>
  <c r="G732" i="23" a="1"/>
  <c r="I732" i="23" s="1"/>
  <c r="G627" i="23" a="1"/>
  <c r="I627" i="23" s="1"/>
  <c r="G706" i="23" a="1"/>
  <c r="I706" i="23" s="1"/>
  <c r="G731" i="23" a="1"/>
  <c r="I731" i="23" s="1"/>
  <c r="G628" i="23" a="1"/>
  <c r="I628" i="23" s="1"/>
  <c r="G655" i="23" a="1"/>
  <c r="I655" i="23" s="1"/>
  <c r="G629" i="23" a="1"/>
  <c r="I629" i="23" s="1"/>
  <c r="G730" i="23" a="1"/>
  <c r="I730" i="23" s="1"/>
  <c r="G705" i="23" a="1"/>
  <c r="I705" i="23" s="1"/>
  <c r="G729" i="23" a="1"/>
  <c r="I729" i="23" s="1"/>
  <c r="G630" i="23" a="1"/>
  <c r="I630" i="23" s="1"/>
  <c r="G631" i="23" a="1"/>
  <c r="I631" i="23" s="1"/>
  <c r="G728" i="23" a="1"/>
  <c r="I728" i="23" s="1"/>
  <c r="G673" i="23" a="1"/>
  <c r="I673" i="23" s="1"/>
  <c r="G727" i="23" a="1"/>
  <c r="I727" i="23" s="1"/>
  <c r="G656" i="23" a="1"/>
  <c r="I656" i="23" s="1"/>
  <c r="G632" i="23" a="1"/>
  <c r="I632" i="23" s="1"/>
  <c r="G633" i="23" a="1"/>
  <c r="I633" i="23" s="1"/>
  <c r="G726" i="23" a="1"/>
  <c r="I726" i="23" s="1"/>
  <c r="G668" i="23" a="1"/>
  <c r="I668" i="23" s="1"/>
  <c r="G634" i="23" a="1"/>
  <c r="I634" i="23" s="1"/>
  <c r="G741" i="23" a="1"/>
  <c r="I741" i="23" s="1"/>
  <c r="G704" i="23" a="1"/>
  <c r="I704" i="23" s="1"/>
  <c r="G725" i="23" a="1"/>
  <c r="I725" i="23" s="1"/>
  <c r="G635" i="23" a="1"/>
  <c r="I635" i="23" s="1"/>
  <c r="G657" i="23" a="1"/>
  <c r="I657" i="23" s="1"/>
  <c r="G724" i="23" a="1"/>
  <c r="I724" i="23" s="1"/>
  <c r="G658" i="23" a="1"/>
  <c r="I658" i="23" s="1"/>
  <c r="G636" i="23" a="1"/>
  <c r="I636" i="23" s="1"/>
  <c r="G637" i="23" a="1"/>
  <c r="I637" i="23" s="1"/>
  <c r="G723" i="23" a="1"/>
  <c r="I723" i="23" s="1"/>
  <c r="G703" i="23" a="1"/>
  <c r="I703" i="23" s="1"/>
  <c r="G638" i="23" a="1"/>
  <c r="I638" i="23" s="1"/>
  <c r="G722" i="23" a="1"/>
  <c r="I722" i="23" s="1"/>
  <c r="G665" i="23" a="1"/>
  <c r="I665" i="23" s="1"/>
  <c r="G639" i="23" a="1"/>
  <c r="I639" i="23" s="1"/>
  <c r="G721" i="23" a="1"/>
  <c r="I721" i="23" s="1"/>
  <c r="G672" i="23" a="1"/>
  <c r="I672" i="23" s="1"/>
  <c r="G640" i="23" a="1"/>
  <c r="I640" i="23" s="1"/>
  <c r="G720" i="23" a="1"/>
  <c r="I720" i="23" s="1"/>
  <c r="G702" i="23" a="1"/>
  <c r="I702" i="23" s="1"/>
  <c r="G659" i="23" a="1"/>
  <c r="I659" i="23" s="1"/>
  <c r="G641" i="23" a="1"/>
  <c r="I641" i="23" s="1"/>
  <c r="G719" i="23" a="1"/>
  <c r="I719" i="23" s="1"/>
  <c r="G718" i="23" a="1"/>
  <c r="I718" i="23" s="1"/>
  <c r="G642" i="23" a="1"/>
  <c r="I642" i="23" s="1"/>
  <c r="G701" i="23" a="1"/>
  <c r="I701" i="23" s="1"/>
  <c r="G660" i="23" a="1"/>
  <c r="I660" i="23" s="1"/>
  <c r="G717" i="23" a="1"/>
  <c r="I717" i="23" s="1"/>
  <c r="G643" i="23" a="1"/>
  <c r="I643" i="23" s="1"/>
  <c r="G644" i="23" a="1"/>
  <c r="I644" i="23" s="1"/>
  <c r="G666" i="23" a="1"/>
  <c r="I666" i="23" s="1"/>
  <c r="G716" i="23" a="1"/>
  <c r="I716" i="23" s="1"/>
  <c r="G670" i="23" a="1"/>
  <c r="I670" i="23" s="1"/>
  <c r="G715" i="23" a="1"/>
  <c r="I715" i="23" s="1"/>
  <c r="G645" i="23" a="1"/>
  <c r="I645" i="23" s="1"/>
  <c r="G646" i="23" a="1"/>
  <c r="I646" i="23" s="1"/>
  <c r="G677" i="23" a="1"/>
  <c r="I677" i="23" s="1"/>
  <c r="G714" i="23" a="1"/>
  <c r="I714" i="23" s="1"/>
  <c r="G713" i="23" a="1"/>
  <c r="I713" i="23" s="1"/>
  <c r="G661" i="23" a="1"/>
  <c r="I661" i="23" s="1"/>
  <c r="G755" i="23" a="1"/>
  <c r="I755" i="23" s="1"/>
  <c r="G756" i="23" a="1"/>
  <c r="I756" i="23" s="1"/>
  <c r="J22" i="22"/>
  <c r="K22" i="22" s="1"/>
  <c r="L22" i="22" s="1"/>
  <c r="M22" i="22" s="1"/>
  <c r="J130" i="23"/>
  <c r="K130" i="23" s="1"/>
  <c r="M130" i="23"/>
  <c r="L130" i="23"/>
  <c r="J129" i="23"/>
  <c r="K129" i="23" s="1"/>
  <c r="J128" i="23"/>
  <c r="K128" i="23" s="1"/>
  <c r="J127" i="23"/>
  <c r="J126" i="23"/>
  <c r="M126" i="23" s="1"/>
  <c r="L126" i="23"/>
  <c r="K126" i="23"/>
  <c r="J125" i="23"/>
  <c r="K125" i="23" s="1"/>
  <c r="L125" i="23"/>
  <c r="M125" i="23"/>
  <c r="J124" i="23"/>
  <c r="J123" i="23"/>
  <c r="J122" i="23"/>
  <c r="K122" i="23"/>
  <c r="M122" i="23"/>
  <c r="L122" i="23"/>
  <c r="J121" i="23"/>
  <c r="K121" i="23"/>
  <c r="L121" i="23"/>
  <c r="M121" i="23"/>
  <c r="J120" i="23"/>
  <c r="K120" i="23"/>
  <c r="L120" i="23"/>
  <c r="M120" i="23"/>
  <c r="J119" i="23"/>
  <c r="K119" i="23"/>
  <c r="L119" i="23"/>
  <c r="M119" i="23"/>
  <c r="J118" i="23"/>
  <c r="K118" i="23"/>
  <c r="L118" i="23"/>
  <c r="M118" i="23"/>
  <c r="J117" i="23"/>
  <c r="M117" i="23" s="1"/>
  <c r="K117" i="23"/>
  <c r="L117" i="23"/>
  <c r="J116" i="23"/>
  <c r="M116" i="23"/>
  <c r="L116" i="23"/>
  <c r="K116" i="23"/>
  <c r="J115" i="23"/>
  <c r="L115" i="23" s="1"/>
  <c r="K115" i="23"/>
  <c r="M115" i="23"/>
  <c r="J114" i="23"/>
  <c r="L114" i="23" s="1"/>
  <c r="K114" i="23"/>
  <c r="M114" i="23"/>
  <c r="J113" i="23"/>
  <c r="L113" i="23" s="1"/>
  <c r="K113" i="23"/>
  <c r="M113" i="23"/>
  <c r="J112" i="23"/>
  <c r="L112" i="23" s="1"/>
  <c r="K112" i="23"/>
  <c r="M112" i="23"/>
  <c r="J111" i="23"/>
  <c r="L111" i="23" s="1"/>
  <c r="K111" i="23"/>
  <c r="M111" i="23"/>
  <c r="J110" i="23"/>
  <c r="M110" i="23" s="1"/>
  <c r="K110" i="23"/>
  <c r="L110" i="23"/>
  <c r="J109" i="23"/>
  <c r="M109" i="23" s="1"/>
  <c r="J108" i="23"/>
  <c r="L108" i="23" s="1"/>
  <c r="K108" i="23"/>
  <c r="M108" i="23"/>
  <c r="J107" i="23"/>
  <c r="M107" i="23"/>
  <c r="J106" i="23"/>
  <c r="L106" i="23"/>
  <c r="K106" i="23"/>
  <c r="M106" i="23"/>
  <c r="G605" i="23" a="1"/>
  <c r="I605" i="23" s="1"/>
  <c r="G604" i="23" a="1"/>
  <c r="I604" i="23" s="1"/>
  <c r="G602" i="23" a="1"/>
  <c r="I602" i="23" s="1"/>
  <c r="G601" i="23" a="1"/>
  <c r="I601" i="23" s="1"/>
  <c r="G600" i="23" a="1"/>
  <c r="I600" i="23" s="1"/>
  <c r="G599" i="23" a="1"/>
  <c r="I599" i="23" s="1"/>
  <c r="G598" i="23" a="1"/>
  <c r="I598" i="23" s="1"/>
  <c r="G597" i="23" a="1"/>
  <c r="I597" i="23" s="1"/>
  <c r="G596" i="23" a="1"/>
  <c r="I596" i="23" s="1"/>
  <c r="G595" i="23" a="1"/>
  <c r="I595" i="23" s="1"/>
  <c r="G594" i="23" a="1"/>
  <c r="I594" i="23" s="1"/>
  <c r="G593" i="23" a="1"/>
  <c r="I593" i="23" s="1"/>
  <c r="G592" i="23" a="1"/>
  <c r="I592" i="23" s="1"/>
  <c r="G591" i="23" a="1"/>
  <c r="I591" i="23" s="1"/>
  <c r="G590" i="23" a="1"/>
  <c r="I590" i="23" s="1"/>
  <c r="G589" i="23" a="1"/>
  <c r="I589" i="23" s="1"/>
  <c r="G588" i="23" a="1"/>
  <c r="I588" i="23" s="1"/>
  <c r="G587" i="23" a="1"/>
  <c r="I587" i="23" s="1"/>
  <c r="G586" i="23" a="1"/>
  <c r="I586" i="23" s="1"/>
  <c r="G585" i="23" a="1"/>
  <c r="I585" i="23" s="1"/>
  <c r="G584" i="23" a="1"/>
  <c r="I584" i="23" s="1"/>
  <c r="G583" i="23" a="1"/>
  <c r="I583" i="23" s="1"/>
  <c r="G582" i="23" a="1"/>
  <c r="I582" i="23" s="1"/>
  <c r="G581" i="23" a="1"/>
  <c r="I581" i="23" s="1"/>
  <c r="G580" i="23" a="1"/>
  <c r="I580" i="23" s="1"/>
  <c r="G579" i="23" a="1"/>
  <c r="I579" i="23" s="1"/>
  <c r="G578" i="23" a="1"/>
  <c r="I578" i="23" s="1"/>
  <c r="G577" i="23" a="1"/>
  <c r="I577" i="23" s="1"/>
  <c r="G576" i="23" a="1"/>
  <c r="I576" i="23" s="1"/>
  <c r="G575" i="23" a="1"/>
  <c r="I575" i="23" s="1"/>
  <c r="G574" i="23" a="1"/>
  <c r="I574" i="23" s="1"/>
  <c r="G469" i="23" a="1"/>
  <c r="I469" i="23" s="1"/>
  <c r="G603" i="23" a="1"/>
  <c r="I603" i="23" s="1"/>
  <c r="G534" i="23" a="1"/>
  <c r="I534" i="23" s="1"/>
  <c r="G455" i="23" a="1"/>
  <c r="I455" i="23" s="1"/>
  <c r="G520" i="23" a="1"/>
  <c r="I520" i="23" s="1"/>
  <c r="G572" i="23" a="1"/>
  <c r="I572" i="23" s="1"/>
  <c r="G533" i="23" a="1"/>
  <c r="I533" i="23" s="1"/>
  <c r="G456" i="23" a="1"/>
  <c r="I456" i="23" s="1"/>
  <c r="G571" i="23" a="1"/>
  <c r="I571" i="23" s="1"/>
  <c r="G457" i="23" a="1"/>
  <c r="I457" i="23" s="1"/>
  <c r="G494" i="23" a="1"/>
  <c r="I494" i="23" s="1"/>
  <c r="G570" i="23" a="1"/>
  <c r="I570" i="23" s="1"/>
  <c r="G569" i="23" a="1"/>
  <c r="I569" i="23" s="1"/>
  <c r="G495" i="23" a="1"/>
  <c r="I495" i="23" s="1"/>
  <c r="G458" i="23" a="1"/>
  <c r="I458" i="23" s="1"/>
  <c r="G459" i="23" a="1"/>
  <c r="I459" i="23" s="1"/>
  <c r="G568" i="23" a="1"/>
  <c r="I568" i="23" s="1"/>
  <c r="G532" i="23" a="1"/>
  <c r="I532" i="23" s="1"/>
  <c r="G460" i="23" a="1"/>
  <c r="I460" i="23" s="1"/>
  <c r="G567" i="23" a="1"/>
  <c r="I567" i="23" s="1"/>
  <c r="G507" i="23" a="1"/>
  <c r="I507" i="23" s="1"/>
  <c r="G566" i="23" a="1"/>
  <c r="I566" i="23" s="1"/>
  <c r="G461" i="23" a="1"/>
  <c r="I461" i="23" s="1"/>
  <c r="G519" i="23" a="1"/>
  <c r="I519" i="23" s="1"/>
  <c r="G462" i="23" a="1"/>
  <c r="I462" i="23" s="1"/>
  <c r="G496" i="23" a="1"/>
  <c r="I496" i="23" s="1"/>
  <c r="G565" i="23" a="1"/>
  <c r="I565" i="23" s="1"/>
  <c r="G564" i="23" a="1"/>
  <c r="I564" i="23" s="1"/>
  <c r="G463" i="23" a="1"/>
  <c r="I463" i="23" s="1"/>
  <c r="G531" i="23" a="1"/>
  <c r="I531" i="23" s="1"/>
  <c r="G516" i="23" a="1"/>
  <c r="I516" i="23" s="1"/>
  <c r="G563" i="23" a="1"/>
  <c r="I563" i="23" s="1"/>
  <c r="G464" i="23" a="1"/>
  <c r="I464" i="23" s="1"/>
  <c r="G562" i="23" a="1"/>
  <c r="I562" i="23" s="1"/>
  <c r="G465" i="23" a="1"/>
  <c r="I465" i="23" s="1"/>
  <c r="G530" i="23" a="1"/>
  <c r="I530" i="23" s="1"/>
  <c r="G561" i="23" a="1"/>
  <c r="I561" i="23" s="1"/>
  <c r="G497" i="23" a="1"/>
  <c r="I497" i="23" s="1"/>
  <c r="G466" i="23" a="1"/>
  <c r="I466" i="23" s="1"/>
  <c r="G560" i="23" a="1"/>
  <c r="I560" i="23" s="1"/>
  <c r="G467" i="23" a="1"/>
  <c r="I467" i="23" s="1"/>
  <c r="G529" i="23" a="1"/>
  <c r="I529" i="23" s="1"/>
  <c r="G559" i="23" a="1"/>
  <c r="I559" i="23" s="1"/>
  <c r="G468" i="23" a="1"/>
  <c r="I468" i="23" s="1"/>
  <c r="G498" i="23" a="1"/>
  <c r="I498" i="23" s="1"/>
  <c r="G508" i="23" a="1"/>
  <c r="I508" i="23" s="1"/>
  <c r="G499" i="23" a="1"/>
  <c r="I499" i="23" s="1"/>
  <c r="G558" i="23" a="1"/>
  <c r="I558" i="23" s="1"/>
  <c r="G514" i="23" a="1"/>
  <c r="I514" i="23" s="1"/>
  <c r="G470" i="23" a="1"/>
  <c r="I470" i="23" s="1"/>
  <c r="G557" i="23" a="1"/>
  <c r="I557" i="23" s="1"/>
  <c r="G528" i="23" a="1"/>
  <c r="I528" i="23" s="1"/>
  <c r="G556" i="23" a="1"/>
  <c r="I556" i="23" s="1"/>
  <c r="G471" i="23" a="1"/>
  <c r="I471" i="23" s="1"/>
  <c r="G500" i="23" a="1"/>
  <c r="I500" i="23" s="1"/>
  <c r="G472" i="23" a="1"/>
  <c r="I472" i="23" s="1"/>
  <c r="G555" i="23" a="1"/>
  <c r="I555" i="23" s="1"/>
  <c r="G473" i="23" a="1"/>
  <c r="I473" i="23" s="1"/>
  <c r="G554" i="23" a="1"/>
  <c r="I554" i="23" s="1"/>
  <c r="G527" i="23" a="1"/>
  <c r="I527" i="23" s="1"/>
  <c r="G509" i="23" a="1"/>
  <c r="I509" i="23" s="1"/>
  <c r="G474" i="23" a="1"/>
  <c r="I474" i="23" s="1"/>
  <c r="G553" i="23" a="1"/>
  <c r="I553" i="23" s="1"/>
  <c r="G552" i="23" a="1"/>
  <c r="I552" i="23" s="1"/>
  <c r="G475" i="23" a="1"/>
  <c r="I475" i="23" s="1"/>
  <c r="G518" i="23" a="1"/>
  <c r="I518" i="23" s="1"/>
  <c r="G551" i="23" a="1"/>
  <c r="I551" i="23" s="1"/>
  <c r="G476" i="23" a="1"/>
  <c r="I476" i="23" s="1"/>
  <c r="G526" i="23" a="1"/>
  <c r="I526" i="23" s="1"/>
  <c r="G477" i="23" a="1"/>
  <c r="I477" i="23" s="1"/>
  <c r="G501" i="23" a="1"/>
  <c r="I501" i="23" s="1"/>
  <c r="G550" i="23" a="1"/>
  <c r="I550" i="23" s="1"/>
  <c r="G517" i="23" a="1"/>
  <c r="I517" i="23" s="1"/>
  <c r="G549" i="23" a="1"/>
  <c r="I549" i="23" s="1"/>
  <c r="G478" i="23" a="1"/>
  <c r="I478" i="23" s="1"/>
  <c r="G502" i="23" a="1"/>
  <c r="I502" i="23" s="1"/>
  <c r="G479" i="23" a="1"/>
  <c r="I479" i="23" s="1"/>
  <c r="G548" i="23" a="1"/>
  <c r="I548" i="23" s="1"/>
  <c r="G480" i="23" a="1"/>
  <c r="I480" i="23" s="1"/>
  <c r="G547" i="23" a="1"/>
  <c r="I547" i="23" s="1"/>
  <c r="G525" i="23" a="1"/>
  <c r="I525" i="23" s="1"/>
  <c r="G510" i="23" a="1"/>
  <c r="I510" i="23" s="1"/>
  <c r="G481" i="23" a="1"/>
  <c r="I481" i="23" s="1"/>
  <c r="G546" i="23" a="1"/>
  <c r="I546" i="23" s="1"/>
  <c r="G482" i="23" a="1"/>
  <c r="I482" i="23" s="1"/>
  <c r="G545" i="23" a="1"/>
  <c r="I545" i="23" s="1"/>
  <c r="G503" i="23" a="1"/>
  <c r="I503" i="23" s="1"/>
  <c r="G524" i="23" a="1"/>
  <c r="I524" i="23" s="1"/>
  <c r="G544" i="23" a="1"/>
  <c r="I544" i="23" s="1"/>
  <c r="G483" i="23" a="1"/>
  <c r="I483" i="23" s="1"/>
  <c r="G543" i="23" a="1"/>
  <c r="I543" i="23" s="1"/>
  <c r="G484" i="23" a="1"/>
  <c r="I484" i="23" s="1"/>
  <c r="G523" i="23" a="1"/>
  <c r="I523" i="23" s="1"/>
  <c r="G515" i="23" a="1"/>
  <c r="I515" i="23" s="1"/>
  <c r="G542" i="23" a="1"/>
  <c r="I542" i="23" s="1"/>
  <c r="G485" i="23" a="1"/>
  <c r="I485" i="23" s="1"/>
  <c r="G541" i="23" a="1"/>
  <c r="I541" i="23" s="1"/>
  <c r="G504" i="23" a="1"/>
  <c r="I504" i="23" s="1"/>
  <c r="G486" i="23" a="1"/>
  <c r="I486" i="23" s="1"/>
  <c r="G522" i="23" a="1"/>
  <c r="I522" i="23" s="1"/>
  <c r="G540" i="23" a="1"/>
  <c r="I540" i="23" s="1"/>
  <c r="G487" i="23" a="1"/>
  <c r="I487" i="23" s="1"/>
  <c r="G488" i="23" a="1"/>
  <c r="I488" i="23" s="1"/>
  <c r="G539" i="23" a="1"/>
  <c r="I539" i="23" s="1"/>
  <c r="G513" i="23" a="1"/>
  <c r="I513" i="23" s="1"/>
  <c r="G489" i="23" a="1"/>
  <c r="I489" i="23" s="1"/>
  <c r="G538" i="23" a="1"/>
  <c r="I538" i="23" s="1"/>
  <c r="G505" i="23" a="1"/>
  <c r="I505" i="23" s="1"/>
  <c r="G511" i="23" a="1"/>
  <c r="I511" i="23" s="1"/>
  <c r="G537" i="23" a="1"/>
  <c r="I537" i="23" s="1"/>
  <c r="G490" i="23" a="1"/>
  <c r="I490" i="23" s="1"/>
  <c r="G521" i="23" a="1"/>
  <c r="I521" i="23" s="1"/>
  <c r="G491" i="23" a="1"/>
  <c r="I491" i="23" s="1"/>
  <c r="G536" i="23" a="1"/>
  <c r="I536" i="23" s="1"/>
  <c r="G492" i="23" a="1"/>
  <c r="I492" i="23" s="1"/>
  <c r="G535" i="23" a="1"/>
  <c r="I535" i="23" s="1"/>
  <c r="G506" i="23" a="1"/>
  <c r="I506" i="23" s="1"/>
  <c r="G512" i="23" a="1"/>
  <c r="I512" i="23" s="1"/>
  <c r="G493" i="23" a="1"/>
  <c r="I493" i="23" s="1"/>
  <c r="G573" i="23" a="1"/>
  <c r="I573" i="23" s="1"/>
  <c r="J21" i="22"/>
  <c r="G401" i="23" a="1"/>
  <c r="I401" i="23" s="1"/>
  <c r="G400" i="23" a="1"/>
  <c r="I400" i="23" s="1"/>
  <c r="G399" i="23" a="1"/>
  <c r="I399" i="23" s="1"/>
  <c r="G398" i="23" a="1"/>
  <c r="I398" i="23" s="1"/>
  <c r="G397" i="23" a="1"/>
  <c r="I397" i="23" s="1"/>
  <c r="G396" i="23" a="1"/>
  <c r="I396" i="23" s="1"/>
  <c r="G395" i="23" a="1"/>
  <c r="I395" i="23" s="1"/>
  <c r="G394" i="23" a="1"/>
  <c r="I394" i="23" s="1"/>
  <c r="G393" i="23" a="1"/>
  <c r="I393" i="23" s="1"/>
  <c r="G392" i="23" a="1"/>
  <c r="I392" i="23" s="1"/>
  <c r="G391" i="23" a="1"/>
  <c r="I391" i="23" s="1"/>
  <c r="G390" i="23" a="1"/>
  <c r="I390" i="23" s="1"/>
  <c r="G389" i="23" a="1"/>
  <c r="I389" i="23" s="1"/>
  <c r="G388" i="23" a="1"/>
  <c r="I388" i="23" s="1"/>
  <c r="G387" i="23" a="1"/>
  <c r="I387" i="23" s="1"/>
  <c r="G386" i="23" a="1"/>
  <c r="I386" i="23" s="1"/>
  <c r="G385" i="23" a="1"/>
  <c r="I385" i="23" s="1"/>
  <c r="G384" i="23" a="1"/>
  <c r="I384" i="23" s="1"/>
  <c r="G383" i="23" a="1"/>
  <c r="I383" i="23" s="1"/>
  <c r="G382" i="23" a="1"/>
  <c r="I382" i="23" s="1"/>
  <c r="G381" i="23" a="1"/>
  <c r="I381" i="23" s="1"/>
  <c r="G380" i="23" a="1"/>
  <c r="I380" i="23" s="1"/>
  <c r="G379" i="23" a="1"/>
  <c r="I379" i="23" s="1"/>
  <c r="G378" i="23" a="1"/>
  <c r="I378" i="23" s="1"/>
  <c r="G377" i="23" a="1"/>
  <c r="I377" i="23" s="1"/>
  <c r="G376" i="23" a="1"/>
  <c r="I376" i="23" s="1"/>
  <c r="G375" i="23" a="1"/>
  <c r="I375" i="23" s="1"/>
  <c r="G374" i="23" a="1"/>
  <c r="I374" i="23" s="1"/>
  <c r="G373" i="23" a="1"/>
  <c r="I373" i="23" s="1"/>
  <c r="G372" i="23" a="1"/>
  <c r="I372" i="23" s="1"/>
  <c r="G371" i="23" a="1"/>
  <c r="I371" i="23" s="1"/>
  <c r="G370" i="23" a="1"/>
  <c r="I370" i="23" s="1"/>
  <c r="G369" i="23" a="1"/>
  <c r="I369" i="23" s="1"/>
  <c r="G368" i="23" a="1"/>
  <c r="I368" i="23" s="1"/>
  <c r="G367" i="23" a="1"/>
  <c r="I367" i="23" s="1"/>
  <c r="G366" i="23" a="1"/>
  <c r="I366" i="23" s="1"/>
  <c r="G365" i="23" a="1"/>
  <c r="I365" i="23" s="1"/>
  <c r="G364" i="23" a="1"/>
  <c r="I364" i="23" s="1"/>
  <c r="G363" i="23" a="1"/>
  <c r="I363" i="23" s="1"/>
  <c r="G362" i="23" a="1"/>
  <c r="I362" i="23" s="1"/>
  <c r="G361" i="23" a="1"/>
  <c r="I361" i="23" s="1"/>
  <c r="G360" i="23" a="1"/>
  <c r="I360" i="23" s="1"/>
  <c r="G359" i="23" a="1"/>
  <c r="I359" i="23" s="1"/>
  <c r="G358" i="23" a="1"/>
  <c r="I358" i="23" s="1"/>
  <c r="G357" i="23" a="1"/>
  <c r="I357" i="23" s="1"/>
  <c r="G356" i="23" a="1"/>
  <c r="I356" i="23" s="1"/>
  <c r="G355" i="23" a="1"/>
  <c r="I355" i="23" s="1"/>
  <c r="G354" i="23" a="1"/>
  <c r="I354" i="23" s="1"/>
  <c r="G353" i="23" a="1"/>
  <c r="I353" i="23" s="1"/>
  <c r="J105" i="23"/>
  <c r="K105" i="23"/>
  <c r="L105" i="23"/>
  <c r="M105" i="23"/>
  <c r="J104" i="23"/>
  <c r="K104" i="23" s="1"/>
  <c r="L104" i="23"/>
  <c r="M104" i="23"/>
  <c r="J103" i="23"/>
  <c r="M103" i="23" s="1"/>
  <c r="K103" i="23"/>
  <c r="L103" i="23"/>
  <c r="J102" i="23"/>
  <c r="K102" i="23"/>
  <c r="L102" i="23"/>
  <c r="M102" i="23"/>
  <c r="J101" i="23"/>
  <c r="K101" i="23"/>
  <c r="L101" i="23"/>
  <c r="M101" i="23"/>
  <c r="J100" i="23"/>
  <c r="M100" i="23" s="1"/>
  <c r="K100" i="23"/>
  <c r="L100" i="23"/>
  <c r="J99" i="23"/>
  <c r="K99" i="23"/>
  <c r="L99" i="23"/>
  <c r="M99" i="23"/>
  <c r="J98" i="23"/>
  <c r="K98" i="23"/>
  <c r="L98" i="23"/>
  <c r="M98" i="23"/>
  <c r="J97" i="23"/>
  <c r="K97" i="23"/>
  <c r="L97" i="23"/>
  <c r="M97" i="23"/>
  <c r="J96" i="23"/>
  <c r="K96" i="23"/>
  <c r="L96" i="23"/>
  <c r="M96" i="23"/>
  <c r="J95" i="23"/>
  <c r="K95" i="23"/>
  <c r="L95" i="23"/>
  <c r="M95" i="23"/>
  <c r="J94" i="23"/>
  <c r="M94" i="23" s="1"/>
  <c r="K94" i="23"/>
  <c r="L94" i="23"/>
  <c r="J93" i="23"/>
  <c r="J92" i="23"/>
  <c r="K92" i="23"/>
  <c r="L92" i="23"/>
  <c r="M92" i="23"/>
  <c r="J91" i="23"/>
  <c r="K91" i="23" s="1"/>
  <c r="L91" i="23"/>
  <c r="M91" i="23"/>
  <c r="J90" i="23"/>
  <c r="M90" i="23" s="1"/>
  <c r="K90" i="23"/>
  <c r="L90" i="23"/>
  <c r="J89" i="23"/>
  <c r="K89" i="23"/>
  <c r="J88" i="23"/>
  <c r="M88" i="23" s="1"/>
  <c r="K88" i="23"/>
  <c r="L88" i="23"/>
  <c r="J87" i="23"/>
  <c r="M87" i="23" s="1"/>
  <c r="K87" i="23"/>
  <c r="L87" i="23"/>
  <c r="J86" i="23"/>
  <c r="K86" i="23"/>
  <c r="J85" i="23"/>
  <c r="K85" i="23"/>
  <c r="L85" i="23"/>
  <c r="M85" i="23"/>
  <c r="J84" i="23"/>
  <c r="K84" i="23"/>
  <c r="L84" i="23"/>
  <c r="M84" i="23"/>
  <c r="J83" i="23"/>
  <c r="K83" i="23"/>
  <c r="L83" i="23"/>
  <c r="M83" i="23"/>
  <c r="J82" i="23"/>
  <c r="M82" i="23" s="1"/>
  <c r="K82" i="23"/>
  <c r="L82" i="23"/>
  <c r="J81" i="23"/>
  <c r="M81" i="23" s="1"/>
  <c r="K81" i="23"/>
  <c r="L81" i="23"/>
  <c r="J80" i="23"/>
  <c r="K80" i="23" s="1"/>
  <c r="L80" i="23"/>
  <c r="M80" i="23"/>
  <c r="J79" i="23"/>
  <c r="K79" i="23"/>
  <c r="L79" i="23"/>
  <c r="M79" i="23"/>
  <c r="J78" i="23"/>
  <c r="K78" i="23"/>
  <c r="L78" i="23"/>
  <c r="M78" i="23"/>
  <c r="J77" i="23"/>
  <c r="M77" i="23" s="1"/>
  <c r="K77" i="23"/>
  <c r="L77" i="23"/>
  <c r="J76" i="23"/>
  <c r="K76" i="23"/>
  <c r="L76" i="23"/>
  <c r="M76" i="23"/>
  <c r="J75" i="23"/>
  <c r="L75" i="23"/>
  <c r="J74" i="23"/>
  <c r="M74" i="23" s="1"/>
  <c r="K74" i="23"/>
  <c r="L74" i="23"/>
  <c r="J73" i="23"/>
  <c r="K73" i="23"/>
  <c r="L73" i="23"/>
  <c r="M73" i="23"/>
  <c r="J72" i="23"/>
  <c r="K72" i="23"/>
  <c r="L72" i="23"/>
  <c r="M72" i="23"/>
  <c r="J71" i="23"/>
  <c r="K71" i="23"/>
  <c r="L71" i="23"/>
  <c r="M71" i="23"/>
  <c r="J70" i="23"/>
  <c r="K70" i="23"/>
  <c r="L70" i="23"/>
  <c r="M70" i="23"/>
  <c r="J69" i="23"/>
  <c r="J68" i="23"/>
  <c r="M68" i="23" s="1"/>
  <c r="K68" i="23"/>
  <c r="L68" i="23"/>
  <c r="J67" i="23"/>
  <c r="L67" i="23"/>
  <c r="J66" i="23"/>
  <c r="K66" i="23"/>
  <c r="L66" i="23"/>
  <c r="M66" i="23"/>
  <c r="J65" i="23"/>
  <c r="M65" i="23" s="1"/>
  <c r="K65" i="23"/>
  <c r="L65" i="23"/>
  <c r="J64" i="23"/>
  <c r="L64" i="23" s="1"/>
  <c r="K64" i="23"/>
  <c r="M64" i="23"/>
  <c r="J63" i="23"/>
  <c r="K63" i="23"/>
  <c r="L63" i="23"/>
  <c r="M63" i="23"/>
  <c r="J62" i="23"/>
  <c r="M62" i="23" s="1"/>
  <c r="K62" i="23"/>
  <c r="L62" i="23"/>
  <c r="J61" i="23"/>
  <c r="M61" i="23" s="1"/>
  <c r="K61" i="23"/>
  <c r="L61" i="23"/>
  <c r="J60" i="23"/>
  <c r="K60" i="23"/>
  <c r="L60" i="23"/>
  <c r="M60" i="23"/>
  <c r="J59" i="23"/>
  <c r="K59" i="23"/>
  <c r="L59" i="23"/>
  <c r="M59" i="23"/>
  <c r="J58" i="23"/>
  <c r="K58" i="23"/>
  <c r="L58" i="23"/>
  <c r="M58" i="23"/>
  <c r="J57" i="23"/>
  <c r="K57" i="23"/>
  <c r="L57" i="23"/>
  <c r="M57" i="23"/>
  <c r="J56" i="23"/>
  <c r="K56" i="23"/>
  <c r="L56" i="23"/>
  <c r="M56" i="23"/>
  <c r="J55" i="23"/>
  <c r="M55" i="23" s="1"/>
  <c r="K55" i="23"/>
  <c r="L55" i="23"/>
  <c r="J54" i="23"/>
  <c r="M54" i="23" s="1"/>
  <c r="K54" i="23"/>
  <c r="L54" i="23"/>
  <c r="J53" i="23"/>
  <c r="K53" i="23"/>
  <c r="L53" i="23"/>
  <c r="M53" i="23"/>
  <c r="J52" i="23"/>
  <c r="K52" i="23"/>
  <c r="J51" i="23"/>
  <c r="M51" i="23" s="1"/>
  <c r="K51" i="23"/>
  <c r="L51" i="23"/>
  <c r="J50" i="23"/>
  <c r="K50" i="23"/>
  <c r="L50" i="23"/>
  <c r="M50" i="23"/>
  <c r="J48" i="23"/>
  <c r="K48" i="23"/>
  <c r="L48" i="23"/>
  <c r="M48" i="23"/>
  <c r="J47" i="23"/>
  <c r="L47" i="23"/>
  <c r="J46" i="23"/>
  <c r="M46" i="23" s="1"/>
  <c r="K46" i="23"/>
  <c r="L46" i="23"/>
  <c r="J45" i="23"/>
  <c r="M45" i="23" s="1"/>
  <c r="K45" i="23"/>
  <c r="L45" i="23"/>
  <c r="J44" i="23"/>
  <c r="K44" i="23"/>
  <c r="L44" i="23"/>
  <c r="M44" i="23"/>
  <c r="J43" i="23"/>
  <c r="K43" i="23"/>
  <c r="J42" i="23"/>
  <c r="K42" i="23"/>
  <c r="L42" i="23"/>
  <c r="M42" i="23"/>
  <c r="J41" i="23"/>
  <c r="K41" i="23"/>
  <c r="L41" i="23"/>
  <c r="M41" i="23"/>
  <c r="J40" i="23"/>
  <c r="K40" i="23"/>
  <c r="L40" i="23"/>
  <c r="M40" i="23"/>
  <c r="J39" i="23"/>
  <c r="K39" i="23"/>
  <c r="L39" i="23"/>
  <c r="M39" i="23"/>
  <c r="J38" i="23"/>
  <c r="K38" i="23"/>
  <c r="L38" i="23"/>
  <c r="M38" i="23"/>
  <c r="J37" i="23"/>
  <c r="K37" i="23"/>
  <c r="L37" i="23"/>
  <c r="M37" i="23"/>
  <c r="J36" i="23"/>
  <c r="K36" i="23"/>
  <c r="L36" i="23"/>
  <c r="M36" i="23"/>
  <c r="J35" i="23"/>
  <c r="K35" i="23"/>
  <c r="L35" i="23"/>
  <c r="M35" i="23"/>
  <c r="J34" i="23"/>
  <c r="K34" i="23"/>
  <c r="L34" i="23"/>
  <c r="M34" i="23"/>
  <c r="J33" i="23"/>
  <c r="K33" i="23"/>
  <c r="L33" i="23"/>
  <c r="M33" i="23"/>
  <c r="J32" i="23"/>
  <c r="K32" i="23" s="1"/>
  <c r="L32" i="23"/>
  <c r="M32" i="23"/>
  <c r="J31" i="23"/>
  <c r="K31" i="23"/>
  <c r="L31" i="23"/>
  <c r="M31" i="23"/>
  <c r="J30" i="23"/>
  <c r="J29" i="23"/>
  <c r="K29" i="23"/>
  <c r="L29" i="23"/>
  <c r="M29" i="23"/>
  <c r="J28" i="23"/>
  <c r="M28" i="23" s="1"/>
  <c r="K28" i="23"/>
  <c r="L28" i="23"/>
  <c r="J27" i="23"/>
  <c r="M27" i="23" s="1"/>
  <c r="K27" i="23"/>
  <c r="L27" i="23"/>
  <c r="J26" i="23"/>
  <c r="K26" i="23"/>
  <c r="L26" i="23"/>
  <c r="M26" i="23"/>
  <c r="J25" i="23"/>
  <c r="K25" i="23" s="1"/>
  <c r="L25" i="23"/>
  <c r="M25" i="23"/>
  <c r="J24" i="23"/>
  <c r="M24" i="23" s="1"/>
  <c r="K24" i="23"/>
  <c r="L24" i="23"/>
  <c r="J23" i="23"/>
  <c r="K23" i="23"/>
  <c r="L23" i="23"/>
  <c r="M23" i="23"/>
  <c r="J22" i="23"/>
  <c r="K22" i="23"/>
  <c r="L22" i="23"/>
  <c r="M22" i="23"/>
  <c r="J21" i="23"/>
  <c r="M21" i="23" s="1"/>
  <c r="K21" i="23"/>
  <c r="L21" i="23"/>
  <c r="J20" i="23"/>
  <c r="K20" i="23"/>
  <c r="L20" i="23"/>
  <c r="M20" i="23"/>
  <c r="J19" i="23"/>
  <c r="K19" i="23" s="1"/>
  <c r="L19" i="23"/>
  <c r="M19" i="23"/>
  <c r="J18" i="23"/>
  <c r="K18" i="23"/>
  <c r="L18" i="23"/>
  <c r="M18" i="23"/>
  <c r="J17" i="23"/>
  <c r="K17" i="23"/>
  <c r="L17" i="23"/>
  <c r="M17" i="23"/>
  <c r="J16" i="23"/>
  <c r="K16" i="23"/>
  <c r="L16" i="23"/>
  <c r="M16" i="23"/>
  <c r="J15" i="23"/>
  <c r="M15" i="23" s="1"/>
  <c r="K15" i="23"/>
  <c r="L15" i="23"/>
  <c r="J14" i="23"/>
  <c r="M14" i="23" s="1"/>
  <c r="K14" i="23"/>
  <c r="L14" i="23"/>
  <c r="J13" i="23"/>
  <c r="K13" i="23"/>
  <c r="L13" i="23"/>
  <c r="M13" i="23"/>
  <c r="J12" i="23"/>
  <c r="L12" i="23"/>
  <c r="J11" i="23"/>
  <c r="M11" i="23" s="1"/>
  <c r="K11" i="23"/>
  <c r="L11" i="23"/>
  <c r="J10" i="23"/>
  <c r="K10" i="23"/>
  <c r="L10" i="23"/>
  <c r="M10" i="23"/>
  <c r="J9" i="23"/>
  <c r="M9" i="23" s="1"/>
  <c r="K9" i="23"/>
  <c r="L9" i="23"/>
  <c r="J8" i="23"/>
  <c r="M8" i="23" s="1"/>
  <c r="K8" i="23"/>
  <c r="L8" i="23"/>
  <c r="J7" i="23"/>
  <c r="K7" i="23"/>
  <c r="L7" i="23"/>
  <c r="M7" i="23"/>
  <c r="J6" i="23"/>
  <c r="K6" i="23"/>
  <c r="L6" i="23"/>
  <c r="M6" i="23"/>
  <c r="J5" i="23"/>
  <c r="K5" i="23"/>
  <c r="L5" i="23"/>
  <c r="M5" i="23"/>
  <c r="J4" i="23"/>
  <c r="K4" i="23"/>
  <c r="L4" i="23"/>
  <c r="M4" i="23"/>
  <c r="J3" i="23"/>
  <c r="K3" i="23"/>
  <c r="L3" i="23"/>
  <c r="M3" i="23"/>
  <c r="J2" i="23"/>
  <c r="K2" i="23"/>
  <c r="L2" i="23"/>
  <c r="M2" i="23"/>
  <c r="M141" i="23"/>
  <c r="K141" i="23"/>
  <c r="L141" i="23"/>
  <c r="K140" i="23"/>
  <c r="L140" i="23"/>
  <c r="M140" i="23"/>
  <c r="K132" i="23"/>
  <c r="L132" i="23"/>
  <c r="M132" i="23"/>
  <c r="G321" i="23" a="1"/>
  <c r="I321" i="23" s="1"/>
  <c r="G405" i="23" a="1"/>
  <c r="I405" i="23" s="1"/>
  <c r="G304" i="23" a="1"/>
  <c r="I304" i="23" s="1"/>
  <c r="G338" i="23" a="1"/>
  <c r="I338" i="23" s="1"/>
  <c r="G305" i="23" a="1"/>
  <c r="I305" i="23" s="1"/>
  <c r="G403" i="23" a="1"/>
  <c r="I403" i="23" s="1"/>
  <c r="G333" i="23" a="1"/>
  <c r="I333" i="23" s="1"/>
  <c r="G328" i="23" a="1"/>
  <c r="I328" i="23" s="1"/>
  <c r="G402" i="23" a="1"/>
  <c r="I402" i="23" s="1"/>
  <c r="G306" i="23" a="1"/>
  <c r="I306" i="23" s="1"/>
  <c r="G352" i="23" a="1"/>
  <c r="I352" i="23" s="1"/>
  <c r="G337" i="23" a="1"/>
  <c r="I337" i="23" s="1"/>
  <c r="G307" i="23" a="1"/>
  <c r="I307" i="23" s="1"/>
  <c r="G351" i="23" a="1"/>
  <c r="I351" i="23" s="1"/>
  <c r="G322" i="23" a="1"/>
  <c r="I322" i="23" s="1"/>
  <c r="G308" i="23" a="1"/>
  <c r="I308" i="23" s="1"/>
  <c r="G309" i="23" a="1"/>
  <c r="I309" i="23" s="1"/>
  <c r="G350" i="23" a="1"/>
  <c r="I350" i="23" s="1"/>
  <c r="G336" i="23" a="1"/>
  <c r="I336" i="23" s="1"/>
  <c r="G310" i="23" a="1"/>
  <c r="I310" i="23" s="1"/>
  <c r="G349" i="23" a="1"/>
  <c r="I349" i="23" s="1"/>
  <c r="G329" i="23" a="1"/>
  <c r="I329" i="23" s="1"/>
  <c r="G348" i="23" a="1"/>
  <c r="I348" i="23" s="1"/>
  <c r="G323" i="23" a="1"/>
  <c r="I323" i="23" s="1"/>
  <c r="G311" i="23" a="1"/>
  <c r="I311" i="23" s="1"/>
  <c r="G312" i="23" a="1"/>
  <c r="I312" i="23" s="1"/>
  <c r="G347" i="23" a="1"/>
  <c r="I347" i="23" s="1"/>
  <c r="G332" i="23" a="1"/>
  <c r="I332" i="23" s="1"/>
  <c r="G346" i="23" a="1"/>
  <c r="I346" i="23" s="1"/>
  <c r="G324" i="23" a="1"/>
  <c r="I324" i="23" s="1"/>
  <c r="G313" i="23" a="1"/>
  <c r="I313" i="23" s="1"/>
  <c r="G314" i="23" a="1"/>
  <c r="I314" i="23" s="1"/>
  <c r="G335" i="23" a="1"/>
  <c r="I335" i="23" s="1"/>
  <c r="G345" i="23" a="1"/>
  <c r="I345" i="23" s="1"/>
  <c r="G315" i="23" a="1"/>
  <c r="I315" i="23" s="1"/>
  <c r="G327" i="23" a="1"/>
  <c r="I327" i="23" s="1"/>
  <c r="G344" i="23" a="1"/>
  <c r="I344" i="23" s="1"/>
  <c r="G334" i="23" a="1"/>
  <c r="I334" i="23" s="1"/>
  <c r="G316" i="23" a="1"/>
  <c r="I316" i="23" s="1"/>
  <c r="G343" i="23" a="1"/>
  <c r="I343" i="23" s="1"/>
  <c r="G317" i="23" a="1"/>
  <c r="I317" i="23" s="1"/>
  <c r="G404" i="23" a="1"/>
  <c r="I404" i="23" s="1"/>
  <c r="G330" i="23" a="1"/>
  <c r="I330" i="23" s="1"/>
  <c r="G341" i="23" a="1"/>
  <c r="I341" i="23" s="1"/>
  <c r="G325" i="23" a="1"/>
  <c r="I325" i="23" s="1"/>
  <c r="G318" i="23" a="1"/>
  <c r="I318" i="23" s="1"/>
  <c r="G319" i="23" a="1"/>
  <c r="I319" i="23" s="1"/>
  <c r="G331" i="23" a="1"/>
  <c r="I331" i="23" s="1"/>
  <c r="G340" i="23" a="1"/>
  <c r="I340" i="23" s="1"/>
  <c r="G339" i="23" a="1"/>
  <c r="I339" i="23" s="1"/>
  <c r="G326" i="23" a="1"/>
  <c r="I326" i="23" s="1"/>
  <c r="G320" i="23" a="1"/>
  <c r="I320" i="23" s="1"/>
  <c r="G406" i="23" a="1"/>
  <c r="I406" i="23" s="1"/>
  <c r="G407" i="23" a="1"/>
  <c r="I407" i="23" s="1"/>
  <c r="G408" i="23" a="1"/>
  <c r="I408" i="23" s="1"/>
  <c r="G409" i="23" a="1"/>
  <c r="I409" i="23" s="1"/>
  <c r="G410" i="23" a="1"/>
  <c r="I410" i="23" s="1"/>
  <c r="G411" i="23" a="1"/>
  <c r="I411" i="23" s="1"/>
  <c r="G412" i="23" a="1"/>
  <c r="I412" i="23" s="1"/>
  <c r="G413" i="23" a="1"/>
  <c r="I413" i="23" s="1"/>
  <c r="G414" i="23" a="1"/>
  <c r="I414" i="23" s="1"/>
  <c r="G415" i="23" a="1"/>
  <c r="I415" i="23" s="1"/>
  <c r="G416" i="23" a="1"/>
  <c r="I416" i="23" s="1"/>
  <c r="G435" i="23" a="1"/>
  <c r="I435" i="23" s="1"/>
  <c r="G417" i="23" a="1"/>
  <c r="I417" i="23" s="1"/>
  <c r="G418" i="23" a="1"/>
  <c r="I418" i="23" s="1"/>
  <c r="G419" i="23" a="1"/>
  <c r="I419" i="23" s="1"/>
  <c r="G420" i="23" a="1"/>
  <c r="I420" i="23" s="1"/>
  <c r="G421" i="23" a="1"/>
  <c r="I421" i="23" s="1"/>
  <c r="G422" i="23" a="1"/>
  <c r="I422" i="23" s="1"/>
  <c r="G342" i="23" a="1"/>
  <c r="I342" i="23" s="1"/>
  <c r="G423" i="23" a="1"/>
  <c r="I423" i="23" s="1"/>
  <c r="G424" i="23" a="1"/>
  <c r="I424" i="23" s="1"/>
  <c r="G425" i="23" a="1"/>
  <c r="I425" i="23" s="1"/>
  <c r="G426" i="23" a="1"/>
  <c r="I426" i="23" s="1"/>
  <c r="G427" i="23" a="1"/>
  <c r="I427" i="23" s="1"/>
  <c r="G428" i="23" a="1"/>
  <c r="I428" i="23" s="1"/>
  <c r="G429" i="23" a="1"/>
  <c r="I429" i="23" s="1"/>
  <c r="G430" i="23" a="1"/>
  <c r="I430" i="23" s="1"/>
  <c r="G431" i="23" a="1"/>
  <c r="I431" i="23" s="1"/>
  <c r="G432" i="23" a="1"/>
  <c r="I432" i="23" s="1"/>
  <c r="G433" i="23" a="1"/>
  <c r="I433" i="23" s="1"/>
  <c r="G434" i="23" a="1"/>
  <c r="I434" i="23" s="1"/>
  <c r="G436" i="23" a="1"/>
  <c r="I436" i="23" s="1"/>
  <c r="G437" i="23" a="1"/>
  <c r="I437" i="23" s="1"/>
  <c r="G438" i="23" a="1"/>
  <c r="I438" i="23" s="1"/>
  <c r="G439" i="23" a="1"/>
  <c r="I439" i="23" s="1"/>
  <c r="G440" i="23" a="1"/>
  <c r="I440" i="23" s="1"/>
  <c r="G441" i="23" a="1"/>
  <c r="I441" i="23" s="1"/>
  <c r="G442" i="23" a="1"/>
  <c r="I442" i="23" s="1"/>
  <c r="G443" i="23" a="1"/>
  <c r="I443" i="23" s="1"/>
  <c r="G444" i="23" a="1"/>
  <c r="I444" i="23" s="1"/>
  <c r="G445" i="23" a="1"/>
  <c r="I445" i="23" s="1"/>
  <c r="G446" i="23" a="1"/>
  <c r="I446" i="23" s="1"/>
  <c r="G447" i="23" a="1"/>
  <c r="I447" i="23" s="1"/>
  <c r="G448" i="23" a="1"/>
  <c r="I448" i="23" s="1"/>
  <c r="G449" i="23" a="1"/>
  <c r="I449" i="23" s="1"/>
  <c r="G450" i="23" a="1"/>
  <c r="I450" i="23" s="1"/>
  <c r="G451" i="23" a="1"/>
  <c r="I451" i="23" s="1"/>
  <c r="G452" i="23" a="1"/>
  <c r="I452" i="23" s="1"/>
  <c r="G453" i="23" a="1"/>
  <c r="I453" i="23" s="1"/>
  <c r="G454" i="23" a="1"/>
  <c r="I454" i="23" s="1"/>
  <c r="J20" i="22"/>
  <c r="G259" i="23" a="1"/>
  <c r="I259" i="23" s="1"/>
  <c r="G237" i="23" a="1"/>
  <c r="I237" i="23" s="1"/>
  <c r="G153" i="23" a="1"/>
  <c r="I153" i="23" s="1"/>
  <c r="G203" i="23" a="1"/>
  <c r="I203" i="23" s="1"/>
  <c r="G285" i="23" a="1"/>
  <c r="I285" i="23" s="1"/>
  <c r="G260" i="23" a="1"/>
  <c r="I260" i="23" s="1"/>
  <c r="G154" i="23" a="1"/>
  <c r="I154" i="23" s="1"/>
  <c r="G204" i="23" a="1"/>
  <c r="I204" i="23" s="1"/>
  <c r="G297" i="23" a="1"/>
  <c r="I297" i="23" s="1"/>
  <c r="G238" i="23" a="1"/>
  <c r="I238" i="23" s="1"/>
  <c r="G155" i="23" a="1"/>
  <c r="I155" i="23" s="1"/>
  <c r="G205" i="23" a="1"/>
  <c r="I205" i="23" s="1"/>
  <c r="G206" i="23" a="1"/>
  <c r="I206" i="23" s="1"/>
  <c r="G156" i="23" a="1"/>
  <c r="I156" i="23" s="1"/>
  <c r="G296" i="23" a="1"/>
  <c r="I296" i="23" s="1"/>
  <c r="G261" i="23" a="1"/>
  <c r="I261" i="23" s="1"/>
  <c r="G157" i="23" a="1"/>
  <c r="I157" i="23" s="1"/>
  <c r="G207" i="23" a="1"/>
  <c r="I207" i="23" s="1"/>
  <c r="G239" i="23" a="1"/>
  <c r="I239" i="23" s="1"/>
  <c r="G158" i="23" a="1"/>
  <c r="I158" i="23" s="1"/>
  <c r="G159" i="23" a="1"/>
  <c r="I159" i="23" s="1"/>
  <c r="G240" i="23" a="1"/>
  <c r="I240" i="23" s="1"/>
  <c r="G277" i="23" a="1"/>
  <c r="I277" i="23" s="1"/>
  <c r="G208" i="23" a="1"/>
  <c r="I208" i="23" s="1"/>
  <c r="G273" i="23" a="1"/>
  <c r="I273" i="23" s="1"/>
  <c r="G160" i="23" a="1"/>
  <c r="I160" i="23" s="1"/>
  <c r="G209" i="23" a="1"/>
  <c r="I209" i="23" s="1"/>
  <c r="G161" i="23" a="1"/>
  <c r="I161" i="23" s="1"/>
  <c r="G262" i="23" a="1"/>
  <c r="I262" i="23" s="1"/>
  <c r="G295" i="23" a="1"/>
  <c r="I295" i="23" s="1"/>
  <c r="G162" i="23" a="1"/>
  <c r="I162" i="23" s="1"/>
  <c r="G241" i="23" a="1"/>
  <c r="I241" i="23" s="1"/>
  <c r="G242" i="23" a="1"/>
  <c r="I242" i="23" s="1"/>
  <c r="G210" i="23" a="1"/>
  <c r="I210" i="23" s="1"/>
  <c r="G163" i="23" a="1"/>
  <c r="I163" i="23" s="1"/>
  <c r="G263" i="23" a="1"/>
  <c r="I263" i="23" s="1"/>
  <c r="G211" i="23" a="1"/>
  <c r="I211" i="23" s="1"/>
  <c r="G164" i="23" a="1"/>
  <c r="I164" i="23" s="1"/>
  <c r="G294" i="23" a="1"/>
  <c r="I294" i="23" s="1"/>
  <c r="G284" i="23" a="1"/>
  <c r="I284" i="23" s="1"/>
  <c r="G165" i="23" a="1"/>
  <c r="I165" i="23" s="1"/>
  <c r="G243" i="23" a="1"/>
  <c r="I243" i="23" s="1"/>
  <c r="G212" i="23" a="1"/>
  <c r="I212" i="23" s="1"/>
  <c r="G166" i="23" a="1"/>
  <c r="I166" i="23" s="1"/>
  <c r="G213" i="23" a="1"/>
  <c r="I213" i="23" s="1"/>
  <c r="G264" i="23" a="1"/>
  <c r="I264" i="23" s="1"/>
  <c r="G167" i="23" a="1"/>
  <c r="I167" i="23" s="1"/>
  <c r="G293" i="23" a="1"/>
  <c r="I293" i="23" s="1"/>
  <c r="G281" i="23" a="1"/>
  <c r="I281" i="23" s="1"/>
  <c r="G168" i="23" a="1"/>
  <c r="I168" i="23" s="1"/>
  <c r="G214" i="23" a="1"/>
  <c r="I214" i="23" s="1"/>
  <c r="G169" i="23" a="1"/>
  <c r="I169" i="23" s="1"/>
  <c r="G244" i="23" a="1"/>
  <c r="I244" i="23" s="1"/>
  <c r="G215" i="23" a="1"/>
  <c r="I215" i="23" s="1"/>
  <c r="G292" i="23" a="1"/>
  <c r="I292" i="23" s="1"/>
  <c r="G170" i="23" a="1"/>
  <c r="I170" i="23" s="1"/>
  <c r="G245" i="23" a="1"/>
  <c r="I245" i="23" s="1"/>
  <c r="G216" i="23" a="1"/>
  <c r="I216" i="23" s="1"/>
  <c r="G171" i="23" a="1"/>
  <c r="I171" i="23" s="1"/>
  <c r="G265" i="23" a="1"/>
  <c r="I265" i="23" s="1"/>
  <c r="G283" i="23" a="1"/>
  <c r="I283" i="23" s="1"/>
  <c r="G172" i="23" a="1"/>
  <c r="I172" i="23" s="1"/>
  <c r="G217" i="23" a="1"/>
  <c r="I217" i="23" s="1"/>
  <c r="G274" i="23" a="1"/>
  <c r="I274" i="23" s="1"/>
  <c r="G173" i="23" a="1"/>
  <c r="I173" i="23" s="1"/>
  <c r="G246" i="23" a="1"/>
  <c r="I246" i="23" s="1"/>
  <c r="G278" i="23" a="1"/>
  <c r="I278" i="23" s="1"/>
  <c r="G174" i="23" a="1"/>
  <c r="I174" i="23" s="1"/>
  <c r="G175" i="23" a="1"/>
  <c r="I175" i="23" s="1"/>
  <c r="G291" i="23" a="1"/>
  <c r="I291" i="23" s="1"/>
  <c r="G218" i="23" a="1"/>
  <c r="I218" i="23" s="1"/>
  <c r="G219" i="23" a="1"/>
  <c r="I219" i="23" s="1"/>
  <c r="G247" i="23" a="1"/>
  <c r="I247" i="23" s="1"/>
  <c r="G176" i="23" a="1"/>
  <c r="I176" i="23" s="1"/>
  <c r="G177" i="23" a="1"/>
  <c r="I177" i="23" s="1"/>
  <c r="G266" i="23" a="1"/>
  <c r="I266" i="23" s="1"/>
  <c r="G220" i="23" a="1"/>
  <c r="I220" i="23" s="1"/>
  <c r="G267" i="23" a="1"/>
  <c r="I267" i="23" s="1"/>
  <c r="G248" i="23" a="1"/>
  <c r="I248" i="23" s="1"/>
  <c r="G178" i="23" a="1"/>
  <c r="I178" i="23" s="1"/>
  <c r="G221" i="23" a="1"/>
  <c r="I221" i="23" s="1"/>
  <c r="G280" i="23" a="1"/>
  <c r="I280" i="23" s="1"/>
  <c r="G179" i="23" a="1"/>
  <c r="I179" i="23" s="1"/>
  <c r="G180" i="23" a="1"/>
  <c r="I180" i="23" s="1"/>
  <c r="G290" i="23" a="1"/>
  <c r="I290" i="23" s="1"/>
  <c r="G222" i="23" a="1"/>
  <c r="I222" i="23" s="1"/>
  <c r="G249" i="23" a="1"/>
  <c r="I249" i="23" s="1"/>
  <c r="G268" i="23" a="1"/>
  <c r="I268" i="23" s="1"/>
  <c r="G181" i="23" a="1"/>
  <c r="I181" i="23" s="1"/>
  <c r="G182" i="23" a="1"/>
  <c r="I182" i="23" s="1"/>
  <c r="G250" i="23" a="1"/>
  <c r="I250" i="23" s="1"/>
  <c r="G289" i="23" a="1"/>
  <c r="I289" i="23" s="1"/>
  <c r="G183" i="23" a="1"/>
  <c r="I183" i="23" s="1"/>
  <c r="G223" i="23" a="1"/>
  <c r="I223" i="23" s="1"/>
  <c r="G224" i="23" a="1"/>
  <c r="I224" i="23" s="1"/>
  <c r="G184" i="23" a="1"/>
  <c r="I184" i="23" s="1"/>
  <c r="G279" i="23" a="1"/>
  <c r="I279" i="23" s="1"/>
  <c r="G251" i="23" a="1"/>
  <c r="I251" i="23" s="1"/>
  <c r="G225" i="23" a="1"/>
  <c r="I225" i="23" s="1"/>
  <c r="G185" i="23" a="1"/>
  <c r="I185" i="23" s="1"/>
  <c r="G282" i="23" a="1"/>
  <c r="I282" i="23" s="1"/>
  <c r="G288" i="23" a="1"/>
  <c r="I288" i="23" s="1"/>
  <c r="G269" i="23" a="1"/>
  <c r="I269" i="23" s="1"/>
  <c r="G186" i="23" a="1"/>
  <c r="I186" i="23" s="1"/>
  <c r="G252" i="23" a="1"/>
  <c r="I252" i="23" s="1"/>
  <c r="G226" i="23" a="1"/>
  <c r="I226" i="23" s="1"/>
  <c r="G187" i="23" a="1"/>
  <c r="I187" i="23" s="1"/>
  <c r="G253" i="23" a="1"/>
  <c r="I253" i="23" s="1"/>
  <c r="G275" i="23" a="1"/>
  <c r="I275" i="23" s="1"/>
  <c r="G188" i="23" a="1"/>
  <c r="I188" i="23" s="1"/>
  <c r="G189" i="23" a="1"/>
  <c r="I189" i="23" s="1"/>
  <c r="G227" i="23" a="1"/>
  <c r="I227" i="23" s="1"/>
  <c r="G298" i="23" a="1"/>
  <c r="I298" i="23" s="1"/>
  <c r="G254" i="23" a="1"/>
  <c r="I254" i="23" s="1"/>
  <c r="G228" i="23" a="1"/>
  <c r="I228" i="23" s="1"/>
  <c r="G190" i="23" a="1"/>
  <c r="I190" i="23" s="1"/>
  <c r="G229" i="23" a="1"/>
  <c r="I229" i="23" s="1"/>
  <c r="G191" i="23" a="1"/>
  <c r="I191" i="23" s="1"/>
  <c r="G303" i="23" a="1"/>
  <c r="I303" i="23" s="1"/>
  <c r="G287" i="23" a="1"/>
  <c r="I287" i="23" s="1"/>
  <c r="G255" i="23" a="1"/>
  <c r="I255" i="23" s="1"/>
  <c r="G192" i="23" a="1"/>
  <c r="I192" i="23" s="1"/>
  <c r="G302" i="23" a="1"/>
  <c r="I302" i="23" s="1"/>
  <c r="G230" i="23" a="1"/>
  <c r="I230" i="23" s="1"/>
  <c r="G193" i="23" a="1"/>
  <c r="I193" i="23" s="1"/>
  <c r="G194" i="23" a="1"/>
  <c r="I194" i="23" s="1"/>
  <c r="G231" i="23" a="1"/>
  <c r="I231" i="23" s="1"/>
  <c r="G270" i="23" a="1"/>
  <c r="I270" i="23" s="1"/>
  <c r="G286" i="23" a="1"/>
  <c r="I286" i="23" s="1"/>
  <c r="G301" i="23" a="1"/>
  <c r="I301" i="23" s="1"/>
  <c r="G195" i="23" a="1"/>
  <c r="I195" i="23" s="1"/>
  <c r="G232" i="23" a="1"/>
  <c r="I232" i="23" s="1"/>
  <c r="G256" i="23" a="1"/>
  <c r="I256" i="23" s="1"/>
  <c r="G196" i="23" a="1"/>
  <c r="I196" i="23" s="1"/>
  <c r="G257" i="23" a="1"/>
  <c r="I257" i="23" s="1"/>
  <c r="G300" i="23" a="1"/>
  <c r="I300" i="23" s="1"/>
  <c r="G197" i="23" a="1"/>
  <c r="I197" i="23" s="1"/>
  <c r="G233" i="23" a="1"/>
  <c r="I233" i="23" s="1"/>
  <c r="G271" i="23" a="1"/>
  <c r="I271" i="23" s="1"/>
  <c r="G198" i="23" a="1"/>
  <c r="I198" i="23" s="1"/>
  <c r="G258" i="23" a="1"/>
  <c r="I258" i="23" s="1"/>
  <c r="G234" i="23" a="1"/>
  <c r="I234" i="23" s="1"/>
  <c r="G199" i="23" a="1"/>
  <c r="I199" i="23" s="1"/>
  <c r="G299" i="23" a="1"/>
  <c r="I299" i="23" s="1"/>
  <c r="G276" i="23" a="1"/>
  <c r="I276" i="23" s="1"/>
  <c r="G200" i="23" a="1"/>
  <c r="I200" i="23" s="1"/>
  <c r="G235" i="23" a="1"/>
  <c r="I235" i="23" s="1"/>
  <c r="G201" i="23" a="1"/>
  <c r="I201" i="23" s="1"/>
  <c r="G272" i="23" a="1"/>
  <c r="I272" i="23" s="1"/>
  <c r="G236" i="23" a="1"/>
  <c r="I236" i="23" s="1"/>
  <c r="G202" i="23" a="1"/>
  <c r="I202" i="23" s="1"/>
  <c r="J19" i="22"/>
  <c r="L49" i="23"/>
  <c r="M49" i="23"/>
  <c r="K49" i="23"/>
  <c r="N152" i="23"/>
  <c r="O152" i="23"/>
  <c r="N149" i="23"/>
  <c r="O149" i="23"/>
  <c r="N145" i="23"/>
  <c r="O145" i="23"/>
  <c r="N150" i="28" l="1"/>
  <c r="M150" i="28"/>
  <c r="O150" i="28" s="1" a="1"/>
  <c r="N148" i="28"/>
  <c r="M148" i="28"/>
  <c r="O148" i="28" s="1" a="1"/>
  <c r="N147" i="28"/>
  <c r="M147" i="28"/>
  <c r="O147" i="28" s="1" a="1"/>
  <c r="N144" i="28"/>
  <c r="M144" i="28"/>
  <c r="O144" i="28" s="1" a="1"/>
  <c r="N143" i="28"/>
  <c r="M143" i="28"/>
  <c r="O143" i="28" s="1" a="1"/>
  <c r="N140" i="28"/>
  <c r="M140" i="28"/>
  <c r="O140" i="28" s="1" a="1"/>
  <c r="N139" i="28"/>
  <c r="M139" i="28"/>
  <c r="O139" i="28" s="1" a="1"/>
  <c r="N138" i="28"/>
  <c r="M138" i="28"/>
  <c r="O138" i="28" s="1" a="1"/>
  <c r="N137" i="28"/>
  <c r="M137" i="28"/>
  <c r="O137" i="28" s="1" a="1"/>
  <c r="N136" i="28"/>
  <c r="M136" i="28"/>
  <c r="O136" i="28" s="1" a="1"/>
  <c r="N135" i="28"/>
  <c r="M135" i="28"/>
  <c r="O135" i="28" s="1" a="1"/>
  <c r="N134" i="28"/>
  <c r="M134" i="28"/>
  <c r="O134" i="28" s="1" a="1"/>
  <c r="M133" i="28"/>
  <c r="N133" i="28"/>
  <c r="M132" i="28"/>
  <c r="N132" i="28"/>
  <c r="N129" i="28"/>
  <c r="M129" i="28"/>
  <c r="O129" i="28" s="1" a="1"/>
  <c r="N123" i="28"/>
  <c r="M123" i="28"/>
  <c r="O123" i="28" s="1" a="1"/>
  <c r="N121" i="28"/>
  <c r="M121" i="28"/>
  <c r="O121" i="28" s="1" a="1"/>
  <c r="N120" i="28"/>
  <c r="M120" i="28"/>
  <c r="O120" i="28" s="1" a="1"/>
  <c r="N119" i="28"/>
  <c r="M119" i="28"/>
  <c r="O119" i="28" s="1" a="1"/>
  <c r="N118" i="28"/>
  <c r="M118" i="28"/>
  <c r="O118" i="28" s="1" a="1"/>
  <c r="N115" i="28"/>
  <c r="M115" i="28"/>
  <c r="O115" i="28" s="1" a="1"/>
  <c r="N114" i="28"/>
  <c r="M114" i="28"/>
  <c r="O114" i="28" s="1" a="1"/>
  <c r="O99" i="28" a="1"/>
  <c r="O95" i="28" a="1"/>
  <c r="O97" i="28" a="1"/>
  <c r="O101" i="28" a="1"/>
  <c r="I20" i="27"/>
  <c r="J20" i="27" s="1"/>
  <c r="K20" i="27" a="1"/>
  <c r="I21" i="27"/>
  <c r="J21" i="27" s="1"/>
  <c r="K21" i="27" a="1"/>
  <c r="I23" i="27"/>
  <c r="J23" i="27"/>
  <c r="K23" i="27" a="1"/>
  <c r="I24" i="27"/>
  <c r="J24" i="27"/>
  <c r="K24" i="27" a="1"/>
  <c r="J25" i="27"/>
  <c r="K25" i="27" a="1"/>
  <c r="I25" i="27"/>
  <c r="J26" i="27"/>
  <c r="K26" i="27" a="1"/>
  <c r="I26" i="27"/>
  <c r="I27" i="27"/>
  <c r="J27" i="27"/>
  <c r="K27" i="27" a="1"/>
  <c r="I28" i="27"/>
  <c r="J28" i="27"/>
  <c r="K28" i="27" a="1"/>
  <c r="I29" i="27"/>
  <c r="J29" i="27"/>
  <c r="K29" i="27" a="1"/>
  <c r="I30" i="27"/>
  <c r="J30" i="27"/>
  <c r="K30" i="27" a="1"/>
  <c r="N77" i="28"/>
  <c r="M77" i="28"/>
  <c r="O77" i="28" s="1" a="1"/>
  <c r="L89" i="23"/>
  <c r="M89" i="23"/>
  <c r="I19" i="27"/>
  <c r="I18" i="27"/>
  <c r="O2" i="28" a="1"/>
  <c r="O24" i="28" a="1"/>
  <c r="N13" i="28"/>
  <c r="M13" i="28"/>
  <c r="O13" i="28" s="1" a="1"/>
  <c r="N42" i="28"/>
  <c r="M42" i="28"/>
  <c r="O42" i="28" s="1" a="1"/>
  <c r="J22" i="27"/>
  <c r="K22" i="27" a="1"/>
  <c r="J17" i="27"/>
  <c r="K17" i="27" a="1"/>
  <c r="M1123" i="23"/>
  <c r="L1123" i="23"/>
  <c r="K1123" i="23"/>
  <c r="J1123" i="23"/>
  <c r="M1119" i="23"/>
  <c r="L1119" i="23"/>
  <c r="K1119" i="23"/>
  <c r="J1119" i="23"/>
  <c r="M1117" i="23"/>
  <c r="L1117" i="23"/>
  <c r="K1117" i="23"/>
  <c r="J1117" i="23"/>
  <c r="M1113" i="23"/>
  <c r="L1113" i="23"/>
  <c r="K1113" i="23"/>
  <c r="J1113" i="23"/>
  <c r="M1107" i="23"/>
  <c r="L1107" i="23"/>
  <c r="K1107" i="23"/>
  <c r="J1107" i="23"/>
  <c r="M1104" i="23"/>
  <c r="L1104" i="23"/>
  <c r="K1104" i="23"/>
  <c r="J1104" i="23"/>
  <c r="M1097" i="23"/>
  <c r="L1097" i="23"/>
  <c r="K1097" i="23"/>
  <c r="J1097" i="23"/>
  <c r="M1093" i="23"/>
  <c r="L1093" i="23"/>
  <c r="K1093" i="23"/>
  <c r="J1093" i="23"/>
  <c r="M1090" i="23"/>
  <c r="L1090" i="23"/>
  <c r="K1090" i="23"/>
  <c r="J1090" i="23"/>
  <c r="M1088" i="23"/>
  <c r="L1088" i="23"/>
  <c r="K1088" i="23"/>
  <c r="J1088" i="23"/>
  <c r="M1122" i="23"/>
  <c r="L1122" i="23"/>
  <c r="K1122" i="23"/>
  <c r="J1122" i="23"/>
  <c r="M1156" i="23"/>
  <c r="L1156" i="23"/>
  <c r="K1156" i="23"/>
  <c r="J1156" i="23"/>
  <c r="M1155" i="23"/>
  <c r="L1155" i="23"/>
  <c r="K1155" i="23"/>
  <c r="J1155" i="23"/>
  <c r="M1153" i="23"/>
  <c r="L1153" i="23"/>
  <c r="K1153" i="23"/>
  <c r="J1153" i="23"/>
  <c r="M1150" i="23"/>
  <c r="L1150" i="23"/>
  <c r="K1150" i="23"/>
  <c r="J1150" i="23"/>
  <c r="M1144" i="23"/>
  <c r="L1144" i="23"/>
  <c r="K1144" i="23"/>
  <c r="J1144" i="23"/>
  <c r="M1137" i="23"/>
  <c r="L1137" i="23"/>
  <c r="K1137" i="23"/>
  <c r="J1137" i="23"/>
  <c r="M1133" i="23"/>
  <c r="L1133" i="23"/>
  <c r="K1133" i="23"/>
  <c r="J1133" i="23"/>
  <c r="M1128" i="23"/>
  <c r="L1128" i="23"/>
  <c r="K1128" i="23"/>
  <c r="J1128" i="23"/>
  <c r="M1087" i="23"/>
  <c r="L1087" i="23"/>
  <c r="K1087" i="23"/>
  <c r="J1087" i="23"/>
  <c r="M1118" i="23"/>
  <c r="L1118" i="23"/>
  <c r="K1118" i="23"/>
  <c r="J1118" i="23"/>
  <c r="M1114" i="23"/>
  <c r="L1114" i="23"/>
  <c r="K1114" i="23"/>
  <c r="J1114" i="23"/>
  <c r="M1111" i="23"/>
  <c r="L1111" i="23"/>
  <c r="K1111" i="23"/>
  <c r="J1111" i="23"/>
  <c r="M1165" i="23"/>
  <c r="L1165" i="23"/>
  <c r="K1165" i="23"/>
  <c r="J1165" i="23"/>
  <c r="M1110" i="23"/>
  <c r="L1110" i="23"/>
  <c r="K1110" i="23"/>
  <c r="J1110" i="23"/>
  <c r="M1096" i="23"/>
  <c r="L1096" i="23"/>
  <c r="K1096" i="23"/>
  <c r="J1096" i="23"/>
  <c r="M1148" i="23"/>
  <c r="L1148" i="23"/>
  <c r="K1148" i="23"/>
  <c r="J1148" i="23"/>
  <c r="M1160" i="23"/>
  <c r="L1160" i="23"/>
  <c r="K1160" i="23"/>
  <c r="J1160" i="23"/>
  <c r="M1151" i="23"/>
  <c r="L1151" i="23"/>
  <c r="K1151" i="23"/>
  <c r="J1151" i="23"/>
  <c r="M1109" i="23"/>
  <c r="L1109" i="23"/>
  <c r="K1109" i="23"/>
  <c r="J1109" i="23"/>
  <c r="M1102" i="23"/>
  <c r="L1102" i="23"/>
  <c r="K1102" i="23"/>
  <c r="J1102" i="23"/>
  <c r="M1099" i="23"/>
  <c r="L1099" i="23"/>
  <c r="K1099" i="23"/>
  <c r="J1099" i="23"/>
  <c r="M1086" i="23"/>
  <c r="L1086" i="23"/>
  <c r="K1086" i="23"/>
  <c r="J1086" i="23"/>
  <c r="M1187" i="23"/>
  <c r="L1187" i="23"/>
  <c r="K1187" i="23"/>
  <c r="J1187" i="23"/>
  <c r="M1186" i="23"/>
  <c r="L1186" i="23"/>
  <c r="K1186" i="23"/>
  <c r="J1186" i="23"/>
  <c r="M1185" i="23"/>
  <c r="L1185" i="23"/>
  <c r="K1185" i="23"/>
  <c r="J1185" i="23"/>
  <c r="M1184" i="23"/>
  <c r="L1184" i="23"/>
  <c r="K1184" i="23"/>
  <c r="J1184" i="23"/>
  <c r="M1183" i="23"/>
  <c r="L1183" i="23"/>
  <c r="K1183" i="23"/>
  <c r="J1183" i="23"/>
  <c r="M1182" i="23"/>
  <c r="L1182" i="23"/>
  <c r="K1182" i="23"/>
  <c r="J1182" i="23"/>
  <c r="M1181" i="23"/>
  <c r="L1181" i="23"/>
  <c r="K1181" i="23"/>
  <c r="J1181" i="23"/>
  <c r="M1180" i="23"/>
  <c r="L1180" i="23"/>
  <c r="K1180" i="23"/>
  <c r="J1180" i="23"/>
  <c r="M1179" i="23"/>
  <c r="L1179" i="23"/>
  <c r="K1179" i="23"/>
  <c r="J1179" i="23"/>
  <c r="M1173" i="23"/>
  <c r="L1173" i="23"/>
  <c r="K1173" i="23"/>
  <c r="J1173" i="23"/>
  <c r="M1172" i="23"/>
  <c r="L1172" i="23"/>
  <c r="K1172" i="23"/>
  <c r="J1172" i="23"/>
  <c r="M1171" i="23"/>
  <c r="L1171" i="23"/>
  <c r="K1171" i="23"/>
  <c r="J1171" i="23"/>
  <c r="M1170" i="23"/>
  <c r="L1170" i="23"/>
  <c r="K1170" i="23"/>
  <c r="J1170" i="23"/>
  <c r="M1169" i="23"/>
  <c r="L1169" i="23"/>
  <c r="K1169" i="23"/>
  <c r="J1169" i="23"/>
  <c r="M1168" i="23"/>
  <c r="L1168" i="23"/>
  <c r="K1168" i="23"/>
  <c r="J1168" i="23"/>
  <c r="M1167" i="23"/>
  <c r="L1167" i="23"/>
  <c r="K1167" i="23"/>
  <c r="J1167" i="23"/>
  <c r="M1166" i="23"/>
  <c r="L1166" i="23"/>
  <c r="K1166" i="23"/>
  <c r="J1166" i="23"/>
  <c r="M1141" i="23"/>
  <c r="L1141" i="23"/>
  <c r="K1141" i="23"/>
  <c r="J1141" i="23"/>
  <c r="M1164" i="23"/>
  <c r="L1164" i="23"/>
  <c r="K1164" i="23"/>
  <c r="J1164" i="23"/>
  <c r="M1163" i="23"/>
  <c r="L1163" i="23"/>
  <c r="K1163" i="23"/>
  <c r="J1163" i="23"/>
  <c r="M1162" i="23"/>
  <c r="L1162" i="23"/>
  <c r="K1162" i="23"/>
  <c r="J1162" i="23"/>
  <c r="M1161" i="23"/>
  <c r="L1161" i="23"/>
  <c r="K1161" i="23"/>
  <c r="J1161" i="23"/>
  <c r="M1147" i="23"/>
  <c r="L1147" i="23"/>
  <c r="K1147" i="23"/>
  <c r="J1147" i="23"/>
  <c r="M1142" i="23"/>
  <c r="L1142" i="23"/>
  <c r="K1142" i="23"/>
  <c r="J1142" i="23"/>
  <c r="M1135" i="23"/>
  <c r="L1135" i="23"/>
  <c r="K1135" i="23"/>
  <c r="J1135" i="23"/>
  <c r="M1129" i="23"/>
  <c r="L1129" i="23"/>
  <c r="K1129" i="23"/>
  <c r="J1129" i="23"/>
  <c r="M1125" i="23"/>
  <c r="L1125" i="23"/>
  <c r="K1125" i="23"/>
  <c r="J1125" i="23"/>
  <c r="M1121" i="23"/>
  <c r="L1121" i="23"/>
  <c r="K1121" i="23"/>
  <c r="J1121" i="23"/>
  <c r="M1115" i="23"/>
  <c r="L1115" i="23"/>
  <c r="K1115" i="23"/>
  <c r="J1115" i="23"/>
  <c r="M1085" i="23"/>
  <c r="L1085" i="23"/>
  <c r="K1085" i="23"/>
  <c r="J1085" i="23"/>
  <c r="M1084" i="23"/>
  <c r="L1084" i="23"/>
  <c r="K1084" i="23"/>
  <c r="J1084" i="23"/>
  <c r="M1083" i="23"/>
  <c r="L1083" i="23"/>
  <c r="K1083" i="23"/>
  <c r="J1083" i="23"/>
  <c r="M1082" i="23"/>
  <c r="L1082" i="23"/>
  <c r="K1082" i="23"/>
  <c r="J1082" i="23"/>
  <c r="M1081" i="23"/>
  <c r="L1081" i="23"/>
  <c r="K1081" i="23"/>
  <c r="J1081" i="23"/>
  <c r="M1080" i="23"/>
  <c r="L1080" i="23"/>
  <c r="K1080" i="23"/>
  <c r="J1080" i="23"/>
  <c r="M1079" i="23"/>
  <c r="L1079" i="23"/>
  <c r="K1079" i="23"/>
  <c r="J1079" i="23"/>
  <c r="M1078" i="23"/>
  <c r="L1078" i="23"/>
  <c r="K1078" i="23"/>
  <c r="J1078" i="23"/>
  <c r="M1077" i="23"/>
  <c r="L1077" i="23"/>
  <c r="K1077" i="23"/>
  <c r="J1077" i="23"/>
  <c r="M1076" i="23"/>
  <c r="L1076" i="23"/>
  <c r="K1076" i="23"/>
  <c r="J1076" i="23"/>
  <c r="M1075" i="23"/>
  <c r="K1075" i="23"/>
  <c r="L1075" i="23"/>
  <c r="J1075" i="23"/>
  <c r="M1074" i="23"/>
  <c r="K1074" i="23"/>
  <c r="J1074" i="23"/>
  <c r="L1074" i="23"/>
  <c r="M1073" i="23"/>
  <c r="L1073" i="23"/>
  <c r="J1073" i="23"/>
  <c r="K1073" i="23"/>
  <c r="M1072" i="23"/>
  <c r="L1072" i="23"/>
  <c r="K1072" i="23"/>
  <c r="J1072" i="23"/>
  <c r="M1071" i="23"/>
  <c r="L1071" i="23"/>
  <c r="K1071" i="23"/>
  <c r="J1071" i="23"/>
  <c r="M1070" i="23"/>
  <c r="L1070" i="23"/>
  <c r="K1070" i="23"/>
  <c r="J1070" i="23"/>
  <c r="M1069" i="23"/>
  <c r="L1069" i="23"/>
  <c r="K1069" i="23"/>
  <c r="J1069" i="23"/>
  <c r="M1068" i="23"/>
  <c r="L1068" i="23"/>
  <c r="K1068" i="23"/>
  <c r="J1068" i="23"/>
  <c r="K1067" i="23"/>
  <c r="M1067" i="23"/>
  <c r="L1067" i="23"/>
  <c r="J1067" i="23"/>
  <c r="M1066" i="23"/>
  <c r="L1066" i="23"/>
  <c r="J1066" i="23"/>
  <c r="K1066" i="23"/>
  <c r="L1065" i="23"/>
  <c r="J1065" i="23"/>
  <c r="M1065" i="23"/>
  <c r="K1065" i="23"/>
  <c r="L1064" i="23"/>
  <c r="J1064" i="23"/>
  <c r="M1064" i="23"/>
  <c r="K1064" i="23"/>
  <c r="L1063" i="23"/>
  <c r="J1063" i="23"/>
  <c r="M1063" i="23"/>
  <c r="K1063" i="23"/>
  <c r="L1062" i="23"/>
  <c r="J1062" i="23"/>
  <c r="M1062" i="23"/>
  <c r="K1062" i="23"/>
  <c r="L1061" i="23"/>
  <c r="J1061" i="23"/>
  <c r="M1061" i="23"/>
  <c r="K1061" i="23"/>
  <c r="K1060" i="23"/>
  <c r="J1060" i="23"/>
  <c r="M1060" i="23"/>
  <c r="L1060" i="23"/>
  <c r="L1059" i="23"/>
  <c r="J1059" i="23"/>
  <c r="M1059" i="23"/>
  <c r="K1059" i="23"/>
  <c r="M1139" i="23"/>
  <c r="L1139" i="23"/>
  <c r="K1139" i="23"/>
  <c r="J1139" i="23"/>
  <c r="M1136" i="23"/>
  <c r="L1136" i="23"/>
  <c r="K1136" i="23"/>
  <c r="J1136" i="23"/>
  <c r="M1132" i="23"/>
  <c r="L1132" i="23"/>
  <c r="K1132" i="23"/>
  <c r="J1132" i="23"/>
  <c r="M1130" i="23"/>
  <c r="L1130" i="23"/>
  <c r="K1130" i="23"/>
  <c r="J1130" i="23"/>
  <c r="M1126" i="23"/>
  <c r="L1126" i="23"/>
  <c r="K1126" i="23"/>
  <c r="J1126" i="23"/>
  <c r="M1124" i="23"/>
  <c r="L1124" i="23"/>
  <c r="K1124" i="23"/>
  <c r="J1124" i="23"/>
  <c r="M1120" i="23"/>
  <c r="L1120" i="23"/>
  <c r="K1120" i="23"/>
  <c r="J1120" i="23"/>
  <c r="M1116" i="23"/>
  <c r="L1116" i="23"/>
  <c r="K1116" i="23"/>
  <c r="J1116" i="23"/>
  <c r="M1112" i="23"/>
  <c r="L1112" i="23"/>
  <c r="K1112" i="23"/>
  <c r="J1112" i="23"/>
  <c r="M1108" i="23"/>
  <c r="L1108" i="23"/>
  <c r="K1108" i="23"/>
  <c r="J1108" i="23"/>
  <c r="M1106" i="23"/>
  <c r="L1106" i="23"/>
  <c r="K1106" i="23"/>
  <c r="J1106" i="23"/>
  <c r="M1105" i="23"/>
  <c r="L1105" i="23"/>
  <c r="K1105" i="23"/>
  <c r="J1105" i="23"/>
  <c r="M1103" i="23"/>
  <c r="L1103" i="23"/>
  <c r="K1103" i="23"/>
  <c r="J1103" i="23"/>
  <c r="M1100" i="23"/>
  <c r="L1100" i="23"/>
  <c r="K1100" i="23"/>
  <c r="J1100" i="23"/>
  <c r="M1098" i="23"/>
  <c r="L1098" i="23"/>
  <c r="K1098" i="23"/>
  <c r="J1098" i="23"/>
  <c r="M1095" i="23"/>
  <c r="L1095" i="23"/>
  <c r="K1095" i="23"/>
  <c r="J1095" i="23"/>
  <c r="M1094" i="23"/>
  <c r="L1094" i="23"/>
  <c r="K1094" i="23"/>
  <c r="J1094" i="23"/>
  <c r="M1092" i="23"/>
  <c r="L1092" i="23"/>
  <c r="K1092" i="23"/>
  <c r="J1092" i="23"/>
  <c r="M1091" i="23"/>
  <c r="L1091" i="23"/>
  <c r="K1091" i="23"/>
  <c r="J1091" i="23"/>
  <c r="M1089" i="23"/>
  <c r="L1089" i="23"/>
  <c r="K1089" i="23"/>
  <c r="J1089" i="23"/>
  <c r="M1101" i="23"/>
  <c r="L1101" i="23"/>
  <c r="K1101" i="23"/>
  <c r="J1101" i="23"/>
  <c r="M1159" i="23"/>
  <c r="L1159" i="23"/>
  <c r="K1159" i="23"/>
  <c r="J1159" i="23"/>
  <c r="M1158" i="23"/>
  <c r="L1158" i="23"/>
  <c r="K1158" i="23"/>
  <c r="J1158" i="23"/>
  <c r="M1157" i="23"/>
  <c r="L1157" i="23"/>
  <c r="K1157" i="23"/>
  <c r="J1157" i="23"/>
  <c r="M1154" i="23"/>
  <c r="L1154" i="23"/>
  <c r="K1154" i="23"/>
  <c r="J1154" i="23"/>
  <c r="M1152" i="23"/>
  <c r="L1152" i="23"/>
  <c r="K1152" i="23"/>
  <c r="J1152" i="23"/>
  <c r="M1149" i="23"/>
  <c r="L1149" i="23"/>
  <c r="K1149" i="23"/>
  <c r="J1149" i="23"/>
  <c r="M1146" i="23"/>
  <c r="L1146" i="23"/>
  <c r="K1146" i="23"/>
  <c r="J1146" i="23"/>
  <c r="M1145" i="23"/>
  <c r="L1145" i="23"/>
  <c r="K1145" i="23"/>
  <c r="J1145" i="23"/>
  <c r="M1143" i="23"/>
  <c r="L1143" i="23"/>
  <c r="K1143" i="23"/>
  <c r="J1143" i="23"/>
  <c r="M1140" i="23"/>
  <c r="L1140" i="23"/>
  <c r="K1140" i="23"/>
  <c r="J1140" i="23"/>
  <c r="M1138" i="23"/>
  <c r="L1138" i="23"/>
  <c r="K1138" i="23"/>
  <c r="J1138" i="23"/>
  <c r="M1134" i="23"/>
  <c r="L1134" i="23"/>
  <c r="K1134" i="23"/>
  <c r="J1134" i="23"/>
  <c r="M1131" i="23"/>
  <c r="L1131" i="23"/>
  <c r="K1131" i="23"/>
  <c r="J1131" i="23"/>
  <c r="M1127" i="23"/>
  <c r="L1127" i="23"/>
  <c r="K1127" i="23"/>
  <c r="J1127" i="23"/>
  <c r="L1057" i="23"/>
  <c r="J1057" i="23"/>
  <c r="M1057" i="23"/>
  <c r="K1057" i="23"/>
  <c r="L1056" i="23"/>
  <c r="J1056" i="23"/>
  <c r="M1056" i="23"/>
  <c r="K1056" i="23"/>
  <c r="L1055" i="23"/>
  <c r="J1055" i="23"/>
  <c r="M1055" i="23"/>
  <c r="K1055" i="23"/>
  <c r="L1054" i="23"/>
  <c r="J1054" i="23"/>
  <c r="M1054" i="23"/>
  <c r="K1054" i="23"/>
  <c r="L1053" i="23"/>
  <c r="J1053" i="23"/>
  <c r="M1053" i="23"/>
  <c r="K1053" i="23"/>
  <c r="L1052" i="23"/>
  <c r="J1052" i="23"/>
  <c r="M1052" i="23"/>
  <c r="K1052" i="23"/>
  <c r="M1051" i="23"/>
  <c r="L1051" i="23"/>
  <c r="J1051" i="23"/>
  <c r="K1051" i="23"/>
  <c r="L1050" i="23"/>
  <c r="J1050" i="23"/>
  <c r="M1050" i="23"/>
  <c r="K1050" i="23"/>
  <c r="L1049" i="23"/>
  <c r="J1049" i="23"/>
  <c r="M1049" i="23"/>
  <c r="K1049" i="23"/>
  <c r="L1048" i="23"/>
  <c r="J1048" i="23"/>
  <c r="M1048" i="23"/>
  <c r="K1048" i="23"/>
  <c r="M1047" i="23"/>
  <c r="L1047" i="23"/>
  <c r="J1047" i="23"/>
  <c r="K1047" i="23"/>
  <c r="L1046" i="23"/>
  <c r="J1046" i="23"/>
  <c r="M1046" i="23"/>
  <c r="K1046" i="23"/>
  <c r="M1045" i="23"/>
  <c r="L1045" i="23"/>
  <c r="J1045" i="23"/>
  <c r="K1045" i="23"/>
  <c r="L1044" i="23"/>
  <c r="J1044" i="23"/>
  <c r="M1044" i="23"/>
  <c r="K1044" i="23"/>
  <c r="L1043" i="23"/>
  <c r="J1043" i="23"/>
  <c r="M1043" i="23"/>
  <c r="K1043" i="23"/>
  <c r="L1042" i="23"/>
  <c r="J1042" i="23"/>
  <c r="M1042" i="23"/>
  <c r="K1042" i="23"/>
  <c r="L1041" i="23"/>
  <c r="J1041" i="23"/>
  <c r="M1041" i="23"/>
  <c r="K1041" i="23"/>
  <c r="L1040" i="23"/>
  <c r="J1040" i="23"/>
  <c r="M1040" i="23"/>
  <c r="K1040" i="23"/>
  <c r="L1039" i="23"/>
  <c r="J1039" i="23"/>
  <c r="M1039" i="23"/>
  <c r="K1039" i="23"/>
  <c r="M1034" i="23"/>
  <c r="L1034" i="23"/>
  <c r="K1034" i="23"/>
  <c r="J1034" i="23"/>
  <c r="M1035" i="23"/>
  <c r="L1035" i="23"/>
  <c r="K1035" i="23"/>
  <c r="J1035" i="23"/>
  <c r="L1036" i="23"/>
  <c r="J1036" i="23"/>
  <c r="M1036" i="23"/>
  <c r="K1036" i="23"/>
  <c r="L1037" i="23"/>
  <c r="J1037" i="23"/>
  <c r="M1037" i="23"/>
  <c r="K1037" i="23"/>
  <c r="M1031" i="23"/>
  <c r="L1031" i="23"/>
  <c r="K1031" i="23"/>
  <c r="J1031" i="23"/>
  <c r="L1038" i="23"/>
  <c r="J1038" i="23"/>
  <c r="M1038" i="23"/>
  <c r="K1038" i="23"/>
  <c r="M1032" i="23"/>
  <c r="L1032" i="23"/>
  <c r="K1032" i="23"/>
  <c r="J1032" i="23"/>
  <c r="M1033" i="23"/>
  <c r="L1033" i="23"/>
  <c r="K1033" i="23"/>
  <c r="J1033" i="23"/>
  <c r="M1058" i="23"/>
  <c r="L1058" i="23"/>
  <c r="K1058" i="23"/>
  <c r="J1058" i="23"/>
  <c r="M791" i="23"/>
  <c r="L791" i="23"/>
  <c r="K791" i="23"/>
  <c r="J791" i="23"/>
  <c r="M790" i="23"/>
  <c r="L790" i="23"/>
  <c r="K790" i="23"/>
  <c r="J790" i="23"/>
  <c r="M789" i="23"/>
  <c r="L789" i="23"/>
  <c r="K789" i="23"/>
  <c r="J789" i="23"/>
  <c r="M788" i="23"/>
  <c r="L788" i="23"/>
  <c r="K788" i="23"/>
  <c r="J788" i="23"/>
  <c r="M787" i="23"/>
  <c r="L787" i="23"/>
  <c r="K787" i="23"/>
  <c r="J787" i="23"/>
  <c r="M786" i="23"/>
  <c r="L786" i="23"/>
  <c r="K786" i="23"/>
  <c r="J786" i="23"/>
  <c r="M785" i="23"/>
  <c r="L785" i="23"/>
  <c r="K785" i="23"/>
  <c r="J785" i="23"/>
  <c r="M783" i="23"/>
  <c r="L783" i="23"/>
  <c r="K783" i="23"/>
  <c r="J783" i="23"/>
  <c r="M782" i="23"/>
  <c r="L782" i="23"/>
  <c r="K782" i="23"/>
  <c r="J782" i="23"/>
  <c r="M781" i="23"/>
  <c r="L781" i="23"/>
  <c r="K781" i="23"/>
  <c r="J781" i="23"/>
  <c r="M780" i="23"/>
  <c r="L780" i="23"/>
  <c r="K780" i="23"/>
  <c r="J780" i="23"/>
  <c r="M779" i="23"/>
  <c r="L779" i="23"/>
  <c r="K779" i="23"/>
  <c r="J779" i="23"/>
  <c r="M769" i="23"/>
  <c r="L769" i="23"/>
  <c r="K769" i="23"/>
  <c r="J769" i="23"/>
  <c r="M778" i="23"/>
  <c r="L778" i="23"/>
  <c r="K778" i="23"/>
  <c r="J778" i="23"/>
  <c r="M777" i="23"/>
  <c r="L777" i="23"/>
  <c r="K777" i="23"/>
  <c r="J777" i="23"/>
  <c r="M775" i="23"/>
  <c r="L775" i="23"/>
  <c r="K775" i="23"/>
  <c r="J775" i="23"/>
  <c r="M774" i="23"/>
  <c r="L774" i="23"/>
  <c r="K774" i="23"/>
  <c r="J774" i="23"/>
  <c r="M773" i="23"/>
  <c r="L773" i="23"/>
  <c r="K773" i="23"/>
  <c r="J773" i="23"/>
  <c r="M776" i="23"/>
  <c r="L776" i="23"/>
  <c r="K776" i="23"/>
  <c r="J776" i="23"/>
  <c r="M772" i="23"/>
  <c r="L772" i="23"/>
  <c r="K772" i="23"/>
  <c r="J772" i="23"/>
  <c r="M771" i="23"/>
  <c r="L771" i="23"/>
  <c r="K771" i="23"/>
  <c r="J771" i="23"/>
  <c r="M770" i="23"/>
  <c r="L770" i="23"/>
  <c r="K770" i="23"/>
  <c r="J770" i="23"/>
  <c r="M784" i="23"/>
  <c r="L784" i="23"/>
  <c r="K784" i="23"/>
  <c r="J784" i="23"/>
  <c r="M768" i="23"/>
  <c r="L768" i="23"/>
  <c r="K768" i="23"/>
  <c r="J768" i="23"/>
  <c r="M767" i="23"/>
  <c r="L767" i="23"/>
  <c r="K767" i="23"/>
  <c r="J767" i="23"/>
  <c r="M766" i="23"/>
  <c r="L766" i="23"/>
  <c r="K766" i="23"/>
  <c r="J766" i="23"/>
  <c r="M765" i="23"/>
  <c r="L765" i="23"/>
  <c r="K765" i="23"/>
  <c r="J765" i="23"/>
  <c r="M764" i="23"/>
  <c r="L764" i="23"/>
  <c r="K764" i="23"/>
  <c r="J764" i="23"/>
  <c r="M763" i="23"/>
  <c r="L763" i="23"/>
  <c r="K763" i="23"/>
  <c r="J763" i="23"/>
  <c r="M762" i="23"/>
  <c r="L762" i="23"/>
  <c r="K762" i="23"/>
  <c r="J762" i="23"/>
  <c r="M761" i="23"/>
  <c r="L761" i="23"/>
  <c r="K761" i="23"/>
  <c r="J761" i="23"/>
  <c r="M760" i="23"/>
  <c r="L760" i="23"/>
  <c r="K760" i="23"/>
  <c r="J760" i="23"/>
  <c r="M759" i="23"/>
  <c r="L759" i="23"/>
  <c r="K759" i="23"/>
  <c r="J759" i="23"/>
  <c r="M758" i="23"/>
  <c r="L758" i="23"/>
  <c r="K758" i="23"/>
  <c r="J758" i="23"/>
  <c r="M757" i="23"/>
  <c r="L757" i="23"/>
  <c r="K757" i="23"/>
  <c r="J757" i="23"/>
  <c r="M801" i="23"/>
  <c r="L801" i="23"/>
  <c r="K801" i="23"/>
  <c r="J801" i="23"/>
  <c r="M800" i="23"/>
  <c r="L800" i="23"/>
  <c r="K800" i="23"/>
  <c r="J800" i="23"/>
  <c r="M799" i="23"/>
  <c r="L799" i="23"/>
  <c r="K799" i="23"/>
  <c r="J799" i="23"/>
  <c r="M798" i="23"/>
  <c r="L798" i="23"/>
  <c r="K798" i="23"/>
  <c r="J798" i="23"/>
  <c r="M797" i="23"/>
  <c r="L797" i="23"/>
  <c r="K797" i="23"/>
  <c r="J797" i="23"/>
  <c r="M796" i="23"/>
  <c r="L796" i="23"/>
  <c r="K796" i="23"/>
  <c r="J796" i="23"/>
  <c r="M795" i="23"/>
  <c r="L795" i="23"/>
  <c r="K795" i="23"/>
  <c r="J795" i="23"/>
  <c r="M794" i="23"/>
  <c r="L794" i="23"/>
  <c r="K794" i="23"/>
  <c r="J794" i="23"/>
  <c r="M793" i="23"/>
  <c r="L793" i="23"/>
  <c r="K793" i="23"/>
  <c r="J793" i="23"/>
  <c r="M792" i="23"/>
  <c r="L792" i="23"/>
  <c r="K792" i="23"/>
  <c r="J792" i="23"/>
  <c r="O76" i="28" a="1"/>
  <c r="O74" i="28" a="1"/>
  <c r="AP21" i="22"/>
  <c r="O26" i="28" a="1"/>
  <c r="K142" i="23"/>
  <c r="M142" i="23"/>
  <c r="L142" i="23"/>
  <c r="A74" i="22"/>
  <c r="A88" i="22"/>
  <c r="A75" i="22"/>
  <c r="A76" i="22"/>
  <c r="A77" i="22"/>
  <c r="A78" i="22"/>
  <c r="A94" i="22"/>
  <c r="A95" i="22"/>
  <c r="A96" i="22"/>
  <c r="A89" i="22"/>
  <c r="A91" i="22"/>
  <c r="A92" i="22"/>
  <c r="A93" i="22"/>
  <c r="A90" i="22"/>
  <c r="A82" i="22"/>
  <c r="A81" i="22"/>
  <c r="A80" i="22"/>
  <c r="A79" i="22"/>
  <c r="AP19" i="22"/>
  <c r="M1176" i="23"/>
  <c r="L1176" i="23"/>
  <c r="K1176" i="23"/>
  <c r="J1176" i="23"/>
  <c r="M1204" i="23"/>
  <c r="L1204" i="23"/>
  <c r="K1204" i="23"/>
  <c r="J1204" i="23"/>
  <c r="M1199" i="23"/>
  <c r="L1199" i="23"/>
  <c r="K1199" i="23"/>
  <c r="J1199" i="23"/>
  <c r="M1201" i="23"/>
  <c r="L1201" i="23"/>
  <c r="K1201" i="23"/>
  <c r="J1201" i="23"/>
  <c r="M1198" i="23"/>
  <c r="L1198" i="23"/>
  <c r="K1198" i="23"/>
  <c r="J1198" i="23"/>
  <c r="M1174" i="23"/>
  <c r="L1174" i="23"/>
  <c r="K1174" i="23"/>
  <c r="J1174" i="23"/>
  <c r="M1175" i="23"/>
  <c r="L1175" i="23"/>
  <c r="K1175" i="23"/>
  <c r="J1175" i="23"/>
  <c r="M1206" i="23"/>
  <c r="L1206" i="23"/>
  <c r="K1206" i="23"/>
  <c r="J1206" i="23"/>
  <c r="M1196" i="23"/>
  <c r="L1196" i="23"/>
  <c r="K1196" i="23"/>
  <c r="J1196" i="23"/>
  <c r="M1200" i="23"/>
  <c r="L1200" i="23"/>
  <c r="K1200" i="23"/>
  <c r="J1200" i="23"/>
  <c r="M1190" i="23"/>
  <c r="L1190" i="23"/>
  <c r="K1190" i="23"/>
  <c r="J1190" i="23"/>
  <c r="M1194" i="23"/>
  <c r="L1194" i="23"/>
  <c r="K1194" i="23"/>
  <c r="J1194" i="23"/>
  <c r="M1177" i="23"/>
  <c r="L1177" i="23"/>
  <c r="K1177" i="23"/>
  <c r="J1177" i="23"/>
  <c r="M1202" i="23"/>
  <c r="L1202" i="23"/>
  <c r="K1202" i="23"/>
  <c r="J1202" i="23"/>
  <c r="M1192" i="23"/>
  <c r="L1192" i="23"/>
  <c r="K1192" i="23"/>
  <c r="J1192" i="23"/>
  <c r="M1178" i="23"/>
  <c r="L1178" i="23"/>
  <c r="K1178" i="23"/>
  <c r="J1178" i="23"/>
  <c r="M1191" i="23"/>
  <c r="L1191" i="23"/>
  <c r="K1191" i="23"/>
  <c r="J1191" i="23"/>
  <c r="M1197" i="23"/>
  <c r="L1197" i="23"/>
  <c r="K1197" i="23"/>
  <c r="J1197" i="23"/>
  <c r="M1189" i="23"/>
  <c r="L1189" i="23"/>
  <c r="K1189" i="23"/>
  <c r="J1189" i="23"/>
  <c r="M1188" i="23"/>
  <c r="L1188" i="23"/>
  <c r="K1188" i="23"/>
  <c r="J1188" i="23"/>
  <c r="M1195" i="23"/>
  <c r="L1195" i="23"/>
  <c r="K1195" i="23"/>
  <c r="J1195" i="23"/>
  <c r="M1203" i="23"/>
  <c r="L1203" i="23"/>
  <c r="K1203" i="23"/>
  <c r="J1203" i="23"/>
  <c r="M1209" i="23"/>
  <c r="L1209" i="23"/>
  <c r="K1209" i="23"/>
  <c r="J1209" i="23"/>
  <c r="M1193" i="23"/>
  <c r="L1193" i="23"/>
  <c r="K1193" i="23"/>
  <c r="J1193" i="23"/>
  <c r="M1207" i="23"/>
  <c r="L1207" i="23"/>
  <c r="K1207" i="23"/>
  <c r="J1207" i="23"/>
  <c r="M1208" i="23"/>
  <c r="L1208" i="23"/>
  <c r="K1208" i="23"/>
  <c r="J1208" i="23"/>
  <c r="M1205" i="23"/>
  <c r="L1205" i="23"/>
  <c r="K1205" i="23"/>
  <c r="J1205" i="23"/>
  <c r="L1012" i="23"/>
  <c r="J1012" i="23"/>
  <c r="M1012" i="23"/>
  <c r="K1012" i="23"/>
  <c r="L1011" i="23"/>
  <c r="J1011" i="23"/>
  <c r="M1011" i="23"/>
  <c r="K1011" i="23"/>
  <c r="L1010" i="23"/>
  <c r="J1010" i="23"/>
  <c r="M1010" i="23"/>
  <c r="K1010" i="23"/>
  <c r="M1008" i="23"/>
  <c r="J1008" i="23"/>
  <c r="L1008" i="23"/>
  <c r="K1008" i="23"/>
  <c r="M1007" i="23"/>
  <c r="L1007" i="23"/>
  <c r="K1007" i="23"/>
  <c r="J1007" i="23"/>
  <c r="M1006" i="23"/>
  <c r="L1006" i="23"/>
  <c r="K1006" i="23"/>
  <c r="J1006" i="23"/>
  <c r="M1005" i="23"/>
  <c r="L1005" i="23"/>
  <c r="K1005" i="23"/>
  <c r="J1005" i="23"/>
  <c r="L1009" i="23"/>
  <c r="J1009" i="23"/>
  <c r="M1009" i="23"/>
  <c r="K1009" i="23"/>
  <c r="M975" i="23"/>
  <c r="L975" i="23"/>
  <c r="K975" i="23"/>
  <c r="J975" i="23"/>
  <c r="M938" i="23"/>
  <c r="L938" i="23"/>
  <c r="K938" i="23"/>
  <c r="J938" i="23"/>
  <c r="M939" i="23"/>
  <c r="L939" i="23"/>
  <c r="K939" i="23"/>
  <c r="J939" i="23"/>
  <c r="M974" i="23"/>
  <c r="L974" i="23"/>
  <c r="K974" i="23"/>
  <c r="J974" i="23"/>
  <c r="M957" i="23"/>
  <c r="L957" i="23"/>
  <c r="K957" i="23"/>
  <c r="J957" i="23"/>
  <c r="M940" i="23"/>
  <c r="L940" i="23"/>
  <c r="K940" i="23"/>
  <c r="J940" i="23"/>
  <c r="M973" i="23"/>
  <c r="L973" i="23"/>
  <c r="K973" i="23"/>
  <c r="J973" i="23"/>
  <c r="M1030" i="23"/>
  <c r="L1030" i="23"/>
  <c r="K1030" i="23"/>
  <c r="J1030" i="23"/>
  <c r="K1029" i="23"/>
  <c r="M1029" i="23"/>
  <c r="L1029" i="23"/>
  <c r="J1029" i="23"/>
  <c r="M1028" i="23"/>
  <c r="L1028" i="23"/>
  <c r="K1028" i="23"/>
  <c r="J1028" i="23"/>
  <c r="M1027" i="23"/>
  <c r="L1027" i="23"/>
  <c r="K1027" i="23"/>
  <c r="J1027" i="23"/>
  <c r="M1026" i="23"/>
  <c r="L1026" i="23"/>
  <c r="K1026" i="23"/>
  <c r="J1026" i="23"/>
  <c r="M1025" i="23"/>
  <c r="L1025" i="23"/>
  <c r="K1025" i="23"/>
  <c r="J1025" i="23"/>
  <c r="M1024" i="23"/>
  <c r="L1024" i="23"/>
  <c r="K1024" i="23"/>
  <c r="J1024" i="23"/>
  <c r="M1023" i="23"/>
  <c r="L1023" i="23"/>
  <c r="K1023" i="23"/>
  <c r="J1023" i="23"/>
  <c r="M1022" i="23"/>
  <c r="L1022" i="23"/>
  <c r="K1022" i="23"/>
  <c r="J1022" i="23"/>
  <c r="M1021" i="23"/>
  <c r="L1021" i="23"/>
  <c r="K1021" i="23"/>
  <c r="J1021" i="23"/>
  <c r="M1020" i="23"/>
  <c r="L1020" i="23"/>
  <c r="K1020" i="23"/>
  <c r="J1020" i="23"/>
  <c r="M1019" i="23"/>
  <c r="J1019" i="23"/>
  <c r="L1019" i="23"/>
  <c r="K1019" i="23"/>
  <c r="L1018" i="23"/>
  <c r="J1018" i="23"/>
  <c r="M1018" i="23"/>
  <c r="K1018" i="23"/>
  <c r="L1017" i="23"/>
  <c r="J1017" i="23"/>
  <c r="M1017" i="23"/>
  <c r="K1017" i="23"/>
  <c r="M1016" i="23"/>
  <c r="L1016" i="23"/>
  <c r="K1016" i="23"/>
  <c r="J1016" i="23"/>
  <c r="M1015" i="23"/>
  <c r="L1015" i="23"/>
  <c r="K1015" i="23"/>
  <c r="J1015" i="23"/>
  <c r="M1014" i="23"/>
  <c r="L1014" i="23"/>
  <c r="K1014" i="23"/>
  <c r="J1014" i="23"/>
  <c r="J1013" i="23"/>
  <c r="M1013" i="23"/>
  <c r="L1013" i="23"/>
  <c r="K1013" i="23"/>
  <c r="M962" i="23"/>
  <c r="L962" i="23"/>
  <c r="K962" i="23"/>
  <c r="J962" i="23"/>
  <c r="M908" i="23"/>
  <c r="L908" i="23"/>
  <c r="K908" i="23"/>
  <c r="J908" i="23"/>
  <c r="M1004" i="23"/>
  <c r="L1004" i="23"/>
  <c r="K1004" i="23"/>
  <c r="J1004" i="23"/>
  <c r="L909" i="23"/>
  <c r="J909" i="23"/>
  <c r="M909" i="23"/>
  <c r="K909" i="23"/>
  <c r="M1003" i="23"/>
  <c r="L1003" i="23"/>
  <c r="K1003" i="23"/>
  <c r="J1003" i="23"/>
  <c r="M941" i="23"/>
  <c r="L941" i="23"/>
  <c r="K941" i="23"/>
  <c r="J941" i="23"/>
  <c r="M1002" i="23"/>
  <c r="L1002" i="23"/>
  <c r="K1002" i="23"/>
  <c r="J1002" i="23"/>
  <c r="M972" i="23"/>
  <c r="L972" i="23"/>
  <c r="K972" i="23"/>
  <c r="J972" i="23"/>
  <c r="M910" i="23"/>
  <c r="K910" i="23"/>
  <c r="J910" i="23"/>
  <c r="L910" i="23"/>
  <c r="M951" i="23"/>
  <c r="L951" i="23"/>
  <c r="K951" i="23"/>
  <c r="J951" i="23"/>
  <c r="M1001" i="23"/>
  <c r="L1001" i="23"/>
  <c r="K1001" i="23"/>
  <c r="J1001" i="23"/>
  <c r="L911" i="23"/>
  <c r="J911" i="23"/>
  <c r="M911" i="23"/>
  <c r="K911" i="23"/>
  <c r="M942" i="23"/>
  <c r="L942" i="23"/>
  <c r="K942" i="23"/>
  <c r="J942" i="23"/>
  <c r="M1000" i="23"/>
  <c r="L1000" i="23"/>
  <c r="K1000" i="23"/>
  <c r="J1000" i="23"/>
  <c r="J912" i="23"/>
  <c r="M912" i="23"/>
  <c r="L912" i="23"/>
  <c r="K912" i="23"/>
  <c r="M913" i="23"/>
  <c r="L913" i="23"/>
  <c r="K913" i="23"/>
  <c r="J913" i="23"/>
  <c r="M999" i="23"/>
  <c r="L999" i="23"/>
  <c r="K999" i="23"/>
  <c r="J999" i="23"/>
  <c r="M958" i="23"/>
  <c r="L958" i="23"/>
  <c r="K958" i="23"/>
  <c r="J958" i="23"/>
  <c r="M914" i="23"/>
  <c r="L914" i="23"/>
  <c r="K914" i="23"/>
  <c r="J914" i="23"/>
  <c r="M971" i="23"/>
  <c r="L971" i="23"/>
  <c r="K971" i="23"/>
  <c r="J971" i="23"/>
  <c r="M961" i="23"/>
  <c r="L961" i="23"/>
  <c r="K961" i="23"/>
  <c r="J961" i="23"/>
  <c r="L915" i="23"/>
  <c r="J915" i="23"/>
  <c r="M915" i="23"/>
  <c r="K915" i="23"/>
  <c r="M998" i="23"/>
  <c r="L998" i="23"/>
  <c r="K998" i="23"/>
  <c r="J998" i="23"/>
  <c r="M997" i="23"/>
  <c r="L997" i="23"/>
  <c r="K997" i="23"/>
  <c r="J997" i="23"/>
  <c r="M970" i="23"/>
  <c r="L970" i="23"/>
  <c r="K970" i="23"/>
  <c r="J970" i="23"/>
  <c r="K916" i="23"/>
  <c r="M916" i="23"/>
  <c r="L916" i="23"/>
  <c r="J916" i="23"/>
  <c r="M917" i="23"/>
  <c r="L917" i="23"/>
  <c r="K917" i="23"/>
  <c r="J917" i="23"/>
  <c r="M996" i="23"/>
  <c r="L996" i="23"/>
  <c r="K996" i="23"/>
  <c r="J996" i="23"/>
  <c r="M943" i="23"/>
  <c r="L943" i="23"/>
  <c r="K943" i="23"/>
  <c r="J943" i="23"/>
  <c r="M995" i="23"/>
  <c r="L995" i="23"/>
  <c r="K995" i="23"/>
  <c r="J995" i="23"/>
  <c r="M944" i="23"/>
  <c r="L944" i="23"/>
  <c r="K944" i="23"/>
  <c r="J944" i="23"/>
  <c r="M918" i="23"/>
  <c r="L918" i="23"/>
  <c r="K918" i="23"/>
  <c r="J918" i="23"/>
  <c r="M969" i="23"/>
  <c r="L969" i="23"/>
  <c r="K969" i="23"/>
  <c r="J969" i="23"/>
  <c r="M994" i="23"/>
  <c r="L994" i="23"/>
  <c r="K994" i="23"/>
  <c r="J994" i="23"/>
  <c r="M919" i="23"/>
  <c r="L919" i="23"/>
  <c r="K919" i="23"/>
  <c r="J919" i="23"/>
  <c r="M952" i="23"/>
  <c r="L952" i="23"/>
  <c r="K952" i="23"/>
  <c r="J952" i="23"/>
  <c r="M920" i="23"/>
  <c r="L920" i="23"/>
  <c r="K920" i="23"/>
  <c r="J920" i="23"/>
  <c r="M993" i="23"/>
  <c r="L993" i="23"/>
  <c r="K993" i="23"/>
  <c r="J993" i="23"/>
  <c r="M955" i="23"/>
  <c r="L955" i="23"/>
  <c r="K955" i="23"/>
  <c r="J955" i="23"/>
  <c r="M921" i="23"/>
  <c r="L921" i="23"/>
  <c r="K921" i="23"/>
  <c r="J921" i="23"/>
  <c r="M992" i="23"/>
  <c r="L992" i="23"/>
  <c r="K992" i="23"/>
  <c r="J992" i="23"/>
  <c r="M991" i="23"/>
  <c r="L991" i="23"/>
  <c r="K991" i="23"/>
  <c r="J991" i="23"/>
  <c r="M945" i="23"/>
  <c r="L945" i="23"/>
  <c r="K945" i="23"/>
  <c r="J945" i="23"/>
  <c r="M922" i="23"/>
  <c r="L922" i="23"/>
  <c r="K922" i="23"/>
  <c r="J922" i="23"/>
  <c r="M923" i="23"/>
  <c r="L923" i="23"/>
  <c r="K923" i="23"/>
  <c r="J923" i="23"/>
  <c r="M990" i="23"/>
  <c r="L990" i="23"/>
  <c r="K990" i="23"/>
  <c r="J990" i="23"/>
  <c r="M968" i="23"/>
  <c r="L968" i="23"/>
  <c r="K968" i="23"/>
  <c r="J968" i="23"/>
  <c r="M989" i="23"/>
  <c r="L989" i="23"/>
  <c r="K989" i="23"/>
  <c r="J989" i="23"/>
  <c r="M946" i="23"/>
  <c r="L946" i="23"/>
  <c r="K946" i="23"/>
  <c r="J946" i="23"/>
  <c r="M924" i="23"/>
  <c r="L924" i="23"/>
  <c r="K924" i="23"/>
  <c r="J924" i="23"/>
  <c r="M960" i="23"/>
  <c r="L960" i="23"/>
  <c r="K960" i="23"/>
  <c r="J960" i="23"/>
  <c r="M988" i="23"/>
  <c r="L988" i="23"/>
  <c r="K988" i="23"/>
  <c r="J988" i="23"/>
  <c r="M925" i="23"/>
  <c r="L925" i="23"/>
  <c r="K925" i="23"/>
  <c r="J925" i="23"/>
  <c r="M987" i="23"/>
  <c r="L987" i="23"/>
  <c r="K987" i="23"/>
  <c r="J987" i="23"/>
  <c r="M967" i="23"/>
  <c r="L967" i="23"/>
  <c r="K967" i="23"/>
  <c r="J967" i="23"/>
  <c r="M926" i="23"/>
  <c r="L926" i="23"/>
  <c r="K926" i="23"/>
  <c r="J926" i="23"/>
  <c r="M927" i="23"/>
  <c r="L927" i="23"/>
  <c r="K927" i="23"/>
  <c r="J927" i="23"/>
  <c r="M953" i="23"/>
  <c r="L953" i="23"/>
  <c r="K953" i="23"/>
  <c r="J953" i="23"/>
  <c r="M986" i="23"/>
  <c r="L986" i="23"/>
  <c r="K986" i="23"/>
  <c r="J986" i="23"/>
  <c r="M928" i="23"/>
  <c r="L928" i="23"/>
  <c r="K928" i="23"/>
  <c r="J928" i="23"/>
  <c r="M985" i="23"/>
  <c r="L985" i="23"/>
  <c r="K985" i="23"/>
  <c r="J985" i="23"/>
  <c r="M966" i="23"/>
  <c r="L966" i="23"/>
  <c r="K966" i="23"/>
  <c r="J966" i="23"/>
  <c r="M929" i="23"/>
  <c r="L929" i="23"/>
  <c r="K929" i="23"/>
  <c r="J929" i="23"/>
  <c r="M947" i="23"/>
  <c r="L947" i="23"/>
  <c r="K947" i="23"/>
  <c r="J947" i="23"/>
  <c r="M984" i="23"/>
  <c r="L984" i="23"/>
  <c r="K984" i="23"/>
  <c r="J984" i="23"/>
  <c r="M956" i="23"/>
  <c r="L956" i="23"/>
  <c r="K956" i="23"/>
  <c r="J956" i="23"/>
  <c r="M930" i="23"/>
  <c r="L930" i="23"/>
  <c r="K930" i="23"/>
  <c r="J930" i="23"/>
  <c r="M983" i="23"/>
  <c r="L983" i="23"/>
  <c r="K983" i="23"/>
  <c r="J983" i="23"/>
  <c r="M965" i="23"/>
  <c r="L965" i="23"/>
  <c r="K965" i="23"/>
  <c r="J965" i="23"/>
  <c r="M982" i="23"/>
  <c r="L982" i="23"/>
  <c r="K982" i="23"/>
  <c r="J982" i="23"/>
  <c r="M931" i="23"/>
  <c r="L931" i="23"/>
  <c r="K931" i="23"/>
  <c r="J931" i="23"/>
  <c r="M981" i="23"/>
  <c r="L981" i="23"/>
  <c r="K981" i="23"/>
  <c r="J981" i="23"/>
  <c r="M932" i="23"/>
  <c r="L932" i="23"/>
  <c r="K932" i="23"/>
  <c r="J932" i="23"/>
  <c r="M948" i="23"/>
  <c r="L948" i="23"/>
  <c r="K948" i="23"/>
  <c r="J948" i="23"/>
  <c r="M949" i="23"/>
  <c r="L949" i="23"/>
  <c r="K949" i="23"/>
  <c r="J949" i="23"/>
  <c r="M933" i="23"/>
  <c r="L933" i="23"/>
  <c r="K933" i="23"/>
  <c r="J933" i="23"/>
  <c r="M980" i="23"/>
  <c r="L980" i="23"/>
  <c r="K980" i="23"/>
  <c r="J980" i="23"/>
  <c r="M934" i="23"/>
  <c r="L934" i="23"/>
  <c r="K934" i="23"/>
  <c r="J934" i="23"/>
  <c r="M959" i="23"/>
  <c r="L959" i="23"/>
  <c r="K959" i="23"/>
  <c r="J959" i="23"/>
  <c r="M979" i="23"/>
  <c r="L979" i="23"/>
  <c r="K979" i="23"/>
  <c r="J979" i="23"/>
  <c r="M935" i="23"/>
  <c r="L935" i="23"/>
  <c r="K935" i="23"/>
  <c r="J935" i="23"/>
  <c r="M978" i="23"/>
  <c r="L978" i="23"/>
  <c r="K978" i="23"/>
  <c r="J978" i="23"/>
  <c r="M964" i="23"/>
  <c r="L964" i="23"/>
  <c r="K964" i="23"/>
  <c r="J964" i="23"/>
  <c r="M977" i="23"/>
  <c r="L977" i="23"/>
  <c r="K977" i="23"/>
  <c r="J977" i="23"/>
  <c r="M954" i="23"/>
  <c r="L954" i="23"/>
  <c r="K954" i="23"/>
  <c r="J954" i="23"/>
  <c r="M936" i="23"/>
  <c r="L936" i="23"/>
  <c r="K936" i="23"/>
  <c r="J936" i="23"/>
  <c r="M937" i="23"/>
  <c r="L937" i="23"/>
  <c r="K937" i="23"/>
  <c r="J937" i="23"/>
  <c r="M963" i="23"/>
  <c r="L963" i="23"/>
  <c r="K963" i="23"/>
  <c r="J963" i="23"/>
  <c r="M976" i="23"/>
  <c r="L976" i="23"/>
  <c r="K976" i="23"/>
  <c r="J976" i="23"/>
  <c r="M950" i="23"/>
  <c r="L950" i="23"/>
  <c r="K950" i="23"/>
  <c r="J950" i="23"/>
  <c r="L898" i="23"/>
  <c r="J898" i="23"/>
  <c r="M898" i="23"/>
  <c r="K898" i="23"/>
  <c r="M827" i="23"/>
  <c r="K827" i="23"/>
  <c r="J827" i="23"/>
  <c r="L827" i="23"/>
  <c r="M862" i="23"/>
  <c r="J862" i="23"/>
  <c r="K862" i="23"/>
  <c r="L862" i="23"/>
  <c r="K828" i="23"/>
  <c r="M828" i="23"/>
  <c r="J828" i="23"/>
  <c r="L828" i="23"/>
  <c r="M851" i="23"/>
  <c r="K851" i="23"/>
  <c r="J851" i="23"/>
  <c r="L851" i="23"/>
  <c r="L897" i="23"/>
  <c r="J897" i="23"/>
  <c r="M897" i="23"/>
  <c r="K897" i="23"/>
  <c r="M896" i="23"/>
  <c r="K896" i="23"/>
  <c r="J896" i="23"/>
  <c r="L896" i="23"/>
  <c r="M829" i="23"/>
  <c r="J829" i="23"/>
  <c r="L829" i="23"/>
  <c r="K829" i="23"/>
  <c r="L810" i="23"/>
  <c r="K810" i="23"/>
  <c r="J810" i="23"/>
  <c r="M810" i="23"/>
  <c r="M872" i="23"/>
  <c r="K872" i="23"/>
  <c r="J872" i="23"/>
  <c r="L872" i="23"/>
  <c r="L895" i="23"/>
  <c r="J895" i="23"/>
  <c r="M895" i="23"/>
  <c r="K895" i="23"/>
  <c r="M874" i="23"/>
  <c r="K874" i="23"/>
  <c r="J874" i="23"/>
  <c r="L874" i="23"/>
  <c r="M830" i="23"/>
  <c r="J830" i="23"/>
  <c r="L830" i="23"/>
  <c r="K830" i="23"/>
  <c r="L894" i="23"/>
  <c r="J894" i="23"/>
  <c r="M894" i="23"/>
  <c r="K894" i="23"/>
  <c r="L861" i="23"/>
  <c r="M861" i="23"/>
  <c r="J861" i="23"/>
  <c r="K861" i="23"/>
  <c r="L831" i="23"/>
  <c r="J831" i="23"/>
  <c r="M831" i="23"/>
  <c r="K831" i="23"/>
  <c r="M852" i="23"/>
  <c r="K852" i="23"/>
  <c r="J852" i="23"/>
  <c r="L852" i="23"/>
  <c r="L893" i="23"/>
  <c r="J893" i="23"/>
  <c r="M893" i="23"/>
  <c r="K893" i="23"/>
  <c r="K832" i="23"/>
  <c r="M832" i="23"/>
  <c r="J832" i="23"/>
  <c r="L832" i="23"/>
  <c r="L833" i="23"/>
  <c r="M833" i="23"/>
  <c r="J833" i="23"/>
  <c r="K833" i="23"/>
  <c r="L873" i="23"/>
  <c r="J873" i="23"/>
  <c r="M873" i="23"/>
  <c r="K873" i="23"/>
  <c r="M892" i="23"/>
  <c r="L892" i="23"/>
  <c r="J892" i="23"/>
  <c r="K892" i="23"/>
  <c r="M834" i="23"/>
  <c r="L834" i="23"/>
  <c r="J834" i="23"/>
  <c r="K834" i="23"/>
  <c r="L853" i="23"/>
  <c r="J853" i="23"/>
  <c r="M853" i="23"/>
  <c r="K853" i="23"/>
  <c r="L891" i="23"/>
  <c r="J891" i="23"/>
  <c r="M891" i="23"/>
  <c r="K891" i="23"/>
  <c r="K871" i="23"/>
  <c r="M871" i="23"/>
  <c r="J871" i="23"/>
  <c r="L871" i="23"/>
  <c r="M835" i="23"/>
  <c r="J835" i="23"/>
  <c r="K835" i="23"/>
  <c r="L835" i="23"/>
  <c r="L890" i="23"/>
  <c r="J890" i="23"/>
  <c r="M890" i="23"/>
  <c r="K890" i="23"/>
  <c r="L865" i="23"/>
  <c r="J865" i="23"/>
  <c r="M865" i="23"/>
  <c r="K865" i="23"/>
  <c r="L889" i="23"/>
  <c r="J889" i="23"/>
  <c r="M889" i="23"/>
  <c r="K889" i="23"/>
  <c r="M836" i="23"/>
  <c r="L836" i="23"/>
  <c r="J836" i="23"/>
  <c r="K836" i="23"/>
  <c r="L888" i="23"/>
  <c r="J888" i="23"/>
  <c r="M888" i="23"/>
  <c r="K888" i="23"/>
  <c r="J854" i="23"/>
  <c r="M854" i="23"/>
  <c r="K854" i="23"/>
  <c r="L854" i="23"/>
  <c r="L837" i="23"/>
  <c r="J837" i="23"/>
  <c r="M837" i="23"/>
  <c r="K837" i="23"/>
  <c r="L838" i="23"/>
  <c r="J838" i="23"/>
  <c r="M838" i="23"/>
  <c r="K838" i="23"/>
  <c r="M802" i="23"/>
  <c r="L802" i="23"/>
  <c r="K802" i="23"/>
  <c r="J802" i="23"/>
  <c r="M887" i="23"/>
  <c r="L887" i="23"/>
  <c r="K887" i="23"/>
  <c r="J887" i="23"/>
  <c r="M803" i="23"/>
  <c r="L803" i="23"/>
  <c r="K803" i="23"/>
  <c r="J803" i="23"/>
  <c r="M804" i="23"/>
  <c r="L804" i="23"/>
  <c r="K804" i="23"/>
  <c r="J804" i="23"/>
  <c r="M859" i="23"/>
  <c r="J859" i="23"/>
  <c r="L859" i="23"/>
  <c r="K859" i="23"/>
  <c r="L870" i="23"/>
  <c r="M870" i="23"/>
  <c r="J870" i="23"/>
  <c r="K870" i="23"/>
  <c r="K805" i="23"/>
  <c r="M805" i="23"/>
  <c r="J805" i="23"/>
  <c r="L805" i="23"/>
  <c r="L839" i="23"/>
  <c r="J839" i="23"/>
  <c r="M839" i="23"/>
  <c r="K839" i="23"/>
  <c r="M824" i="23"/>
  <c r="J824" i="23"/>
  <c r="K824" i="23"/>
  <c r="L824" i="23"/>
  <c r="M886" i="23"/>
  <c r="K886" i="23"/>
  <c r="J886" i="23"/>
  <c r="L886" i="23"/>
  <c r="L806" i="23"/>
  <c r="M806" i="23"/>
  <c r="J806" i="23"/>
  <c r="K806" i="23"/>
  <c r="M885" i="23"/>
  <c r="J885" i="23"/>
  <c r="L885" i="23"/>
  <c r="K885" i="23"/>
  <c r="L840" i="23"/>
  <c r="J840" i="23"/>
  <c r="M840" i="23"/>
  <c r="K840" i="23"/>
  <c r="L807" i="23"/>
  <c r="J807" i="23"/>
  <c r="M807" i="23"/>
  <c r="K807" i="23"/>
  <c r="M855" i="23"/>
  <c r="K855" i="23"/>
  <c r="J855" i="23"/>
  <c r="L855" i="23"/>
  <c r="M808" i="23"/>
  <c r="L808" i="23"/>
  <c r="J808" i="23"/>
  <c r="K808" i="23"/>
  <c r="M841" i="23"/>
  <c r="L841" i="23"/>
  <c r="K841" i="23"/>
  <c r="J841" i="23"/>
  <c r="L884" i="23"/>
  <c r="J884" i="23"/>
  <c r="M884" i="23"/>
  <c r="K884" i="23"/>
  <c r="M869" i="23"/>
  <c r="K869" i="23"/>
  <c r="J869" i="23"/>
  <c r="L869" i="23"/>
  <c r="M842" i="23"/>
  <c r="L842" i="23"/>
  <c r="K842" i="23"/>
  <c r="J842" i="23"/>
  <c r="J809" i="23"/>
  <c r="M809" i="23"/>
  <c r="K809" i="23"/>
  <c r="L809" i="23"/>
  <c r="L883" i="23"/>
  <c r="J883" i="23"/>
  <c r="M883" i="23"/>
  <c r="K883" i="23"/>
  <c r="L863" i="23"/>
  <c r="J863" i="23"/>
  <c r="M863" i="23"/>
  <c r="K863" i="23"/>
  <c r="L882" i="23"/>
  <c r="J882" i="23"/>
  <c r="M882" i="23"/>
  <c r="K882" i="23"/>
  <c r="M843" i="23"/>
  <c r="L843" i="23"/>
  <c r="K843" i="23"/>
  <c r="J843" i="23"/>
  <c r="L811" i="23"/>
  <c r="K811" i="23"/>
  <c r="M811" i="23"/>
  <c r="J811" i="23"/>
  <c r="K812" i="23"/>
  <c r="J812" i="23"/>
  <c r="M812" i="23"/>
  <c r="L812" i="23"/>
  <c r="M864" i="23"/>
  <c r="J864" i="23"/>
  <c r="L864" i="23"/>
  <c r="K864" i="23"/>
  <c r="M881" i="23"/>
  <c r="L881" i="23"/>
  <c r="J881" i="23"/>
  <c r="K881" i="23"/>
  <c r="K868" i="23"/>
  <c r="M868" i="23"/>
  <c r="J868" i="23"/>
  <c r="L868" i="23"/>
  <c r="L813" i="23"/>
  <c r="J813" i="23"/>
  <c r="K813" i="23"/>
  <c r="M813" i="23"/>
  <c r="M844" i="23"/>
  <c r="L844" i="23"/>
  <c r="K844" i="23"/>
  <c r="J844" i="23"/>
  <c r="M845" i="23"/>
  <c r="L845" i="23"/>
  <c r="K845" i="23"/>
  <c r="J845" i="23"/>
  <c r="M856" i="23"/>
  <c r="K856" i="23"/>
  <c r="J856" i="23"/>
  <c r="L856" i="23"/>
  <c r="K814" i="23"/>
  <c r="M814" i="23"/>
  <c r="J814" i="23"/>
  <c r="L814" i="23"/>
  <c r="L880" i="23"/>
  <c r="J880" i="23"/>
  <c r="M880" i="23"/>
  <c r="K880" i="23"/>
  <c r="J867" i="23"/>
  <c r="M867" i="23"/>
  <c r="K867" i="23"/>
  <c r="L867" i="23"/>
  <c r="K815" i="23"/>
  <c r="L815" i="23"/>
  <c r="J815" i="23"/>
  <c r="M815" i="23"/>
  <c r="M846" i="23"/>
  <c r="L846" i="23"/>
  <c r="K846" i="23"/>
  <c r="J846" i="23"/>
  <c r="L879" i="23"/>
  <c r="J879" i="23"/>
  <c r="M879" i="23"/>
  <c r="K879" i="23"/>
  <c r="L816" i="23"/>
  <c r="K816" i="23"/>
  <c r="J816" i="23"/>
  <c r="M816" i="23"/>
  <c r="M817" i="23"/>
  <c r="J817" i="23"/>
  <c r="K817" i="23"/>
  <c r="L817" i="23"/>
  <c r="M847" i="23"/>
  <c r="L847" i="23"/>
  <c r="K847" i="23"/>
  <c r="J847" i="23"/>
  <c r="M860" i="23"/>
  <c r="J860" i="23"/>
  <c r="K860" i="23"/>
  <c r="L860" i="23"/>
  <c r="M878" i="23"/>
  <c r="L878" i="23"/>
  <c r="K878" i="23"/>
  <c r="J878" i="23"/>
  <c r="M907" i="23"/>
  <c r="L907" i="23"/>
  <c r="K907" i="23"/>
  <c r="J907" i="23"/>
  <c r="M818" i="23"/>
  <c r="K818" i="23"/>
  <c r="J818" i="23"/>
  <c r="L818" i="23"/>
  <c r="M848" i="23"/>
  <c r="L848" i="23"/>
  <c r="K848" i="23"/>
  <c r="J848" i="23"/>
  <c r="K906" i="23"/>
  <c r="M906" i="23"/>
  <c r="L906" i="23"/>
  <c r="J906" i="23"/>
  <c r="L819" i="23"/>
  <c r="M819" i="23"/>
  <c r="J819" i="23"/>
  <c r="K819" i="23"/>
  <c r="L857" i="23"/>
  <c r="J857" i="23"/>
  <c r="M857" i="23"/>
  <c r="K857" i="23"/>
  <c r="L820" i="23"/>
  <c r="J820" i="23"/>
  <c r="K820" i="23"/>
  <c r="M820" i="23"/>
  <c r="M905" i="23"/>
  <c r="L905" i="23"/>
  <c r="K905" i="23"/>
  <c r="J905" i="23"/>
  <c r="M877" i="23"/>
  <c r="L877" i="23"/>
  <c r="J877" i="23"/>
  <c r="K877" i="23"/>
  <c r="M821" i="23"/>
  <c r="J821" i="23"/>
  <c r="L821" i="23"/>
  <c r="K821" i="23"/>
  <c r="M904" i="23"/>
  <c r="L904" i="23"/>
  <c r="K904" i="23"/>
  <c r="J904" i="23"/>
  <c r="M903" i="23"/>
  <c r="L903" i="23"/>
  <c r="K903" i="23"/>
  <c r="J903" i="23"/>
  <c r="L876" i="23"/>
  <c r="J876" i="23"/>
  <c r="M876" i="23"/>
  <c r="K876" i="23"/>
  <c r="M822" i="23"/>
  <c r="J822" i="23"/>
  <c r="K822" i="23"/>
  <c r="L822" i="23"/>
  <c r="M902" i="23"/>
  <c r="L902" i="23"/>
  <c r="K902" i="23"/>
  <c r="J902" i="23"/>
  <c r="K823" i="23"/>
  <c r="M823" i="23"/>
  <c r="J823" i="23"/>
  <c r="L823" i="23"/>
  <c r="K858" i="23"/>
  <c r="M858" i="23"/>
  <c r="J858" i="23"/>
  <c r="L858" i="23"/>
  <c r="L849" i="23"/>
  <c r="J849" i="23"/>
  <c r="M849" i="23"/>
  <c r="K849" i="23"/>
  <c r="K901" i="23"/>
  <c r="M901" i="23"/>
  <c r="L901" i="23"/>
  <c r="J901" i="23"/>
  <c r="M866" i="23"/>
  <c r="J866" i="23"/>
  <c r="K866" i="23"/>
  <c r="L866" i="23"/>
  <c r="L875" i="23"/>
  <c r="J875" i="23"/>
  <c r="M875" i="23"/>
  <c r="K875" i="23"/>
  <c r="M900" i="23"/>
  <c r="K900" i="23"/>
  <c r="J900" i="23"/>
  <c r="L900" i="23"/>
  <c r="M825" i="23"/>
  <c r="L825" i="23"/>
  <c r="J825" i="23"/>
  <c r="K825" i="23"/>
  <c r="M826" i="23"/>
  <c r="J826" i="23"/>
  <c r="L826" i="23"/>
  <c r="K826" i="23"/>
  <c r="L899" i="23"/>
  <c r="J899" i="23"/>
  <c r="M899" i="23"/>
  <c r="K899" i="23"/>
  <c r="M850" i="23"/>
  <c r="J850" i="23"/>
  <c r="K850" i="23"/>
  <c r="L850" i="23"/>
  <c r="N4" i="28"/>
  <c r="M4" i="28"/>
  <c r="O4" i="28" s="1" a="1"/>
  <c r="M22" i="28"/>
  <c r="N22" i="28"/>
  <c r="N40" i="28"/>
  <c r="M40" i="28"/>
  <c r="O40" i="28" s="1" a="1"/>
  <c r="N64" i="28"/>
  <c r="M64" i="28"/>
  <c r="O64" i="28" s="1" a="1"/>
  <c r="N3" i="28"/>
  <c r="M3" i="28"/>
  <c r="O3" i="28" s="1" a="1"/>
  <c r="M68" i="28"/>
  <c r="N68" i="28"/>
  <c r="M69" i="28"/>
  <c r="N69" i="28"/>
  <c r="M72" i="28"/>
  <c r="N72" i="28"/>
  <c r="M60" i="28"/>
  <c r="N60" i="28"/>
  <c r="N16" i="28"/>
  <c r="M16" i="28"/>
  <c r="O16" i="28" s="1" a="1"/>
  <c r="N12" i="28"/>
  <c r="M12" i="28"/>
  <c r="O12" i="28" s="1" a="1"/>
  <c r="M48" i="28"/>
  <c r="N48" i="28"/>
  <c r="M61" i="28"/>
  <c r="N61" i="28"/>
  <c r="M30" i="28"/>
  <c r="N30" i="28"/>
  <c r="N63" i="28"/>
  <c r="M63" i="28"/>
  <c r="O63" i="28" s="1" a="1"/>
  <c r="N8" i="28"/>
  <c r="M8" i="28"/>
  <c r="O8" i="28" s="1" a="1"/>
  <c r="N45" i="28"/>
  <c r="M45" i="28"/>
  <c r="O45" i="28" s="1" a="1"/>
  <c r="N28" i="28"/>
  <c r="M28" i="28"/>
  <c r="O28" i="28" s="1" a="1"/>
  <c r="N54" i="28"/>
  <c r="M54" i="28"/>
  <c r="O54" i="28" s="1" a="1"/>
  <c r="N6" i="28"/>
  <c r="M6" i="28"/>
  <c r="O6" i="28" s="1" a="1"/>
  <c r="AD160" i="22" a="1"/>
  <c r="L18" i="22"/>
  <c r="M18" i="22" s="1"/>
  <c r="AN19" i="22" s="1"/>
  <c r="O25" i="28" a="1"/>
  <c r="O57" i="28" a="1"/>
  <c r="O55" i="28" a="1"/>
  <c r="O39" i="28" a="1"/>
  <c r="O67" i="28" a="1"/>
  <c r="O56" i="28" a="1"/>
  <c r="O51" i="28" a="1"/>
  <c r="O46" i="28" a="1"/>
  <c r="O43" i="28" a="1"/>
  <c r="O31" i="28" a="1"/>
  <c r="AP20" i="22"/>
  <c r="K133" i="23"/>
  <c r="M133" i="23"/>
  <c r="L133" i="23"/>
  <c r="N134" i="23"/>
  <c r="O134" i="23"/>
  <c r="K146" i="23"/>
  <c r="M146" i="23"/>
  <c r="K147" i="23"/>
  <c r="L147" i="23"/>
  <c r="M147" i="23"/>
  <c r="L135" i="23"/>
  <c r="M135" i="23"/>
  <c r="M150" i="23"/>
  <c r="L150" i="23"/>
  <c r="O151" i="23"/>
  <c r="N151" i="23"/>
  <c r="M138" i="23"/>
  <c r="K138" i="23"/>
  <c r="N136" i="23"/>
  <c r="O136" i="23"/>
  <c r="N137" i="23"/>
  <c r="O137" i="23"/>
  <c r="M148" i="23"/>
  <c r="L148" i="23"/>
  <c r="O139" i="23"/>
  <c r="N139" i="23"/>
  <c r="M131" i="23"/>
  <c r="K131" i="23"/>
  <c r="L131" i="23"/>
  <c r="K143" i="23"/>
  <c r="M143" i="23"/>
  <c r="K144" i="23"/>
  <c r="L144" i="23"/>
  <c r="M144" i="23"/>
  <c r="K21" i="22"/>
  <c r="Y21" i="22"/>
  <c r="AC163" i="22" a="1"/>
  <c r="L52" i="23"/>
  <c r="M52" i="23"/>
  <c r="K20" i="22"/>
  <c r="Y20" i="22"/>
  <c r="AC162" i="22" a="1"/>
  <c r="Y19" i="22"/>
  <c r="AC161" i="22" a="1"/>
  <c r="S50" i="28"/>
  <c r="U16" i="28" a="1"/>
  <c r="T16" i="28"/>
  <c r="L69" i="23"/>
  <c r="K69" i="23"/>
  <c r="M69" i="23"/>
  <c r="K12" i="23"/>
  <c r="M12" i="23"/>
  <c r="M700" i="23"/>
  <c r="L700" i="23"/>
  <c r="K700" i="23"/>
  <c r="J700" i="23"/>
  <c r="M699" i="23"/>
  <c r="L699" i="23"/>
  <c r="K699" i="23"/>
  <c r="J699" i="23"/>
  <c r="M698" i="23"/>
  <c r="L698" i="23"/>
  <c r="K698" i="23"/>
  <c r="J698" i="23"/>
  <c r="M697" i="23"/>
  <c r="L697" i="23"/>
  <c r="K697" i="23"/>
  <c r="J697" i="23"/>
  <c r="M696" i="23"/>
  <c r="L696" i="23"/>
  <c r="K696" i="23"/>
  <c r="J696" i="23"/>
  <c r="M695" i="23"/>
  <c r="L695" i="23"/>
  <c r="K695" i="23"/>
  <c r="J695" i="23"/>
  <c r="M694" i="23"/>
  <c r="L694" i="23"/>
  <c r="K694" i="23"/>
  <c r="J694" i="23"/>
  <c r="M693" i="23"/>
  <c r="L693" i="23"/>
  <c r="K693" i="23"/>
  <c r="J693" i="23"/>
  <c r="M692" i="23"/>
  <c r="L692" i="23"/>
  <c r="K692" i="23"/>
  <c r="J692" i="23"/>
  <c r="M691" i="23"/>
  <c r="L691" i="23"/>
  <c r="K691" i="23"/>
  <c r="J691" i="23"/>
  <c r="M690" i="23"/>
  <c r="L690" i="23"/>
  <c r="K690" i="23"/>
  <c r="J690" i="23"/>
  <c r="M689" i="23"/>
  <c r="L689" i="23"/>
  <c r="K689" i="23"/>
  <c r="J689" i="23"/>
  <c r="M688" i="23"/>
  <c r="L688" i="23"/>
  <c r="K688" i="23"/>
  <c r="J688" i="23"/>
  <c r="M687" i="23"/>
  <c r="L687" i="23"/>
  <c r="K687" i="23"/>
  <c r="J687" i="23"/>
  <c r="M686" i="23"/>
  <c r="L686" i="23"/>
  <c r="K686" i="23"/>
  <c r="J686" i="23"/>
  <c r="M685" i="23"/>
  <c r="L685" i="23"/>
  <c r="K685" i="23"/>
  <c r="J685" i="23"/>
  <c r="M684" i="23"/>
  <c r="L684" i="23"/>
  <c r="K684" i="23"/>
  <c r="J684" i="23"/>
  <c r="M683" i="23"/>
  <c r="L683" i="23"/>
  <c r="K683" i="23"/>
  <c r="J683" i="23"/>
  <c r="M682" i="23"/>
  <c r="L682" i="23"/>
  <c r="K682" i="23"/>
  <c r="J682" i="23"/>
  <c r="M681" i="23"/>
  <c r="L681" i="23"/>
  <c r="K681" i="23"/>
  <c r="J681" i="23"/>
  <c r="M680" i="23"/>
  <c r="L680" i="23"/>
  <c r="K680" i="23"/>
  <c r="J680" i="23"/>
  <c r="M679" i="23"/>
  <c r="L679" i="23"/>
  <c r="K679" i="23"/>
  <c r="J679" i="23"/>
  <c r="M678" i="23"/>
  <c r="L678" i="23"/>
  <c r="K678" i="23"/>
  <c r="J678" i="23"/>
  <c r="L109" i="23"/>
  <c r="K109" i="23"/>
  <c r="M647" i="23"/>
  <c r="L647" i="23"/>
  <c r="K647" i="23"/>
  <c r="J647" i="23"/>
  <c r="M754" i="23"/>
  <c r="L754" i="23"/>
  <c r="K754" i="23"/>
  <c r="J754" i="23"/>
  <c r="M648" i="23"/>
  <c r="L648" i="23"/>
  <c r="K648" i="23"/>
  <c r="J648" i="23"/>
  <c r="M606" i="23"/>
  <c r="L606" i="23"/>
  <c r="K606" i="23"/>
  <c r="J606" i="23"/>
  <c r="M607" i="23"/>
  <c r="L607" i="23"/>
  <c r="K607" i="23"/>
  <c r="J607" i="23"/>
  <c r="M753" i="23"/>
  <c r="L753" i="23"/>
  <c r="K753" i="23"/>
  <c r="J753" i="23"/>
  <c r="M712" i="23"/>
  <c r="L712" i="23"/>
  <c r="K712" i="23"/>
  <c r="J712" i="23"/>
  <c r="M608" i="23"/>
  <c r="L608" i="23"/>
  <c r="K608" i="23"/>
  <c r="J608" i="23"/>
  <c r="M671" i="23"/>
  <c r="L671" i="23"/>
  <c r="K671" i="23"/>
  <c r="J671" i="23"/>
  <c r="M752" i="23"/>
  <c r="L752" i="23"/>
  <c r="K752" i="23"/>
  <c r="J752" i="23"/>
  <c r="M751" i="23"/>
  <c r="L751" i="23"/>
  <c r="K751" i="23"/>
  <c r="J751" i="23"/>
  <c r="M609" i="23"/>
  <c r="L609" i="23"/>
  <c r="K609" i="23"/>
  <c r="J609" i="23"/>
  <c r="M676" i="23"/>
  <c r="L676" i="23"/>
  <c r="K676" i="23"/>
  <c r="J676" i="23"/>
  <c r="M610" i="23"/>
  <c r="L610" i="23"/>
  <c r="K610" i="23"/>
  <c r="J610" i="23"/>
  <c r="M711" i="23"/>
  <c r="L711" i="23"/>
  <c r="K711" i="23"/>
  <c r="J711" i="23"/>
  <c r="M750" i="23"/>
  <c r="L750" i="23"/>
  <c r="K750" i="23"/>
  <c r="J750" i="23"/>
  <c r="M649" i="23"/>
  <c r="L649" i="23"/>
  <c r="K649" i="23"/>
  <c r="J649" i="23"/>
  <c r="M611" i="23"/>
  <c r="L611" i="23"/>
  <c r="K611" i="23"/>
  <c r="J611" i="23"/>
  <c r="M749" i="23"/>
  <c r="L749" i="23"/>
  <c r="K749" i="23"/>
  <c r="J749" i="23"/>
  <c r="M748" i="23"/>
  <c r="L748" i="23"/>
  <c r="K748" i="23"/>
  <c r="J748" i="23"/>
  <c r="M612" i="23"/>
  <c r="L612" i="23"/>
  <c r="K612" i="23"/>
  <c r="J612" i="23"/>
  <c r="M650" i="23"/>
  <c r="L650" i="23"/>
  <c r="K650" i="23"/>
  <c r="J650" i="23"/>
  <c r="M613" i="23"/>
  <c r="L613" i="23"/>
  <c r="K613" i="23"/>
  <c r="J613" i="23"/>
  <c r="M747" i="23"/>
  <c r="L747" i="23"/>
  <c r="K747" i="23"/>
  <c r="J747" i="23"/>
  <c r="M662" i="23"/>
  <c r="L662" i="23"/>
  <c r="K662" i="23"/>
  <c r="J662" i="23"/>
  <c r="M614" i="23"/>
  <c r="L614" i="23"/>
  <c r="K614" i="23"/>
  <c r="J614" i="23"/>
  <c r="M746" i="23"/>
  <c r="L746" i="23"/>
  <c r="K746" i="23"/>
  <c r="J746" i="23"/>
  <c r="M710" i="23"/>
  <c r="L710" i="23"/>
  <c r="K710" i="23"/>
  <c r="J710" i="23"/>
  <c r="M675" i="23"/>
  <c r="L675" i="23"/>
  <c r="K675" i="23"/>
  <c r="J675" i="23"/>
  <c r="M745" i="23"/>
  <c r="L745" i="23"/>
  <c r="K745" i="23"/>
  <c r="J745" i="23"/>
  <c r="M615" i="23"/>
  <c r="L615" i="23"/>
  <c r="K615" i="23"/>
  <c r="J615" i="23"/>
  <c r="M709" i="23"/>
  <c r="L709" i="23"/>
  <c r="K709" i="23"/>
  <c r="J709" i="23"/>
  <c r="M744" i="23"/>
  <c r="L744" i="23"/>
  <c r="K744" i="23"/>
  <c r="J744" i="23"/>
  <c r="M616" i="23"/>
  <c r="L616" i="23"/>
  <c r="K616" i="23"/>
  <c r="J616" i="23"/>
  <c r="M651" i="23"/>
  <c r="L651" i="23"/>
  <c r="K651" i="23"/>
  <c r="J651" i="23"/>
  <c r="M743" i="23"/>
  <c r="L743" i="23"/>
  <c r="K743" i="23"/>
  <c r="J743" i="23"/>
  <c r="M617" i="23"/>
  <c r="L617" i="23"/>
  <c r="K617" i="23"/>
  <c r="J617" i="23"/>
  <c r="M742" i="23"/>
  <c r="L742" i="23"/>
  <c r="K742" i="23"/>
  <c r="J742" i="23"/>
  <c r="M618" i="23"/>
  <c r="L618" i="23"/>
  <c r="K618" i="23"/>
  <c r="J618" i="23"/>
  <c r="M667" i="23"/>
  <c r="L667" i="23"/>
  <c r="K667" i="23"/>
  <c r="J667" i="23"/>
  <c r="M708" i="23"/>
  <c r="L708" i="23"/>
  <c r="K708" i="23"/>
  <c r="J708" i="23"/>
  <c r="M619" i="23"/>
  <c r="L619" i="23"/>
  <c r="K619" i="23"/>
  <c r="J619" i="23"/>
  <c r="M740" i="23"/>
  <c r="L740" i="23"/>
  <c r="K740" i="23"/>
  <c r="J740" i="23"/>
  <c r="M620" i="23"/>
  <c r="L620" i="23"/>
  <c r="K620" i="23"/>
  <c r="J620" i="23"/>
  <c r="M739" i="23"/>
  <c r="L739" i="23"/>
  <c r="K739" i="23"/>
  <c r="J739" i="23"/>
  <c r="M652" i="23"/>
  <c r="L652" i="23"/>
  <c r="K652" i="23"/>
  <c r="J652" i="23"/>
  <c r="M621" i="23"/>
  <c r="L621" i="23"/>
  <c r="K621" i="23"/>
  <c r="J621" i="23"/>
  <c r="M738" i="23"/>
  <c r="L738" i="23"/>
  <c r="K738" i="23"/>
  <c r="J738" i="23"/>
  <c r="M653" i="23"/>
  <c r="L653" i="23"/>
  <c r="K653" i="23"/>
  <c r="J653" i="23"/>
  <c r="M663" i="23"/>
  <c r="L663" i="23"/>
  <c r="K663" i="23"/>
  <c r="J663" i="23"/>
  <c r="M737" i="23"/>
  <c r="L737" i="23"/>
  <c r="K737" i="23"/>
  <c r="J737" i="23"/>
  <c r="M622" i="23"/>
  <c r="L622" i="23"/>
  <c r="K622" i="23"/>
  <c r="J622" i="23"/>
  <c r="M736" i="23"/>
  <c r="L736" i="23"/>
  <c r="K736" i="23"/>
  <c r="J736" i="23"/>
  <c r="M674" i="23"/>
  <c r="L674" i="23"/>
  <c r="K674" i="23"/>
  <c r="J674" i="23"/>
  <c r="M623" i="23"/>
  <c r="L623" i="23"/>
  <c r="K623" i="23"/>
  <c r="J623" i="23"/>
  <c r="M664" i="23"/>
  <c r="L664" i="23"/>
  <c r="K664" i="23"/>
  <c r="J664" i="23"/>
  <c r="M735" i="23"/>
  <c r="L735" i="23"/>
  <c r="K735" i="23"/>
  <c r="J735" i="23"/>
  <c r="M624" i="23"/>
  <c r="L624" i="23"/>
  <c r="K624" i="23"/>
  <c r="J624" i="23"/>
  <c r="M707" i="23"/>
  <c r="L707" i="23"/>
  <c r="K707" i="23"/>
  <c r="J707" i="23"/>
  <c r="M734" i="23"/>
  <c r="L734" i="23"/>
  <c r="K734" i="23"/>
  <c r="J734" i="23"/>
  <c r="M625" i="23"/>
  <c r="L625" i="23"/>
  <c r="K625" i="23"/>
  <c r="J625" i="23"/>
  <c r="M654" i="23"/>
  <c r="L654" i="23"/>
  <c r="K654" i="23"/>
  <c r="J654" i="23"/>
  <c r="M733" i="23"/>
  <c r="L733" i="23"/>
  <c r="K733" i="23"/>
  <c r="J733" i="23"/>
  <c r="M626" i="23"/>
  <c r="L626" i="23"/>
  <c r="K626" i="23"/>
  <c r="J626" i="23"/>
  <c r="M669" i="23"/>
  <c r="L669" i="23"/>
  <c r="K669" i="23"/>
  <c r="J669" i="23"/>
  <c r="M732" i="23"/>
  <c r="L732" i="23"/>
  <c r="K732" i="23"/>
  <c r="J732" i="23"/>
  <c r="M627" i="23"/>
  <c r="L627" i="23"/>
  <c r="K627" i="23"/>
  <c r="J627" i="23"/>
  <c r="M706" i="23"/>
  <c r="L706" i="23"/>
  <c r="K706" i="23"/>
  <c r="J706" i="23"/>
  <c r="M731" i="23"/>
  <c r="L731" i="23"/>
  <c r="K731" i="23"/>
  <c r="J731" i="23"/>
  <c r="M628" i="23"/>
  <c r="L628" i="23"/>
  <c r="K628" i="23"/>
  <c r="J628" i="23"/>
  <c r="M655" i="23"/>
  <c r="L655" i="23"/>
  <c r="K655" i="23"/>
  <c r="J655" i="23"/>
  <c r="M629" i="23"/>
  <c r="L629" i="23"/>
  <c r="K629" i="23"/>
  <c r="J629" i="23"/>
  <c r="M730" i="23"/>
  <c r="L730" i="23"/>
  <c r="K730" i="23"/>
  <c r="J730" i="23"/>
  <c r="M705" i="23"/>
  <c r="L705" i="23"/>
  <c r="K705" i="23"/>
  <c r="J705" i="23"/>
  <c r="M729" i="23"/>
  <c r="L729" i="23"/>
  <c r="K729" i="23"/>
  <c r="J729" i="23"/>
  <c r="M630" i="23"/>
  <c r="L630" i="23"/>
  <c r="K630" i="23"/>
  <c r="J630" i="23"/>
  <c r="M631" i="23"/>
  <c r="L631" i="23"/>
  <c r="K631" i="23"/>
  <c r="J631" i="23"/>
  <c r="M728" i="23"/>
  <c r="L728" i="23"/>
  <c r="K728" i="23"/>
  <c r="J728" i="23"/>
  <c r="M673" i="23"/>
  <c r="L673" i="23"/>
  <c r="K673" i="23"/>
  <c r="J673" i="23"/>
  <c r="M727" i="23"/>
  <c r="L727" i="23"/>
  <c r="K727" i="23"/>
  <c r="J727" i="23"/>
  <c r="M656" i="23"/>
  <c r="L656" i="23"/>
  <c r="K656" i="23"/>
  <c r="J656" i="23"/>
  <c r="M632" i="23"/>
  <c r="L632" i="23"/>
  <c r="K632" i="23"/>
  <c r="J632" i="23"/>
  <c r="M633" i="23"/>
  <c r="L633" i="23"/>
  <c r="K633" i="23"/>
  <c r="J633" i="23"/>
  <c r="M726" i="23"/>
  <c r="L726" i="23"/>
  <c r="K726" i="23"/>
  <c r="J726" i="23"/>
  <c r="M668" i="23"/>
  <c r="L668" i="23"/>
  <c r="K668" i="23"/>
  <c r="J668" i="23"/>
  <c r="M634" i="23"/>
  <c r="L634" i="23"/>
  <c r="K634" i="23"/>
  <c r="J634" i="23"/>
  <c r="M741" i="23"/>
  <c r="L741" i="23"/>
  <c r="K741" i="23"/>
  <c r="J741" i="23"/>
  <c r="M704" i="23"/>
  <c r="L704" i="23"/>
  <c r="K704" i="23"/>
  <c r="J704" i="23"/>
  <c r="M725" i="23"/>
  <c r="L725" i="23"/>
  <c r="K725" i="23"/>
  <c r="J725" i="23"/>
  <c r="M635" i="23"/>
  <c r="L635" i="23"/>
  <c r="K635" i="23"/>
  <c r="J635" i="23"/>
  <c r="M657" i="23"/>
  <c r="L657" i="23"/>
  <c r="K657" i="23"/>
  <c r="J657" i="23"/>
  <c r="M724" i="23"/>
  <c r="L724" i="23"/>
  <c r="K724" i="23"/>
  <c r="J724" i="23"/>
  <c r="M658" i="23"/>
  <c r="L658" i="23"/>
  <c r="K658" i="23"/>
  <c r="J658" i="23"/>
  <c r="M636" i="23"/>
  <c r="L636" i="23"/>
  <c r="K636" i="23"/>
  <c r="J636" i="23"/>
  <c r="M637" i="23"/>
  <c r="L637" i="23"/>
  <c r="K637" i="23"/>
  <c r="J637" i="23"/>
  <c r="M723" i="23"/>
  <c r="L723" i="23"/>
  <c r="K723" i="23"/>
  <c r="J723" i="23"/>
  <c r="M703" i="23"/>
  <c r="L703" i="23"/>
  <c r="K703" i="23"/>
  <c r="J703" i="23"/>
  <c r="M638" i="23"/>
  <c r="L638" i="23"/>
  <c r="K638" i="23"/>
  <c r="J638" i="23"/>
  <c r="M722" i="23"/>
  <c r="L722" i="23"/>
  <c r="K722" i="23"/>
  <c r="J722" i="23"/>
  <c r="M665" i="23"/>
  <c r="L665" i="23"/>
  <c r="K665" i="23"/>
  <c r="J665" i="23"/>
  <c r="M639" i="23"/>
  <c r="L639" i="23"/>
  <c r="K639" i="23"/>
  <c r="J639" i="23"/>
  <c r="M721" i="23"/>
  <c r="L721" i="23"/>
  <c r="K721" i="23"/>
  <c r="J721" i="23"/>
  <c r="M672" i="23"/>
  <c r="L672" i="23"/>
  <c r="K672" i="23"/>
  <c r="J672" i="23"/>
  <c r="M640" i="23"/>
  <c r="L640" i="23"/>
  <c r="K640" i="23"/>
  <c r="J640" i="23"/>
  <c r="M720" i="23"/>
  <c r="L720" i="23"/>
  <c r="K720" i="23"/>
  <c r="J720" i="23"/>
  <c r="M702" i="23"/>
  <c r="L702" i="23"/>
  <c r="K702" i="23"/>
  <c r="J702" i="23"/>
  <c r="M659" i="23"/>
  <c r="L659" i="23"/>
  <c r="K659" i="23"/>
  <c r="J659" i="23"/>
  <c r="M641" i="23"/>
  <c r="L641" i="23"/>
  <c r="K641" i="23"/>
  <c r="J641" i="23"/>
  <c r="M719" i="23"/>
  <c r="L719" i="23"/>
  <c r="K719" i="23"/>
  <c r="J719" i="23"/>
  <c r="M718" i="23"/>
  <c r="L718" i="23"/>
  <c r="K718" i="23"/>
  <c r="J718" i="23"/>
  <c r="M642" i="23"/>
  <c r="L642" i="23"/>
  <c r="K642" i="23"/>
  <c r="J642" i="23"/>
  <c r="M701" i="23"/>
  <c r="L701" i="23"/>
  <c r="K701" i="23"/>
  <c r="J701" i="23"/>
  <c r="M660" i="23"/>
  <c r="L660" i="23"/>
  <c r="K660" i="23"/>
  <c r="J660" i="23"/>
  <c r="M717" i="23"/>
  <c r="L717" i="23"/>
  <c r="K717" i="23"/>
  <c r="J717" i="23"/>
  <c r="M643" i="23"/>
  <c r="L643" i="23"/>
  <c r="K643" i="23"/>
  <c r="J643" i="23"/>
  <c r="M644" i="23"/>
  <c r="L644" i="23"/>
  <c r="K644" i="23"/>
  <c r="J644" i="23"/>
  <c r="M666" i="23"/>
  <c r="L666" i="23"/>
  <c r="K666" i="23"/>
  <c r="J666" i="23"/>
  <c r="M716" i="23"/>
  <c r="L716" i="23"/>
  <c r="K716" i="23"/>
  <c r="J716" i="23"/>
  <c r="M670" i="23"/>
  <c r="L670" i="23"/>
  <c r="K670" i="23"/>
  <c r="J670" i="23"/>
  <c r="M715" i="23"/>
  <c r="L715" i="23"/>
  <c r="K715" i="23"/>
  <c r="J715" i="23"/>
  <c r="M645" i="23"/>
  <c r="L645" i="23"/>
  <c r="K645" i="23"/>
  <c r="J645" i="23"/>
  <c r="M646" i="23"/>
  <c r="L646" i="23"/>
  <c r="K646" i="23"/>
  <c r="J646" i="23"/>
  <c r="M677" i="23"/>
  <c r="L677" i="23"/>
  <c r="K677" i="23"/>
  <c r="J677" i="23"/>
  <c r="M714" i="23"/>
  <c r="L714" i="23"/>
  <c r="K714" i="23"/>
  <c r="J714" i="23"/>
  <c r="M713" i="23"/>
  <c r="L713" i="23"/>
  <c r="K713" i="23"/>
  <c r="J713" i="23"/>
  <c r="M661" i="23"/>
  <c r="L661" i="23"/>
  <c r="K661" i="23"/>
  <c r="J661" i="23"/>
  <c r="M755" i="23"/>
  <c r="L755" i="23"/>
  <c r="K755" i="23"/>
  <c r="J755" i="23"/>
  <c r="M756" i="23"/>
  <c r="L756" i="23"/>
  <c r="K756" i="23"/>
  <c r="J756" i="23"/>
  <c r="O130" i="23"/>
  <c r="N130" i="23"/>
  <c r="M129" i="23"/>
  <c r="L129" i="23"/>
  <c r="M128" i="23"/>
  <c r="L128" i="23"/>
  <c r="M127" i="23"/>
  <c r="L127" i="23"/>
  <c r="K127" i="23"/>
  <c r="O126" i="23"/>
  <c r="N126" i="23"/>
  <c r="N125" i="23"/>
  <c r="O125" i="23"/>
  <c r="L124" i="23"/>
  <c r="K124" i="23"/>
  <c r="M124" i="23"/>
  <c r="K123" i="23"/>
  <c r="M123" i="23"/>
  <c r="L123" i="23"/>
  <c r="N122" i="23"/>
  <c r="O122" i="23"/>
  <c r="N121" i="23"/>
  <c r="O121" i="23"/>
  <c r="N120" i="23"/>
  <c r="O120" i="23"/>
  <c r="N119" i="23"/>
  <c r="O119" i="23"/>
  <c r="O118" i="23"/>
  <c r="N118" i="23"/>
  <c r="O117" i="23"/>
  <c r="N117" i="23"/>
  <c r="O116" i="23"/>
  <c r="N116" i="23"/>
  <c r="N115" i="23"/>
  <c r="O115" i="23"/>
  <c r="N114" i="23"/>
  <c r="O114" i="23"/>
  <c r="N113" i="23"/>
  <c r="O113" i="23"/>
  <c r="N112" i="23"/>
  <c r="O112" i="23"/>
  <c r="N111" i="23"/>
  <c r="O111" i="23"/>
  <c r="O110" i="23"/>
  <c r="N110" i="23"/>
  <c r="N108" i="23"/>
  <c r="O108" i="23"/>
  <c r="L107" i="23"/>
  <c r="K107" i="23"/>
  <c r="N107" i="23"/>
  <c r="O107" i="23"/>
  <c r="N106" i="23"/>
  <c r="O106" i="23"/>
  <c r="M30" i="23"/>
  <c r="L30" i="23"/>
  <c r="K30" i="23"/>
  <c r="L86" i="23"/>
  <c r="M86" i="23"/>
  <c r="L93" i="23"/>
  <c r="M93" i="23"/>
  <c r="K93" i="23"/>
  <c r="M67" i="23"/>
  <c r="K67" i="23"/>
  <c r="M47" i="23"/>
  <c r="K47" i="23"/>
  <c r="N42" i="23"/>
  <c r="O42" i="23"/>
  <c r="N41" i="23"/>
  <c r="O41" i="23"/>
  <c r="O40" i="23"/>
  <c r="N40" i="23"/>
  <c r="N39" i="23"/>
  <c r="O39" i="23"/>
  <c r="O38" i="23"/>
  <c r="N38" i="23"/>
  <c r="N37" i="23"/>
  <c r="O37" i="23"/>
  <c r="N36" i="23"/>
  <c r="O36" i="23"/>
  <c r="O35" i="23"/>
  <c r="N35" i="23"/>
  <c r="N34" i="23"/>
  <c r="O34" i="23"/>
  <c r="O33" i="23"/>
  <c r="N33" i="23"/>
  <c r="O31" i="23"/>
  <c r="N31" i="23"/>
  <c r="O30" i="23"/>
  <c r="N30" i="23"/>
  <c r="N29" i="23"/>
  <c r="O29" i="23"/>
  <c r="O26" i="23"/>
  <c r="N26" i="23"/>
  <c r="O23" i="23"/>
  <c r="N23" i="23"/>
  <c r="N22" i="23"/>
  <c r="O22" i="23"/>
  <c r="J605" i="23"/>
  <c r="J604" i="23"/>
  <c r="J602" i="23"/>
  <c r="J601" i="23"/>
  <c r="J600" i="23"/>
  <c r="J599" i="23"/>
  <c r="J598" i="23"/>
  <c r="J597" i="23"/>
  <c r="J596" i="23"/>
  <c r="J595" i="23"/>
  <c r="J594" i="23"/>
  <c r="J593" i="23"/>
  <c r="J592" i="23"/>
  <c r="J591" i="23"/>
  <c r="J590" i="23"/>
  <c r="J589" i="23"/>
  <c r="J588" i="23"/>
  <c r="J587" i="23"/>
  <c r="J586" i="23"/>
  <c r="J585" i="23"/>
  <c r="J584" i="23"/>
  <c r="J583" i="23"/>
  <c r="J582" i="23"/>
  <c r="M582" i="23" s="1"/>
  <c r="J581" i="23"/>
  <c r="J580" i="23"/>
  <c r="J579" i="23"/>
  <c r="J578" i="23"/>
  <c r="J577" i="23"/>
  <c r="J576" i="23"/>
  <c r="J575" i="23"/>
  <c r="J574" i="23"/>
  <c r="J469" i="23"/>
  <c r="J603" i="23"/>
  <c r="J534" i="23"/>
  <c r="K534" i="23" s="1"/>
  <c r="L534" i="23"/>
  <c r="M534" i="23"/>
  <c r="J455" i="23"/>
  <c r="K455" i="23"/>
  <c r="M455" i="23"/>
  <c r="L455" i="23"/>
  <c r="J520" i="23"/>
  <c r="J572" i="23"/>
  <c r="J533" i="23"/>
  <c r="M533" i="23" s="1"/>
  <c r="L533" i="23"/>
  <c r="K533" i="23"/>
  <c r="J456" i="23"/>
  <c r="L456" i="23"/>
  <c r="M456" i="23"/>
  <c r="K456" i="23"/>
  <c r="J571" i="23"/>
  <c r="J457" i="23"/>
  <c r="M457" i="23" s="1"/>
  <c r="K457" i="23"/>
  <c r="L457" i="23"/>
  <c r="J494" i="23"/>
  <c r="J570" i="23"/>
  <c r="J569" i="23"/>
  <c r="J495" i="23"/>
  <c r="L495" i="23"/>
  <c r="J458" i="23"/>
  <c r="L458" i="23"/>
  <c r="M458" i="23"/>
  <c r="K458" i="23"/>
  <c r="J459" i="23"/>
  <c r="M459" i="23"/>
  <c r="J568" i="23"/>
  <c r="J532" i="23"/>
  <c r="K532" i="23"/>
  <c r="J460" i="23"/>
  <c r="L460" i="23"/>
  <c r="J567" i="23"/>
  <c r="J507" i="23"/>
  <c r="L507" i="23"/>
  <c r="J566" i="23"/>
  <c r="J461" i="23"/>
  <c r="K461" i="23" s="1"/>
  <c r="L461" i="23"/>
  <c r="M461" i="23"/>
  <c r="J519" i="23"/>
  <c r="M519" i="23"/>
  <c r="J462" i="23"/>
  <c r="M462" i="23"/>
  <c r="J496" i="23"/>
  <c r="L496" i="23"/>
  <c r="J565" i="23"/>
  <c r="J564" i="23"/>
  <c r="J463" i="23"/>
  <c r="K463" i="23"/>
  <c r="M463" i="23"/>
  <c r="L463" i="23"/>
  <c r="J531" i="23"/>
  <c r="M531" i="23" s="1"/>
  <c r="L531" i="23"/>
  <c r="K531" i="23"/>
  <c r="J516" i="23"/>
  <c r="L516" i="23"/>
  <c r="J563" i="23"/>
  <c r="J464" i="23"/>
  <c r="J562" i="23"/>
  <c r="J465" i="23"/>
  <c r="K465" i="23"/>
  <c r="J530" i="23"/>
  <c r="M530" i="23"/>
  <c r="K530" i="23"/>
  <c r="L530" i="23"/>
  <c r="J561" i="23"/>
  <c r="J497" i="23"/>
  <c r="K497" i="23"/>
  <c r="L497" i="23"/>
  <c r="M497" i="23"/>
  <c r="J466" i="23"/>
  <c r="M466" i="23" s="1"/>
  <c r="L466" i="23"/>
  <c r="K466" i="23"/>
  <c r="J560" i="23"/>
  <c r="J467" i="23"/>
  <c r="L467" i="23"/>
  <c r="J529" i="23"/>
  <c r="L529" i="23"/>
  <c r="K529" i="23"/>
  <c r="M529" i="23"/>
  <c r="J559" i="23"/>
  <c r="J468" i="23"/>
  <c r="M468" i="23"/>
  <c r="J498" i="23"/>
  <c r="M498" i="23" s="1"/>
  <c r="L498" i="23"/>
  <c r="K498" i="23"/>
  <c r="J508" i="23"/>
  <c r="L508" i="23"/>
  <c r="M508" i="23"/>
  <c r="K508" i="23"/>
  <c r="J499" i="23"/>
  <c r="J558" i="23"/>
  <c r="J514" i="23"/>
  <c r="M514" i="23"/>
  <c r="J470" i="23"/>
  <c r="L470" i="23"/>
  <c r="J557" i="23"/>
  <c r="K557" i="23"/>
  <c r="J528" i="23"/>
  <c r="M528" i="23"/>
  <c r="J556" i="23"/>
  <c r="L556" i="23" s="1"/>
  <c r="M556" i="23"/>
  <c r="K556" i="23"/>
  <c r="J471" i="23"/>
  <c r="L471" i="23" s="1"/>
  <c r="K471" i="23"/>
  <c r="M471" i="23"/>
  <c r="J500" i="23"/>
  <c r="K500" i="23" s="1"/>
  <c r="L500" i="23"/>
  <c r="M500" i="23"/>
  <c r="J472" i="23"/>
  <c r="J555" i="23"/>
  <c r="M555" i="23" s="1"/>
  <c r="L555" i="23"/>
  <c r="K555" i="23"/>
  <c r="J473" i="23"/>
  <c r="J554" i="23"/>
  <c r="L554" i="23" s="1"/>
  <c r="M554" i="23"/>
  <c r="K554" i="23"/>
  <c r="J527" i="23"/>
  <c r="K527" i="23" s="1"/>
  <c r="L527" i="23"/>
  <c r="M527" i="23"/>
  <c r="J509" i="23"/>
  <c r="K509" i="23"/>
  <c r="L509" i="23"/>
  <c r="M509" i="23"/>
  <c r="J474" i="23"/>
  <c r="M474" i="23" s="1"/>
  <c r="L474" i="23"/>
  <c r="K474" i="23"/>
  <c r="J553" i="23"/>
  <c r="K553" i="23"/>
  <c r="J552" i="23"/>
  <c r="L552" i="23" s="1"/>
  <c r="M552" i="23"/>
  <c r="K552" i="23"/>
  <c r="J475" i="23"/>
  <c r="J518" i="23"/>
  <c r="M518" i="23" s="1"/>
  <c r="K518" i="23"/>
  <c r="L518" i="23"/>
  <c r="J551" i="23"/>
  <c r="L551" i="23" s="1"/>
  <c r="M551" i="23"/>
  <c r="K551" i="23"/>
  <c r="J476" i="23"/>
  <c r="L476" i="23" s="1"/>
  <c r="K476" i="23"/>
  <c r="M476" i="23"/>
  <c r="J526" i="23"/>
  <c r="M526" i="23"/>
  <c r="K526" i="23"/>
  <c r="L526" i="23"/>
  <c r="J477" i="23"/>
  <c r="J501" i="23"/>
  <c r="M501" i="23" s="1"/>
  <c r="L501" i="23"/>
  <c r="K501" i="23"/>
  <c r="J550" i="23"/>
  <c r="L550" i="23" s="1"/>
  <c r="M550" i="23"/>
  <c r="K550" i="23"/>
  <c r="J517" i="23"/>
  <c r="M517" i="23"/>
  <c r="J549" i="23"/>
  <c r="L549" i="23" s="1"/>
  <c r="M549" i="23"/>
  <c r="K549" i="23"/>
  <c r="J478" i="23"/>
  <c r="J502" i="23"/>
  <c r="K502" i="23"/>
  <c r="L502" i="23"/>
  <c r="M502" i="23"/>
  <c r="J479" i="23"/>
  <c r="K479" i="23"/>
  <c r="L479" i="23"/>
  <c r="M479" i="23"/>
  <c r="J548" i="23"/>
  <c r="K548" i="23"/>
  <c r="J480" i="23"/>
  <c r="L480" i="23"/>
  <c r="J547" i="23"/>
  <c r="M547" i="23" s="1"/>
  <c r="L547" i="23"/>
  <c r="K547" i="23"/>
  <c r="J525" i="23"/>
  <c r="M525" i="23"/>
  <c r="J510" i="23"/>
  <c r="L510" i="23"/>
  <c r="J481" i="23"/>
  <c r="K481" i="23"/>
  <c r="J546" i="23"/>
  <c r="L546" i="23" s="1"/>
  <c r="M546" i="23"/>
  <c r="K546" i="23"/>
  <c r="J482" i="23"/>
  <c r="J545" i="23"/>
  <c r="K545" i="23"/>
  <c r="J503" i="23"/>
  <c r="M503" i="23"/>
  <c r="J524" i="23"/>
  <c r="L524" i="23"/>
  <c r="J544" i="23"/>
  <c r="K544" i="23"/>
  <c r="J483" i="23"/>
  <c r="K483" i="23"/>
  <c r="J543" i="23"/>
  <c r="K543" i="23"/>
  <c r="J484" i="23"/>
  <c r="M484" i="23" s="1"/>
  <c r="L484" i="23"/>
  <c r="K484" i="23"/>
  <c r="J523" i="23"/>
  <c r="K523" i="23" s="1"/>
  <c r="M523" i="23"/>
  <c r="L523" i="23"/>
  <c r="J515" i="23"/>
  <c r="L515" i="23"/>
  <c r="K515" i="23"/>
  <c r="M515" i="23"/>
  <c r="J542" i="23"/>
  <c r="L542" i="23"/>
  <c r="J485" i="23"/>
  <c r="K485" i="23" s="1"/>
  <c r="L485" i="23"/>
  <c r="M485" i="23"/>
  <c r="J541" i="23"/>
  <c r="J504" i="23"/>
  <c r="L504" i="23"/>
  <c r="J486" i="23"/>
  <c r="J522" i="23"/>
  <c r="M522" i="23"/>
  <c r="J540" i="23"/>
  <c r="L540" i="23"/>
  <c r="J487" i="23"/>
  <c r="K487" i="23" s="1"/>
  <c r="L487" i="23"/>
  <c r="M487" i="23"/>
  <c r="J488" i="23"/>
  <c r="L488" i="23"/>
  <c r="J539" i="23"/>
  <c r="K539" i="23"/>
  <c r="J513" i="23"/>
  <c r="J489" i="23"/>
  <c r="K489" i="23"/>
  <c r="J538" i="23"/>
  <c r="J505" i="23"/>
  <c r="L505" i="23"/>
  <c r="J511" i="23"/>
  <c r="M511" i="23" s="1"/>
  <c r="K511" i="23"/>
  <c r="L511" i="23"/>
  <c r="J537" i="23"/>
  <c r="J490" i="23"/>
  <c r="M490" i="23"/>
  <c r="J521" i="23"/>
  <c r="L521" i="23"/>
  <c r="J491" i="23"/>
  <c r="K491" i="23"/>
  <c r="J536" i="23"/>
  <c r="M536" i="23" s="1"/>
  <c r="K536" i="23"/>
  <c r="L536" i="23"/>
  <c r="J492" i="23"/>
  <c r="K492" i="23"/>
  <c r="J535" i="23"/>
  <c r="L535" i="23"/>
  <c r="J506" i="23"/>
  <c r="M506" i="23"/>
  <c r="K506" i="23"/>
  <c r="L506" i="23"/>
  <c r="J512" i="23"/>
  <c r="J493" i="23"/>
  <c r="M493" i="23" s="1"/>
  <c r="K493" i="23"/>
  <c r="L493" i="23"/>
  <c r="J573" i="23"/>
  <c r="J401" i="23"/>
  <c r="M401" i="23"/>
  <c r="K401" i="23"/>
  <c r="L401" i="23"/>
  <c r="J400" i="23"/>
  <c r="J399" i="23"/>
  <c r="J398" i="23"/>
  <c r="J397" i="23"/>
  <c r="J396" i="23"/>
  <c r="J395" i="23"/>
  <c r="J394" i="23"/>
  <c r="J393" i="23"/>
  <c r="J392" i="23"/>
  <c r="J391" i="23"/>
  <c r="J390" i="23"/>
  <c r="J389" i="23"/>
  <c r="J388" i="23"/>
  <c r="J387" i="23"/>
  <c r="J386" i="23"/>
  <c r="J385" i="23"/>
  <c r="J384" i="23"/>
  <c r="J383" i="23"/>
  <c r="J382" i="23"/>
  <c r="J381" i="23"/>
  <c r="J380" i="23"/>
  <c r="J379" i="23"/>
  <c r="J378" i="23"/>
  <c r="J377" i="23"/>
  <c r="J376" i="23"/>
  <c r="J375" i="23"/>
  <c r="J374" i="23"/>
  <c r="J373" i="23"/>
  <c r="J372" i="23"/>
  <c r="J371" i="23"/>
  <c r="J370" i="23"/>
  <c r="J369" i="23"/>
  <c r="J368" i="23"/>
  <c r="J367" i="23"/>
  <c r="J366" i="23"/>
  <c r="J365" i="23"/>
  <c r="J364" i="23"/>
  <c r="J363" i="23"/>
  <c r="J362" i="23"/>
  <c r="J361" i="23"/>
  <c r="J360" i="23"/>
  <c r="J359" i="23"/>
  <c r="J358" i="23"/>
  <c r="J357" i="23"/>
  <c r="J356" i="23"/>
  <c r="J355" i="23"/>
  <c r="J354" i="23"/>
  <c r="J353" i="23"/>
  <c r="B13" i="22"/>
  <c r="N105" i="23"/>
  <c r="O105" i="23"/>
  <c r="N102" i="23"/>
  <c r="O102" i="23"/>
  <c r="N101" i="23"/>
  <c r="O101" i="23"/>
  <c r="N99" i="23"/>
  <c r="O99" i="23"/>
  <c r="N98" i="23"/>
  <c r="O98" i="23"/>
  <c r="N97" i="23"/>
  <c r="O97" i="23"/>
  <c r="N96" i="23"/>
  <c r="O96" i="23"/>
  <c r="N95" i="23"/>
  <c r="O95" i="23"/>
  <c r="N92" i="23"/>
  <c r="O92" i="23"/>
  <c r="N85" i="23"/>
  <c r="O85" i="23"/>
  <c r="N84" i="23"/>
  <c r="O84" i="23"/>
  <c r="N83" i="23"/>
  <c r="O83" i="23"/>
  <c r="N82" i="23"/>
  <c r="O82" i="23"/>
  <c r="N79" i="23"/>
  <c r="O79" i="23"/>
  <c r="N78" i="23"/>
  <c r="O78" i="23"/>
  <c r="N76" i="23"/>
  <c r="O76" i="23"/>
  <c r="O73" i="23"/>
  <c r="N73" i="23"/>
  <c r="N72" i="23"/>
  <c r="O72" i="23"/>
  <c r="N71" i="23"/>
  <c r="O71" i="23"/>
  <c r="N70" i="23"/>
  <c r="O70" i="23"/>
  <c r="N66" i="23"/>
  <c r="O66" i="23"/>
  <c r="N65" i="23"/>
  <c r="O65" i="23"/>
  <c r="N63" i="23"/>
  <c r="O63" i="23"/>
  <c r="N60" i="23"/>
  <c r="O60" i="23"/>
  <c r="N59" i="23"/>
  <c r="O59" i="23"/>
  <c r="N58" i="23"/>
  <c r="O58" i="23"/>
  <c r="N57" i="23"/>
  <c r="O57" i="23"/>
  <c r="N56" i="23"/>
  <c r="O56" i="23"/>
  <c r="N53" i="23"/>
  <c r="O53" i="23"/>
  <c r="N50" i="23"/>
  <c r="O50" i="23"/>
  <c r="N48" i="23"/>
  <c r="O48" i="23"/>
  <c r="N44" i="23"/>
  <c r="O44" i="23"/>
  <c r="L43" i="23"/>
  <c r="M43" i="23"/>
  <c r="N20" i="23"/>
  <c r="O20" i="23"/>
  <c r="N18" i="23"/>
  <c r="O18" i="23"/>
  <c r="N17" i="23"/>
  <c r="O17" i="23"/>
  <c r="N16" i="23"/>
  <c r="O16" i="23"/>
  <c r="N13" i="23"/>
  <c r="O13" i="23"/>
  <c r="N10" i="23"/>
  <c r="O10" i="23"/>
  <c r="O104" i="23"/>
  <c r="N104" i="23"/>
  <c r="N103" i="23"/>
  <c r="O103" i="23"/>
  <c r="O100" i="23"/>
  <c r="N100" i="23"/>
  <c r="O94" i="23"/>
  <c r="N94" i="23"/>
  <c r="O91" i="23"/>
  <c r="N91" i="23"/>
  <c r="N90" i="23"/>
  <c r="O90" i="23"/>
  <c r="O88" i="23"/>
  <c r="N88" i="23"/>
  <c r="O87" i="23"/>
  <c r="N87" i="23"/>
  <c r="O81" i="23"/>
  <c r="N81" i="23"/>
  <c r="O80" i="23"/>
  <c r="N80" i="23"/>
  <c r="O77" i="23"/>
  <c r="N77" i="23"/>
  <c r="K75" i="23"/>
  <c r="M75" i="23"/>
  <c r="N74" i="23"/>
  <c r="O74" i="23"/>
  <c r="O68" i="23"/>
  <c r="N68" i="23"/>
  <c r="O64" i="23"/>
  <c r="N64" i="23"/>
  <c r="N62" i="23"/>
  <c r="O62" i="23"/>
  <c r="O61" i="23"/>
  <c r="N61" i="23"/>
  <c r="O55" i="23"/>
  <c r="N55" i="23"/>
  <c r="O54" i="23"/>
  <c r="N54" i="23"/>
  <c r="O51" i="23"/>
  <c r="N51" i="23"/>
  <c r="N46" i="23"/>
  <c r="O46" i="23"/>
  <c r="O45" i="23"/>
  <c r="N45" i="23"/>
  <c r="O32" i="23"/>
  <c r="N32" i="23"/>
  <c r="N28" i="23"/>
  <c r="O28" i="23"/>
  <c r="O27" i="23"/>
  <c r="N27" i="23"/>
  <c r="O25" i="23"/>
  <c r="N25" i="23"/>
  <c r="N24" i="23"/>
  <c r="O24" i="23"/>
  <c r="O21" i="23"/>
  <c r="N21" i="23"/>
  <c r="O19" i="23"/>
  <c r="N19" i="23"/>
  <c r="N15" i="23"/>
  <c r="O15" i="23"/>
  <c r="N14" i="23"/>
  <c r="O14" i="23"/>
  <c r="O11" i="23"/>
  <c r="N11" i="23"/>
  <c r="O9" i="23"/>
  <c r="N9" i="23"/>
  <c r="O8" i="23"/>
  <c r="N8" i="23"/>
  <c r="O7" i="23"/>
  <c r="N7" i="23"/>
  <c r="O6" i="23"/>
  <c r="N6" i="23"/>
  <c r="O5" i="23"/>
  <c r="N5" i="23"/>
  <c r="N4" i="23"/>
  <c r="O4" i="23"/>
  <c r="O3" i="23"/>
  <c r="N3" i="23"/>
  <c r="N2" i="23"/>
  <c r="O2" i="23"/>
  <c r="N141" i="23"/>
  <c r="O141" i="23"/>
  <c r="N140" i="23"/>
  <c r="O140" i="23"/>
  <c r="N132" i="23"/>
  <c r="O132" i="23"/>
  <c r="J321" i="23"/>
  <c r="J405" i="23"/>
  <c r="M405" i="23" s="1"/>
  <c r="K405" i="23"/>
  <c r="L405" i="23"/>
  <c r="J304" i="23"/>
  <c r="L304" i="23"/>
  <c r="J338" i="23"/>
  <c r="K338" i="23" s="1"/>
  <c r="J305" i="23"/>
  <c r="J403" i="23"/>
  <c r="L403" i="23"/>
  <c r="K403" i="23"/>
  <c r="M403" i="23"/>
  <c r="J333" i="23"/>
  <c r="J328" i="23"/>
  <c r="J402" i="23"/>
  <c r="M402" i="23" s="1"/>
  <c r="K402" i="23"/>
  <c r="L402" i="23"/>
  <c r="J306" i="23"/>
  <c r="M306" i="23"/>
  <c r="J352" i="23"/>
  <c r="J337" i="23"/>
  <c r="K337" i="23" s="1"/>
  <c r="J307" i="23"/>
  <c r="J351" i="23"/>
  <c r="K351" i="23" s="1"/>
  <c r="J322" i="23"/>
  <c r="K322" i="23" s="1"/>
  <c r="J308" i="23"/>
  <c r="L308" i="23" s="1"/>
  <c r="M308" i="23"/>
  <c r="K308" i="23"/>
  <c r="J309" i="23"/>
  <c r="M309" i="23" s="1"/>
  <c r="J350" i="23"/>
  <c r="J336" i="23"/>
  <c r="J310" i="23"/>
  <c r="K310" i="23"/>
  <c r="J349" i="23"/>
  <c r="J329" i="23"/>
  <c r="J348" i="23"/>
  <c r="J323" i="23"/>
  <c r="J311" i="23"/>
  <c r="M311" i="23"/>
  <c r="J312" i="23"/>
  <c r="M312" i="23"/>
  <c r="J347" i="23"/>
  <c r="J332" i="23"/>
  <c r="J346" i="23"/>
  <c r="J324" i="23"/>
  <c r="J313" i="23"/>
  <c r="J314" i="23"/>
  <c r="J335" i="23"/>
  <c r="J345" i="23"/>
  <c r="J315" i="23"/>
  <c r="M315" i="23"/>
  <c r="J327" i="23"/>
  <c r="J344" i="23"/>
  <c r="J334" i="23"/>
  <c r="J316" i="23"/>
  <c r="J343" i="23"/>
  <c r="J317" i="23"/>
  <c r="J404" i="23"/>
  <c r="M404" i="23" s="1"/>
  <c r="L404" i="23"/>
  <c r="K404" i="23"/>
  <c r="J330" i="23"/>
  <c r="J341" i="23"/>
  <c r="J325" i="23"/>
  <c r="J318" i="23"/>
  <c r="J319" i="23"/>
  <c r="J331" i="23"/>
  <c r="J340" i="23"/>
  <c r="J339" i="23"/>
  <c r="J326" i="23"/>
  <c r="J320" i="23"/>
  <c r="J406" i="23"/>
  <c r="J407" i="23"/>
  <c r="L407" i="23"/>
  <c r="M407" i="23"/>
  <c r="K407" i="23"/>
  <c r="J408" i="23"/>
  <c r="J409" i="23"/>
  <c r="K409" i="23" s="1"/>
  <c r="L409" i="23"/>
  <c r="M409" i="23"/>
  <c r="J410" i="23"/>
  <c r="M410" i="23" s="1"/>
  <c r="J411" i="23"/>
  <c r="M411" i="23" s="1"/>
  <c r="L411" i="23"/>
  <c r="K411" i="23"/>
  <c r="J412" i="23"/>
  <c r="L412" i="23"/>
  <c r="J413" i="23"/>
  <c r="K413" i="23"/>
  <c r="J414" i="23"/>
  <c r="J415" i="23"/>
  <c r="K415" i="23" s="1"/>
  <c r="L415" i="23"/>
  <c r="M415" i="23"/>
  <c r="J416" i="23"/>
  <c r="L416" i="23" s="1"/>
  <c r="K416" i="23"/>
  <c r="M416" i="23"/>
  <c r="J435" i="23"/>
  <c r="K435" i="23" s="1"/>
  <c r="L435" i="23"/>
  <c r="M435" i="23"/>
  <c r="J417" i="23"/>
  <c r="M417" i="23" s="1"/>
  <c r="K417" i="23"/>
  <c r="L417" i="23"/>
  <c r="J418" i="23"/>
  <c r="L418" i="23"/>
  <c r="J419" i="23"/>
  <c r="L419" i="23"/>
  <c r="J420" i="23"/>
  <c r="M420" i="23" s="1"/>
  <c r="L420" i="23"/>
  <c r="K420" i="23"/>
  <c r="J421" i="23"/>
  <c r="M421" i="23" s="1"/>
  <c r="K421" i="23"/>
  <c r="L421" i="23"/>
  <c r="J422" i="23"/>
  <c r="L422" i="23"/>
  <c r="J342" i="23"/>
  <c r="J423" i="23"/>
  <c r="L423" i="23"/>
  <c r="J424" i="23"/>
  <c r="L424" i="23" s="1"/>
  <c r="K424" i="23"/>
  <c r="M424" i="23"/>
  <c r="J425" i="23"/>
  <c r="J426" i="23"/>
  <c r="L426" i="23" s="1"/>
  <c r="J427" i="23"/>
  <c r="M427" i="23" s="1"/>
  <c r="K427" i="23"/>
  <c r="L427" i="23"/>
  <c r="J428" i="23"/>
  <c r="J429" i="23"/>
  <c r="M429" i="23" s="1"/>
  <c r="J430" i="23"/>
  <c r="M430" i="23" s="1"/>
  <c r="L430" i="23"/>
  <c r="K430" i="23"/>
  <c r="J431" i="23"/>
  <c r="K431" i="23" s="1"/>
  <c r="L431" i="23"/>
  <c r="M431" i="23"/>
  <c r="J432" i="23"/>
  <c r="M432" i="23" s="1"/>
  <c r="L432" i="23"/>
  <c r="K432" i="23"/>
  <c r="J433" i="23"/>
  <c r="L433" i="23"/>
  <c r="K433" i="23"/>
  <c r="M433" i="23"/>
  <c r="J434" i="23"/>
  <c r="L434" i="23" s="1"/>
  <c r="K434" i="23"/>
  <c r="M434" i="23"/>
  <c r="J436" i="23"/>
  <c r="M436" i="23" s="1"/>
  <c r="K436" i="23"/>
  <c r="L436" i="23"/>
  <c r="J437" i="23"/>
  <c r="M437" i="23" s="1"/>
  <c r="K437" i="23"/>
  <c r="L437" i="23"/>
  <c r="J438" i="23"/>
  <c r="K438" i="23"/>
  <c r="L438" i="23"/>
  <c r="M438" i="23"/>
  <c r="J439" i="23"/>
  <c r="K439" i="23"/>
  <c r="L439" i="23"/>
  <c r="M439" i="23"/>
  <c r="J440" i="23"/>
  <c r="L440" i="23" s="1"/>
  <c r="J441" i="23"/>
  <c r="J442" i="23"/>
  <c r="L442" i="23"/>
  <c r="J443" i="23"/>
  <c r="M443" i="23" s="1"/>
  <c r="L443" i="23"/>
  <c r="K443" i="23"/>
  <c r="J444" i="23"/>
  <c r="M444" i="23"/>
  <c r="J445" i="23"/>
  <c r="M445" i="23" s="1"/>
  <c r="J446" i="23"/>
  <c r="J447" i="23"/>
  <c r="M447" i="23" s="1"/>
  <c r="J448" i="23"/>
  <c r="L448" i="23" s="1"/>
  <c r="K448" i="23"/>
  <c r="M448" i="23"/>
  <c r="J449" i="23"/>
  <c r="L449" i="23"/>
  <c r="J450" i="23"/>
  <c r="L450" i="23"/>
  <c r="J451" i="23"/>
  <c r="J452" i="23"/>
  <c r="J453" i="23"/>
  <c r="K453" i="23" s="1"/>
  <c r="L453" i="23"/>
  <c r="M453" i="23"/>
  <c r="J454" i="23"/>
  <c r="K454" i="23"/>
  <c r="L454" i="23"/>
  <c r="M454" i="23"/>
  <c r="J259" i="23"/>
  <c r="J153" i="23"/>
  <c r="J203" i="23"/>
  <c r="L203" i="23"/>
  <c r="M203" i="23"/>
  <c r="K203" i="23"/>
  <c r="J285" i="23"/>
  <c r="J260" i="23"/>
  <c r="J154" i="23"/>
  <c r="J204" i="23"/>
  <c r="L204" i="23"/>
  <c r="J297" i="23"/>
  <c r="K297" i="23"/>
  <c r="J238" i="23"/>
  <c r="M238" i="23"/>
  <c r="J155" i="23"/>
  <c r="J205" i="23"/>
  <c r="M205" i="23" s="1"/>
  <c r="K205" i="23"/>
  <c r="L205" i="23"/>
  <c r="J206" i="23"/>
  <c r="K206" i="23" s="1"/>
  <c r="M206" i="23"/>
  <c r="L206" i="23"/>
  <c r="J156" i="23"/>
  <c r="J296" i="23"/>
  <c r="J261" i="23"/>
  <c r="M261" i="23" s="1"/>
  <c r="J157" i="23"/>
  <c r="J207" i="23"/>
  <c r="L207" i="23"/>
  <c r="J239" i="23"/>
  <c r="K239" i="23"/>
  <c r="J158" i="23"/>
  <c r="J159" i="23"/>
  <c r="K159" i="23" s="1"/>
  <c r="J240" i="23"/>
  <c r="K240" i="23" s="1"/>
  <c r="J277" i="23"/>
  <c r="M277" i="23"/>
  <c r="J208" i="23"/>
  <c r="K208" i="23"/>
  <c r="J273" i="23"/>
  <c r="J160" i="23"/>
  <c r="J209" i="23"/>
  <c r="K209" i="23"/>
  <c r="J161" i="23"/>
  <c r="J262" i="23"/>
  <c r="L262" i="23"/>
  <c r="K262" i="23"/>
  <c r="M262" i="23"/>
  <c r="J295" i="23"/>
  <c r="J162" i="23"/>
  <c r="J241" i="23"/>
  <c r="K241" i="23"/>
  <c r="J242" i="23"/>
  <c r="J210" i="23"/>
  <c r="L210" i="23"/>
  <c r="J163" i="23"/>
  <c r="J263" i="23"/>
  <c r="J211" i="23"/>
  <c r="L211" i="23" s="1"/>
  <c r="M211" i="23"/>
  <c r="K211" i="23"/>
  <c r="J164" i="23"/>
  <c r="J294" i="23"/>
  <c r="J284" i="23"/>
  <c r="M284" i="23"/>
  <c r="J165" i="23"/>
  <c r="J243" i="23"/>
  <c r="K243" i="23"/>
  <c r="J212" i="23"/>
  <c r="J166" i="23"/>
  <c r="J213" i="23"/>
  <c r="J264" i="23"/>
  <c r="L264" i="23" s="1"/>
  <c r="M264" i="23"/>
  <c r="K264" i="23"/>
  <c r="J167" i="23"/>
  <c r="J293" i="23"/>
  <c r="L293" i="23" s="1"/>
  <c r="M293" i="23"/>
  <c r="K293" i="23"/>
  <c r="J281" i="23"/>
  <c r="K281" i="23"/>
  <c r="J168" i="23"/>
  <c r="J214" i="23"/>
  <c r="M214" i="23" s="1"/>
  <c r="L214" i="23"/>
  <c r="K214" i="23"/>
  <c r="J169" i="23"/>
  <c r="J244" i="23"/>
  <c r="L244" i="23" s="1"/>
  <c r="K244" i="23"/>
  <c r="M244" i="23"/>
  <c r="J215" i="23"/>
  <c r="J292" i="23"/>
  <c r="K292" i="23"/>
  <c r="J170" i="23"/>
  <c r="J245" i="23"/>
  <c r="J216" i="23"/>
  <c r="K216" i="23"/>
  <c r="J171" i="23"/>
  <c r="J265" i="23"/>
  <c r="L265" i="23" s="1"/>
  <c r="M265" i="23"/>
  <c r="K265" i="23"/>
  <c r="J283" i="23"/>
  <c r="M283" i="23"/>
  <c r="J172" i="23"/>
  <c r="J217" i="23"/>
  <c r="M217" i="23" s="1"/>
  <c r="L217" i="23"/>
  <c r="K217" i="23"/>
  <c r="J274" i="23"/>
  <c r="M274" i="23" s="1"/>
  <c r="K274" i="23"/>
  <c r="L274" i="23"/>
  <c r="J173" i="23"/>
  <c r="J246" i="23"/>
  <c r="M246" i="23"/>
  <c r="J278" i="23"/>
  <c r="J174" i="23"/>
  <c r="J175" i="23"/>
  <c r="K175" i="23" s="1"/>
  <c r="J291" i="23"/>
  <c r="L291" i="23" s="1"/>
  <c r="M291" i="23"/>
  <c r="K291" i="23"/>
  <c r="J218" i="23"/>
  <c r="L218" i="23"/>
  <c r="J219" i="23"/>
  <c r="J247" i="23"/>
  <c r="M247" i="23" s="1"/>
  <c r="K247" i="23"/>
  <c r="L247" i="23"/>
  <c r="J176" i="23"/>
  <c r="J177" i="23"/>
  <c r="K177" i="23" s="1"/>
  <c r="J266" i="23"/>
  <c r="K266" i="23"/>
  <c r="J220" i="23"/>
  <c r="J267" i="23"/>
  <c r="K267" i="23"/>
  <c r="J248" i="23"/>
  <c r="L248" i="23"/>
  <c r="K248" i="23"/>
  <c r="M248" i="23"/>
  <c r="J178" i="23"/>
  <c r="K178" i="23" s="1"/>
  <c r="J221" i="23"/>
  <c r="L221" i="23" s="1"/>
  <c r="K221" i="23"/>
  <c r="M221" i="23"/>
  <c r="J280" i="23"/>
  <c r="L280" i="23" s="1"/>
  <c r="J179" i="23"/>
  <c r="J180" i="23"/>
  <c r="J290" i="23"/>
  <c r="K290" i="23"/>
  <c r="J222" i="23"/>
  <c r="J249" i="23"/>
  <c r="M249" i="23" s="1"/>
  <c r="K249" i="23"/>
  <c r="L249" i="23"/>
  <c r="J268" i="23"/>
  <c r="L268" i="23"/>
  <c r="J181" i="23"/>
  <c r="J182" i="23"/>
  <c r="K182" i="23"/>
  <c r="J250" i="23"/>
  <c r="J289" i="23"/>
  <c r="J183" i="23"/>
  <c r="L183" i="23"/>
  <c r="J223" i="23"/>
  <c r="L223" i="23" s="1"/>
  <c r="M223" i="23"/>
  <c r="K223" i="23"/>
  <c r="J224" i="23"/>
  <c r="L224" i="23"/>
  <c r="J184" i="23"/>
  <c r="J279" i="23"/>
  <c r="L279" i="23"/>
  <c r="J251" i="23"/>
  <c r="J225" i="23"/>
  <c r="J185" i="23"/>
  <c r="L185" i="23"/>
  <c r="J282" i="23"/>
  <c r="L282" i="23" s="1"/>
  <c r="K282" i="23"/>
  <c r="M282" i="23"/>
  <c r="J288" i="23"/>
  <c r="L288" i="23" s="1"/>
  <c r="J269" i="23"/>
  <c r="K269" i="23"/>
  <c r="J186" i="23"/>
  <c r="M186" i="23" s="1"/>
  <c r="K186" i="23"/>
  <c r="L186" i="23"/>
  <c r="J252" i="23"/>
  <c r="K252" i="23"/>
  <c r="J226" i="23"/>
  <c r="M226" i="23" s="1"/>
  <c r="K226" i="23"/>
  <c r="L226" i="23"/>
  <c r="J187" i="23"/>
  <c r="J253" i="23"/>
  <c r="K253" i="23"/>
  <c r="J275" i="23"/>
  <c r="J188" i="23"/>
  <c r="M188" i="23" s="1"/>
  <c r="L188" i="23"/>
  <c r="K188" i="23"/>
  <c r="J189" i="23"/>
  <c r="K189" i="23" s="1"/>
  <c r="M189" i="23"/>
  <c r="L189" i="23"/>
  <c r="J227" i="23"/>
  <c r="M227" i="23" s="1"/>
  <c r="L227" i="23"/>
  <c r="K227" i="23"/>
  <c r="J298" i="23"/>
  <c r="K298" i="23"/>
  <c r="J254" i="23"/>
  <c r="K254" i="23"/>
  <c r="J228" i="23"/>
  <c r="M228" i="23"/>
  <c r="J190" i="23"/>
  <c r="J229" i="23"/>
  <c r="K229" i="23"/>
  <c r="J191" i="23"/>
  <c r="L191" i="23"/>
  <c r="J303" i="23"/>
  <c r="L303" i="23" s="1"/>
  <c r="J287" i="23"/>
  <c r="J255" i="23"/>
  <c r="K255" i="23"/>
  <c r="J192" i="23"/>
  <c r="K192" i="23"/>
  <c r="J302" i="23"/>
  <c r="J230" i="23"/>
  <c r="J193" i="23"/>
  <c r="M193" i="23"/>
  <c r="K193" i="23"/>
  <c r="L193" i="23"/>
  <c r="J194" i="23"/>
  <c r="L194" i="23"/>
  <c r="J231" i="23"/>
  <c r="J270" i="23"/>
  <c r="J286" i="23"/>
  <c r="L286" i="23"/>
  <c r="J301" i="23"/>
  <c r="J195" i="23"/>
  <c r="L195" i="23"/>
  <c r="K195" i="23"/>
  <c r="M195" i="23"/>
  <c r="J232" i="23"/>
  <c r="J256" i="23"/>
  <c r="J196" i="23"/>
  <c r="J257" i="23"/>
  <c r="K257" i="23"/>
  <c r="J300" i="23"/>
  <c r="J197" i="23"/>
  <c r="J233" i="23"/>
  <c r="M233" i="23" s="1"/>
  <c r="K233" i="23"/>
  <c r="L233" i="23"/>
  <c r="J271" i="23"/>
  <c r="J198" i="23"/>
  <c r="L198" i="23" s="1"/>
  <c r="K198" i="23"/>
  <c r="M198" i="23"/>
  <c r="J258" i="23"/>
  <c r="J234" i="23"/>
  <c r="K234" i="23"/>
  <c r="J199" i="23"/>
  <c r="M199" i="23" s="1"/>
  <c r="L199" i="23"/>
  <c r="K199" i="23"/>
  <c r="J276" i="23"/>
  <c r="M276" i="23"/>
  <c r="J200" i="23"/>
  <c r="J235" i="23"/>
  <c r="M235" i="23" s="1"/>
  <c r="K235" i="23"/>
  <c r="L235" i="23"/>
  <c r="J201" i="23"/>
  <c r="L201" i="23" s="1"/>
  <c r="K201" i="23"/>
  <c r="M201" i="23"/>
  <c r="J272" i="23"/>
  <c r="M272" i="23" s="1"/>
  <c r="K272" i="23"/>
  <c r="L272" i="23"/>
  <c r="J236" i="23"/>
  <c r="M236" i="23" s="1"/>
  <c r="L236" i="23"/>
  <c r="K236" i="23"/>
  <c r="J202" i="23"/>
  <c r="J26" i="22"/>
  <c r="K19" i="22"/>
  <c r="J237" i="23"/>
  <c r="L237" i="23"/>
  <c r="K237" i="23"/>
  <c r="M237" i="23"/>
  <c r="J299" i="23"/>
  <c r="O49" i="23"/>
  <c r="N49" i="23"/>
  <c r="P49" i="23" s="1" a="1"/>
  <c r="Q49" i="23" s="1"/>
  <c r="N237" i="23"/>
  <c r="P152" i="23" a="1"/>
  <c r="Q152" i="23" s="1"/>
  <c r="P151" i="23" a="1"/>
  <c r="Q151" i="23" s="1"/>
  <c r="P149" i="23" a="1"/>
  <c r="Q149" i="23" s="1"/>
  <c r="P145" i="23" a="1"/>
  <c r="Q145" i="23" s="1"/>
  <c r="P139" i="23" a="1"/>
  <c r="Q139" i="23" s="1"/>
  <c r="P137" i="23" a="1"/>
  <c r="Q137" i="23" s="1"/>
  <c r="P136" i="23" a="1"/>
  <c r="Q136" i="23" s="1"/>
  <c r="P134" i="23" a="1"/>
  <c r="Q134" i="23" s="1"/>
  <c r="P130" i="23" a="1"/>
  <c r="Q130" i="23" s="1"/>
  <c r="P126" i="23" a="1"/>
  <c r="Q126" i="23" s="1"/>
  <c r="P125" i="23" a="1"/>
  <c r="Q125" i="23" s="1"/>
  <c r="P122" i="23" a="1"/>
  <c r="Q122" i="23" s="1"/>
  <c r="P121" i="23" a="1"/>
  <c r="Q121" i="23" s="1"/>
  <c r="P120" i="23" a="1"/>
  <c r="Q120" i="23" s="1"/>
  <c r="P119" i="23" a="1"/>
  <c r="Q119" i="23" s="1"/>
  <c r="P118" i="23" a="1"/>
  <c r="Q118" i="23" s="1"/>
  <c r="P117" i="23" a="1"/>
  <c r="Q117" i="23" s="1"/>
  <c r="P116" i="23" a="1"/>
  <c r="Q116" i="23" s="1"/>
  <c r="P115" i="23" a="1"/>
  <c r="Q115" i="23" s="1"/>
  <c r="P114" i="23" a="1"/>
  <c r="Q114" i="23" s="1"/>
  <c r="P113" i="23" a="1"/>
  <c r="Q113" i="23" s="1"/>
  <c r="P112" i="23" a="1"/>
  <c r="Q112" i="23" s="1"/>
  <c r="P111" i="23" a="1"/>
  <c r="Q111" i="23" s="1"/>
  <c r="P110" i="23" a="1"/>
  <c r="Q110" i="23" s="1"/>
  <c r="P108" i="23" a="1"/>
  <c r="Q108" i="23" s="1"/>
  <c r="P107" i="23" a="1"/>
  <c r="Q107" i="23" s="1"/>
  <c r="P106" i="23" a="1"/>
  <c r="Q106" i="23" s="1"/>
  <c r="P105" i="23" a="1"/>
  <c r="Q105" i="23" s="1"/>
  <c r="P104" i="23" a="1"/>
  <c r="Q104" i="23" s="1"/>
  <c r="P103" i="23" a="1"/>
  <c r="Q103" i="23" s="1"/>
  <c r="P102" i="23" a="1"/>
  <c r="Q102" i="23" s="1"/>
  <c r="P101" i="23" a="1"/>
  <c r="Q101" i="23" s="1"/>
  <c r="P100" i="23" a="1"/>
  <c r="Q100" i="23" s="1"/>
  <c r="P99" i="23" a="1"/>
  <c r="Q99" i="23" s="1"/>
  <c r="P98" i="23" a="1"/>
  <c r="Q98" i="23" s="1"/>
  <c r="P97" i="23" a="1"/>
  <c r="Q97" i="23" s="1"/>
  <c r="P96" i="23" a="1"/>
  <c r="Q96" i="23" s="1"/>
  <c r="P95" i="23" a="1"/>
  <c r="Q95" i="23" s="1"/>
  <c r="P94" i="23" a="1"/>
  <c r="Q94" i="23" s="1"/>
  <c r="P92" i="23" a="1"/>
  <c r="Q92" i="23" s="1"/>
  <c r="P91" i="23" a="1"/>
  <c r="Q91" i="23" s="1"/>
  <c r="P90" i="23" a="1"/>
  <c r="Q90" i="23" s="1"/>
  <c r="P88" i="23" a="1"/>
  <c r="Q88" i="23" s="1"/>
  <c r="P87" i="23" a="1"/>
  <c r="Q87" i="23" s="1"/>
  <c r="P85" i="23" a="1"/>
  <c r="Q85" i="23" s="1"/>
  <c r="P84" i="23" a="1"/>
  <c r="Q84" i="23" s="1"/>
  <c r="P83" i="23" a="1"/>
  <c r="Q83" i="23" s="1"/>
  <c r="P82" i="23" a="1"/>
  <c r="Q82" i="23" s="1"/>
  <c r="P81" i="23" a="1"/>
  <c r="Q81" i="23" s="1"/>
  <c r="P80" i="23" a="1"/>
  <c r="Q80" i="23" s="1"/>
  <c r="P79" i="23" a="1"/>
  <c r="Q79" i="23" s="1"/>
  <c r="P78" i="23" a="1"/>
  <c r="Q78" i="23" s="1"/>
  <c r="P77" i="23" a="1"/>
  <c r="Q77" i="23" s="1"/>
  <c r="P76" i="23" a="1"/>
  <c r="Q76" i="23" s="1"/>
  <c r="P74" i="23" a="1"/>
  <c r="Q74" i="23" s="1"/>
  <c r="P73" i="23" a="1"/>
  <c r="Q73" i="23" s="1"/>
  <c r="P72" i="23" a="1"/>
  <c r="Q72" i="23" s="1"/>
  <c r="P71" i="23" a="1"/>
  <c r="Q71" i="23" s="1"/>
  <c r="P70" i="23" a="1"/>
  <c r="Q70" i="23" s="1"/>
  <c r="P68" i="23" a="1"/>
  <c r="Q68" i="23" s="1"/>
  <c r="P66" i="23" a="1"/>
  <c r="Q66" i="23" s="1"/>
  <c r="P65" i="23" a="1"/>
  <c r="Q65" i="23" s="1"/>
  <c r="P64" i="23" a="1"/>
  <c r="Q64" i="23" s="1"/>
  <c r="P63" i="23" a="1"/>
  <c r="Q63" i="23" s="1"/>
  <c r="P62" i="23" a="1"/>
  <c r="Q62" i="23" s="1"/>
  <c r="P61" i="23" a="1"/>
  <c r="Q61" i="23" s="1"/>
  <c r="P60" i="23" a="1"/>
  <c r="Q60" i="23" s="1"/>
  <c r="P59" i="23" a="1"/>
  <c r="Q59" i="23" s="1"/>
  <c r="P58" i="23" a="1"/>
  <c r="Q58" i="23" s="1"/>
  <c r="P57" i="23" a="1"/>
  <c r="Q57" i="23" s="1"/>
  <c r="P56" i="23" a="1"/>
  <c r="Q56" i="23" s="1"/>
  <c r="P55" i="23" a="1"/>
  <c r="Q55" i="23" s="1"/>
  <c r="P54" i="23" a="1"/>
  <c r="Q54" i="23" s="1"/>
  <c r="P53" i="23" a="1"/>
  <c r="Q53" i="23" s="1"/>
  <c r="P51" i="23" a="1"/>
  <c r="Q51" i="23" s="1"/>
  <c r="P50" i="23" a="1"/>
  <c r="Q50" i="23" s="1"/>
  <c r="P48" i="23" a="1"/>
  <c r="Q48" i="23" s="1"/>
  <c r="P46" i="23" a="1"/>
  <c r="Q46" i="23" s="1"/>
  <c r="P45" i="23" a="1"/>
  <c r="Q45" i="23" s="1"/>
  <c r="P44" i="23" a="1"/>
  <c r="Q44" i="23" s="1"/>
  <c r="P42" i="23" a="1"/>
  <c r="Q42" i="23" s="1"/>
  <c r="P41" i="23" a="1"/>
  <c r="Q41" i="23" s="1"/>
  <c r="P40" i="23" a="1"/>
  <c r="Q40" i="23" s="1"/>
  <c r="P39" i="23" a="1"/>
  <c r="Q39" i="23" s="1"/>
  <c r="P38" i="23" a="1"/>
  <c r="Q38" i="23" s="1"/>
  <c r="P37" i="23" a="1"/>
  <c r="Q37" i="23" s="1"/>
  <c r="P36" i="23" a="1"/>
  <c r="Q36" i="23" s="1"/>
  <c r="P35" i="23" a="1"/>
  <c r="Q35" i="23" s="1"/>
  <c r="P34" i="23" a="1"/>
  <c r="Q34" i="23" s="1"/>
  <c r="P33" i="23" a="1"/>
  <c r="Q33" i="23" s="1"/>
  <c r="P32" i="23" a="1"/>
  <c r="Q32" i="23" s="1"/>
  <c r="P31" i="23" a="1"/>
  <c r="Q31" i="23" s="1"/>
  <c r="P30" i="23" a="1"/>
  <c r="Q30" i="23" s="1"/>
  <c r="P29" i="23" a="1"/>
  <c r="Q29" i="23" s="1"/>
  <c r="P28" i="23" a="1"/>
  <c r="Q28" i="23" s="1"/>
  <c r="P27" i="23" a="1"/>
  <c r="Q27" i="23" s="1"/>
  <c r="P26" i="23" a="1"/>
  <c r="Q26" i="23" s="1"/>
  <c r="P25" i="23" a="1"/>
  <c r="Q25" i="23" s="1"/>
  <c r="P24" i="23" a="1"/>
  <c r="Q24" i="23" s="1"/>
  <c r="P23" i="23" a="1"/>
  <c r="Q23" i="23" s="1"/>
  <c r="P22" i="23" a="1"/>
  <c r="Q22" i="23" s="1"/>
  <c r="P21" i="23" a="1"/>
  <c r="Q21" i="23" s="1"/>
  <c r="P20" i="23" a="1"/>
  <c r="Q20" i="23" s="1"/>
  <c r="P19" i="23" a="1"/>
  <c r="Q19" i="23" s="1"/>
  <c r="P18" i="23" a="1"/>
  <c r="Q18" i="23" s="1"/>
  <c r="P17" i="23" a="1"/>
  <c r="Q17" i="23" s="1"/>
  <c r="P16" i="23" a="1"/>
  <c r="Q16" i="23" s="1"/>
  <c r="P15" i="23" a="1"/>
  <c r="Q15" i="23" s="1"/>
  <c r="P14" i="23" a="1"/>
  <c r="Q14" i="23" s="1"/>
  <c r="P13" i="23" a="1"/>
  <c r="Q13" i="23" s="1"/>
  <c r="P11" i="23" a="1"/>
  <c r="Q11" i="23" s="1"/>
  <c r="P10" i="23" a="1"/>
  <c r="Q10" i="23" s="1"/>
  <c r="P9" i="23" a="1"/>
  <c r="Q9" i="23" s="1"/>
  <c r="P8" i="23" a="1"/>
  <c r="Q8" i="23" s="1"/>
  <c r="P7" i="23" a="1"/>
  <c r="Q7" i="23" s="1"/>
  <c r="P6" i="23" a="1"/>
  <c r="Q6" i="23" s="1"/>
  <c r="P5" i="23" a="1"/>
  <c r="Q5" i="23" s="1"/>
  <c r="P4" i="23" a="1"/>
  <c r="Q4" i="23" s="1"/>
  <c r="P3" i="23" a="1"/>
  <c r="O133" i="28" l="1" a="1"/>
  <c r="O132" i="28" a="1"/>
  <c r="O237" i="23"/>
  <c r="O89" i="23"/>
  <c r="N89" i="23"/>
  <c r="P89" i="23" s="1" a="1"/>
  <c r="Q89" i="23" s="1"/>
  <c r="L553" i="23"/>
  <c r="M553" i="23"/>
  <c r="M513" i="23"/>
  <c r="K513" i="23"/>
  <c r="L513" i="23"/>
  <c r="K451" i="23"/>
  <c r="L451" i="23"/>
  <c r="M451" i="23"/>
  <c r="P237" i="23" a="1"/>
  <c r="Q237" i="23" s="1"/>
  <c r="K19" i="27" a="1"/>
  <c r="J19" i="27"/>
  <c r="J18" i="27"/>
  <c r="K18" i="27" a="1"/>
  <c r="L544" i="23"/>
  <c r="M544" i="23"/>
  <c r="O1123" i="23"/>
  <c r="N1123" i="23"/>
  <c r="P1123" i="23" s="1" a="1"/>
  <c r="Q1123" i="23" s="1"/>
  <c r="N1119" i="23"/>
  <c r="P1119" i="23" s="1" a="1"/>
  <c r="Q1119" i="23" s="1"/>
  <c r="O1119" i="23"/>
  <c r="O1117" i="23"/>
  <c r="N1117" i="23"/>
  <c r="P1117" i="23" s="1" a="1"/>
  <c r="Q1117" i="23" s="1"/>
  <c r="N1113" i="23"/>
  <c r="P1113" i="23" s="1" a="1"/>
  <c r="Q1113" i="23" s="1"/>
  <c r="O1113" i="23"/>
  <c r="O1107" i="23"/>
  <c r="N1107" i="23"/>
  <c r="P1107" i="23" s="1" a="1"/>
  <c r="Q1107" i="23" s="1"/>
  <c r="O1104" i="23"/>
  <c r="N1104" i="23"/>
  <c r="P1104" i="23" s="1" a="1"/>
  <c r="Q1104" i="23" s="1"/>
  <c r="O1097" i="23"/>
  <c r="N1097" i="23"/>
  <c r="P1097" i="23" s="1" a="1"/>
  <c r="Q1097" i="23" s="1"/>
  <c r="O1093" i="23"/>
  <c r="N1093" i="23"/>
  <c r="P1093" i="23" s="1" a="1"/>
  <c r="Q1093" i="23" s="1"/>
  <c r="O1090" i="23"/>
  <c r="N1090" i="23"/>
  <c r="P1090" i="23" s="1" a="1"/>
  <c r="Q1090" i="23" s="1"/>
  <c r="O1088" i="23"/>
  <c r="N1088" i="23"/>
  <c r="P1088" i="23" s="1" a="1"/>
  <c r="Q1088" i="23" s="1"/>
  <c r="O1122" i="23"/>
  <c r="N1122" i="23"/>
  <c r="P1122" i="23" s="1" a="1"/>
  <c r="Q1122" i="23" s="1"/>
  <c r="O1156" i="23"/>
  <c r="N1156" i="23"/>
  <c r="P1156" i="23" s="1" a="1"/>
  <c r="Q1156" i="23" s="1"/>
  <c r="O1155" i="23"/>
  <c r="N1155" i="23"/>
  <c r="P1155" i="23" s="1" a="1"/>
  <c r="Q1155" i="23" s="1"/>
  <c r="N1153" i="23"/>
  <c r="P1153" i="23" s="1" a="1"/>
  <c r="Q1153" i="23" s="1"/>
  <c r="O1153" i="23"/>
  <c r="O1150" i="23"/>
  <c r="N1150" i="23"/>
  <c r="P1150" i="23" s="1" a="1"/>
  <c r="Q1150" i="23" s="1"/>
  <c r="N1144" i="23"/>
  <c r="P1144" i="23" s="1" a="1"/>
  <c r="Q1144" i="23" s="1"/>
  <c r="O1144" i="23"/>
  <c r="N1137" i="23"/>
  <c r="P1137" i="23" s="1" a="1"/>
  <c r="Q1137" i="23" s="1"/>
  <c r="O1137" i="23"/>
  <c r="O1133" i="23"/>
  <c r="N1133" i="23"/>
  <c r="P1133" i="23" s="1" a="1"/>
  <c r="Q1133" i="23" s="1"/>
  <c r="N1128" i="23"/>
  <c r="P1128" i="23" s="1" a="1"/>
  <c r="Q1128" i="23" s="1"/>
  <c r="O1128" i="23"/>
  <c r="O1087" i="23"/>
  <c r="N1087" i="23"/>
  <c r="P1087" i="23" s="1" a="1"/>
  <c r="Q1087" i="23" s="1"/>
  <c r="O1118" i="23"/>
  <c r="N1118" i="23"/>
  <c r="P1118" i="23" s="1" a="1"/>
  <c r="Q1118" i="23" s="1"/>
  <c r="N1114" i="23"/>
  <c r="P1114" i="23" s="1" a="1"/>
  <c r="Q1114" i="23" s="1"/>
  <c r="O1114" i="23"/>
  <c r="O1111" i="23"/>
  <c r="N1111" i="23"/>
  <c r="P1111" i="23" s="1" a="1"/>
  <c r="Q1111" i="23" s="1"/>
  <c r="O1165" i="23"/>
  <c r="N1165" i="23"/>
  <c r="P1165" i="23" s="1" a="1"/>
  <c r="Q1165" i="23" s="1"/>
  <c r="O1110" i="23"/>
  <c r="N1110" i="23"/>
  <c r="P1110" i="23" s="1" a="1"/>
  <c r="Q1110" i="23" s="1"/>
  <c r="O1096" i="23"/>
  <c r="N1096" i="23"/>
  <c r="P1096" i="23" s="1" a="1"/>
  <c r="Q1096" i="23" s="1"/>
  <c r="N1148" i="23"/>
  <c r="P1148" i="23" s="1" a="1"/>
  <c r="Q1148" i="23" s="1"/>
  <c r="O1148" i="23"/>
  <c r="N1160" i="23"/>
  <c r="P1160" i="23" s="1" a="1"/>
  <c r="Q1160" i="23" s="1"/>
  <c r="O1160" i="23"/>
  <c r="O1151" i="23"/>
  <c r="N1151" i="23"/>
  <c r="P1151" i="23" s="1" a="1"/>
  <c r="Q1151" i="23" s="1"/>
  <c r="O1109" i="23"/>
  <c r="N1109" i="23"/>
  <c r="P1109" i="23" s="1" a="1"/>
  <c r="Q1109" i="23" s="1"/>
  <c r="O1102" i="23"/>
  <c r="N1102" i="23"/>
  <c r="P1102" i="23" s="1" a="1"/>
  <c r="Q1102" i="23" s="1"/>
  <c r="O1099" i="23"/>
  <c r="N1099" i="23"/>
  <c r="P1099" i="23" s="1" a="1"/>
  <c r="Q1099" i="23" s="1"/>
  <c r="O1086" i="23"/>
  <c r="N1086" i="23"/>
  <c r="P1086" i="23" s="1" a="1"/>
  <c r="Q1086" i="23" s="1"/>
  <c r="O1187" i="23"/>
  <c r="N1187" i="23"/>
  <c r="P1187" i="23" s="1" a="1"/>
  <c r="Q1187" i="23" s="1"/>
  <c r="O1186" i="23"/>
  <c r="N1186" i="23"/>
  <c r="P1186" i="23" s="1" a="1"/>
  <c r="Q1186" i="23" s="1"/>
  <c r="N1185" i="23"/>
  <c r="P1185" i="23" s="1" a="1"/>
  <c r="Q1185" i="23" s="1"/>
  <c r="O1185" i="23"/>
  <c r="O1184" i="23"/>
  <c r="N1184" i="23"/>
  <c r="P1184" i="23" s="1" a="1"/>
  <c r="Q1184" i="23" s="1"/>
  <c r="O1183" i="23"/>
  <c r="N1183" i="23"/>
  <c r="P1183" i="23" s="1" a="1"/>
  <c r="Q1183" i="23" s="1"/>
  <c r="O1182" i="23"/>
  <c r="N1182" i="23"/>
  <c r="P1182" i="23" s="1" a="1"/>
  <c r="Q1182" i="23" s="1"/>
  <c r="N1181" i="23"/>
  <c r="P1181" i="23" s="1" a="1"/>
  <c r="Q1181" i="23" s="1"/>
  <c r="O1181" i="23"/>
  <c r="N1180" i="23"/>
  <c r="P1180" i="23" s="1" a="1"/>
  <c r="Q1180" i="23" s="1"/>
  <c r="O1180" i="23"/>
  <c r="N1179" i="23"/>
  <c r="P1179" i="23" s="1" a="1"/>
  <c r="Q1179" i="23" s="1"/>
  <c r="O1179" i="23"/>
  <c r="O1173" i="23"/>
  <c r="N1173" i="23"/>
  <c r="P1173" i="23" s="1" a="1"/>
  <c r="Q1173" i="23" s="1"/>
  <c r="N1172" i="23"/>
  <c r="P1172" i="23" s="1" a="1"/>
  <c r="Q1172" i="23" s="1"/>
  <c r="O1172" i="23"/>
  <c r="N1171" i="23"/>
  <c r="P1171" i="23" s="1" a="1"/>
  <c r="Q1171" i="23" s="1"/>
  <c r="O1171" i="23"/>
  <c r="O1170" i="23"/>
  <c r="N1170" i="23"/>
  <c r="P1170" i="23" s="1" a="1"/>
  <c r="Q1170" i="23" s="1"/>
  <c r="N1169" i="23"/>
  <c r="P1169" i="23" s="1" a="1"/>
  <c r="Q1169" i="23" s="1"/>
  <c r="O1169" i="23"/>
  <c r="N1168" i="23"/>
  <c r="P1168" i="23" s="1" a="1"/>
  <c r="Q1168" i="23" s="1"/>
  <c r="O1168" i="23"/>
  <c r="O1167" i="23"/>
  <c r="N1167" i="23"/>
  <c r="P1167" i="23" s="1" a="1"/>
  <c r="Q1167" i="23" s="1"/>
  <c r="N1166" i="23"/>
  <c r="P1166" i="23" s="1" a="1"/>
  <c r="Q1166" i="23" s="1"/>
  <c r="O1166" i="23"/>
  <c r="N1141" i="23"/>
  <c r="P1141" i="23" s="1" a="1"/>
  <c r="Q1141" i="23" s="1"/>
  <c r="O1141" i="23"/>
  <c r="O1164" i="23"/>
  <c r="N1164" i="23"/>
  <c r="P1164" i="23" s="1" a="1"/>
  <c r="Q1164" i="23" s="1"/>
  <c r="N1163" i="23"/>
  <c r="P1163" i="23" s="1" a="1"/>
  <c r="Q1163" i="23" s="1"/>
  <c r="O1163" i="23"/>
  <c r="O1162" i="23"/>
  <c r="N1162" i="23"/>
  <c r="P1162" i="23" s="1" a="1"/>
  <c r="Q1162" i="23" s="1"/>
  <c r="N1161" i="23"/>
  <c r="P1161" i="23" s="1" a="1"/>
  <c r="Q1161" i="23" s="1"/>
  <c r="O1161" i="23"/>
  <c r="O1147" i="23"/>
  <c r="N1147" i="23"/>
  <c r="P1147" i="23" s="1" a="1"/>
  <c r="Q1147" i="23" s="1"/>
  <c r="N1142" i="23"/>
  <c r="P1142" i="23" s="1" a="1"/>
  <c r="Q1142" i="23" s="1"/>
  <c r="O1142" i="23"/>
  <c r="N1135" i="23"/>
  <c r="P1135" i="23" s="1" a="1"/>
  <c r="Q1135" i="23" s="1"/>
  <c r="O1135" i="23"/>
  <c r="N1129" i="23"/>
  <c r="P1129" i="23" s="1" a="1"/>
  <c r="Q1129" i="23" s="1"/>
  <c r="O1129" i="23"/>
  <c r="N1125" i="23"/>
  <c r="P1125" i="23" s="1" a="1"/>
  <c r="Q1125" i="23" s="1"/>
  <c r="O1125" i="23"/>
  <c r="O1121" i="23"/>
  <c r="N1121" i="23"/>
  <c r="P1121" i="23" s="1" a="1"/>
  <c r="Q1121" i="23" s="1"/>
  <c r="N1115" i="23"/>
  <c r="P1115" i="23" s="1" a="1"/>
  <c r="Q1115" i="23" s="1"/>
  <c r="O1115" i="23"/>
  <c r="O1085" i="23"/>
  <c r="N1085" i="23"/>
  <c r="P1085" i="23" s="1" a="1"/>
  <c r="Q1085" i="23" s="1"/>
  <c r="O1084" i="23"/>
  <c r="N1084" i="23"/>
  <c r="P1084" i="23" s="1" a="1"/>
  <c r="Q1084" i="23" s="1"/>
  <c r="O1083" i="23"/>
  <c r="N1083" i="23"/>
  <c r="P1083" i="23" s="1" a="1"/>
  <c r="Q1083" i="23" s="1"/>
  <c r="O1082" i="23"/>
  <c r="N1082" i="23"/>
  <c r="P1082" i="23" s="1" a="1"/>
  <c r="Q1082" i="23" s="1"/>
  <c r="O1081" i="23"/>
  <c r="N1081" i="23"/>
  <c r="P1081" i="23" s="1" a="1"/>
  <c r="Q1081" i="23" s="1"/>
  <c r="O1080" i="23"/>
  <c r="N1080" i="23"/>
  <c r="P1080" i="23" s="1" a="1"/>
  <c r="Q1080" i="23" s="1"/>
  <c r="O1079" i="23"/>
  <c r="N1079" i="23"/>
  <c r="P1079" i="23" s="1" a="1"/>
  <c r="Q1079" i="23" s="1"/>
  <c r="O1078" i="23"/>
  <c r="N1078" i="23"/>
  <c r="P1078" i="23" s="1" a="1"/>
  <c r="Q1078" i="23" s="1"/>
  <c r="O1077" i="23"/>
  <c r="N1077" i="23"/>
  <c r="P1077" i="23" s="1" a="1"/>
  <c r="Q1077" i="23" s="1"/>
  <c r="O1076" i="23"/>
  <c r="N1076" i="23"/>
  <c r="P1076" i="23" s="1" a="1"/>
  <c r="Q1076" i="23" s="1"/>
  <c r="O1075" i="23"/>
  <c r="N1075" i="23"/>
  <c r="P1075" i="23" s="1" a="1"/>
  <c r="Q1075" i="23" s="1"/>
  <c r="N1074" i="23"/>
  <c r="P1074" i="23" s="1" a="1"/>
  <c r="Q1074" i="23" s="1"/>
  <c r="O1074" i="23"/>
  <c r="O1073" i="23"/>
  <c r="N1073" i="23"/>
  <c r="P1073" i="23" s="1" a="1"/>
  <c r="Q1073" i="23" s="1"/>
  <c r="O1072" i="23"/>
  <c r="N1072" i="23"/>
  <c r="P1072" i="23" s="1" a="1"/>
  <c r="Q1072" i="23" s="1"/>
  <c r="O1071" i="23"/>
  <c r="N1071" i="23"/>
  <c r="P1071" i="23" s="1" a="1"/>
  <c r="Q1071" i="23" s="1"/>
  <c r="O1070" i="23"/>
  <c r="N1070" i="23"/>
  <c r="P1070" i="23" s="1" a="1"/>
  <c r="Q1070" i="23" s="1"/>
  <c r="O1069" i="23"/>
  <c r="N1069" i="23"/>
  <c r="P1069" i="23" s="1" a="1"/>
  <c r="Q1069" i="23" s="1"/>
  <c r="O1068" i="23"/>
  <c r="N1068" i="23"/>
  <c r="P1068" i="23" s="1" a="1"/>
  <c r="Q1068" i="23" s="1"/>
  <c r="O1067" i="23"/>
  <c r="N1067" i="23"/>
  <c r="P1067" i="23" s="1" a="1"/>
  <c r="Q1067" i="23" s="1"/>
  <c r="N1066" i="23"/>
  <c r="P1066" i="23" s="1" a="1"/>
  <c r="Q1066" i="23" s="1"/>
  <c r="O1066" i="23"/>
  <c r="O1065" i="23"/>
  <c r="N1065" i="23"/>
  <c r="P1065" i="23" s="1" a="1"/>
  <c r="Q1065" i="23" s="1"/>
  <c r="N1064" i="23"/>
  <c r="P1064" i="23" s="1" a="1"/>
  <c r="Q1064" i="23" s="1"/>
  <c r="O1064" i="23"/>
  <c r="N1063" i="23"/>
  <c r="P1063" i="23" s="1" a="1"/>
  <c r="Q1063" i="23" s="1"/>
  <c r="O1063" i="23"/>
  <c r="O1062" i="23"/>
  <c r="N1062" i="23"/>
  <c r="P1062" i="23" s="1" a="1"/>
  <c r="Q1062" i="23" s="1"/>
  <c r="O1061" i="23"/>
  <c r="N1061" i="23"/>
  <c r="P1061" i="23" s="1" a="1"/>
  <c r="Q1061" i="23" s="1"/>
  <c r="O1060" i="23"/>
  <c r="N1060" i="23"/>
  <c r="P1060" i="23" s="1" a="1"/>
  <c r="Q1060" i="23" s="1"/>
  <c r="O1059" i="23"/>
  <c r="N1059" i="23"/>
  <c r="P1059" i="23" s="1" a="1"/>
  <c r="Q1059" i="23" s="1"/>
  <c r="O1139" i="23"/>
  <c r="N1139" i="23"/>
  <c r="P1139" i="23" s="1" a="1"/>
  <c r="Q1139" i="23" s="1"/>
  <c r="O1136" i="23"/>
  <c r="N1136" i="23"/>
  <c r="P1136" i="23" s="1" a="1"/>
  <c r="Q1136" i="23" s="1"/>
  <c r="N1132" i="23"/>
  <c r="P1132" i="23" s="1" a="1"/>
  <c r="Q1132" i="23" s="1"/>
  <c r="O1132" i="23"/>
  <c r="N1130" i="23"/>
  <c r="P1130" i="23" s="1" a="1"/>
  <c r="Q1130" i="23" s="1"/>
  <c r="O1130" i="23"/>
  <c r="O1126" i="23"/>
  <c r="N1126" i="23"/>
  <c r="P1126" i="23" s="1" a="1"/>
  <c r="Q1126" i="23" s="1"/>
  <c r="O1124" i="23"/>
  <c r="N1124" i="23"/>
  <c r="P1124" i="23" s="1" a="1"/>
  <c r="Q1124" i="23" s="1"/>
  <c r="N1120" i="23"/>
  <c r="P1120" i="23" s="1" a="1"/>
  <c r="Q1120" i="23" s="1"/>
  <c r="O1120" i="23"/>
  <c r="N1116" i="23"/>
  <c r="P1116" i="23" s="1" a="1"/>
  <c r="Q1116" i="23" s="1"/>
  <c r="O1116" i="23"/>
  <c r="O1112" i="23"/>
  <c r="N1112" i="23"/>
  <c r="P1112" i="23" s="1" a="1"/>
  <c r="Q1112" i="23" s="1"/>
  <c r="O1108" i="23"/>
  <c r="N1108" i="23"/>
  <c r="P1108" i="23" s="1" a="1"/>
  <c r="Q1108" i="23" s="1"/>
  <c r="O1106" i="23"/>
  <c r="N1106" i="23"/>
  <c r="P1106" i="23" s="1" a="1"/>
  <c r="Q1106" i="23" s="1"/>
  <c r="O1105" i="23"/>
  <c r="N1105" i="23"/>
  <c r="P1105" i="23" s="1" a="1"/>
  <c r="Q1105" i="23" s="1"/>
  <c r="O1103" i="23"/>
  <c r="N1103" i="23"/>
  <c r="P1103" i="23" s="1" a="1"/>
  <c r="Q1103" i="23" s="1"/>
  <c r="O1100" i="23"/>
  <c r="N1100" i="23"/>
  <c r="P1100" i="23" s="1" a="1"/>
  <c r="Q1100" i="23" s="1"/>
  <c r="O1098" i="23"/>
  <c r="N1098" i="23"/>
  <c r="P1098" i="23" s="1" a="1"/>
  <c r="Q1098" i="23" s="1"/>
  <c r="O1095" i="23"/>
  <c r="N1095" i="23"/>
  <c r="P1095" i="23" s="1" a="1"/>
  <c r="Q1095" i="23" s="1"/>
  <c r="O1094" i="23"/>
  <c r="N1094" i="23"/>
  <c r="P1094" i="23" s="1" a="1"/>
  <c r="Q1094" i="23" s="1"/>
  <c r="O1092" i="23"/>
  <c r="N1092" i="23"/>
  <c r="P1092" i="23" s="1" a="1"/>
  <c r="Q1092" i="23" s="1"/>
  <c r="O1091" i="23"/>
  <c r="N1091" i="23"/>
  <c r="P1091" i="23" s="1" a="1"/>
  <c r="Q1091" i="23" s="1"/>
  <c r="O1089" i="23"/>
  <c r="N1089" i="23"/>
  <c r="P1089" i="23" s="1" a="1"/>
  <c r="Q1089" i="23" s="1"/>
  <c r="O1101" i="23"/>
  <c r="N1101" i="23"/>
  <c r="P1101" i="23" s="1" a="1"/>
  <c r="Q1101" i="23" s="1"/>
  <c r="O1159" i="23"/>
  <c r="N1159" i="23"/>
  <c r="P1159" i="23" s="1" a="1"/>
  <c r="Q1159" i="23" s="1"/>
  <c r="O1158" i="23"/>
  <c r="N1158" i="23"/>
  <c r="P1158" i="23" s="1" a="1"/>
  <c r="Q1158" i="23" s="1"/>
  <c r="N1157" i="23"/>
  <c r="P1157" i="23" s="1" a="1"/>
  <c r="Q1157" i="23" s="1"/>
  <c r="O1157" i="23"/>
  <c r="O1154" i="23"/>
  <c r="N1154" i="23"/>
  <c r="P1154" i="23" s="1" a="1"/>
  <c r="Q1154" i="23" s="1"/>
  <c r="O1152" i="23"/>
  <c r="N1152" i="23"/>
  <c r="P1152" i="23" s="1" a="1"/>
  <c r="Q1152" i="23" s="1"/>
  <c r="O1149" i="23"/>
  <c r="N1149" i="23"/>
  <c r="P1149" i="23" s="1" a="1"/>
  <c r="Q1149" i="23" s="1"/>
  <c r="O1146" i="23"/>
  <c r="N1146" i="23"/>
  <c r="P1146" i="23" s="1" a="1"/>
  <c r="Q1146" i="23" s="1"/>
  <c r="N1145" i="23"/>
  <c r="P1145" i="23" s="1" a="1"/>
  <c r="Q1145" i="23" s="1"/>
  <c r="O1145" i="23"/>
  <c r="N1143" i="23"/>
  <c r="P1143" i="23" s="1" a="1"/>
  <c r="Q1143" i="23" s="1"/>
  <c r="O1143" i="23"/>
  <c r="O1140" i="23"/>
  <c r="N1140" i="23"/>
  <c r="P1140" i="23" s="1" a="1"/>
  <c r="Q1140" i="23" s="1"/>
  <c r="N1138" i="23"/>
  <c r="P1138" i="23" s="1" a="1"/>
  <c r="Q1138" i="23" s="1"/>
  <c r="O1138" i="23"/>
  <c r="N1134" i="23"/>
  <c r="P1134" i="23" s="1" a="1"/>
  <c r="Q1134" i="23" s="1"/>
  <c r="O1134" i="23"/>
  <c r="N1131" i="23"/>
  <c r="P1131" i="23" s="1" a="1"/>
  <c r="Q1131" i="23" s="1"/>
  <c r="O1131" i="23"/>
  <c r="N1127" i="23"/>
  <c r="P1127" i="23" s="1" a="1"/>
  <c r="Q1127" i="23" s="1"/>
  <c r="O1127" i="23"/>
  <c r="N1057" i="23"/>
  <c r="P1057" i="23" s="1" a="1"/>
  <c r="Q1057" i="23" s="1"/>
  <c r="O1057" i="23"/>
  <c r="N1056" i="23"/>
  <c r="P1056" i="23" s="1" a="1"/>
  <c r="Q1056" i="23" s="1"/>
  <c r="O1056" i="23"/>
  <c r="N1055" i="23"/>
  <c r="P1055" i="23" s="1" a="1"/>
  <c r="Q1055" i="23" s="1"/>
  <c r="O1055" i="23"/>
  <c r="N1054" i="23"/>
  <c r="P1054" i="23" s="1" a="1"/>
  <c r="Q1054" i="23" s="1"/>
  <c r="O1054" i="23"/>
  <c r="O1053" i="23"/>
  <c r="N1053" i="23"/>
  <c r="P1053" i="23" s="1" a="1"/>
  <c r="Q1053" i="23" s="1"/>
  <c r="O1052" i="23"/>
  <c r="N1052" i="23"/>
  <c r="P1052" i="23" s="1" a="1"/>
  <c r="Q1052" i="23" s="1"/>
  <c r="N1051" i="23"/>
  <c r="P1051" i="23" s="1" a="1"/>
  <c r="Q1051" i="23" s="1"/>
  <c r="O1051" i="23"/>
  <c r="N1050" i="23"/>
  <c r="P1050" i="23" s="1" a="1"/>
  <c r="Q1050" i="23" s="1"/>
  <c r="O1050" i="23"/>
  <c r="O1049" i="23"/>
  <c r="N1049" i="23"/>
  <c r="P1049" i="23" s="1" a="1"/>
  <c r="Q1049" i="23" s="1"/>
  <c r="N1048" i="23"/>
  <c r="P1048" i="23" s="1" a="1"/>
  <c r="Q1048" i="23" s="1"/>
  <c r="O1048" i="23"/>
  <c r="N1047" i="23"/>
  <c r="P1047" i="23" s="1" a="1"/>
  <c r="Q1047" i="23" s="1"/>
  <c r="O1047" i="23"/>
  <c r="N1046" i="23"/>
  <c r="P1046" i="23" s="1" a="1"/>
  <c r="Q1046" i="23" s="1"/>
  <c r="O1046" i="23"/>
  <c r="N1045" i="23"/>
  <c r="P1045" i="23" s="1" a="1"/>
  <c r="Q1045" i="23" s="1"/>
  <c r="O1045" i="23"/>
  <c r="N1044" i="23"/>
  <c r="P1044" i="23" s="1" a="1"/>
  <c r="Q1044" i="23" s="1"/>
  <c r="O1044" i="23"/>
  <c r="N1043" i="23"/>
  <c r="P1043" i="23" s="1" a="1"/>
  <c r="Q1043" i="23" s="1"/>
  <c r="O1043" i="23"/>
  <c r="N1042" i="23"/>
  <c r="P1042" i="23" s="1" a="1"/>
  <c r="Q1042" i="23" s="1"/>
  <c r="O1042" i="23"/>
  <c r="N1041" i="23"/>
  <c r="P1041" i="23" s="1" a="1"/>
  <c r="Q1041" i="23" s="1"/>
  <c r="O1041" i="23"/>
  <c r="N1040" i="23"/>
  <c r="P1040" i="23" s="1" a="1"/>
  <c r="Q1040" i="23" s="1"/>
  <c r="O1040" i="23"/>
  <c r="N1039" i="23"/>
  <c r="P1039" i="23" s="1" a="1"/>
  <c r="Q1039" i="23" s="1"/>
  <c r="O1039" i="23"/>
  <c r="O1034" i="23"/>
  <c r="N1034" i="23"/>
  <c r="P1034" i="23" s="1" a="1"/>
  <c r="Q1034" i="23" s="1"/>
  <c r="O1035" i="23"/>
  <c r="N1035" i="23"/>
  <c r="P1035" i="23" s="1" a="1"/>
  <c r="Q1035" i="23" s="1"/>
  <c r="N1036" i="23"/>
  <c r="P1036" i="23" s="1" a="1"/>
  <c r="Q1036" i="23" s="1"/>
  <c r="O1036" i="23"/>
  <c r="N1037" i="23"/>
  <c r="P1037" i="23" s="1" a="1"/>
  <c r="Q1037" i="23" s="1"/>
  <c r="O1037" i="23"/>
  <c r="O1031" i="23"/>
  <c r="N1031" i="23"/>
  <c r="P1031" i="23" s="1" a="1"/>
  <c r="Q1031" i="23" s="1"/>
  <c r="O1038" i="23"/>
  <c r="N1038" i="23"/>
  <c r="P1038" i="23" s="1" a="1"/>
  <c r="Q1038" i="23" s="1"/>
  <c r="O1032" i="23"/>
  <c r="N1032" i="23"/>
  <c r="P1032" i="23" s="1" a="1"/>
  <c r="Q1032" i="23" s="1"/>
  <c r="O1033" i="23"/>
  <c r="N1033" i="23"/>
  <c r="P1033" i="23" s="1" a="1"/>
  <c r="Q1033" i="23" s="1"/>
  <c r="O1058" i="23"/>
  <c r="N1058" i="23"/>
  <c r="P1058" i="23" s="1" a="1"/>
  <c r="Q1058" i="23" s="1"/>
  <c r="O791" i="23"/>
  <c r="N791" i="23"/>
  <c r="P791" i="23" s="1" a="1"/>
  <c r="Q791" i="23" s="1"/>
  <c r="O790" i="23"/>
  <c r="N790" i="23"/>
  <c r="P790" i="23" s="1" a="1"/>
  <c r="Q790" i="23" s="1"/>
  <c r="O789" i="23"/>
  <c r="N789" i="23"/>
  <c r="P789" i="23" s="1" a="1"/>
  <c r="Q789" i="23" s="1"/>
  <c r="O788" i="23"/>
  <c r="N788" i="23"/>
  <c r="P788" i="23" s="1" a="1"/>
  <c r="Q788" i="23" s="1"/>
  <c r="O787" i="23"/>
  <c r="N787" i="23"/>
  <c r="P787" i="23" s="1" a="1"/>
  <c r="Q787" i="23" s="1"/>
  <c r="O786" i="23"/>
  <c r="N786" i="23"/>
  <c r="P786" i="23" s="1" a="1"/>
  <c r="Q786" i="23" s="1"/>
  <c r="O785" i="23"/>
  <c r="N785" i="23"/>
  <c r="P785" i="23" s="1" a="1"/>
  <c r="Q785" i="23" s="1"/>
  <c r="O783" i="23"/>
  <c r="N783" i="23"/>
  <c r="P783" i="23" s="1" a="1"/>
  <c r="Q783" i="23" s="1"/>
  <c r="O782" i="23"/>
  <c r="N782" i="23"/>
  <c r="P782" i="23" s="1" a="1"/>
  <c r="Q782" i="23" s="1"/>
  <c r="O781" i="23"/>
  <c r="N781" i="23"/>
  <c r="P781" i="23" s="1" a="1"/>
  <c r="Q781" i="23" s="1"/>
  <c r="N780" i="23"/>
  <c r="P780" i="23" s="1" a="1"/>
  <c r="Q780" i="23" s="1"/>
  <c r="O780" i="23"/>
  <c r="N779" i="23"/>
  <c r="P779" i="23" s="1" a="1"/>
  <c r="Q779" i="23" s="1"/>
  <c r="O779" i="23"/>
  <c r="N769" i="23"/>
  <c r="P769" i="23" s="1" a="1"/>
  <c r="Q769" i="23" s="1"/>
  <c r="O769" i="23"/>
  <c r="O778" i="23"/>
  <c r="N778" i="23"/>
  <c r="P778" i="23" s="1" a="1"/>
  <c r="Q778" i="23" s="1"/>
  <c r="O777" i="23"/>
  <c r="N777" i="23"/>
  <c r="P777" i="23" s="1" a="1"/>
  <c r="Q777" i="23" s="1"/>
  <c r="N775" i="23"/>
  <c r="P775" i="23" s="1" a="1"/>
  <c r="Q775" i="23" s="1"/>
  <c r="O775" i="23"/>
  <c r="N774" i="23"/>
  <c r="P774" i="23" s="1" a="1"/>
  <c r="Q774" i="23" s="1"/>
  <c r="O774" i="23"/>
  <c r="N773" i="23"/>
  <c r="P773" i="23" s="1" a="1"/>
  <c r="Q773" i="23" s="1"/>
  <c r="O773" i="23"/>
  <c r="N776" i="23"/>
  <c r="P776" i="23" s="1" a="1"/>
  <c r="Q776" i="23" s="1"/>
  <c r="O776" i="23"/>
  <c r="O772" i="23"/>
  <c r="N772" i="23"/>
  <c r="P772" i="23" s="1" a="1"/>
  <c r="Q772" i="23" s="1"/>
  <c r="O771" i="23"/>
  <c r="N771" i="23"/>
  <c r="P771" i="23" s="1" a="1"/>
  <c r="Q771" i="23" s="1"/>
  <c r="O770" i="23"/>
  <c r="N770" i="23"/>
  <c r="P770" i="23" s="1" a="1"/>
  <c r="Q770" i="23" s="1"/>
  <c r="O784" i="23"/>
  <c r="N784" i="23"/>
  <c r="P784" i="23" s="1" a="1"/>
  <c r="Q784" i="23" s="1"/>
  <c r="N768" i="23"/>
  <c r="P768" i="23" s="1" a="1"/>
  <c r="Q768" i="23" s="1"/>
  <c r="O768" i="23"/>
  <c r="O767" i="23"/>
  <c r="N767" i="23"/>
  <c r="P767" i="23" s="1" a="1"/>
  <c r="Q767" i="23" s="1"/>
  <c r="O766" i="23"/>
  <c r="N766" i="23"/>
  <c r="P766" i="23" s="1" a="1"/>
  <c r="Q766" i="23" s="1"/>
  <c r="O765" i="23"/>
  <c r="N765" i="23"/>
  <c r="P765" i="23" s="1" a="1"/>
  <c r="Q765" i="23" s="1"/>
  <c r="O764" i="23"/>
  <c r="N764" i="23"/>
  <c r="P764" i="23" s="1" a="1"/>
  <c r="Q764" i="23" s="1"/>
  <c r="N763" i="23"/>
  <c r="P763" i="23" s="1" a="1"/>
  <c r="Q763" i="23" s="1"/>
  <c r="O763" i="23"/>
  <c r="N762" i="23"/>
  <c r="P762" i="23" s="1" a="1"/>
  <c r="Q762" i="23" s="1"/>
  <c r="O762" i="23"/>
  <c r="N761" i="23"/>
  <c r="P761" i="23" s="1" a="1"/>
  <c r="Q761" i="23" s="1"/>
  <c r="O761" i="23"/>
  <c r="N760" i="23"/>
  <c r="P760" i="23" s="1" a="1"/>
  <c r="Q760" i="23" s="1"/>
  <c r="O760" i="23"/>
  <c r="N759" i="23"/>
  <c r="P759" i="23" s="1" a="1"/>
  <c r="Q759" i="23" s="1"/>
  <c r="O759" i="23"/>
  <c r="O758" i="23"/>
  <c r="N758" i="23"/>
  <c r="P758" i="23" s="1" a="1"/>
  <c r="Q758" i="23" s="1"/>
  <c r="O757" i="23"/>
  <c r="N757" i="23"/>
  <c r="P757" i="23" s="1" a="1"/>
  <c r="Q757" i="23" s="1"/>
  <c r="O801" i="23"/>
  <c r="N801" i="23"/>
  <c r="P801" i="23" s="1" a="1"/>
  <c r="Q801" i="23" s="1"/>
  <c r="O800" i="23"/>
  <c r="N800" i="23"/>
  <c r="P800" i="23" s="1" a="1"/>
  <c r="Q800" i="23" s="1"/>
  <c r="O799" i="23"/>
  <c r="N799" i="23"/>
  <c r="P799" i="23" s="1" a="1"/>
  <c r="Q799" i="23" s="1"/>
  <c r="O798" i="23"/>
  <c r="N798" i="23"/>
  <c r="P798" i="23" s="1" a="1"/>
  <c r="Q798" i="23" s="1"/>
  <c r="O797" i="23"/>
  <c r="N797" i="23"/>
  <c r="P797" i="23" s="1" a="1"/>
  <c r="Q797" i="23" s="1"/>
  <c r="O796" i="23"/>
  <c r="N796" i="23"/>
  <c r="P796" i="23" s="1" a="1"/>
  <c r="Q796" i="23" s="1"/>
  <c r="O795" i="23"/>
  <c r="N795" i="23"/>
  <c r="P795" i="23" s="1" a="1"/>
  <c r="Q795" i="23" s="1"/>
  <c r="O794" i="23"/>
  <c r="N794" i="23"/>
  <c r="P794" i="23" s="1" a="1"/>
  <c r="Q794" i="23" s="1"/>
  <c r="O793" i="23"/>
  <c r="N793" i="23"/>
  <c r="P793" i="23" s="1" a="1"/>
  <c r="Q793" i="23" s="1"/>
  <c r="O792" i="23"/>
  <c r="N792" i="23"/>
  <c r="P792" i="23" s="1" a="1"/>
  <c r="Q792" i="23" s="1"/>
  <c r="N142" i="23"/>
  <c r="O142" i="23"/>
  <c r="O52" i="23"/>
  <c r="N52" i="23"/>
  <c r="P52" i="23" s="1" a="1"/>
  <c r="Q52" i="23" s="1"/>
  <c r="O69" i="23"/>
  <c r="N69" i="23"/>
  <c r="P69" i="23" s="1" a="1"/>
  <c r="Q69" i="23" s="1"/>
  <c r="N12" i="23"/>
  <c r="O12" i="23"/>
  <c r="L294" i="23"/>
  <c r="M294" i="23"/>
  <c r="K294" i="23"/>
  <c r="M271" i="23"/>
  <c r="L271" i="23"/>
  <c r="K271" i="23"/>
  <c r="C74" i="22"/>
  <c r="G74" i="22"/>
  <c r="C88" i="22"/>
  <c r="C75" i="22"/>
  <c r="G75" i="22"/>
  <c r="C76" i="22"/>
  <c r="G76" i="22"/>
  <c r="C77" i="22"/>
  <c r="G77" i="22"/>
  <c r="Y78" i="22"/>
  <c r="AD78" i="22"/>
  <c r="AC78" i="22"/>
  <c r="AB78" i="22"/>
  <c r="AA78" i="22"/>
  <c r="Z78" i="22"/>
  <c r="X78" i="22"/>
  <c r="B78" i="22"/>
  <c r="C78" i="22"/>
  <c r="D78" i="22" a="1"/>
  <c r="E78" i="22" a="1"/>
  <c r="F78" i="22"/>
  <c r="G78" i="22"/>
  <c r="J94" i="22" a="1"/>
  <c r="I94" i="22" a="1"/>
  <c r="H94" i="22" a="1"/>
  <c r="G94" i="22" a="1"/>
  <c r="F94" i="22" a="1"/>
  <c r="E94" i="22" a="1"/>
  <c r="B94" i="22"/>
  <c r="C94" i="22"/>
  <c r="D94" i="22" a="1"/>
  <c r="J95" i="22" a="1"/>
  <c r="I95" i="22" a="1"/>
  <c r="H95" i="22" a="1"/>
  <c r="G95" i="22" a="1"/>
  <c r="F95" i="22" a="1"/>
  <c r="E95" i="22" a="1"/>
  <c r="B95" i="22"/>
  <c r="C95" i="22"/>
  <c r="D95" i="22" a="1"/>
  <c r="J96" i="22" a="1"/>
  <c r="I96" i="22" a="1"/>
  <c r="H96" i="22" a="1"/>
  <c r="G96" i="22" a="1"/>
  <c r="F96" i="22" a="1"/>
  <c r="E96" i="22" a="1"/>
  <c r="B96" i="22"/>
  <c r="C96" i="22"/>
  <c r="D96" i="22" a="1"/>
  <c r="C89" i="22"/>
  <c r="C91" i="22"/>
  <c r="B92" i="22"/>
  <c r="C92" i="22"/>
  <c r="D92" i="22" a="1"/>
  <c r="J93" i="22" a="1"/>
  <c r="I93" i="22" a="1"/>
  <c r="H93" i="22" a="1"/>
  <c r="G93" i="22" a="1"/>
  <c r="F93" i="22" a="1"/>
  <c r="E93" i="22" a="1"/>
  <c r="B93" i="22"/>
  <c r="C93" i="22"/>
  <c r="D93" i="22" a="1"/>
  <c r="C90" i="22"/>
  <c r="X82" i="22"/>
  <c r="AD82" i="22"/>
  <c r="AC82" i="22"/>
  <c r="AB82" i="22"/>
  <c r="AA82" i="22"/>
  <c r="Z82" i="22"/>
  <c r="Y82" i="22"/>
  <c r="B82" i="22"/>
  <c r="C82" i="22"/>
  <c r="D82" i="22" a="1"/>
  <c r="E82" i="22" a="1"/>
  <c r="F82" i="22"/>
  <c r="G82" i="22"/>
  <c r="Y81" i="22"/>
  <c r="X81" i="22"/>
  <c r="AD81" i="22"/>
  <c r="AC81" i="22"/>
  <c r="AB81" i="22"/>
  <c r="AA81" i="22"/>
  <c r="Z81" i="22"/>
  <c r="B81" i="22"/>
  <c r="C81" i="22"/>
  <c r="D81" i="22" a="1"/>
  <c r="E81" i="22" a="1"/>
  <c r="F81" i="22"/>
  <c r="G81" i="22"/>
  <c r="X80" i="22"/>
  <c r="AD80" i="22"/>
  <c r="AC80" i="22"/>
  <c r="AB80" i="22"/>
  <c r="AA80" i="22"/>
  <c r="Z80" i="22"/>
  <c r="Y80" i="22"/>
  <c r="B80" i="22"/>
  <c r="C80" i="22"/>
  <c r="D80" i="22" a="1"/>
  <c r="E80" i="22" a="1"/>
  <c r="F80" i="22"/>
  <c r="G80" i="22"/>
  <c r="Y79" i="22"/>
  <c r="AD79" i="22"/>
  <c r="AC79" i="22"/>
  <c r="AB79" i="22"/>
  <c r="AA79" i="22"/>
  <c r="Z79" i="22"/>
  <c r="X79" i="22"/>
  <c r="B79" i="22"/>
  <c r="C79" i="22"/>
  <c r="D79" i="22" a="1"/>
  <c r="E79" i="22" a="1"/>
  <c r="F79" i="22"/>
  <c r="G79" i="22"/>
  <c r="O1176" i="23"/>
  <c r="N1176" i="23"/>
  <c r="P1176" i="23" s="1" a="1"/>
  <c r="Q1176" i="23" s="1"/>
  <c r="N1204" i="23"/>
  <c r="P1204" i="23" s="1" a="1"/>
  <c r="Q1204" i="23" s="1"/>
  <c r="O1204" i="23"/>
  <c r="O1199" i="23"/>
  <c r="N1199" i="23"/>
  <c r="P1199" i="23" s="1" a="1"/>
  <c r="Q1199" i="23" s="1"/>
  <c r="N1201" i="23"/>
  <c r="P1201" i="23" s="1" a="1"/>
  <c r="Q1201" i="23" s="1"/>
  <c r="O1201" i="23"/>
  <c r="O1198" i="23"/>
  <c r="N1198" i="23"/>
  <c r="P1198" i="23" s="1" a="1"/>
  <c r="Q1198" i="23" s="1"/>
  <c r="O1174" i="23"/>
  <c r="N1174" i="23"/>
  <c r="P1174" i="23" s="1" a="1"/>
  <c r="O1175" i="23"/>
  <c r="N1175" i="23"/>
  <c r="P1175" i="23" s="1" a="1"/>
  <c r="Q1175" i="23" s="1"/>
  <c r="N1206" i="23"/>
  <c r="P1206" i="23" s="1" a="1"/>
  <c r="Q1206" i="23" s="1"/>
  <c r="O1206" i="23"/>
  <c r="N1196" i="23"/>
  <c r="P1196" i="23" s="1" a="1"/>
  <c r="Q1196" i="23" s="1"/>
  <c r="O1196" i="23"/>
  <c r="O1200" i="23"/>
  <c r="N1200" i="23"/>
  <c r="P1200" i="23" s="1" a="1"/>
  <c r="Q1200" i="23" s="1"/>
  <c r="N1190" i="23"/>
  <c r="P1190" i="23" s="1" a="1"/>
  <c r="Q1190" i="23" s="1"/>
  <c r="O1190" i="23"/>
  <c r="O1194" i="23"/>
  <c r="N1194" i="23"/>
  <c r="P1194" i="23" s="1" a="1"/>
  <c r="Q1194" i="23" s="1"/>
  <c r="O1177" i="23"/>
  <c r="N1177" i="23"/>
  <c r="P1177" i="23" s="1" a="1"/>
  <c r="Q1177" i="23" s="1"/>
  <c r="N1202" i="23"/>
  <c r="P1202" i="23" s="1" a="1"/>
  <c r="Q1202" i="23" s="1"/>
  <c r="O1202" i="23"/>
  <c r="N1192" i="23"/>
  <c r="P1192" i="23" s="1" a="1"/>
  <c r="Q1192" i="23" s="1"/>
  <c r="O1192" i="23"/>
  <c r="N1178" i="23"/>
  <c r="P1178" i="23" s="1" a="1"/>
  <c r="Q1178" i="23" s="1"/>
  <c r="O1178" i="23"/>
  <c r="N1191" i="23"/>
  <c r="P1191" i="23" s="1" a="1"/>
  <c r="Q1191" i="23" s="1"/>
  <c r="O1191" i="23"/>
  <c r="O1197" i="23"/>
  <c r="N1197" i="23"/>
  <c r="P1197" i="23" s="1" a="1"/>
  <c r="Q1197" i="23" s="1"/>
  <c r="O1189" i="23"/>
  <c r="N1189" i="23"/>
  <c r="P1189" i="23" s="1" a="1"/>
  <c r="Q1189" i="23" s="1"/>
  <c r="O1188" i="23"/>
  <c r="N1188" i="23"/>
  <c r="P1188" i="23" s="1" a="1"/>
  <c r="Q1188" i="23" s="1"/>
  <c r="N1195" i="23"/>
  <c r="P1195" i="23" s="1" a="1"/>
  <c r="Q1195" i="23" s="1"/>
  <c r="O1195" i="23"/>
  <c r="N1203" i="23"/>
  <c r="P1203" i="23" s="1" a="1"/>
  <c r="Q1203" i="23" s="1"/>
  <c r="O1203" i="23"/>
  <c r="O1209" i="23"/>
  <c r="N1209" i="23"/>
  <c r="P1209" i="23" s="1" a="1"/>
  <c r="Q1209" i="23" s="1"/>
  <c r="O1193" i="23"/>
  <c r="N1193" i="23"/>
  <c r="P1193" i="23" s="1" a="1"/>
  <c r="Q1193" i="23" s="1"/>
  <c r="N1207" i="23"/>
  <c r="P1207" i="23" s="1" a="1"/>
  <c r="Q1207" i="23" s="1"/>
  <c r="O1207" i="23"/>
  <c r="O1208" i="23"/>
  <c r="N1208" i="23"/>
  <c r="P1208" i="23" s="1" a="1"/>
  <c r="Q1208" i="23" s="1"/>
  <c r="N1205" i="23"/>
  <c r="P1205" i="23" s="1" a="1"/>
  <c r="Q1205" i="23" s="1"/>
  <c r="O1205" i="23"/>
  <c r="O1012" i="23"/>
  <c r="N1012" i="23"/>
  <c r="P1012" i="23" s="1" a="1"/>
  <c r="Q1012" i="23" s="1"/>
  <c r="O1011" i="23"/>
  <c r="N1011" i="23"/>
  <c r="P1011" i="23" s="1" a="1"/>
  <c r="Q1011" i="23" s="1"/>
  <c r="N1010" i="23"/>
  <c r="P1010" i="23" s="1" a="1"/>
  <c r="Q1010" i="23" s="1"/>
  <c r="O1010" i="23"/>
  <c r="O1008" i="23"/>
  <c r="N1008" i="23"/>
  <c r="P1008" i="23" s="1" a="1"/>
  <c r="Q1008" i="23" s="1"/>
  <c r="O1007" i="23"/>
  <c r="N1007" i="23"/>
  <c r="P1007" i="23" s="1" a="1"/>
  <c r="Q1007" i="23" s="1"/>
  <c r="O1006" i="23"/>
  <c r="N1006" i="23"/>
  <c r="P1006" i="23" s="1" a="1"/>
  <c r="Q1006" i="23" s="1"/>
  <c r="O1005" i="23"/>
  <c r="N1005" i="23"/>
  <c r="P1005" i="23" s="1" a="1"/>
  <c r="Q1005" i="23" s="1"/>
  <c r="N1009" i="23"/>
  <c r="P1009" i="23" s="1" a="1"/>
  <c r="Q1009" i="23" s="1"/>
  <c r="O1009" i="23"/>
  <c r="O975" i="23"/>
  <c r="N975" i="23"/>
  <c r="P975" i="23" s="1" a="1"/>
  <c r="Q975" i="23" s="1"/>
  <c r="O938" i="23"/>
  <c r="N938" i="23"/>
  <c r="P938" i="23" s="1" a="1"/>
  <c r="Q938" i="23" s="1"/>
  <c r="O939" i="23"/>
  <c r="N939" i="23"/>
  <c r="P939" i="23" s="1" a="1"/>
  <c r="Q939" i="23" s="1"/>
  <c r="O974" i="23"/>
  <c r="N974" i="23"/>
  <c r="P974" i="23" s="1" a="1"/>
  <c r="Q974" i="23" s="1"/>
  <c r="O957" i="23"/>
  <c r="N957" i="23"/>
  <c r="P957" i="23" s="1" a="1"/>
  <c r="Q957" i="23" s="1"/>
  <c r="O940" i="23"/>
  <c r="N940" i="23"/>
  <c r="P940" i="23" s="1" a="1"/>
  <c r="Q940" i="23" s="1"/>
  <c r="O973" i="23"/>
  <c r="N973" i="23"/>
  <c r="P973" i="23" s="1" a="1"/>
  <c r="Q973" i="23" s="1"/>
  <c r="O1030" i="23"/>
  <c r="N1030" i="23"/>
  <c r="P1030" i="23" s="1" a="1"/>
  <c r="Q1030" i="23" s="1"/>
  <c r="O1029" i="23"/>
  <c r="N1029" i="23"/>
  <c r="P1029" i="23" s="1" a="1"/>
  <c r="Q1029" i="23" s="1"/>
  <c r="O1028" i="23"/>
  <c r="N1028" i="23"/>
  <c r="P1028" i="23" s="1" a="1"/>
  <c r="Q1028" i="23" s="1"/>
  <c r="O1027" i="23"/>
  <c r="N1027" i="23"/>
  <c r="P1027" i="23" s="1" a="1"/>
  <c r="Q1027" i="23" s="1"/>
  <c r="O1026" i="23"/>
  <c r="N1026" i="23"/>
  <c r="P1026" i="23" s="1" a="1"/>
  <c r="Q1026" i="23" s="1"/>
  <c r="O1025" i="23"/>
  <c r="N1025" i="23"/>
  <c r="P1025" i="23" s="1" a="1"/>
  <c r="Q1025" i="23" s="1"/>
  <c r="O1024" i="23"/>
  <c r="N1024" i="23"/>
  <c r="P1024" i="23" s="1" a="1"/>
  <c r="Q1024" i="23" s="1"/>
  <c r="O1023" i="23"/>
  <c r="N1023" i="23"/>
  <c r="P1023" i="23" s="1" a="1"/>
  <c r="Q1023" i="23" s="1"/>
  <c r="O1022" i="23"/>
  <c r="N1022" i="23"/>
  <c r="P1022" i="23" s="1" a="1"/>
  <c r="Q1022" i="23" s="1"/>
  <c r="O1021" i="23"/>
  <c r="N1021" i="23"/>
  <c r="P1021" i="23" s="1" a="1"/>
  <c r="Q1021" i="23" s="1"/>
  <c r="O1020" i="23"/>
  <c r="N1020" i="23"/>
  <c r="P1020" i="23" s="1" a="1"/>
  <c r="Q1020" i="23" s="1"/>
  <c r="O1019" i="23"/>
  <c r="N1019" i="23"/>
  <c r="P1019" i="23" s="1" a="1"/>
  <c r="Q1019" i="23" s="1"/>
  <c r="N1018" i="23"/>
  <c r="P1018" i="23" s="1" a="1"/>
  <c r="Q1018" i="23" s="1"/>
  <c r="O1018" i="23"/>
  <c r="O1017" i="23"/>
  <c r="N1017" i="23"/>
  <c r="P1017" i="23" s="1" a="1"/>
  <c r="Q1017" i="23" s="1"/>
  <c r="O1016" i="23"/>
  <c r="N1016" i="23"/>
  <c r="P1016" i="23" s="1" a="1"/>
  <c r="Q1016" i="23" s="1"/>
  <c r="O1015" i="23"/>
  <c r="N1015" i="23"/>
  <c r="P1015" i="23" s="1" a="1"/>
  <c r="Q1015" i="23" s="1"/>
  <c r="O1014" i="23"/>
  <c r="N1014" i="23"/>
  <c r="P1014" i="23" s="1" a="1"/>
  <c r="Q1014" i="23" s="1"/>
  <c r="N1013" i="23"/>
  <c r="P1013" i="23" s="1" a="1"/>
  <c r="Q1013" i="23" s="1"/>
  <c r="O1013" i="23"/>
  <c r="O962" i="23"/>
  <c r="N962" i="23"/>
  <c r="P962" i="23" s="1" a="1"/>
  <c r="Q962" i="23" s="1"/>
  <c r="O908" i="23"/>
  <c r="N908" i="23"/>
  <c r="P908" i="23" s="1" a="1"/>
  <c r="O1004" i="23"/>
  <c r="N1004" i="23"/>
  <c r="P1004" i="23" s="1" a="1"/>
  <c r="Q1004" i="23" s="1"/>
  <c r="N909" i="23"/>
  <c r="P909" i="23" s="1" a="1"/>
  <c r="Q909" i="23" s="1"/>
  <c r="O909" i="23"/>
  <c r="O1003" i="23"/>
  <c r="N1003" i="23"/>
  <c r="P1003" i="23" s="1" a="1"/>
  <c r="Q1003" i="23" s="1"/>
  <c r="O941" i="23"/>
  <c r="N941" i="23"/>
  <c r="P941" i="23" s="1" a="1"/>
  <c r="Q941" i="23" s="1"/>
  <c r="O1002" i="23"/>
  <c r="N1002" i="23"/>
  <c r="P1002" i="23" s="1" a="1"/>
  <c r="Q1002" i="23" s="1"/>
  <c r="O972" i="23"/>
  <c r="N972" i="23"/>
  <c r="P972" i="23" s="1" a="1"/>
  <c r="Q972" i="23" s="1"/>
  <c r="N910" i="23"/>
  <c r="P910" i="23" s="1" a="1"/>
  <c r="Q910" i="23" s="1"/>
  <c r="O910" i="23"/>
  <c r="O951" i="23"/>
  <c r="N951" i="23"/>
  <c r="P951" i="23" s="1" a="1"/>
  <c r="Q951" i="23" s="1"/>
  <c r="O1001" i="23"/>
  <c r="N1001" i="23"/>
  <c r="P1001" i="23" s="1" a="1"/>
  <c r="Q1001" i="23" s="1"/>
  <c r="N911" i="23"/>
  <c r="P911" i="23" s="1" a="1"/>
  <c r="Q911" i="23" s="1"/>
  <c r="O911" i="23"/>
  <c r="O942" i="23"/>
  <c r="N942" i="23"/>
  <c r="P942" i="23" s="1" a="1"/>
  <c r="Q942" i="23" s="1"/>
  <c r="O1000" i="23"/>
  <c r="N1000" i="23"/>
  <c r="P1000" i="23" s="1" a="1"/>
  <c r="Q1000" i="23" s="1"/>
  <c r="O912" i="23"/>
  <c r="N912" i="23"/>
  <c r="P912" i="23" s="1" a="1"/>
  <c r="Q912" i="23" s="1"/>
  <c r="O913" i="23"/>
  <c r="N913" i="23"/>
  <c r="P913" i="23" s="1" a="1"/>
  <c r="Q913" i="23" s="1"/>
  <c r="O999" i="23"/>
  <c r="N999" i="23"/>
  <c r="P999" i="23" s="1" a="1"/>
  <c r="Q999" i="23" s="1"/>
  <c r="O958" i="23"/>
  <c r="N958" i="23"/>
  <c r="P958" i="23" s="1" a="1"/>
  <c r="Q958" i="23" s="1"/>
  <c r="N914" i="23"/>
  <c r="P914" i="23" s="1" a="1"/>
  <c r="Q914" i="23" s="1"/>
  <c r="O914" i="23"/>
  <c r="O971" i="23"/>
  <c r="N971" i="23"/>
  <c r="P971" i="23" s="1" a="1"/>
  <c r="Q971" i="23" s="1"/>
  <c r="O961" i="23"/>
  <c r="N961" i="23"/>
  <c r="P961" i="23" s="1" a="1"/>
  <c r="Q961" i="23" s="1"/>
  <c r="O915" i="23"/>
  <c r="N915" i="23"/>
  <c r="P915" i="23" s="1" a="1"/>
  <c r="Q915" i="23" s="1"/>
  <c r="O998" i="23"/>
  <c r="N998" i="23"/>
  <c r="P998" i="23" s="1" a="1"/>
  <c r="Q998" i="23" s="1"/>
  <c r="O997" i="23"/>
  <c r="N997" i="23"/>
  <c r="P997" i="23" s="1" a="1"/>
  <c r="Q997" i="23" s="1"/>
  <c r="O970" i="23"/>
  <c r="N970" i="23"/>
  <c r="P970" i="23" s="1" a="1"/>
  <c r="Q970" i="23" s="1"/>
  <c r="O916" i="23"/>
  <c r="N916" i="23"/>
  <c r="P916" i="23" s="1" a="1"/>
  <c r="Q916" i="23" s="1"/>
  <c r="O917" i="23"/>
  <c r="N917" i="23"/>
  <c r="P917" i="23" s="1" a="1"/>
  <c r="Q917" i="23" s="1"/>
  <c r="O996" i="23"/>
  <c r="N996" i="23"/>
  <c r="P996" i="23" s="1" a="1"/>
  <c r="Q996" i="23" s="1"/>
  <c r="O943" i="23"/>
  <c r="N943" i="23"/>
  <c r="P943" i="23" s="1" a="1"/>
  <c r="Q943" i="23" s="1"/>
  <c r="O995" i="23"/>
  <c r="N995" i="23"/>
  <c r="P995" i="23" s="1" a="1"/>
  <c r="Q995" i="23" s="1"/>
  <c r="O944" i="23"/>
  <c r="N944" i="23"/>
  <c r="P944" i="23" s="1" a="1"/>
  <c r="Q944" i="23" s="1"/>
  <c r="O918" i="23"/>
  <c r="N918" i="23"/>
  <c r="P918" i="23" s="1" a="1"/>
  <c r="Q918" i="23" s="1"/>
  <c r="O969" i="23"/>
  <c r="N969" i="23"/>
  <c r="P969" i="23" s="1" a="1"/>
  <c r="Q969" i="23" s="1"/>
  <c r="O994" i="23"/>
  <c r="N994" i="23"/>
  <c r="P994" i="23" s="1" a="1"/>
  <c r="Q994" i="23" s="1"/>
  <c r="O919" i="23"/>
  <c r="N919" i="23"/>
  <c r="P919" i="23" s="1" a="1"/>
  <c r="Q919" i="23" s="1"/>
  <c r="O952" i="23"/>
  <c r="N952" i="23"/>
  <c r="P952" i="23" s="1" a="1"/>
  <c r="Q952" i="23" s="1"/>
  <c r="O920" i="23"/>
  <c r="N920" i="23"/>
  <c r="P920" i="23" s="1" a="1"/>
  <c r="Q920" i="23" s="1"/>
  <c r="O993" i="23"/>
  <c r="N993" i="23"/>
  <c r="P993" i="23" s="1" a="1"/>
  <c r="Q993" i="23" s="1"/>
  <c r="O955" i="23"/>
  <c r="N955" i="23"/>
  <c r="P955" i="23" s="1" a="1"/>
  <c r="Q955" i="23" s="1"/>
  <c r="O921" i="23"/>
  <c r="N921" i="23"/>
  <c r="P921" i="23" s="1" a="1"/>
  <c r="Q921" i="23" s="1"/>
  <c r="O992" i="23"/>
  <c r="N992" i="23"/>
  <c r="P992" i="23" s="1" a="1"/>
  <c r="Q992" i="23" s="1"/>
  <c r="O991" i="23"/>
  <c r="N991" i="23"/>
  <c r="P991" i="23" s="1" a="1"/>
  <c r="Q991" i="23" s="1"/>
  <c r="O945" i="23"/>
  <c r="N945" i="23"/>
  <c r="P945" i="23" s="1" a="1"/>
  <c r="Q945" i="23" s="1"/>
  <c r="O922" i="23"/>
  <c r="N922" i="23"/>
  <c r="P922" i="23" s="1" a="1"/>
  <c r="Q922" i="23" s="1"/>
  <c r="O923" i="23"/>
  <c r="N923" i="23"/>
  <c r="P923" i="23" s="1" a="1"/>
  <c r="Q923" i="23" s="1"/>
  <c r="O990" i="23"/>
  <c r="N990" i="23"/>
  <c r="P990" i="23" s="1" a="1"/>
  <c r="Q990" i="23" s="1"/>
  <c r="O968" i="23"/>
  <c r="N968" i="23"/>
  <c r="P968" i="23" s="1" a="1"/>
  <c r="Q968" i="23" s="1"/>
  <c r="O989" i="23"/>
  <c r="N989" i="23"/>
  <c r="P989" i="23" s="1" a="1"/>
  <c r="Q989" i="23" s="1"/>
  <c r="O946" i="23"/>
  <c r="N946" i="23"/>
  <c r="P946" i="23" s="1" a="1"/>
  <c r="Q946" i="23" s="1"/>
  <c r="O924" i="23"/>
  <c r="N924" i="23"/>
  <c r="P924" i="23" s="1" a="1"/>
  <c r="Q924" i="23" s="1"/>
  <c r="O960" i="23"/>
  <c r="N960" i="23"/>
  <c r="P960" i="23" s="1" a="1"/>
  <c r="Q960" i="23" s="1"/>
  <c r="O988" i="23"/>
  <c r="N988" i="23"/>
  <c r="P988" i="23" s="1" a="1"/>
  <c r="Q988" i="23" s="1"/>
  <c r="O925" i="23"/>
  <c r="N925" i="23"/>
  <c r="P925" i="23" s="1" a="1"/>
  <c r="Q925" i="23" s="1"/>
  <c r="O987" i="23"/>
  <c r="N987" i="23"/>
  <c r="P987" i="23" s="1" a="1"/>
  <c r="Q987" i="23" s="1"/>
  <c r="O967" i="23"/>
  <c r="N967" i="23"/>
  <c r="P967" i="23" s="1" a="1"/>
  <c r="Q967" i="23" s="1"/>
  <c r="O926" i="23"/>
  <c r="N926" i="23"/>
  <c r="P926" i="23" s="1" a="1"/>
  <c r="Q926" i="23" s="1"/>
  <c r="O927" i="23"/>
  <c r="N927" i="23"/>
  <c r="P927" i="23" s="1" a="1"/>
  <c r="Q927" i="23" s="1"/>
  <c r="O953" i="23"/>
  <c r="N953" i="23"/>
  <c r="P953" i="23" s="1" a="1"/>
  <c r="Q953" i="23" s="1"/>
  <c r="O986" i="23"/>
  <c r="N986" i="23"/>
  <c r="P986" i="23" s="1" a="1"/>
  <c r="Q986" i="23" s="1"/>
  <c r="O928" i="23"/>
  <c r="N928" i="23"/>
  <c r="P928" i="23" s="1" a="1"/>
  <c r="Q928" i="23" s="1"/>
  <c r="O985" i="23"/>
  <c r="N985" i="23"/>
  <c r="P985" i="23" s="1" a="1"/>
  <c r="Q985" i="23" s="1"/>
  <c r="O966" i="23"/>
  <c r="N966" i="23"/>
  <c r="P966" i="23" s="1" a="1"/>
  <c r="Q966" i="23" s="1"/>
  <c r="O929" i="23"/>
  <c r="N929" i="23"/>
  <c r="P929" i="23" s="1" a="1"/>
  <c r="Q929" i="23" s="1"/>
  <c r="O947" i="23"/>
  <c r="N947" i="23"/>
  <c r="P947" i="23" s="1" a="1"/>
  <c r="Q947" i="23" s="1"/>
  <c r="O984" i="23"/>
  <c r="N984" i="23"/>
  <c r="P984" i="23" s="1" a="1"/>
  <c r="Q984" i="23" s="1"/>
  <c r="O956" i="23"/>
  <c r="N956" i="23"/>
  <c r="P956" i="23" s="1" a="1"/>
  <c r="Q956" i="23" s="1"/>
  <c r="O930" i="23"/>
  <c r="N930" i="23"/>
  <c r="P930" i="23" s="1" a="1"/>
  <c r="Q930" i="23" s="1"/>
  <c r="O983" i="23"/>
  <c r="N983" i="23"/>
  <c r="P983" i="23" s="1" a="1"/>
  <c r="Q983" i="23" s="1"/>
  <c r="O965" i="23"/>
  <c r="N965" i="23"/>
  <c r="P965" i="23" s="1" a="1"/>
  <c r="Q965" i="23" s="1"/>
  <c r="O982" i="23"/>
  <c r="N982" i="23"/>
  <c r="P982" i="23" s="1" a="1"/>
  <c r="Q982" i="23" s="1"/>
  <c r="O931" i="23"/>
  <c r="N931" i="23"/>
  <c r="P931" i="23" s="1" a="1"/>
  <c r="Q931" i="23" s="1"/>
  <c r="O981" i="23"/>
  <c r="N981" i="23"/>
  <c r="P981" i="23" s="1" a="1"/>
  <c r="Q981" i="23" s="1"/>
  <c r="O932" i="23"/>
  <c r="N932" i="23"/>
  <c r="P932" i="23" s="1" a="1"/>
  <c r="Q932" i="23" s="1"/>
  <c r="O948" i="23"/>
  <c r="N948" i="23"/>
  <c r="P948" i="23" s="1" a="1"/>
  <c r="Q948" i="23" s="1"/>
  <c r="O949" i="23"/>
  <c r="N949" i="23"/>
  <c r="P949" i="23" s="1" a="1"/>
  <c r="Q949" i="23" s="1"/>
  <c r="O933" i="23"/>
  <c r="N933" i="23"/>
  <c r="P933" i="23" s="1" a="1"/>
  <c r="Q933" i="23" s="1"/>
  <c r="O980" i="23"/>
  <c r="N980" i="23"/>
  <c r="P980" i="23" s="1" a="1"/>
  <c r="Q980" i="23" s="1"/>
  <c r="O934" i="23"/>
  <c r="N934" i="23"/>
  <c r="P934" i="23" s="1" a="1"/>
  <c r="Q934" i="23" s="1"/>
  <c r="O959" i="23"/>
  <c r="N959" i="23"/>
  <c r="P959" i="23" s="1" a="1"/>
  <c r="Q959" i="23" s="1"/>
  <c r="O979" i="23"/>
  <c r="N979" i="23"/>
  <c r="P979" i="23" s="1" a="1"/>
  <c r="Q979" i="23" s="1"/>
  <c r="O935" i="23"/>
  <c r="N935" i="23"/>
  <c r="P935" i="23" s="1" a="1"/>
  <c r="Q935" i="23" s="1"/>
  <c r="O978" i="23"/>
  <c r="N978" i="23"/>
  <c r="P978" i="23" s="1" a="1"/>
  <c r="Q978" i="23" s="1"/>
  <c r="O964" i="23"/>
  <c r="N964" i="23"/>
  <c r="P964" i="23" s="1" a="1"/>
  <c r="Q964" i="23" s="1"/>
  <c r="O977" i="23"/>
  <c r="N977" i="23"/>
  <c r="P977" i="23" s="1" a="1"/>
  <c r="Q977" i="23" s="1"/>
  <c r="O954" i="23"/>
  <c r="N954" i="23"/>
  <c r="P954" i="23" s="1" a="1"/>
  <c r="Q954" i="23" s="1"/>
  <c r="O936" i="23"/>
  <c r="N936" i="23"/>
  <c r="P936" i="23" s="1" a="1"/>
  <c r="Q936" i="23" s="1"/>
  <c r="O937" i="23"/>
  <c r="N937" i="23"/>
  <c r="P937" i="23" s="1" a="1"/>
  <c r="Q937" i="23" s="1"/>
  <c r="O963" i="23"/>
  <c r="N963" i="23"/>
  <c r="P963" i="23" s="1" a="1"/>
  <c r="Q963" i="23" s="1"/>
  <c r="O976" i="23"/>
  <c r="N976" i="23"/>
  <c r="P976" i="23" s="1" a="1"/>
  <c r="Q976" i="23" s="1"/>
  <c r="O950" i="23"/>
  <c r="N950" i="23"/>
  <c r="P950" i="23" s="1" a="1"/>
  <c r="Q950" i="23" s="1"/>
  <c r="N898" i="23"/>
  <c r="P898" i="23" s="1" a="1"/>
  <c r="Q898" i="23" s="1"/>
  <c r="O898" i="23"/>
  <c r="N827" i="23"/>
  <c r="P827" i="23" s="1" a="1"/>
  <c r="Q827" i="23" s="1"/>
  <c r="O827" i="23"/>
  <c r="N862" i="23"/>
  <c r="P862" i="23" s="1" a="1"/>
  <c r="Q862" i="23" s="1"/>
  <c r="O862" i="23"/>
  <c r="O828" i="23"/>
  <c r="N828" i="23"/>
  <c r="P828" i="23" s="1" a="1"/>
  <c r="Q828" i="23" s="1"/>
  <c r="O851" i="23"/>
  <c r="N851" i="23"/>
  <c r="P851" i="23" s="1" a="1"/>
  <c r="Q851" i="23" s="1"/>
  <c r="N897" i="23"/>
  <c r="P897" i="23" s="1" a="1"/>
  <c r="Q897" i="23" s="1"/>
  <c r="O897" i="23"/>
  <c r="O896" i="23"/>
  <c r="N896" i="23"/>
  <c r="P896" i="23" s="1" a="1"/>
  <c r="Q896" i="23" s="1"/>
  <c r="O829" i="23"/>
  <c r="N829" i="23"/>
  <c r="P829" i="23" s="1" a="1"/>
  <c r="Q829" i="23" s="1"/>
  <c r="N810" i="23"/>
  <c r="P810" i="23" s="1" a="1"/>
  <c r="Q810" i="23" s="1"/>
  <c r="O810" i="23"/>
  <c r="N872" i="23"/>
  <c r="P872" i="23" s="1" a="1"/>
  <c r="Q872" i="23" s="1"/>
  <c r="O872" i="23"/>
  <c r="N895" i="23"/>
  <c r="P895" i="23" s="1" a="1"/>
  <c r="Q895" i="23" s="1"/>
  <c r="O895" i="23"/>
  <c r="N874" i="23"/>
  <c r="P874" i="23" s="1" a="1"/>
  <c r="Q874" i="23" s="1"/>
  <c r="O874" i="23"/>
  <c r="O830" i="23"/>
  <c r="N830" i="23"/>
  <c r="P830" i="23" s="1" a="1"/>
  <c r="Q830" i="23" s="1"/>
  <c r="N894" i="23"/>
  <c r="P894" i="23" s="1" a="1"/>
  <c r="Q894" i="23" s="1"/>
  <c r="O894" i="23"/>
  <c r="O861" i="23"/>
  <c r="N861" i="23"/>
  <c r="P861" i="23" s="1" a="1"/>
  <c r="Q861" i="23" s="1"/>
  <c r="O831" i="23"/>
  <c r="N831" i="23"/>
  <c r="P831" i="23" s="1" a="1"/>
  <c r="Q831" i="23" s="1"/>
  <c r="O852" i="23"/>
  <c r="N852" i="23"/>
  <c r="P852" i="23" s="1" a="1"/>
  <c r="Q852" i="23" s="1"/>
  <c r="O893" i="23"/>
  <c r="N893" i="23"/>
  <c r="P893" i="23" s="1" a="1"/>
  <c r="Q893" i="23" s="1"/>
  <c r="N832" i="23"/>
  <c r="P832" i="23" s="1" a="1"/>
  <c r="Q832" i="23" s="1"/>
  <c r="O832" i="23"/>
  <c r="N833" i="23"/>
  <c r="P833" i="23" s="1" a="1"/>
  <c r="Q833" i="23" s="1"/>
  <c r="O833" i="23"/>
  <c r="N873" i="23"/>
  <c r="P873" i="23" s="1" a="1"/>
  <c r="Q873" i="23" s="1"/>
  <c r="O873" i="23"/>
  <c r="N892" i="23"/>
  <c r="P892" i="23" s="1" a="1"/>
  <c r="Q892" i="23" s="1"/>
  <c r="O892" i="23"/>
  <c r="O834" i="23"/>
  <c r="N834" i="23"/>
  <c r="P834" i="23" s="1" a="1"/>
  <c r="Q834" i="23" s="1"/>
  <c r="N853" i="23"/>
  <c r="P853" i="23" s="1" a="1"/>
  <c r="Q853" i="23" s="1"/>
  <c r="O853" i="23"/>
  <c r="N891" i="23"/>
  <c r="P891" i="23" s="1" a="1"/>
  <c r="Q891" i="23" s="1"/>
  <c r="O891" i="23"/>
  <c r="N871" i="23"/>
  <c r="P871" i="23" s="1" a="1"/>
  <c r="Q871" i="23" s="1"/>
  <c r="O871" i="23"/>
  <c r="O835" i="23"/>
  <c r="N835" i="23"/>
  <c r="P835" i="23" s="1" a="1"/>
  <c r="Q835" i="23" s="1"/>
  <c r="N890" i="23"/>
  <c r="P890" i="23" s="1" a="1"/>
  <c r="Q890" i="23" s="1"/>
  <c r="O890" i="23"/>
  <c r="N865" i="23"/>
  <c r="P865" i="23" s="1" a="1"/>
  <c r="Q865" i="23" s="1"/>
  <c r="O865" i="23"/>
  <c r="N889" i="23"/>
  <c r="P889" i="23" s="1" a="1"/>
  <c r="Q889" i="23" s="1"/>
  <c r="O889" i="23"/>
  <c r="N836" i="23"/>
  <c r="P836" i="23" s="1" a="1"/>
  <c r="Q836" i="23" s="1"/>
  <c r="O836" i="23"/>
  <c r="N888" i="23"/>
  <c r="P888" i="23" s="1" a="1"/>
  <c r="Q888" i="23" s="1"/>
  <c r="O888" i="23"/>
  <c r="O854" i="23"/>
  <c r="N854" i="23"/>
  <c r="P854" i="23" s="1" a="1"/>
  <c r="Q854" i="23" s="1"/>
  <c r="N837" i="23"/>
  <c r="P837" i="23" s="1" a="1"/>
  <c r="Q837" i="23" s="1"/>
  <c r="O837" i="23"/>
  <c r="N838" i="23"/>
  <c r="P838" i="23" s="1" a="1"/>
  <c r="Q838" i="23" s="1"/>
  <c r="O838" i="23"/>
  <c r="O802" i="23"/>
  <c r="N802" i="23"/>
  <c r="P802" i="23" s="1" a="1"/>
  <c r="N887" i="23"/>
  <c r="P887" i="23" s="1" a="1"/>
  <c r="Q887" i="23" s="1"/>
  <c r="O887" i="23"/>
  <c r="O803" i="23"/>
  <c r="N803" i="23"/>
  <c r="P803" i="23" s="1" a="1"/>
  <c r="Q803" i="23" s="1"/>
  <c r="O804" i="23"/>
  <c r="N804" i="23"/>
  <c r="P804" i="23" s="1" a="1"/>
  <c r="Q804" i="23" s="1"/>
  <c r="O859" i="23"/>
  <c r="N859" i="23"/>
  <c r="P859" i="23" s="1" a="1"/>
  <c r="Q859" i="23" s="1"/>
  <c r="N870" i="23"/>
  <c r="P870" i="23" s="1" a="1"/>
  <c r="Q870" i="23" s="1"/>
  <c r="O870" i="23"/>
  <c r="N805" i="23"/>
  <c r="P805" i="23" s="1" a="1"/>
  <c r="Q805" i="23" s="1"/>
  <c r="O805" i="23"/>
  <c r="N839" i="23"/>
  <c r="P839" i="23" s="1" a="1"/>
  <c r="Q839" i="23" s="1"/>
  <c r="O839" i="23"/>
  <c r="N824" i="23"/>
  <c r="P824" i="23" s="1" a="1"/>
  <c r="Q824" i="23" s="1"/>
  <c r="O824" i="23"/>
  <c r="O886" i="23"/>
  <c r="N886" i="23"/>
  <c r="P886" i="23" s="1" a="1"/>
  <c r="Q886" i="23" s="1"/>
  <c r="O806" i="23"/>
  <c r="N806" i="23"/>
  <c r="P806" i="23" s="1" a="1"/>
  <c r="Q806" i="23" s="1"/>
  <c r="N885" i="23"/>
  <c r="P885" i="23" s="1" a="1"/>
  <c r="Q885" i="23" s="1"/>
  <c r="O885" i="23"/>
  <c r="N840" i="23"/>
  <c r="P840" i="23" s="1" a="1"/>
  <c r="Q840" i="23" s="1"/>
  <c r="O840" i="23"/>
  <c r="O807" i="23"/>
  <c r="N807" i="23"/>
  <c r="P807" i="23" s="1" a="1"/>
  <c r="Q807" i="23" s="1"/>
  <c r="N855" i="23"/>
  <c r="P855" i="23" s="1" a="1"/>
  <c r="Q855" i="23" s="1"/>
  <c r="O855" i="23"/>
  <c r="N808" i="23"/>
  <c r="P808" i="23" s="1" a="1"/>
  <c r="Q808" i="23" s="1"/>
  <c r="O808" i="23"/>
  <c r="O841" i="23"/>
  <c r="N841" i="23"/>
  <c r="P841" i="23" s="1" a="1"/>
  <c r="Q841" i="23" s="1"/>
  <c r="O884" i="23"/>
  <c r="N884" i="23"/>
  <c r="P884" i="23" s="1" a="1"/>
  <c r="Q884" i="23" s="1"/>
  <c r="N869" i="23"/>
  <c r="P869" i="23" s="1" a="1"/>
  <c r="Q869" i="23" s="1"/>
  <c r="O869" i="23"/>
  <c r="O842" i="23"/>
  <c r="N842" i="23"/>
  <c r="P842" i="23" s="1" a="1"/>
  <c r="Q842" i="23" s="1"/>
  <c r="O809" i="23"/>
  <c r="N809" i="23"/>
  <c r="P809" i="23" s="1" a="1"/>
  <c r="Q809" i="23" s="1"/>
  <c r="O883" i="23"/>
  <c r="N883" i="23"/>
  <c r="P883" i="23" s="1" a="1"/>
  <c r="Q883" i="23" s="1"/>
  <c r="N863" i="23"/>
  <c r="P863" i="23" s="1" a="1"/>
  <c r="Q863" i="23" s="1"/>
  <c r="O863" i="23"/>
  <c r="O882" i="23"/>
  <c r="N882" i="23"/>
  <c r="P882" i="23" s="1" a="1"/>
  <c r="Q882" i="23" s="1"/>
  <c r="O843" i="23"/>
  <c r="N843" i="23"/>
  <c r="P843" i="23" s="1" a="1"/>
  <c r="Q843" i="23" s="1"/>
  <c r="N811" i="23"/>
  <c r="P811" i="23" s="1" a="1"/>
  <c r="Q811" i="23" s="1"/>
  <c r="O811" i="23"/>
  <c r="N812" i="23"/>
  <c r="P812" i="23" s="1" a="1"/>
  <c r="Q812" i="23" s="1"/>
  <c r="O812" i="23"/>
  <c r="N864" i="23"/>
  <c r="P864" i="23" s="1" a="1"/>
  <c r="Q864" i="23" s="1"/>
  <c r="O864" i="23"/>
  <c r="O881" i="23"/>
  <c r="N881" i="23"/>
  <c r="P881" i="23" s="1" a="1"/>
  <c r="Q881" i="23" s="1"/>
  <c r="N868" i="23"/>
  <c r="P868" i="23" s="1" a="1"/>
  <c r="Q868" i="23" s="1"/>
  <c r="O868" i="23"/>
  <c r="N813" i="23"/>
  <c r="P813" i="23" s="1" a="1"/>
  <c r="Q813" i="23" s="1"/>
  <c r="O813" i="23"/>
  <c r="O844" i="23"/>
  <c r="N844" i="23"/>
  <c r="P844" i="23" s="1" a="1"/>
  <c r="Q844" i="23" s="1"/>
  <c r="O845" i="23"/>
  <c r="N845" i="23"/>
  <c r="P845" i="23" s="1" a="1"/>
  <c r="Q845" i="23" s="1"/>
  <c r="N856" i="23"/>
  <c r="P856" i="23" s="1" a="1"/>
  <c r="Q856" i="23" s="1"/>
  <c r="O856" i="23"/>
  <c r="N814" i="23"/>
  <c r="P814" i="23" s="1" a="1"/>
  <c r="Q814" i="23" s="1"/>
  <c r="O814" i="23"/>
  <c r="O880" i="23"/>
  <c r="N880" i="23"/>
  <c r="P880" i="23" s="1" a="1"/>
  <c r="Q880" i="23" s="1"/>
  <c r="O867" i="23"/>
  <c r="N867" i="23"/>
  <c r="P867" i="23" s="1" a="1"/>
  <c r="Q867" i="23" s="1"/>
  <c r="N815" i="23"/>
  <c r="P815" i="23" s="1" a="1"/>
  <c r="Q815" i="23" s="1"/>
  <c r="O815" i="23"/>
  <c r="O846" i="23"/>
  <c r="N846" i="23"/>
  <c r="P846" i="23" s="1" a="1"/>
  <c r="Q846" i="23" s="1"/>
  <c r="N879" i="23"/>
  <c r="P879" i="23" s="1" a="1"/>
  <c r="Q879" i="23" s="1"/>
  <c r="O879" i="23"/>
  <c r="O816" i="23"/>
  <c r="N816" i="23"/>
  <c r="P816" i="23" s="1" a="1"/>
  <c r="Q816" i="23" s="1"/>
  <c r="O817" i="23"/>
  <c r="N817" i="23"/>
  <c r="P817" i="23" s="1" a="1"/>
  <c r="Q817" i="23" s="1"/>
  <c r="O847" i="23"/>
  <c r="N847" i="23"/>
  <c r="P847" i="23" s="1" a="1"/>
  <c r="Q847" i="23" s="1"/>
  <c r="N860" i="23"/>
  <c r="P860" i="23" s="1" a="1"/>
  <c r="Q860" i="23" s="1"/>
  <c r="O860" i="23"/>
  <c r="O878" i="23"/>
  <c r="N878" i="23"/>
  <c r="P878" i="23" s="1" a="1"/>
  <c r="Q878" i="23" s="1"/>
  <c r="O907" i="23"/>
  <c r="N907" i="23"/>
  <c r="P907" i="23" s="1" a="1"/>
  <c r="Q907" i="23" s="1"/>
  <c r="N818" i="23"/>
  <c r="P818" i="23" s="1" a="1"/>
  <c r="Q818" i="23" s="1"/>
  <c r="O818" i="23"/>
  <c r="O848" i="23"/>
  <c r="N848" i="23"/>
  <c r="P848" i="23" s="1" a="1"/>
  <c r="Q848" i="23" s="1"/>
  <c r="O906" i="23"/>
  <c r="N906" i="23"/>
  <c r="P906" i="23" s="1" a="1"/>
  <c r="Q906" i="23" s="1"/>
  <c r="N819" i="23"/>
  <c r="P819" i="23" s="1" a="1"/>
  <c r="Q819" i="23" s="1"/>
  <c r="O819" i="23"/>
  <c r="N857" i="23"/>
  <c r="P857" i="23" s="1" a="1"/>
  <c r="Q857" i="23" s="1"/>
  <c r="O857" i="23"/>
  <c r="O820" i="23"/>
  <c r="N820" i="23"/>
  <c r="P820" i="23" s="1" a="1"/>
  <c r="Q820" i="23" s="1"/>
  <c r="O905" i="23"/>
  <c r="N905" i="23"/>
  <c r="P905" i="23" s="1" a="1"/>
  <c r="Q905" i="23" s="1"/>
  <c r="N877" i="23"/>
  <c r="P877" i="23" s="1" a="1"/>
  <c r="Q877" i="23" s="1"/>
  <c r="O877" i="23"/>
  <c r="N821" i="23"/>
  <c r="P821" i="23" s="1" a="1"/>
  <c r="Q821" i="23" s="1"/>
  <c r="O821" i="23"/>
  <c r="O904" i="23"/>
  <c r="N904" i="23"/>
  <c r="P904" i="23" s="1" a="1"/>
  <c r="Q904" i="23" s="1"/>
  <c r="O903" i="23"/>
  <c r="N903" i="23"/>
  <c r="P903" i="23" s="1" a="1"/>
  <c r="Q903" i="23" s="1"/>
  <c r="O876" i="23"/>
  <c r="N876" i="23"/>
  <c r="P876" i="23" s="1" a="1"/>
  <c r="Q876" i="23" s="1"/>
  <c r="N822" i="23"/>
  <c r="P822" i="23" s="1" a="1"/>
  <c r="Q822" i="23" s="1"/>
  <c r="O822" i="23"/>
  <c r="O902" i="23"/>
  <c r="N902" i="23"/>
  <c r="P902" i="23" s="1" a="1"/>
  <c r="Q902" i="23" s="1"/>
  <c r="N823" i="23"/>
  <c r="P823" i="23" s="1" a="1"/>
  <c r="Q823" i="23" s="1"/>
  <c r="O823" i="23"/>
  <c r="O858" i="23"/>
  <c r="N858" i="23"/>
  <c r="P858" i="23" s="1" a="1"/>
  <c r="Q858" i="23" s="1"/>
  <c r="O849" i="23"/>
  <c r="N849" i="23"/>
  <c r="P849" i="23" s="1" a="1"/>
  <c r="Q849" i="23" s="1"/>
  <c r="O901" i="23"/>
  <c r="N901" i="23"/>
  <c r="P901" i="23" s="1" a="1"/>
  <c r="Q901" i="23" s="1"/>
  <c r="N866" i="23"/>
  <c r="P866" i="23" s="1" a="1"/>
  <c r="Q866" i="23" s="1"/>
  <c r="O866" i="23"/>
  <c r="O875" i="23"/>
  <c r="N875" i="23"/>
  <c r="P875" i="23" s="1" a="1"/>
  <c r="Q875" i="23" s="1"/>
  <c r="O900" i="23"/>
  <c r="N900" i="23"/>
  <c r="P900" i="23" s="1" a="1"/>
  <c r="Q900" i="23" s="1"/>
  <c r="O825" i="23"/>
  <c r="N825" i="23"/>
  <c r="P825" i="23" s="1" a="1"/>
  <c r="Q825" i="23" s="1"/>
  <c r="N826" i="23"/>
  <c r="P826" i="23" s="1" a="1"/>
  <c r="Q826" i="23" s="1"/>
  <c r="O826" i="23"/>
  <c r="N899" i="23"/>
  <c r="P899" i="23" s="1" a="1"/>
  <c r="Q899" i="23" s="1"/>
  <c r="O899" i="23"/>
  <c r="N850" i="23"/>
  <c r="P850" i="23" s="1" a="1"/>
  <c r="Q850" i="23" s="1"/>
  <c r="O850" i="23"/>
  <c r="AB160" i="22" a="1"/>
  <c r="A65" i="34" a="1"/>
  <c r="N133" i="23"/>
  <c r="O133" i="23"/>
  <c r="O146" i="23"/>
  <c r="N146" i="23"/>
  <c r="P146" i="23" s="1" a="1"/>
  <c r="Q146" i="23" s="1"/>
  <c r="O147" i="23"/>
  <c r="N147" i="23"/>
  <c r="P147" i="23" s="1" a="1"/>
  <c r="Q147" i="23" s="1"/>
  <c r="N135" i="23"/>
  <c r="O135" i="23"/>
  <c r="O150" i="23"/>
  <c r="N150" i="23"/>
  <c r="P150" i="23" s="1" a="1"/>
  <c r="Q150" i="23" s="1"/>
  <c r="N138" i="23"/>
  <c r="O138" i="23"/>
  <c r="N148" i="23"/>
  <c r="O148" i="23"/>
  <c r="N131" i="23"/>
  <c r="O131" i="23"/>
  <c r="O143" i="23"/>
  <c r="N143" i="23"/>
  <c r="P143" i="23" s="1" a="1"/>
  <c r="Q143" i="23" s="1"/>
  <c r="N144" i="23"/>
  <c r="O144" i="23"/>
  <c r="AD163" i="22" a="1"/>
  <c r="L21" i="22"/>
  <c r="M21" i="22" s="1"/>
  <c r="AD162" i="22" a="1"/>
  <c r="L20" i="22"/>
  <c r="M20" i="22" s="1"/>
  <c r="O22" i="28" a="1"/>
  <c r="O68" i="28" a="1"/>
  <c r="O69" i="28" a="1"/>
  <c r="O72" i="28" a="1"/>
  <c r="O60" i="28" a="1"/>
  <c r="O48" i="28" a="1"/>
  <c r="O61" i="28" a="1"/>
  <c r="O30" i="28" a="1"/>
  <c r="N109" i="23"/>
  <c r="O109" i="23"/>
  <c r="L520" i="23"/>
  <c r="K520" i="23"/>
  <c r="M520" i="23"/>
  <c r="L490" i="23"/>
  <c r="K490" i="23"/>
  <c r="M521" i="23"/>
  <c r="K521" i="23"/>
  <c r="L306" i="23"/>
  <c r="K306" i="23"/>
  <c r="B14" i="22"/>
  <c r="AD161" i="22" a="1"/>
  <c r="U50" i="28" a="1"/>
  <c r="T50" i="28"/>
  <c r="M605" i="23"/>
  <c r="L605" i="23"/>
  <c r="K605" i="23"/>
  <c r="M604" i="23"/>
  <c r="L604" i="23"/>
  <c r="K604" i="23"/>
  <c r="M602" i="23"/>
  <c r="L602" i="23"/>
  <c r="K602" i="23"/>
  <c r="M601" i="23"/>
  <c r="L601" i="23"/>
  <c r="K601" i="23"/>
  <c r="M600" i="23"/>
  <c r="L600" i="23"/>
  <c r="K600" i="23"/>
  <c r="M599" i="23"/>
  <c r="L599" i="23"/>
  <c r="K599" i="23"/>
  <c r="M598" i="23"/>
  <c r="L598" i="23"/>
  <c r="K598" i="23"/>
  <c r="M597" i="23"/>
  <c r="L597" i="23"/>
  <c r="K597" i="23"/>
  <c r="M596" i="23"/>
  <c r="L596" i="23"/>
  <c r="K596" i="23"/>
  <c r="M595" i="23"/>
  <c r="L595" i="23"/>
  <c r="K595" i="23"/>
  <c r="M594" i="23"/>
  <c r="L594" i="23"/>
  <c r="K594" i="23"/>
  <c r="M593" i="23"/>
  <c r="L593" i="23"/>
  <c r="K593" i="23"/>
  <c r="M592" i="23"/>
  <c r="L592" i="23"/>
  <c r="K592" i="23"/>
  <c r="M591" i="23"/>
  <c r="L591" i="23"/>
  <c r="K591" i="23"/>
  <c r="M590" i="23"/>
  <c r="L590" i="23"/>
  <c r="K590" i="23"/>
  <c r="M589" i="23"/>
  <c r="L589" i="23"/>
  <c r="K589" i="23"/>
  <c r="M588" i="23"/>
  <c r="L588" i="23"/>
  <c r="K588" i="23"/>
  <c r="M587" i="23"/>
  <c r="L587" i="23"/>
  <c r="K587" i="23"/>
  <c r="M586" i="23"/>
  <c r="L586" i="23"/>
  <c r="K586" i="23"/>
  <c r="M585" i="23"/>
  <c r="L585" i="23"/>
  <c r="K585" i="23"/>
  <c r="M584" i="23"/>
  <c r="L584" i="23"/>
  <c r="K584" i="23"/>
  <c r="M583" i="23"/>
  <c r="L583" i="23"/>
  <c r="K583" i="23"/>
  <c r="K582" i="23"/>
  <c r="L582" i="23"/>
  <c r="L581" i="23"/>
  <c r="K581" i="23"/>
  <c r="M581" i="23"/>
  <c r="M580" i="23"/>
  <c r="L580" i="23"/>
  <c r="K580" i="23"/>
  <c r="M579" i="23"/>
  <c r="L579" i="23"/>
  <c r="K579" i="23"/>
  <c r="M578" i="23"/>
  <c r="L578" i="23"/>
  <c r="K578" i="23"/>
  <c r="M577" i="23"/>
  <c r="L577" i="23"/>
  <c r="K577" i="23"/>
  <c r="M576" i="23"/>
  <c r="L576" i="23"/>
  <c r="K576" i="23"/>
  <c r="M575" i="23"/>
  <c r="L575" i="23"/>
  <c r="K575" i="23"/>
  <c r="M574" i="23"/>
  <c r="L574" i="23"/>
  <c r="K574" i="23"/>
  <c r="M469" i="23"/>
  <c r="L469" i="23"/>
  <c r="K469" i="23"/>
  <c r="K603" i="23"/>
  <c r="M603" i="23"/>
  <c r="L603" i="23"/>
  <c r="K572" i="23"/>
  <c r="L572" i="23"/>
  <c r="M572" i="23"/>
  <c r="K571" i="23"/>
  <c r="L571" i="23"/>
  <c r="M571" i="23"/>
  <c r="M494" i="23"/>
  <c r="K494" i="23"/>
  <c r="L494" i="23"/>
  <c r="K570" i="23"/>
  <c r="L570" i="23"/>
  <c r="M570" i="23"/>
  <c r="L569" i="23"/>
  <c r="M569" i="23"/>
  <c r="K569" i="23"/>
  <c r="M495" i="23"/>
  <c r="K495" i="23"/>
  <c r="K459" i="23"/>
  <c r="L459" i="23"/>
  <c r="M568" i="23"/>
  <c r="L568" i="23"/>
  <c r="K568" i="23"/>
  <c r="M532" i="23"/>
  <c r="L532" i="23"/>
  <c r="M460" i="23"/>
  <c r="K460" i="23"/>
  <c r="K567" i="23"/>
  <c r="M567" i="23"/>
  <c r="L567" i="23"/>
  <c r="K507" i="23"/>
  <c r="M507" i="23"/>
  <c r="K566" i="23"/>
  <c r="L566" i="23"/>
  <c r="M566" i="23"/>
  <c r="L519" i="23"/>
  <c r="K519" i="23"/>
  <c r="L462" i="23"/>
  <c r="K462" i="23"/>
  <c r="M496" i="23"/>
  <c r="K496" i="23"/>
  <c r="M565" i="23"/>
  <c r="L565" i="23"/>
  <c r="K565" i="23"/>
  <c r="M564" i="23"/>
  <c r="L564" i="23"/>
  <c r="K564" i="23"/>
  <c r="M516" i="23"/>
  <c r="K516" i="23"/>
  <c r="K563" i="23"/>
  <c r="M563" i="23"/>
  <c r="L563" i="23"/>
  <c r="L464" i="23"/>
  <c r="M464" i="23"/>
  <c r="K464" i="23"/>
  <c r="K562" i="23"/>
  <c r="M562" i="23"/>
  <c r="L562" i="23"/>
  <c r="L465" i="23"/>
  <c r="M465" i="23"/>
  <c r="M561" i="23"/>
  <c r="L561" i="23"/>
  <c r="K561" i="23"/>
  <c r="L560" i="23"/>
  <c r="M560" i="23"/>
  <c r="K560" i="23"/>
  <c r="M467" i="23"/>
  <c r="K467" i="23"/>
  <c r="L559" i="23"/>
  <c r="K559" i="23"/>
  <c r="M559" i="23"/>
  <c r="L468" i="23"/>
  <c r="K468" i="23"/>
  <c r="L499" i="23"/>
  <c r="K499" i="23"/>
  <c r="M499" i="23"/>
  <c r="M558" i="23"/>
  <c r="L558" i="23"/>
  <c r="K558" i="23"/>
  <c r="L514" i="23"/>
  <c r="K514" i="23"/>
  <c r="M470" i="23"/>
  <c r="K470" i="23"/>
  <c r="L557" i="23"/>
  <c r="M557" i="23"/>
  <c r="K528" i="23"/>
  <c r="L528" i="23"/>
  <c r="M472" i="23"/>
  <c r="L472" i="23"/>
  <c r="K472" i="23"/>
  <c r="M473" i="23"/>
  <c r="K473" i="23"/>
  <c r="L473" i="23"/>
  <c r="K475" i="23"/>
  <c r="L475" i="23"/>
  <c r="M475" i="23"/>
  <c r="L477" i="23"/>
  <c r="M477" i="23"/>
  <c r="K477" i="23"/>
  <c r="K517" i="23"/>
  <c r="L517" i="23"/>
  <c r="L478" i="23"/>
  <c r="K478" i="23"/>
  <c r="M478" i="23"/>
  <c r="M548" i="23"/>
  <c r="L548" i="23"/>
  <c r="K480" i="23"/>
  <c r="M480" i="23"/>
  <c r="L525" i="23"/>
  <c r="K525" i="23"/>
  <c r="M510" i="23"/>
  <c r="K510" i="23"/>
  <c r="M481" i="23"/>
  <c r="L481" i="23"/>
  <c r="L482" i="23"/>
  <c r="M482" i="23"/>
  <c r="K482" i="23"/>
  <c r="M545" i="23"/>
  <c r="L545" i="23"/>
  <c r="K503" i="23"/>
  <c r="L503" i="23"/>
  <c r="K524" i="23"/>
  <c r="M524" i="23"/>
  <c r="L483" i="23"/>
  <c r="M483" i="23"/>
  <c r="M543" i="23"/>
  <c r="L543" i="23"/>
  <c r="M542" i="23"/>
  <c r="K542" i="23"/>
  <c r="K541" i="23"/>
  <c r="M541" i="23"/>
  <c r="L541" i="23"/>
  <c r="M504" i="23"/>
  <c r="K504" i="23"/>
  <c r="M486" i="23"/>
  <c r="K486" i="23"/>
  <c r="L486" i="23"/>
  <c r="L522" i="23"/>
  <c r="K522" i="23"/>
  <c r="M540" i="23"/>
  <c r="K540" i="23"/>
  <c r="K488" i="23"/>
  <c r="M488" i="23"/>
  <c r="M539" i="23"/>
  <c r="L539" i="23"/>
  <c r="L489" i="23"/>
  <c r="M489" i="23"/>
  <c r="M538" i="23"/>
  <c r="K538" i="23"/>
  <c r="L538" i="23"/>
  <c r="M505" i="23"/>
  <c r="K505" i="23"/>
  <c r="K537" i="23"/>
  <c r="L537" i="23"/>
  <c r="M537" i="23"/>
  <c r="L491" i="23"/>
  <c r="M491" i="23"/>
  <c r="L492" i="23"/>
  <c r="M492" i="23"/>
  <c r="M535" i="23"/>
  <c r="K535" i="23"/>
  <c r="M512" i="23"/>
  <c r="K512" i="23"/>
  <c r="L512" i="23"/>
  <c r="L573" i="23"/>
  <c r="M573" i="23"/>
  <c r="K573" i="23"/>
  <c r="O700" i="23"/>
  <c r="N700" i="23"/>
  <c r="P700" i="23" s="1" a="1"/>
  <c r="Q700" i="23" s="1"/>
  <c r="O699" i="23"/>
  <c r="N699" i="23"/>
  <c r="P699" i="23" s="1" a="1"/>
  <c r="Q699" i="23" s="1"/>
  <c r="O698" i="23"/>
  <c r="N698" i="23"/>
  <c r="P698" i="23" s="1" a="1"/>
  <c r="Q698" i="23" s="1"/>
  <c r="O697" i="23"/>
  <c r="N697" i="23"/>
  <c r="P697" i="23" s="1" a="1"/>
  <c r="Q697" i="23" s="1"/>
  <c r="O696" i="23"/>
  <c r="N696" i="23"/>
  <c r="P696" i="23" s="1" a="1"/>
  <c r="Q696" i="23" s="1"/>
  <c r="O695" i="23"/>
  <c r="N695" i="23"/>
  <c r="P695" i="23" s="1" a="1"/>
  <c r="Q695" i="23" s="1"/>
  <c r="O694" i="23"/>
  <c r="N694" i="23"/>
  <c r="P694" i="23" s="1" a="1"/>
  <c r="Q694" i="23" s="1"/>
  <c r="O693" i="23"/>
  <c r="N693" i="23"/>
  <c r="P693" i="23" s="1" a="1"/>
  <c r="Q693" i="23" s="1"/>
  <c r="O692" i="23"/>
  <c r="N692" i="23"/>
  <c r="P692" i="23" s="1" a="1"/>
  <c r="Q692" i="23" s="1"/>
  <c r="O691" i="23"/>
  <c r="N691" i="23"/>
  <c r="P691" i="23" s="1" a="1"/>
  <c r="Q691" i="23" s="1"/>
  <c r="O690" i="23"/>
  <c r="N690" i="23"/>
  <c r="P690" i="23" s="1" a="1"/>
  <c r="Q690" i="23" s="1"/>
  <c r="O689" i="23"/>
  <c r="N689" i="23"/>
  <c r="P689" i="23" s="1" a="1"/>
  <c r="Q689" i="23" s="1"/>
  <c r="O688" i="23"/>
  <c r="N688" i="23"/>
  <c r="P688" i="23" s="1" a="1"/>
  <c r="Q688" i="23" s="1"/>
  <c r="O687" i="23"/>
  <c r="N687" i="23"/>
  <c r="P687" i="23" s="1" a="1"/>
  <c r="Q687" i="23" s="1"/>
  <c r="O686" i="23"/>
  <c r="N686" i="23"/>
  <c r="P686" i="23" s="1" a="1"/>
  <c r="Q686" i="23" s="1"/>
  <c r="O685" i="23"/>
  <c r="N685" i="23"/>
  <c r="P685" i="23" s="1" a="1"/>
  <c r="Q685" i="23" s="1"/>
  <c r="O684" i="23"/>
  <c r="N684" i="23"/>
  <c r="P684" i="23" s="1" a="1"/>
  <c r="Q684" i="23" s="1"/>
  <c r="O683" i="23"/>
  <c r="N683" i="23"/>
  <c r="P683" i="23" s="1" a="1"/>
  <c r="Q683" i="23" s="1"/>
  <c r="O682" i="23"/>
  <c r="N682" i="23"/>
  <c r="P682" i="23" s="1" a="1"/>
  <c r="Q682" i="23" s="1"/>
  <c r="O681" i="23"/>
  <c r="N681" i="23"/>
  <c r="P681" i="23" s="1" a="1"/>
  <c r="Q681" i="23" s="1"/>
  <c r="O680" i="23"/>
  <c r="N680" i="23"/>
  <c r="P680" i="23" s="1" a="1"/>
  <c r="Q680" i="23" s="1"/>
  <c r="O679" i="23"/>
  <c r="N679" i="23"/>
  <c r="P679" i="23" s="1" a="1"/>
  <c r="Q679" i="23" s="1"/>
  <c r="O678" i="23"/>
  <c r="N678" i="23"/>
  <c r="P678" i="23" s="1" a="1"/>
  <c r="Q678" i="23" s="1"/>
  <c r="L255" i="23"/>
  <c r="M255" i="23"/>
  <c r="O647" i="23"/>
  <c r="N647" i="23"/>
  <c r="P647" i="23" s="1" a="1"/>
  <c r="Q647" i="23" s="1"/>
  <c r="O754" i="23"/>
  <c r="N754" i="23"/>
  <c r="P754" i="23" s="1" a="1"/>
  <c r="Q754" i="23" s="1"/>
  <c r="O648" i="23"/>
  <c r="N648" i="23"/>
  <c r="P648" i="23" s="1" a="1"/>
  <c r="Q648" i="23" s="1"/>
  <c r="O606" i="23"/>
  <c r="N606" i="23"/>
  <c r="P606" i="23" s="1" a="1"/>
  <c r="O607" i="23"/>
  <c r="N607" i="23"/>
  <c r="P607" i="23" s="1" a="1"/>
  <c r="Q607" i="23" s="1"/>
  <c r="O753" i="23"/>
  <c r="N753" i="23"/>
  <c r="P753" i="23" s="1" a="1"/>
  <c r="Q753" i="23" s="1"/>
  <c r="O712" i="23"/>
  <c r="N712" i="23"/>
  <c r="P712" i="23" s="1" a="1"/>
  <c r="Q712" i="23" s="1"/>
  <c r="O608" i="23"/>
  <c r="N608" i="23"/>
  <c r="P608" i="23" s="1" a="1"/>
  <c r="Q608" i="23" s="1"/>
  <c r="O671" i="23"/>
  <c r="N671" i="23"/>
  <c r="P671" i="23" s="1" a="1"/>
  <c r="Q671" i="23" s="1"/>
  <c r="O752" i="23"/>
  <c r="N752" i="23"/>
  <c r="P752" i="23" s="1" a="1"/>
  <c r="Q752" i="23" s="1"/>
  <c r="O751" i="23"/>
  <c r="N751" i="23"/>
  <c r="P751" i="23" s="1" a="1"/>
  <c r="Q751" i="23" s="1"/>
  <c r="O609" i="23"/>
  <c r="N609" i="23"/>
  <c r="P609" i="23" s="1" a="1"/>
  <c r="Q609" i="23" s="1"/>
  <c r="O676" i="23"/>
  <c r="N676" i="23"/>
  <c r="P676" i="23" s="1" a="1"/>
  <c r="Q676" i="23" s="1"/>
  <c r="O610" i="23"/>
  <c r="N610" i="23"/>
  <c r="P610" i="23" s="1" a="1"/>
  <c r="Q610" i="23" s="1"/>
  <c r="O711" i="23"/>
  <c r="N711" i="23"/>
  <c r="P711" i="23" s="1" a="1"/>
  <c r="Q711" i="23" s="1"/>
  <c r="O750" i="23"/>
  <c r="N750" i="23"/>
  <c r="P750" i="23" s="1" a="1"/>
  <c r="Q750" i="23" s="1"/>
  <c r="O649" i="23"/>
  <c r="N649" i="23"/>
  <c r="P649" i="23" s="1" a="1"/>
  <c r="Q649" i="23" s="1"/>
  <c r="O611" i="23"/>
  <c r="N611" i="23"/>
  <c r="P611" i="23" s="1" a="1"/>
  <c r="Q611" i="23" s="1"/>
  <c r="O749" i="23"/>
  <c r="N749" i="23"/>
  <c r="P749" i="23" s="1" a="1"/>
  <c r="Q749" i="23" s="1"/>
  <c r="O748" i="23"/>
  <c r="N748" i="23"/>
  <c r="P748" i="23" s="1" a="1"/>
  <c r="Q748" i="23" s="1"/>
  <c r="O612" i="23"/>
  <c r="N612" i="23"/>
  <c r="P612" i="23" s="1" a="1"/>
  <c r="Q612" i="23" s="1"/>
  <c r="O650" i="23"/>
  <c r="N650" i="23"/>
  <c r="P650" i="23" s="1" a="1"/>
  <c r="Q650" i="23" s="1"/>
  <c r="O613" i="23"/>
  <c r="N613" i="23"/>
  <c r="P613" i="23" s="1" a="1"/>
  <c r="Q613" i="23" s="1"/>
  <c r="O747" i="23"/>
  <c r="N747" i="23"/>
  <c r="P747" i="23" s="1" a="1"/>
  <c r="Q747" i="23" s="1"/>
  <c r="O662" i="23"/>
  <c r="N662" i="23"/>
  <c r="P662" i="23" s="1" a="1"/>
  <c r="Q662" i="23" s="1"/>
  <c r="O614" i="23"/>
  <c r="N614" i="23"/>
  <c r="P614" i="23" s="1" a="1"/>
  <c r="Q614" i="23" s="1"/>
  <c r="O746" i="23"/>
  <c r="N746" i="23"/>
  <c r="P746" i="23" s="1" a="1"/>
  <c r="Q746" i="23" s="1"/>
  <c r="O710" i="23"/>
  <c r="N710" i="23"/>
  <c r="P710" i="23" s="1" a="1"/>
  <c r="Q710" i="23" s="1"/>
  <c r="O675" i="23"/>
  <c r="N675" i="23"/>
  <c r="P675" i="23" s="1" a="1"/>
  <c r="Q675" i="23" s="1"/>
  <c r="O745" i="23"/>
  <c r="N745" i="23"/>
  <c r="P745" i="23" s="1" a="1"/>
  <c r="Q745" i="23" s="1"/>
  <c r="O615" i="23"/>
  <c r="N615" i="23"/>
  <c r="P615" i="23" s="1" a="1"/>
  <c r="Q615" i="23" s="1"/>
  <c r="O709" i="23"/>
  <c r="N709" i="23"/>
  <c r="P709" i="23" s="1" a="1"/>
  <c r="Q709" i="23" s="1"/>
  <c r="O744" i="23"/>
  <c r="N744" i="23"/>
  <c r="P744" i="23" s="1" a="1"/>
  <c r="Q744" i="23" s="1"/>
  <c r="O616" i="23"/>
  <c r="N616" i="23"/>
  <c r="P616" i="23" s="1" a="1"/>
  <c r="Q616" i="23" s="1"/>
  <c r="O651" i="23"/>
  <c r="N651" i="23"/>
  <c r="P651" i="23" s="1" a="1"/>
  <c r="Q651" i="23" s="1"/>
  <c r="O743" i="23"/>
  <c r="N743" i="23"/>
  <c r="P743" i="23" s="1" a="1"/>
  <c r="Q743" i="23" s="1"/>
  <c r="O617" i="23"/>
  <c r="N617" i="23"/>
  <c r="P617" i="23" s="1" a="1"/>
  <c r="Q617" i="23" s="1"/>
  <c r="O742" i="23"/>
  <c r="N742" i="23"/>
  <c r="P742" i="23" s="1" a="1"/>
  <c r="Q742" i="23" s="1"/>
  <c r="O618" i="23"/>
  <c r="N618" i="23"/>
  <c r="P618" i="23" s="1" a="1"/>
  <c r="Q618" i="23" s="1"/>
  <c r="O667" i="23"/>
  <c r="N667" i="23"/>
  <c r="P667" i="23" s="1" a="1"/>
  <c r="Q667" i="23" s="1"/>
  <c r="O708" i="23"/>
  <c r="N708" i="23"/>
  <c r="P708" i="23" s="1" a="1"/>
  <c r="Q708" i="23" s="1"/>
  <c r="O619" i="23"/>
  <c r="N619" i="23"/>
  <c r="P619" i="23" s="1" a="1"/>
  <c r="Q619" i="23" s="1"/>
  <c r="O740" i="23"/>
  <c r="N740" i="23"/>
  <c r="P740" i="23" s="1" a="1"/>
  <c r="Q740" i="23" s="1"/>
  <c r="O620" i="23"/>
  <c r="N620" i="23"/>
  <c r="P620" i="23" s="1" a="1"/>
  <c r="Q620" i="23" s="1"/>
  <c r="O739" i="23"/>
  <c r="N739" i="23"/>
  <c r="P739" i="23" s="1" a="1"/>
  <c r="Q739" i="23" s="1"/>
  <c r="O652" i="23"/>
  <c r="N652" i="23"/>
  <c r="P652" i="23" s="1" a="1"/>
  <c r="Q652" i="23" s="1"/>
  <c r="O621" i="23"/>
  <c r="N621" i="23"/>
  <c r="P621" i="23" s="1" a="1"/>
  <c r="Q621" i="23" s="1"/>
  <c r="O738" i="23"/>
  <c r="N738" i="23"/>
  <c r="P738" i="23" s="1" a="1"/>
  <c r="Q738" i="23" s="1"/>
  <c r="O653" i="23"/>
  <c r="N653" i="23"/>
  <c r="P653" i="23" s="1" a="1"/>
  <c r="Q653" i="23" s="1"/>
  <c r="O663" i="23"/>
  <c r="N663" i="23"/>
  <c r="P663" i="23" s="1" a="1"/>
  <c r="Q663" i="23" s="1"/>
  <c r="O737" i="23"/>
  <c r="N737" i="23"/>
  <c r="P737" i="23" s="1" a="1"/>
  <c r="Q737" i="23" s="1"/>
  <c r="O622" i="23"/>
  <c r="N622" i="23"/>
  <c r="P622" i="23" s="1" a="1"/>
  <c r="Q622" i="23" s="1"/>
  <c r="O736" i="23"/>
  <c r="N736" i="23"/>
  <c r="P736" i="23" s="1" a="1"/>
  <c r="Q736" i="23" s="1"/>
  <c r="O674" i="23"/>
  <c r="N674" i="23"/>
  <c r="P674" i="23" s="1" a="1"/>
  <c r="Q674" i="23" s="1"/>
  <c r="O623" i="23"/>
  <c r="N623" i="23"/>
  <c r="P623" i="23" s="1" a="1"/>
  <c r="Q623" i="23" s="1"/>
  <c r="O664" i="23"/>
  <c r="N664" i="23"/>
  <c r="P664" i="23" s="1" a="1"/>
  <c r="Q664" i="23" s="1"/>
  <c r="O735" i="23"/>
  <c r="N735" i="23"/>
  <c r="P735" i="23" s="1" a="1"/>
  <c r="Q735" i="23" s="1"/>
  <c r="O624" i="23"/>
  <c r="N624" i="23"/>
  <c r="P624" i="23" s="1" a="1"/>
  <c r="Q624" i="23" s="1"/>
  <c r="O707" i="23"/>
  <c r="N707" i="23"/>
  <c r="P707" i="23" s="1" a="1"/>
  <c r="Q707" i="23" s="1"/>
  <c r="O734" i="23"/>
  <c r="N734" i="23"/>
  <c r="P734" i="23" s="1" a="1"/>
  <c r="Q734" i="23" s="1"/>
  <c r="O625" i="23"/>
  <c r="N625" i="23"/>
  <c r="P625" i="23" s="1" a="1"/>
  <c r="Q625" i="23" s="1"/>
  <c r="O654" i="23"/>
  <c r="N654" i="23"/>
  <c r="P654" i="23" s="1" a="1"/>
  <c r="Q654" i="23" s="1"/>
  <c r="O733" i="23"/>
  <c r="N733" i="23"/>
  <c r="P733" i="23" s="1" a="1"/>
  <c r="Q733" i="23" s="1"/>
  <c r="O626" i="23"/>
  <c r="N626" i="23"/>
  <c r="P626" i="23" s="1" a="1"/>
  <c r="Q626" i="23" s="1"/>
  <c r="O669" i="23"/>
  <c r="N669" i="23"/>
  <c r="P669" i="23" s="1" a="1"/>
  <c r="Q669" i="23" s="1"/>
  <c r="O732" i="23"/>
  <c r="N732" i="23"/>
  <c r="P732" i="23" s="1" a="1"/>
  <c r="Q732" i="23" s="1"/>
  <c r="O627" i="23"/>
  <c r="N627" i="23"/>
  <c r="P627" i="23" s="1" a="1"/>
  <c r="Q627" i="23" s="1"/>
  <c r="O706" i="23"/>
  <c r="N706" i="23"/>
  <c r="P706" i="23" s="1" a="1"/>
  <c r="Q706" i="23" s="1"/>
  <c r="O731" i="23"/>
  <c r="N731" i="23"/>
  <c r="P731" i="23" s="1" a="1"/>
  <c r="Q731" i="23" s="1"/>
  <c r="O628" i="23"/>
  <c r="N628" i="23"/>
  <c r="P628" i="23" s="1" a="1"/>
  <c r="Q628" i="23" s="1"/>
  <c r="O655" i="23"/>
  <c r="N655" i="23"/>
  <c r="P655" i="23" s="1" a="1"/>
  <c r="Q655" i="23" s="1"/>
  <c r="O629" i="23"/>
  <c r="N629" i="23"/>
  <c r="P629" i="23" s="1" a="1"/>
  <c r="Q629" i="23" s="1"/>
  <c r="O730" i="23"/>
  <c r="N730" i="23"/>
  <c r="P730" i="23" s="1" a="1"/>
  <c r="Q730" i="23" s="1"/>
  <c r="O705" i="23"/>
  <c r="N705" i="23"/>
  <c r="P705" i="23" s="1" a="1"/>
  <c r="Q705" i="23" s="1"/>
  <c r="O729" i="23"/>
  <c r="N729" i="23"/>
  <c r="P729" i="23" s="1" a="1"/>
  <c r="Q729" i="23" s="1"/>
  <c r="O630" i="23"/>
  <c r="N630" i="23"/>
  <c r="P630" i="23" s="1" a="1"/>
  <c r="Q630" i="23" s="1"/>
  <c r="O631" i="23"/>
  <c r="N631" i="23"/>
  <c r="P631" i="23" s="1" a="1"/>
  <c r="Q631" i="23" s="1"/>
  <c r="O728" i="23"/>
  <c r="N728" i="23"/>
  <c r="P728" i="23" s="1" a="1"/>
  <c r="Q728" i="23" s="1"/>
  <c r="O673" i="23"/>
  <c r="N673" i="23"/>
  <c r="P673" i="23" s="1" a="1"/>
  <c r="Q673" i="23" s="1"/>
  <c r="O727" i="23"/>
  <c r="N727" i="23"/>
  <c r="P727" i="23" s="1" a="1"/>
  <c r="Q727" i="23" s="1"/>
  <c r="O656" i="23"/>
  <c r="N656" i="23"/>
  <c r="P656" i="23" s="1" a="1"/>
  <c r="Q656" i="23" s="1"/>
  <c r="O632" i="23"/>
  <c r="N632" i="23"/>
  <c r="P632" i="23" s="1" a="1"/>
  <c r="Q632" i="23" s="1"/>
  <c r="O633" i="23"/>
  <c r="N633" i="23"/>
  <c r="P633" i="23" s="1" a="1"/>
  <c r="Q633" i="23" s="1"/>
  <c r="O726" i="23"/>
  <c r="N726" i="23"/>
  <c r="P726" i="23" s="1" a="1"/>
  <c r="Q726" i="23" s="1"/>
  <c r="O668" i="23"/>
  <c r="N668" i="23"/>
  <c r="P668" i="23" s="1" a="1"/>
  <c r="Q668" i="23" s="1"/>
  <c r="O634" i="23"/>
  <c r="N634" i="23"/>
  <c r="P634" i="23" s="1" a="1"/>
  <c r="Q634" i="23" s="1"/>
  <c r="O741" i="23"/>
  <c r="N741" i="23"/>
  <c r="P741" i="23" s="1" a="1"/>
  <c r="Q741" i="23" s="1"/>
  <c r="O704" i="23"/>
  <c r="N704" i="23"/>
  <c r="P704" i="23" s="1" a="1"/>
  <c r="Q704" i="23" s="1"/>
  <c r="O725" i="23"/>
  <c r="N725" i="23"/>
  <c r="P725" i="23" s="1" a="1"/>
  <c r="Q725" i="23" s="1"/>
  <c r="O635" i="23"/>
  <c r="N635" i="23"/>
  <c r="P635" i="23" s="1" a="1"/>
  <c r="Q635" i="23" s="1"/>
  <c r="O657" i="23"/>
  <c r="N657" i="23"/>
  <c r="P657" i="23" s="1" a="1"/>
  <c r="Q657" i="23" s="1"/>
  <c r="O724" i="23"/>
  <c r="N724" i="23"/>
  <c r="P724" i="23" s="1" a="1"/>
  <c r="Q724" i="23" s="1"/>
  <c r="O658" i="23"/>
  <c r="N658" i="23"/>
  <c r="P658" i="23" s="1" a="1"/>
  <c r="Q658" i="23" s="1"/>
  <c r="O636" i="23"/>
  <c r="N636" i="23"/>
  <c r="P636" i="23" s="1" a="1"/>
  <c r="Q636" i="23" s="1"/>
  <c r="O637" i="23"/>
  <c r="N637" i="23"/>
  <c r="P637" i="23" s="1" a="1"/>
  <c r="Q637" i="23" s="1"/>
  <c r="O723" i="23"/>
  <c r="N723" i="23"/>
  <c r="P723" i="23" s="1" a="1"/>
  <c r="Q723" i="23" s="1"/>
  <c r="O703" i="23"/>
  <c r="N703" i="23"/>
  <c r="P703" i="23" s="1" a="1"/>
  <c r="Q703" i="23" s="1"/>
  <c r="O638" i="23"/>
  <c r="N638" i="23"/>
  <c r="P638" i="23" s="1" a="1"/>
  <c r="Q638" i="23" s="1"/>
  <c r="O722" i="23"/>
  <c r="N722" i="23"/>
  <c r="P722" i="23" s="1" a="1"/>
  <c r="Q722" i="23" s="1"/>
  <c r="O665" i="23"/>
  <c r="N665" i="23"/>
  <c r="P665" i="23" s="1" a="1"/>
  <c r="Q665" i="23" s="1"/>
  <c r="O639" i="23"/>
  <c r="N639" i="23"/>
  <c r="P639" i="23" s="1" a="1"/>
  <c r="Q639" i="23" s="1"/>
  <c r="O721" i="23"/>
  <c r="N721" i="23"/>
  <c r="P721" i="23" s="1" a="1"/>
  <c r="Q721" i="23" s="1"/>
  <c r="O672" i="23"/>
  <c r="N672" i="23"/>
  <c r="P672" i="23" s="1" a="1"/>
  <c r="Q672" i="23" s="1"/>
  <c r="O640" i="23"/>
  <c r="N640" i="23"/>
  <c r="P640" i="23" s="1" a="1"/>
  <c r="Q640" i="23" s="1"/>
  <c r="O720" i="23"/>
  <c r="N720" i="23"/>
  <c r="P720" i="23" s="1" a="1"/>
  <c r="Q720" i="23" s="1"/>
  <c r="O702" i="23"/>
  <c r="N702" i="23"/>
  <c r="P702" i="23" s="1" a="1"/>
  <c r="Q702" i="23" s="1"/>
  <c r="O659" i="23"/>
  <c r="N659" i="23"/>
  <c r="P659" i="23" s="1" a="1"/>
  <c r="Q659" i="23" s="1"/>
  <c r="O641" i="23"/>
  <c r="N641" i="23"/>
  <c r="P641" i="23" s="1" a="1"/>
  <c r="Q641" i="23" s="1"/>
  <c r="O719" i="23"/>
  <c r="N719" i="23"/>
  <c r="P719" i="23" s="1" a="1"/>
  <c r="Q719" i="23" s="1"/>
  <c r="O718" i="23"/>
  <c r="N718" i="23"/>
  <c r="P718" i="23" s="1" a="1"/>
  <c r="Q718" i="23" s="1"/>
  <c r="O642" i="23"/>
  <c r="N642" i="23"/>
  <c r="P642" i="23" s="1" a="1"/>
  <c r="Q642" i="23" s="1"/>
  <c r="O701" i="23"/>
  <c r="N701" i="23"/>
  <c r="P701" i="23" s="1" a="1"/>
  <c r="Q701" i="23" s="1"/>
  <c r="O660" i="23"/>
  <c r="N660" i="23"/>
  <c r="P660" i="23" s="1" a="1"/>
  <c r="Q660" i="23" s="1"/>
  <c r="O717" i="23"/>
  <c r="N717" i="23"/>
  <c r="P717" i="23" s="1" a="1"/>
  <c r="Q717" i="23" s="1"/>
  <c r="O643" i="23"/>
  <c r="N643" i="23"/>
  <c r="P643" i="23" s="1" a="1"/>
  <c r="Q643" i="23" s="1"/>
  <c r="O644" i="23"/>
  <c r="N644" i="23"/>
  <c r="P644" i="23" s="1" a="1"/>
  <c r="Q644" i="23" s="1"/>
  <c r="O666" i="23"/>
  <c r="N666" i="23"/>
  <c r="P666" i="23" s="1" a="1"/>
  <c r="Q666" i="23" s="1"/>
  <c r="O716" i="23"/>
  <c r="N716" i="23"/>
  <c r="P716" i="23" s="1" a="1"/>
  <c r="Q716" i="23" s="1"/>
  <c r="O670" i="23"/>
  <c r="N670" i="23"/>
  <c r="P670" i="23" s="1" a="1"/>
  <c r="Q670" i="23" s="1"/>
  <c r="O715" i="23"/>
  <c r="N715" i="23"/>
  <c r="P715" i="23" s="1" a="1"/>
  <c r="Q715" i="23" s="1"/>
  <c r="O645" i="23"/>
  <c r="N645" i="23"/>
  <c r="P645" i="23" s="1" a="1"/>
  <c r="Q645" i="23" s="1"/>
  <c r="O646" i="23"/>
  <c r="N646" i="23"/>
  <c r="P646" i="23" s="1" a="1"/>
  <c r="Q646" i="23" s="1"/>
  <c r="O677" i="23"/>
  <c r="N677" i="23"/>
  <c r="P677" i="23" s="1" a="1"/>
  <c r="Q677" i="23" s="1"/>
  <c r="O714" i="23"/>
  <c r="N714" i="23"/>
  <c r="P714" i="23" s="1" a="1"/>
  <c r="Q714" i="23" s="1"/>
  <c r="O713" i="23"/>
  <c r="N713" i="23"/>
  <c r="P713" i="23" s="1" a="1"/>
  <c r="Q713" i="23" s="1"/>
  <c r="O661" i="23"/>
  <c r="N661" i="23"/>
  <c r="P661" i="23" s="1" a="1"/>
  <c r="Q661" i="23" s="1"/>
  <c r="O755" i="23"/>
  <c r="N755" i="23"/>
  <c r="P755" i="23" s="1" a="1"/>
  <c r="Q755" i="23" s="1"/>
  <c r="O756" i="23"/>
  <c r="N756" i="23"/>
  <c r="P756" i="23" s="1" a="1"/>
  <c r="Q756" i="23" s="1"/>
  <c r="O129" i="23"/>
  <c r="N129" i="23"/>
  <c r="P129" i="23" s="1" a="1"/>
  <c r="Q129" i="23" s="1"/>
  <c r="O128" i="23"/>
  <c r="N128" i="23"/>
  <c r="P128" i="23" s="1" a="1"/>
  <c r="Q128" i="23" s="1"/>
  <c r="O127" i="23"/>
  <c r="N127" i="23"/>
  <c r="P127" i="23" s="1" a="1"/>
  <c r="Q127" i="23" s="1"/>
  <c r="O124" i="23"/>
  <c r="N124" i="23"/>
  <c r="P124" i="23" s="1" a="1"/>
  <c r="Q124" i="23" s="1"/>
  <c r="O123" i="23"/>
  <c r="N123" i="23"/>
  <c r="P123" i="23" s="1" a="1"/>
  <c r="Q123" i="23" s="1"/>
  <c r="O93" i="23"/>
  <c r="N93" i="23"/>
  <c r="P93" i="23" s="1" a="1"/>
  <c r="Q93" i="23" s="1"/>
  <c r="O67" i="23"/>
  <c r="N67" i="23"/>
  <c r="P67" i="23" s="1" a="1"/>
  <c r="Q67" i="23" s="1"/>
  <c r="O47" i="23"/>
  <c r="N47" i="23"/>
  <c r="P47" i="23" s="1" a="1"/>
  <c r="Q47" i="23" s="1"/>
  <c r="L269" i="23"/>
  <c r="M269" i="23"/>
  <c r="N86" i="23"/>
  <c r="O86" i="23"/>
  <c r="L297" i="23"/>
  <c r="M297" i="23"/>
  <c r="L292" i="23"/>
  <c r="M292" i="23"/>
  <c r="L299" i="23"/>
  <c r="K299" i="23"/>
  <c r="M299" i="23"/>
  <c r="K441" i="23"/>
  <c r="M441" i="23"/>
  <c r="L441" i="23"/>
  <c r="K442" i="23"/>
  <c r="M442" i="23"/>
  <c r="P132" i="23" a="1"/>
  <c r="Q132" i="23" s="1"/>
  <c r="P141" i="23" a="1"/>
  <c r="Q141" i="23" s="1"/>
  <c r="P140" i="23" a="1"/>
  <c r="Q140" i="23" s="1"/>
  <c r="L295" i="23"/>
  <c r="M295" i="23"/>
  <c r="K295" i="23"/>
  <c r="M367" i="23"/>
  <c r="L367" i="23"/>
  <c r="K367" i="23"/>
  <c r="M304" i="23"/>
  <c r="K304" i="23"/>
  <c r="M400" i="23"/>
  <c r="L400" i="23"/>
  <c r="K400" i="23"/>
  <c r="M399" i="23"/>
  <c r="L399" i="23"/>
  <c r="K399" i="23"/>
  <c r="L398" i="23"/>
  <c r="M398" i="23"/>
  <c r="K398" i="23"/>
  <c r="L397" i="23"/>
  <c r="K397" i="23"/>
  <c r="M397" i="23"/>
  <c r="L396" i="23"/>
  <c r="M396" i="23"/>
  <c r="K396" i="23"/>
  <c r="M395" i="23"/>
  <c r="L395" i="23"/>
  <c r="K395" i="23"/>
  <c r="M394" i="23"/>
  <c r="L394" i="23"/>
  <c r="K394" i="23"/>
  <c r="K393" i="23"/>
  <c r="M393" i="23"/>
  <c r="L393" i="23"/>
  <c r="M392" i="23"/>
  <c r="L392" i="23"/>
  <c r="K392" i="23"/>
  <c r="M391" i="23"/>
  <c r="L391" i="23"/>
  <c r="K391" i="23"/>
  <c r="M390" i="23"/>
  <c r="L390" i="23"/>
  <c r="K390" i="23"/>
  <c r="L389" i="23"/>
  <c r="K389" i="23"/>
  <c r="M389" i="23"/>
  <c r="L388" i="23"/>
  <c r="M388" i="23"/>
  <c r="K388" i="23"/>
  <c r="L387" i="23"/>
  <c r="M387" i="23"/>
  <c r="K387" i="23"/>
  <c r="M386" i="23"/>
  <c r="L386" i="23"/>
  <c r="K386" i="23"/>
  <c r="L385" i="23"/>
  <c r="K385" i="23"/>
  <c r="M385" i="23"/>
  <c r="M384" i="23"/>
  <c r="K384" i="23"/>
  <c r="L384" i="23"/>
  <c r="K383" i="23"/>
  <c r="M383" i="23"/>
  <c r="L383" i="23"/>
  <c r="L382" i="23"/>
  <c r="K382" i="23"/>
  <c r="M382" i="23"/>
  <c r="K381" i="23"/>
  <c r="M381" i="23"/>
  <c r="L381" i="23"/>
  <c r="M380" i="23"/>
  <c r="L380" i="23"/>
  <c r="K380" i="23"/>
  <c r="L379" i="23"/>
  <c r="K379" i="23"/>
  <c r="M379" i="23"/>
  <c r="K378" i="23"/>
  <c r="M378" i="23"/>
  <c r="L378" i="23"/>
  <c r="K377" i="23"/>
  <c r="L377" i="23"/>
  <c r="M377" i="23"/>
  <c r="M376" i="23"/>
  <c r="L376" i="23"/>
  <c r="K376" i="23"/>
  <c r="L375" i="23"/>
  <c r="M375" i="23"/>
  <c r="K375" i="23"/>
  <c r="M374" i="23"/>
  <c r="L374" i="23"/>
  <c r="K374" i="23"/>
  <c r="M373" i="23"/>
  <c r="K373" i="23"/>
  <c r="L373" i="23"/>
  <c r="K372" i="23"/>
  <c r="L372" i="23"/>
  <c r="M372" i="23"/>
  <c r="K371" i="23"/>
  <c r="L371" i="23"/>
  <c r="M371" i="23"/>
  <c r="M370" i="23"/>
  <c r="L370" i="23"/>
  <c r="K370" i="23"/>
  <c r="L369" i="23"/>
  <c r="K369" i="23"/>
  <c r="M369" i="23"/>
  <c r="L368" i="23"/>
  <c r="K368" i="23"/>
  <c r="M368" i="23"/>
  <c r="K366" i="23"/>
  <c r="M366" i="23"/>
  <c r="L366" i="23"/>
  <c r="M365" i="23"/>
  <c r="L365" i="23"/>
  <c r="K365" i="23"/>
  <c r="K364" i="23"/>
  <c r="L364" i="23"/>
  <c r="M364" i="23"/>
  <c r="M363" i="23"/>
  <c r="K363" i="23"/>
  <c r="L363" i="23"/>
  <c r="M362" i="23"/>
  <c r="L362" i="23"/>
  <c r="K362" i="23"/>
  <c r="L361" i="23"/>
  <c r="K361" i="23"/>
  <c r="M361" i="23"/>
  <c r="M360" i="23"/>
  <c r="L360" i="23"/>
  <c r="K360" i="23"/>
  <c r="M359" i="23"/>
  <c r="L359" i="23"/>
  <c r="K359" i="23"/>
  <c r="M358" i="23"/>
  <c r="L358" i="23"/>
  <c r="K358" i="23"/>
  <c r="L357" i="23"/>
  <c r="M357" i="23"/>
  <c r="K357" i="23"/>
  <c r="M356" i="23"/>
  <c r="L356" i="23"/>
  <c r="K356" i="23"/>
  <c r="M355" i="23"/>
  <c r="L355" i="23"/>
  <c r="K355" i="23"/>
  <c r="L354" i="23"/>
  <c r="K354" i="23"/>
  <c r="M354" i="23"/>
  <c r="K353" i="23"/>
  <c r="L353" i="23"/>
  <c r="M353" i="23"/>
  <c r="K321" i="23"/>
  <c r="M321" i="23"/>
  <c r="L321" i="23"/>
  <c r="L338" i="23"/>
  <c r="M338" i="23"/>
  <c r="L305" i="23"/>
  <c r="M305" i="23"/>
  <c r="K305" i="23"/>
  <c r="L333" i="23"/>
  <c r="K333" i="23"/>
  <c r="M333" i="23"/>
  <c r="L328" i="23"/>
  <c r="M328" i="23"/>
  <c r="K328" i="23"/>
  <c r="L352" i="23"/>
  <c r="M352" i="23"/>
  <c r="K352" i="23"/>
  <c r="M337" i="23"/>
  <c r="L337" i="23"/>
  <c r="K307" i="23"/>
  <c r="L307" i="23"/>
  <c r="M307" i="23"/>
  <c r="M351" i="23"/>
  <c r="L351" i="23"/>
  <c r="M322" i="23"/>
  <c r="L322" i="23"/>
  <c r="K309" i="23"/>
  <c r="L309" i="23"/>
  <c r="M350" i="23"/>
  <c r="L350" i="23"/>
  <c r="K350" i="23"/>
  <c r="M336" i="23"/>
  <c r="L336" i="23"/>
  <c r="K336" i="23"/>
  <c r="M310" i="23"/>
  <c r="L310" i="23"/>
  <c r="M349" i="23"/>
  <c r="L349" i="23"/>
  <c r="K349" i="23"/>
  <c r="M329" i="23"/>
  <c r="L329" i="23"/>
  <c r="K329" i="23"/>
  <c r="L348" i="23"/>
  <c r="M348" i="23"/>
  <c r="K348" i="23"/>
  <c r="M323" i="23"/>
  <c r="K323" i="23"/>
  <c r="L323" i="23"/>
  <c r="L311" i="23"/>
  <c r="K311" i="23"/>
  <c r="L312" i="23"/>
  <c r="K312" i="23"/>
  <c r="M347" i="23"/>
  <c r="L347" i="23"/>
  <c r="K347" i="23"/>
  <c r="M332" i="23"/>
  <c r="L332" i="23"/>
  <c r="K332" i="23"/>
  <c r="M346" i="23"/>
  <c r="L346" i="23"/>
  <c r="K346" i="23"/>
  <c r="M324" i="23"/>
  <c r="L324" i="23"/>
  <c r="K324" i="23"/>
  <c r="M313" i="23"/>
  <c r="L313" i="23"/>
  <c r="K313" i="23"/>
  <c r="M314" i="23"/>
  <c r="L314" i="23"/>
  <c r="K314" i="23"/>
  <c r="K335" i="23"/>
  <c r="M335" i="23"/>
  <c r="L335" i="23"/>
  <c r="L345" i="23"/>
  <c r="K345" i="23"/>
  <c r="M345" i="23"/>
  <c r="K315" i="23"/>
  <c r="L315" i="23"/>
  <c r="K327" i="23"/>
  <c r="L327" i="23"/>
  <c r="M327" i="23"/>
  <c r="L344" i="23"/>
  <c r="M344" i="23"/>
  <c r="K344" i="23"/>
  <c r="L334" i="23"/>
  <c r="M334" i="23"/>
  <c r="K334" i="23"/>
  <c r="L316" i="23"/>
  <c r="K316" i="23"/>
  <c r="M316" i="23"/>
  <c r="K343" i="23"/>
  <c r="L343" i="23"/>
  <c r="M343" i="23"/>
  <c r="K317" i="23"/>
  <c r="L317" i="23"/>
  <c r="M317" i="23"/>
  <c r="K330" i="23"/>
  <c r="L330" i="23"/>
  <c r="M330" i="23"/>
  <c r="K341" i="23"/>
  <c r="L341" i="23"/>
  <c r="M341" i="23"/>
  <c r="L325" i="23"/>
  <c r="K325" i="23"/>
  <c r="M325" i="23"/>
  <c r="M318" i="23"/>
  <c r="L318" i="23"/>
  <c r="K318" i="23"/>
  <c r="M319" i="23"/>
  <c r="L319" i="23"/>
  <c r="K319" i="23"/>
  <c r="K331" i="23"/>
  <c r="L331" i="23"/>
  <c r="M331" i="23"/>
  <c r="M340" i="23"/>
  <c r="L340" i="23"/>
  <c r="K340" i="23"/>
  <c r="M339" i="23"/>
  <c r="L339" i="23"/>
  <c r="K339" i="23"/>
  <c r="M326" i="23"/>
  <c r="L326" i="23"/>
  <c r="K326" i="23"/>
  <c r="M320" i="23"/>
  <c r="L320" i="23"/>
  <c r="K320" i="23"/>
  <c r="K406" i="23"/>
  <c r="L406" i="23"/>
  <c r="M406" i="23"/>
  <c r="L408" i="23"/>
  <c r="K408" i="23"/>
  <c r="M408" i="23"/>
  <c r="L410" i="23"/>
  <c r="K410" i="23"/>
  <c r="M412" i="23"/>
  <c r="K412" i="23"/>
  <c r="L413" i="23"/>
  <c r="M413" i="23"/>
  <c r="L414" i="23"/>
  <c r="M414" i="23"/>
  <c r="K414" i="23"/>
  <c r="M418" i="23"/>
  <c r="K418" i="23"/>
  <c r="K419" i="23"/>
  <c r="M419" i="23"/>
  <c r="M422" i="23"/>
  <c r="K422" i="23"/>
  <c r="L342" i="23"/>
  <c r="M342" i="23"/>
  <c r="K342" i="23"/>
  <c r="M423" i="23"/>
  <c r="K423" i="23"/>
  <c r="K425" i="23"/>
  <c r="M425" i="23"/>
  <c r="L425" i="23"/>
  <c r="M426" i="23"/>
  <c r="K426" i="23"/>
  <c r="K428" i="23"/>
  <c r="L428" i="23"/>
  <c r="M428" i="23"/>
  <c r="L429" i="23"/>
  <c r="K429" i="23"/>
  <c r="K440" i="23"/>
  <c r="M440" i="23"/>
  <c r="K444" i="23"/>
  <c r="L444" i="23"/>
  <c r="K445" i="23"/>
  <c r="L445" i="23"/>
  <c r="K446" i="23"/>
  <c r="L446" i="23"/>
  <c r="M446" i="23"/>
  <c r="L447" i="23"/>
  <c r="K447" i="23"/>
  <c r="K449" i="23"/>
  <c r="M449" i="23"/>
  <c r="K450" i="23"/>
  <c r="M450" i="23"/>
  <c r="M452" i="23"/>
  <c r="K452" i="23"/>
  <c r="L452" i="23"/>
  <c r="N534" i="23"/>
  <c r="O534" i="23"/>
  <c r="O455" i="23"/>
  <c r="N455" i="23"/>
  <c r="P455" i="23" s="1" a="1"/>
  <c r="N520" i="23"/>
  <c r="O520" i="23"/>
  <c r="N533" i="23"/>
  <c r="O533" i="23"/>
  <c r="N456" i="23"/>
  <c r="O456" i="23"/>
  <c r="O457" i="23"/>
  <c r="N457" i="23"/>
  <c r="P457" i="23" s="1" a="1"/>
  <c r="Q457" i="23" s="1"/>
  <c r="N458" i="23"/>
  <c r="O458" i="23"/>
  <c r="N461" i="23"/>
  <c r="O461" i="23"/>
  <c r="N463" i="23"/>
  <c r="O463" i="23"/>
  <c r="N531" i="23"/>
  <c r="O531" i="23"/>
  <c r="O530" i="23"/>
  <c r="N530" i="23"/>
  <c r="P530" i="23" s="1" a="1"/>
  <c r="Q530" i="23" s="1"/>
  <c r="N497" i="23"/>
  <c r="O497" i="23"/>
  <c r="N466" i="23"/>
  <c r="O466" i="23"/>
  <c r="O529" i="23"/>
  <c r="N529" i="23"/>
  <c r="P529" i="23" s="1" a="1"/>
  <c r="Q529" i="23" s="1"/>
  <c r="O498" i="23"/>
  <c r="N498" i="23"/>
  <c r="P498" i="23" s="1" a="1"/>
  <c r="Q498" i="23" s="1"/>
  <c r="N508" i="23"/>
  <c r="O508" i="23"/>
  <c r="N556" i="23"/>
  <c r="O556" i="23"/>
  <c r="N471" i="23"/>
  <c r="O471" i="23"/>
  <c r="O500" i="23"/>
  <c r="N500" i="23"/>
  <c r="P500" i="23" s="1" a="1"/>
  <c r="Q500" i="23" s="1"/>
  <c r="N555" i="23"/>
  <c r="O555" i="23"/>
  <c r="N554" i="23"/>
  <c r="O554" i="23"/>
  <c r="N527" i="23"/>
  <c r="O527" i="23"/>
  <c r="N509" i="23"/>
  <c r="O509" i="23"/>
  <c r="O474" i="23"/>
  <c r="N474" i="23"/>
  <c r="P474" i="23" s="1" a="1"/>
  <c r="Q474" i="23" s="1"/>
  <c r="O553" i="23"/>
  <c r="N553" i="23"/>
  <c r="P553" i="23" s="1" a="1"/>
  <c r="Q553" i="23" s="1"/>
  <c r="N552" i="23"/>
  <c r="O552" i="23"/>
  <c r="N518" i="23"/>
  <c r="O518" i="23"/>
  <c r="O551" i="23"/>
  <c r="N551" i="23"/>
  <c r="P551" i="23" s="1" a="1"/>
  <c r="Q551" i="23" s="1"/>
  <c r="O476" i="23"/>
  <c r="N476" i="23"/>
  <c r="P476" i="23" s="1" a="1"/>
  <c r="Q476" i="23" s="1"/>
  <c r="N526" i="23"/>
  <c r="O526" i="23"/>
  <c r="O501" i="23"/>
  <c r="N501" i="23"/>
  <c r="P501" i="23" s="1" a="1"/>
  <c r="Q501" i="23" s="1"/>
  <c r="N550" i="23"/>
  <c r="O550" i="23"/>
  <c r="N549" i="23"/>
  <c r="O549" i="23"/>
  <c r="O502" i="23"/>
  <c r="N502" i="23"/>
  <c r="P502" i="23" s="1" a="1"/>
  <c r="Q502" i="23" s="1"/>
  <c r="N479" i="23"/>
  <c r="O479" i="23"/>
  <c r="N547" i="23"/>
  <c r="O547" i="23"/>
  <c r="N546" i="23"/>
  <c r="O546" i="23"/>
  <c r="N544" i="23"/>
  <c r="O544" i="23"/>
  <c r="O484" i="23"/>
  <c r="N484" i="23"/>
  <c r="P484" i="23" s="1" a="1"/>
  <c r="Q484" i="23" s="1"/>
  <c r="N523" i="23"/>
  <c r="O523" i="23"/>
  <c r="N515" i="23"/>
  <c r="O515" i="23"/>
  <c r="O485" i="23"/>
  <c r="N485" i="23"/>
  <c r="P485" i="23" s="1" a="1"/>
  <c r="Q485" i="23" s="1"/>
  <c r="O487" i="23"/>
  <c r="N487" i="23"/>
  <c r="P487" i="23" s="1" a="1"/>
  <c r="Q487" i="23" s="1"/>
  <c r="O513" i="23"/>
  <c r="N513" i="23"/>
  <c r="P513" i="23" s="1" a="1"/>
  <c r="Q513" i="23" s="1"/>
  <c r="O511" i="23"/>
  <c r="N511" i="23"/>
  <c r="P511" i="23" s="1" a="1"/>
  <c r="Q511" i="23" s="1"/>
  <c r="O490" i="23"/>
  <c r="N490" i="23"/>
  <c r="P490" i="23" s="1" a="1"/>
  <c r="Q490" i="23" s="1"/>
  <c r="N521" i="23"/>
  <c r="O521" i="23"/>
  <c r="O536" i="23"/>
  <c r="N536" i="23"/>
  <c r="P536" i="23" s="1" a="1"/>
  <c r="Q536" i="23" s="1"/>
  <c r="N506" i="23"/>
  <c r="O506" i="23"/>
  <c r="O493" i="23"/>
  <c r="N493" i="23"/>
  <c r="P493" i="23" s="1" a="1"/>
  <c r="Q493" i="23" s="1"/>
  <c r="N401" i="23"/>
  <c r="O401" i="23"/>
  <c r="O43" i="23"/>
  <c r="N43" i="23"/>
  <c r="P43" i="23" s="1" a="1"/>
  <c r="O75" i="23"/>
  <c r="N75" i="23"/>
  <c r="P75" i="23" s="1" a="1"/>
  <c r="Q75" i="23" s="1"/>
  <c r="P2" i="23" a="1"/>
  <c r="L296" i="23"/>
  <c r="M296" i="23"/>
  <c r="K296" i="23"/>
  <c r="M267" i="23"/>
  <c r="L267" i="23"/>
  <c r="M191" i="23"/>
  <c r="K191" i="23"/>
  <c r="L209" i="23"/>
  <c r="M209" i="23"/>
  <c r="M279" i="23"/>
  <c r="K279" i="23"/>
  <c r="L287" i="23"/>
  <c r="K287" i="23"/>
  <c r="M287" i="23"/>
  <c r="M259" i="23"/>
  <c r="K259" i="23"/>
  <c r="L259" i="23"/>
  <c r="K153" i="23"/>
  <c r="L153" i="23"/>
  <c r="M153" i="23"/>
  <c r="M285" i="23"/>
  <c r="K285" i="23"/>
  <c r="L285" i="23"/>
  <c r="M260" i="23"/>
  <c r="L260" i="23"/>
  <c r="K260" i="23"/>
  <c r="L154" i="23"/>
  <c r="K154" i="23"/>
  <c r="M154" i="23"/>
  <c r="M204" i="23"/>
  <c r="K204" i="23"/>
  <c r="K238" i="23"/>
  <c r="L238" i="23"/>
  <c r="K155" i="23"/>
  <c r="L155" i="23"/>
  <c r="M155" i="23"/>
  <c r="M156" i="23"/>
  <c r="L156" i="23"/>
  <c r="K156" i="23"/>
  <c r="K261" i="23"/>
  <c r="L261" i="23"/>
  <c r="K157" i="23"/>
  <c r="M157" i="23"/>
  <c r="L157" i="23"/>
  <c r="K207" i="23"/>
  <c r="M207" i="23"/>
  <c r="L239" i="23"/>
  <c r="M239" i="23"/>
  <c r="M158" i="23"/>
  <c r="L158" i="23"/>
  <c r="K158" i="23"/>
  <c r="M159" i="23"/>
  <c r="L159" i="23"/>
  <c r="L240" i="23"/>
  <c r="M240" i="23"/>
  <c r="L277" i="23"/>
  <c r="K277" i="23"/>
  <c r="L208" i="23"/>
  <c r="M208" i="23"/>
  <c r="M273" i="23"/>
  <c r="L273" i="23"/>
  <c r="K273" i="23"/>
  <c r="L160" i="23"/>
  <c r="M160" i="23"/>
  <c r="K160" i="23"/>
  <c r="K161" i="23"/>
  <c r="L161" i="23"/>
  <c r="M161" i="23"/>
  <c r="L162" i="23"/>
  <c r="M162" i="23"/>
  <c r="K162" i="23"/>
  <c r="M241" i="23"/>
  <c r="L241" i="23"/>
  <c r="L242" i="23"/>
  <c r="K242" i="23"/>
  <c r="M242" i="23"/>
  <c r="K210" i="23"/>
  <c r="M210" i="23"/>
  <c r="L163" i="23"/>
  <c r="K163" i="23"/>
  <c r="M163" i="23"/>
  <c r="K263" i="23"/>
  <c r="M263" i="23"/>
  <c r="L263" i="23"/>
  <c r="M164" i="23"/>
  <c r="L164" i="23"/>
  <c r="K164" i="23"/>
  <c r="L284" i="23"/>
  <c r="K284" i="23"/>
  <c r="M165" i="23"/>
  <c r="L165" i="23"/>
  <c r="K165" i="23"/>
  <c r="L243" i="23"/>
  <c r="M243" i="23"/>
  <c r="K212" i="23"/>
  <c r="M212" i="23"/>
  <c r="L212" i="23"/>
  <c r="K166" i="23"/>
  <c r="L166" i="23"/>
  <c r="M166" i="23"/>
  <c r="M213" i="23"/>
  <c r="K213" i="23"/>
  <c r="L213" i="23"/>
  <c r="K167" i="23"/>
  <c r="M167" i="23"/>
  <c r="L167" i="23"/>
  <c r="M281" i="23"/>
  <c r="L281" i="23"/>
  <c r="K168" i="23"/>
  <c r="L168" i="23"/>
  <c r="M168" i="23"/>
  <c r="M169" i="23"/>
  <c r="L169" i="23"/>
  <c r="K169" i="23"/>
  <c r="L215" i="23"/>
  <c r="M215" i="23"/>
  <c r="K215" i="23"/>
  <c r="K170" i="23"/>
  <c r="M170" i="23"/>
  <c r="L170" i="23"/>
  <c r="K245" i="23"/>
  <c r="L245" i="23"/>
  <c r="M245" i="23"/>
  <c r="M216" i="23"/>
  <c r="L216" i="23"/>
  <c r="M171" i="23"/>
  <c r="K171" i="23"/>
  <c r="L171" i="23"/>
  <c r="L283" i="23"/>
  <c r="K283" i="23"/>
  <c r="M172" i="23"/>
  <c r="L172" i="23"/>
  <c r="K172" i="23"/>
  <c r="K173" i="23"/>
  <c r="L173" i="23"/>
  <c r="M173" i="23"/>
  <c r="L246" i="23"/>
  <c r="K246" i="23"/>
  <c r="K278" i="23"/>
  <c r="L278" i="23"/>
  <c r="M278" i="23"/>
  <c r="L174" i="23"/>
  <c r="K174" i="23"/>
  <c r="M174" i="23"/>
  <c r="M175" i="23"/>
  <c r="L175" i="23"/>
  <c r="K218" i="23"/>
  <c r="M218" i="23"/>
  <c r="K219" i="23"/>
  <c r="L219" i="23"/>
  <c r="M219" i="23"/>
  <c r="K176" i="23"/>
  <c r="M176" i="23"/>
  <c r="L176" i="23"/>
  <c r="L177" i="23"/>
  <c r="M177" i="23"/>
  <c r="L266" i="23"/>
  <c r="M266" i="23"/>
  <c r="M220" i="23"/>
  <c r="L220" i="23"/>
  <c r="K220" i="23"/>
  <c r="L178" i="23"/>
  <c r="M178" i="23"/>
  <c r="K280" i="23"/>
  <c r="M280" i="23"/>
  <c r="K179" i="23"/>
  <c r="M179" i="23"/>
  <c r="L179" i="23"/>
  <c r="M180" i="23"/>
  <c r="K180" i="23"/>
  <c r="L180" i="23"/>
  <c r="L290" i="23"/>
  <c r="M290" i="23"/>
  <c r="M222" i="23"/>
  <c r="L222" i="23"/>
  <c r="K222" i="23"/>
  <c r="K268" i="23"/>
  <c r="M268" i="23"/>
  <c r="L181" i="23"/>
  <c r="K181" i="23"/>
  <c r="M181" i="23"/>
  <c r="M182" i="23"/>
  <c r="L182" i="23"/>
  <c r="M250" i="23"/>
  <c r="K250" i="23"/>
  <c r="L250" i="23"/>
  <c r="L289" i="23"/>
  <c r="M289" i="23"/>
  <c r="K289" i="23"/>
  <c r="K183" i="23"/>
  <c r="M183" i="23"/>
  <c r="M224" i="23"/>
  <c r="K224" i="23"/>
  <c r="K184" i="23"/>
  <c r="L184" i="23"/>
  <c r="M184" i="23"/>
  <c r="K251" i="23"/>
  <c r="L251" i="23"/>
  <c r="M251" i="23"/>
  <c r="L225" i="23"/>
  <c r="M225" i="23"/>
  <c r="K225" i="23"/>
  <c r="K185" i="23"/>
  <c r="M185" i="23"/>
  <c r="K288" i="23"/>
  <c r="M288" i="23"/>
  <c r="M252" i="23"/>
  <c r="L252" i="23"/>
  <c r="M187" i="23"/>
  <c r="K187" i="23"/>
  <c r="L187" i="23"/>
  <c r="L253" i="23"/>
  <c r="M253" i="23"/>
  <c r="K275" i="23"/>
  <c r="M275" i="23"/>
  <c r="L275" i="23"/>
  <c r="M298" i="23"/>
  <c r="L298" i="23"/>
  <c r="M254" i="23"/>
  <c r="L254" i="23"/>
  <c r="L228" i="23"/>
  <c r="K228" i="23"/>
  <c r="M190" i="23"/>
  <c r="L190" i="23"/>
  <c r="K190" i="23"/>
  <c r="L229" i="23"/>
  <c r="M229" i="23"/>
  <c r="K303" i="23"/>
  <c r="M303" i="23"/>
  <c r="L192" i="23"/>
  <c r="M192" i="23"/>
  <c r="M302" i="23"/>
  <c r="L302" i="23"/>
  <c r="K302" i="23"/>
  <c r="M230" i="23"/>
  <c r="L230" i="23"/>
  <c r="K230" i="23"/>
  <c r="K194" i="23"/>
  <c r="M194" i="23"/>
  <c r="M231" i="23"/>
  <c r="L231" i="23"/>
  <c r="K231" i="23"/>
  <c r="M270" i="23"/>
  <c r="K270" i="23"/>
  <c r="L270" i="23"/>
  <c r="K286" i="23"/>
  <c r="M286" i="23"/>
  <c r="L301" i="23"/>
  <c r="M301" i="23"/>
  <c r="K301" i="23"/>
  <c r="K232" i="23"/>
  <c r="M232" i="23"/>
  <c r="L232" i="23"/>
  <c r="L256" i="23"/>
  <c r="M256" i="23"/>
  <c r="K256" i="23"/>
  <c r="M196" i="23"/>
  <c r="L196" i="23"/>
  <c r="K196" i="23"/>
  <c r="M257" i="23"/>
  <c r="L257" i="23"/>
  <c r="K300" i="23"/>
  <c r="M300" i="23"/>
  <c r="L300" i="23"/>
  <c r="L197" i="23"/>
  <c r="K197" i="23"/>
  <c r="M197" i="23"/>
  <c r="K258" i="23"/>
  <c r="L258" i="23"/>
  <c r="M258" i="23"/>
  <c r="M234" i="23"/>
  <c r="L234" i="23"/>
  <c r="L276" i="23"/>
  <c r="K276" i="23"/>
  <c r="L200" i="23"/>
  <c r="K200" i="23"/>
  <c r="M200" i="23"/>
  <c r="M202" i="23"/>
  <c r="L202" i="23"/>
  <c r="K202" i="23"/>
  <c r="N405" i="23"/>
  <c r="O405" i="23"/>
  <c r="N403" i="23"/>
  <c r="O403" i="23"/>
  <c r="N402" i="23"/>
  <c r="O402" i="23"/>
  <c r="O308" i="23"/>
  <c r="N308" i="23"/>
  <c r="P308" i="23" s="1" a="1"/>
  <c r="Q308" i="23" s="1"/>
  <c r="O404" i="23"/>
  <c r="N404" i="23"/>
  <c r="P404" i="23" s="1" a="1"/>
  <c r="Q404" i="23" s="1"/>
  <c r="N407" i="23"/>
  <c r="O407" i="23"/>
  <c r="N409" i="23"/>
  <c r="O409" i="23"/>
  <c r="O411" i="23"/>
  <c r="N411" i="23"/>
  <c r="P411" i="23" s="1" a="1"/>
  <c r="Q411" i="23" s="1"/>
  <c r="N415" i="23"/>
  <c r="O415" i="23"/>
  <c r="O416" i="23"/>
  <c r="N416" i="23"/>
  <c r="N435" i="23"/>
  <c r="O435" i="23"/>
  <c r="N417" i="23"/>
  <c r="O417" i="23"/>
  <c r="O420" i="23"/>
  <c r="N420" i="23"/>
  <c r="P420" i="23" s="1" a="1"/>
  <c r="Q420" i="23" s="1"/>
  <c r="N421" i="23"/>
  <c r="O421" i="23"/>
  <c r="O424" i="23"/>
  <c r="N424" i="23"/>
  <c r="P424" i="23" s="1" a="1"/>
  <c r="Q424" i="23" s="1"/>
  <c r="N427" i="23"/>
  <c r="O427" i="23"/>
  <c r="N430" i="23"/>
  <c r="O430" i="23"/>
  <c r="N431" i="23"/>
  <c r="O431" i="23"/>
  <c r="N432" i="23"/>
  <c r="O432" i="23"/>
  <c r="N433" i="23"/>
  <c r="O433" i="23"/>
  <c r="O434" i="23"/>
  <c r="N434" i="23"/>
  <c r="P434" i="23" s="1" a="1"/>
  <c r="Q434" i="23" s="1"/>
  <c r="N436" i="23"/>
  <c r="O436" i="23"/>
  <c r="N437" i="23"/>
  <c r="O437" i="23"/>
  <c r="N438" i="23"/>
  <c r="O438" i="23"/>
  <c r="O439" i="23"/>
  <c r="N439" i="23"/>
  <c r="P439" i="23" s="1" a="1"/>
  <c r="Q439" i="23" s="1"/>
  <c r="O443" i="23"/>
  <c r="N443" i="23"/>
  <c r="P443" i="23" s="1" a="1"/>
  <c r="Q443" i="23" s="1"/>
  <c r="O448" i="23"/>
  <c r="N448" i="23"/>
  <c r="P448" i="23" s="1" a="1"/>
  <c r="Q448" i="23" s="1"/>
  <c r="N451" i="23"/>
  <c r="O451" i="23"/>
  <c r="O453" i="23"/>
  <c r="N453" i="23"/>
  <c r="P453" i="23" s="1" a="1"/>
  <c r="Q453" i="23" s="1"/>
  <c r="N454" i="23"/>
  <c r="O454" i="23"/>
  <c r="O203" i="23"/>
  <c r="N203" i="23"/>
  <c r="P203" i="23" s="1" a="1"/>
  <c r="Q203" i="23" s="1"/>
  <c r="O205" i="23"/>
  <c r="N205" i="23"/>
  <c r="P205" i="23" s="1" a="1"/>
  <c r="Q205" i="23" s="1"/>
  <c r="O206" i="23"/>
  <c r="N206" i="23"/>
  <c r="O262" i="23"/>
  <c r="N262" i="23"/>
  <c r="P262" i="23" s="1" a="1"/>
  <c r="Q262" i="23" s="1"/>
  <c r="O211" i="23"/>
  <c r="N211" i="23"/>
  <c r="P211" i="23" s="1" a="1"/>
  <c r="Q211" i="23" s="1"/>
  <c r="O264" i="23"/>
  <c r="N264" i="23"/>
  <c r="P264" i="23" s="1" a="1"/>
  <c r="Q264" i="23" s="1"/>
  <c r="O293" i="23"/>
  <c r="N293" i="23"/>
  <c r="P293" i="23" s="1" a="1"/>
  <c r="Q293" i="23" s="1"/>
  <c r="O214" i="23"/>
  <c r="N214" i="23"/>
  <c r="P214" i="23" s="1" a="1"/>
  <c r="Q214" i="23" s="1"/>
  <c r="O244" i="23"/>
  <c r="N244" i="23"/>
  <c r="P244" i="23" s="1" a="1"/>
  <c r="Q244" i="23" s="1"/>
  <c r="O265" i="23"/>
  <c r="N265" i="23"/>
  <c r="P265" i="23" s="1" a="1"/>
  <c r="Q265" i="23" s="1"/>
  <c r="O217" i="23"/>
  <c r="N217" i="23"/>
  <c r="P217" i="23" s="1" a="1"/>
  <c r="Q217" i="23" s="1"/>
  <c r="O274" i="23"/>
  <c r="N274" i="23"/>
  <c r="P274" i="23" s="1" a="1"/>
  <c r="Q274" i="23" s="1"/>
  <c r="O291" i="23"/>
  <c r="N291" i="23"/>
  <c r="P291" i="23" s="1" a="1"/>
  <c r="Q291" i="23" s="1"/>
  <c r="O247" i="23"/>
  <c r="N247" i="23"/>
  <c r="P247" i="23" s="1" a="1"/>
  <c r="Q247" i="23" s="1"/>
  <c r="O248" i="23"/>
  <c r="N248" i="23"/>
  <c r="P248" i="23" s="1" a="1"/>
  <c r="Q248" i="23" s="1"/>
  <c r="O221" i="23"/>
  <c r="N221" i="23"/>
  <c r="P221" i="23" s="1" a="1"/>
  <c r="Q221" i="23" s="1"/>
  <c r="O249" i="23"/>
  <c r="N249" i="23"/>
  <c r="P249" i="23" s="1" a="1"/>
  <c r="Q249" i="23" s="1"/>
  <c r="O223" i="23"/>
  <c r="N223" i="23"/>
  <c r="P223" i="23" s="1" a="1"/>
  <c r="Q223" i="23" s="1"/>
  <c r="O282" i="23"/>
  <c r="N282" i="23"/>
  <c r="P282" i="23" s="1" a="1"/>
  <c r="Q282" i="23" s="1"/>
  <c r="O269" i="23"/>
  <c r="N269" i="23"/>
  <c r="P269" i="23" s="1" a="1"/>
  <c r="Q269" i="23" s="1"/>
  <c r="O186" i="23"/>
  <c r="N186" i="23"/>
  <c r="P186" i="23" s="1" a="1"/>
  <c r="Q186" i="23" s="1"/>
  <c r="O226" i="23"/>
  <c r="N226" i="23"/>
  <c r="P226" i="23" s="1" a="1"/>
  <c r="Q226" i="23" s="1"/>
  <c r="O188" i="23"/>
  <c r="N188" i="23"/>
  <c r="P188" i="23" s="1" a="1"/>
  <c r="Q188" i="23" s="1"/>
  <c r="O189" i="23"/>
  <c r="N189" i="23"/>
  <c r="P189" i="23" s="1" a="1"/>
  <c r="Q189" i="23" s="1"/>
  <c r="O227" i="23"/>
  <c r="N227" i="23"/>
  <c r="O193" i="23"/>
  <c r="N193" i="23"/>
  <c r="P193" i="23" s="1" a="1"/>
  <c r="Q193" i="23" s="1"/>
  <c r="O195" i="23"/>
  <c r="N195" i="23"/>
  <c r="P195" i="23" s="1" a="1"/>
  <c r="Q195" i="23" s="1"/>
  <c r="O233" i="23"/>
  <c r="N233" i="23"/>
  <c r="P233" i="23" s="1" a="1"/>
  <c r="Q233" i="23" s="1"/>
  <c r="O198" i="23"/>
  <c r="N198" i="23"/>
  <c r="P198" i="23" s="1" a="1"/>
  <c r="Q198" i="23" s="1"/>
  <c r="O199" i="23"/>
  <c r="N199" i="23"/>
  <c r="P199" i="23" s="1" a="1"/>
  <c r="Q199" i="23" s="1"/>
  <c r="O235" i="23"/>
  <c r="N235" i="23"/>
  <c r="P235" i="23" s="1" a="1"/>
  <c r="Q235" i="23" s="1"/>
  <c r="O201" i="23"/>
  <c r="N201" i="23"/>
  <c r="P201" i="23" s="1" a="1"/>
  <c r="Q201" i="23" s="1"/>
  <c r="O272" i="23"/>
  <c r="N272" i="23"/>
  <c r="P272" i="23" s="1" a="1"/>
  <c r="Q272" i="23" s="1"/>
  <c r="O236" i="23"/>
  <c r="N236" i="23"/>
  <c r="P236" i="23" s="1" a="1"/>
  <c r="Q236" i="23" s="1"/>
  <c r="K26" i="22"/>
  <c r="L26" i="22" s="1"/>
  <c r="M26" i="22" s="1"/>
  <c r="L19" i="22"/>
  <c r="Q3" i="23"/>
  <c r="P142" i="23" l="1" a="1"/>
  <c r="Q142" i="23" s="1"/>
  <c r="N299" i="23"/>
  <c r="O299" i="23"/>
  <c r="O294" i="23"/>
  <c r="N294" i="23"/>
  <c r="P294" i="23" s="1" a="1"/>
  <c r="Q294" i="23" s="1"/>
  <c r="N271" i="23"/>
  <c r="O271" i="23"/>
  <c r="X74" i="22"/>
  <c r="Y74" i="22"/>
  <c r="AB74" i="22"/>
  <c r="E74" i="22" a="1"/>
  <c r="P12" i="23" a="1"/>
  <c r="Q12" i="23" s="1"/>
  <c r="O564" i="23"/>
  <c r="S98" i="28"/>
  <c r="S68" i="28"/>
  <c r="S18" i="28"/>
  <c r="S126" i="28"/>
  <c r="S63" i="28"/>
  <c r="S142" i="28"/>
  <c r="S78" i="28"/>
  <c r="S134" i="28"/>
  <c r="S53" i="28"/>
  <c r="S35" i="28"/>
  <c r="S123" i="28"/>
  <c r="S76" i="28"/>
  <c r="S64" i="28"/>
  <c r="S139" i="28"/>
  <c r="S97" i="28"/>
  <c r="S66" i="28"/>
  <c r="S41" i="28"/>
  <c r="S38" i="28"/>
  <c r="S104" i="28"/>
  <c r="S80" i="28"/>
  <c r="S20" i="28"/>
  <c r="S101" i="28"/>
  <c r="S138" i="28"/>
  <c r="S71" i="28"/>
  <c r="T71" i="28" s="1"/>
  <c r="S17" i="28"/>
  <c r="S106" i="28"/>
  <c r="S51" i="28"/>
  <c r="T51" i="28" s="1"/>
  <c r="S52" i="28"/>
  <c r="T52" i="28" s="1"/>
  <c r="S9" i="28"/>
  <c r="S54" i="28"/>
  <c r="S105" i="28"/>
  <c r="S129" i="28"/>
  <c r="S140" i="28"/>
  <c r="S22" i="28"/>
  <c r="S59" i="28"/>
  <c r="S93" i="28"/>
  <c r="S29" i="28"/>
  <c r="S89" i="28"/>
  <c r="S117" i="28"/>
  <c r="S43" i="28"/>
  <c r="S12" i="28"/>
  <c r="S88" i="28"/>
  <c r="S33" i="28"/>
  <c r="S116" i="28"/>
  <c r="S36" i="28"/>
  <c r="S5" i="28"/>
  <c r="T5" i="28" s="1"/>
  <c r="S26" i="28"/>
  <c r="S82" i="28"/>
  <c r="S44" i="28"/>
  <c r="S120" i="28"/>
  <c r="S60" i="28"/>
  <c r="S127" i="28"/>
  <c r="S34" i="28"/>
  <c r="S103" i="28"/>
  <c r="S83" i="28"/>
  <c r="S24" i="28"/>
  <c r="S7" i="28"/>
  <c r="S32" i="28"/>
  <c r="S70" i="28"/>
  <c r="S94" i="28"/>
  <c r="S115" i="28"/>
  <c r="S6" i="28"/>
  <c r="S27" i="28"/>
  <c r="S69" i="28"/>
  <c r="S92" i="28"/>
  <c r="S111" i="28"/>
  <c r="S128" i="28"/>
  <c r="S30" i="28"/>
  <c r="S84" i="28"/>
  <c r="S119" i="28"/>
  <c r="S136" i="28"/>
  <c r="S4" i="28"/>
  <c r="S40" i="28"/>
  <c r="S77" i="28"/>
  <c r="S61" i="28"/>
  <c r="S57" i="28"/>
  <c r="S8" i="28"/>
  <c r="S21" i="28"/>
  <c r="S45" i="28"/>
  <c r="S108" i="28"/>
  <c r="S58" i="28"/>
  <c r="T58" i="28" s="1"/>
  <c r="S130" i="28"/>
  <c r="S90" i="28"/>
  <c r="S100" i="28"/>
  <c r="S56" i="28"/>
  <c r="S19" i="28"/>
  <c r="S102" i="28"/>
  <c r="S133" i="28"/>
  <c r="S114" i="28"/>
  <c r="S143" i="28"/>
  <c r="S87" i="28"/>
  <c r="S62" i="28"/>
  <c r="S31" i="28"/>
  <c r="S99" i="28"/>
  <c r="S74" i="28"/>
  <c r="S14" i="28"/>
  <c r="T14" i="28" s="1"/>
  <c r="S42" i="28"/>
  <c r="T42" i="28" s="1"/>
  <c r="O306" i="23"/>
  <c r="N306" i="23"/>
  <c r="P306" i="23" s="1" a="1"/>
  <c r="Q306" i="23" s="1"/>
  <c r="O255" i="23"/>
  <c r="N255" i="23"/>
  <c r="P255" i="23" s="1" a="1"/>
  <c r="Q255" i="23" s="1"/>
  <c r="J19" i="24"/>
  <c r="Y19" i="24" s="1" a="1"/>
  <c r="J24" i="24"/>
  <c r="Y24" i="24" s="1" a="1"/>
  <c r="J120" i="24"/>
  <c r="Y120" i="24" s="1" a="1"/>
  <c r="J33" i="24"/>
  <c r="Y33" i="24" s="1" a="1"/>
  <c r="J35" i="24"/>
  <c r="Y35" i="24" s="1" a="1"/>
  <c r="J58" i="24"/>
  <c r="Y58" i="24" s="1" a="1"/>
  <c r="J131" i="24"/>
  <c r="Y131" i="24" s="1" a="1"/>
  <c r="J117" i="24"/>
  <c r="Y117" i="24" s="1" a="1"/>
  <c r="J104" i="24"/>
  <c r="Y104" i="24" s="1" a="1"/>
  <c r="J107" i="24"/>
  <c r="Y107" i="24" s="1" a="1"/>
  <c r="J109" i="24"/>
  <c r="Y109" i="24" s="1" a="1"/>
  <c r="J32" i="24"/>
  <c r="Y32" i="24" s="1" a="1"/>
  <c r="J93" i="24"/>
  <c r="Y93" i="24" s="1" a="1"/>
  <c r="J106" i="24"/>
  <c r="Y106" i="24" s="1" a="1"/>
  <c r="J53" i="24"/>
  <c r="Y53" i="24" s="1" a="1"/>
  <c r="J45" i="24"/>
  <c r="Y45" i="24" s="1" a="1"/>
  <c r="J122" i="24"/>
  <c r="Y122" i="24" s="1" a="1"/>
  <c r="J38" i="24"/>
  <c r="Y38" i="24" s="1" a="1"/>
  <c r="J139" i="24"/>
  <c r="Y139" i="24" s="1" a="1"/>
  <c r="J124" i="24"/>
  <c r="Y124" i="24" s="1" a="1"/>
  <c r="J126" i="24"/>
  <c r="Y126" i="24" s="1" a="1"/>
  <c r="J143" i="24"/>
  <c r="Y143" i="24" s="1" a="1"/>
  <c r="J137" i="24"/>
  <c r="Y137" i="24" s="1" a="1"/>
  <c r="J128" i="24"/>
  <c r="Y128" i="24" s="1" a="1"/>
  <c r="J10" i="24"/>
  <c r="Y10" i="24" s="1" a="1"/>
  <c r="J5" i="24"/>
  <c r="Y5" i="24" s="1" a="1"/>
  <c r="J127" i="24"/>
  <c r="Y127" i="24" s="1" a="1"/>
  <c r="J36" i="24"/>
  <c r="Y36" i="24" s="1" a="1"/>
  <c r="J85" i="24"/>
  <c r="Y85" i="24" s="1" a="1"/>
  <c r="J50" i="24"/>
  <c r="Y50" i="24" s="1" a="1"/>
  <c r="J65" i="24"/>
  <c r="Y65" i="24" s="1" a="1"/>
  <c r="J8" i="24"/>
  <c r="Y8" i="24" s="1" a="1"/>
  <c r="J34" i="24"/>
  <c r="Y34" i="24" s="1" a="1"/>
  <c r="J30" i="24"/>
  <c r="Y30" i="24" s="1" a="1"/>
  <c r="J67" i="24"/>
  <c r="Y67" i="24" s="1" a="1"/>
  <c r="J83" i="24"/>
  <c r="Y83" i="24" s="1" a="1"/>
  <c r="J140" i="24"/>
  <c r="Y140" i="24" s="1" a="1"/>
  <c r="J136" i="24"/>
  <c r="Y136" i="24" s="1" a="1"/>
  <c r="J129" i="24"/>
  <c r="Y129" i="24" s="1" a="1"/>
  <c r="J79" i="24"/>
  <c r="Y79" i="24" s="1" a="1"/>
  <c r="J102" i="24"/>
  <c r="Y102" i="24" s="1" a="1"/>
  <c r="J91" i="24"/>
  <c r="Y91" i="24" s="1" a="1"/>
  <c r="J94" i="24"/>
  <c r="Y94" i="24" s="1" a="1"/>
  <c r="J43" i="24"/>
  <c r="Y43" i="24" s="1" a="1"/>
  <c r="J113" i="24"/>
  <c r="Y113" i="24" s="1" a="1"/>
  <c r="J134" i="24"/>
  <c r="Y134" i="24" s="1" a="1"/>
  <c r="J101" i="24"/>
  <c r="Y101" i="24" s="1" a="1"/>
  <c r="J118" i="24"/>
  <c r="Y118" i="24" s="1" a="1"/>
  <c r="J110" i="24"/>
  <c r="Y110" i="24" s="1" a="1"/>
  <c r="J141" i="24"/>
  <c r="Y141" i="24" s="1" a="1"/>
  <c r="J14" i="24"/>
  <c r="Y14" i="24" s="1" a="1"/>
  <c r="J12" i="24"/>
  <c r="Y12" i="24" s="1" a="1"/>
  <c r="J20" i="24"/>
  <c r="Y20" i="24" s="1" a="1"/>
  <c r="J25" i="24"/>
  <c r="Y25" i="24" s="1" a="1"/>
  <c r="J7" i="24"/>
  <c r="Y7" i="24" s="1" a="1"/>
  <c r="J54" i="24"/>
  <c r="Y54" i="24" s="1" a="1"/>
  <c r="J57" i="24"/>
  <c r="Y57" i="24" s="1" a="1"/>
  <c r="J31" i="24"/>
  <c r="Y31" i="24" s="1" a="1"/>
  <c r="J82" i="24"/>
  <c r="Y82" i="24" s="1" a="1"/>
  <c r="J6" i="24"/>
  <c r="Y6" i="24" s="1" a="1"/>
  <c r="J60" i="24"/>
  <c r="Y60" i="24" s="1" a="1"/>
  <c r="J71" i="24"/>
  <c r="Y71" i="24" s="1" a="1"/>
  <c r="J125" i="24"/>
  <c r="Y125" i="24" s="1" a="1"/>
  <c r="J88" i="24"/>
  <c r="Y88" i="24" s="1" a="1"/>
  <c r="J111" i="24"/>
  <c r="Y111" i="24" s="1" a="1"/>
  <c r="J133" i="24"/>
  <c r="Y133" i="24" s="1" a="1"/>
  <c r="J39" i="24"/>
  <c r="Y39" i="24" s="1" a="1"/>
  <c r="J64" i="24"/>
  <c r="Y64" i="24" s="1" a="1"/>
  <c r="J42" i="24"/>
  <c r="Y42" i="24" s="1" a="1"/>
  <c r="J142" i="24"/>
  <c r="Y142" i="24" s="1" a="1"/>
  <c r="J23" i="24"/>
  <c r="Y23" i="24" s="1" a="1"/>
  <c r="J16" i="24"/>
  <c r="Y16" i="24" s="1" a="1"/>
  <c r="J89" i="24"/>
  <c r="Y89" i="24" s="1" a="1"/>
  <c r="J87" i="24"/>
  <c r="Y87" i="24" s="1" a="1"/>
  <c r="J46" i="24"/>
  <c r="Y46" i="24" s="1" a="1"/>
  <c r="J116" i="24"/>
  <c r="Y116" i="24" s="1" a="1"/>
  <c r="J56" i="24"/>
  <c r="Y56" i="24" s="1" a="1"/>
  <c r="J108" i="24"/>
  <c r="Y108" i="24" s="1" a="1"/>
  <c r="J80" i="24"/>
  <c r="Y80" i="24" s="1" a="1"/>
  <c r="J115" i="24"/>
  <c r="Y115" i="24" s="1" a="1"/>
  <c r="J55" i="24"/>
  <c r="Y55" i="24" s="1" a="1"/>
  <c r="J112" i="24"/>
  <c r="Y112" i="24" s="1" a="1"/>
  <c r="J27" i="24"/>
  <c r="Y27" i="24" s="1" a="1"/>
  <c r="J22" i="24"/>
  <c r="Y22" i="24" s="1" a="1"/>
  <c r="J18" i="24"/>
  <c r="Y18" i="24" s="1" a="1"/>
  <c r="J21" i="24"/>
  <c r="Y21" i="24" s="1" a="1"/>
  <c r="J135" i="24"/>
  <c r="Y135" i="24" s="1" a="1"/>
  <c r="J78" i="24"/>
  <c r="Y78" i="24" s="1" a="1"/>
  <c r="J68" i="24"/>
  <c r="Y68" i="24" s="1" a="1"/>
  <c r="J37" i="24"/>
  <c r="Y37" i="24" s="1" a="1"/>
  <c r="J69" i="24"/>
  <c r="Y69" i="24" s="1" a="1"/>
  <c r="J63" i="24"/>
  <c r="Y63" i="24" s="1" a="1"/>
  <c r="J13" i="24"/>
  <c r="Y13" i="24" s="1" a="1"/>
  <c r="J59" i="24"/>
  <c r="Y59" i="24" s="1" a="1"/>
  <c r="J86" i="24"/>
  <c r="Y86" i="24" s="1" a="1"/>
  <c r="J75" i="24"/>
  <c r="Y75" i="24" s="1" a="1"/>
  <c r="J52" i="24"/>
  <c r="Y52" i="24" s="1" a="1"/>
  <c r="J96" i="24"/>
  <c r="Y96" i="24" s="1" a="1"/>
  <c r="J92" i="24"/>
  <c r="Y92" i="24" s="1" a="1"/>
  <c r="J4" i="24"/>
  <c r="Y4" i="24" s="1" a="1"/>
  <c r="J49" i="24"/>
  <c r="Y49" i="24" s="1" a="1"/>
  <c r="J28" i="24"/>
  <c r="Y28" i="24" s="1" a="1"/>
  <c r="J9" i="24"/>
  <c r="Y9" i="24" s="1" a="1"/>
  <c r="J123" i="24"/>
  <c r="Y123" i="24" s="1" a="1"/>
  <c r="J73" i="24"/>
  <c r="Y73" i="24" s="1" a="1"/>
  <c r="J70" i="24"/>
  <c r="Y70" i="24" s="1" a="1"/>
  <c r="J17" i="24"/>
  <c r="Y17" i="24" s="1" a="1"/>
  <c r="J100" i="24"/>
  <c r="Y100" i="24" s="1" a="1"/>
  <c r="J98" i="24"/>
  <c r="Y98" i="24" s="1" a="1"/>
  <c r="J130" i="24"/>
  <c r="Y130" i="24" s="1" a="1"/>
  <c r="J95" i="24"/>
  <c r="Y95" i="24" s="1" a="1"/>
  <c r="J97" i="24"/>
  <c r="Y97" i="24" s="1" a="1"/>
  <c r="J29" i="24"/>
  <c r="Y29" i="24" s="1" a="1"/>
  <c r="J74" i="24"/>
  <c r="Y74" i="24" s="1" a="1"/>
  <c r="J114" i="24"/>
  <c r="Y114" i="24" s="1" a="1"/>
  <c r="J119" i="24"/>
  <c r="Y119" i="24" s="1" a="1"/>
  <c r="J40" i="24"/>
  <c r="Y40" i="24" s="1" a="1"/>
  <c r="J84" i="24"/>
  <c r="Y84" i="24" s="1" a="1"/>
  <c r="J144" i="24"/>
  <c r="Y144" i="24" s="1" a="1"/>
  <c r="J3" i="24"/>
  <c r="Y3" i="24" s="1" a="1"/>
  <c r="J132" i="24"/>
  <c r="Y132" i="24" s="1" a="1"/>
  <c r="J15" i="24"/>
  <c r="Y15" i="24" s="1" a="1"/>
  <c r="J26" i="24"/>
  <c r="Y26" i="24" s="1" a="1"/>
  <c r="J11" i="24"/>
  <c r="Y11" i="24" s="1" a="1"/>
  <c r="J121" i="24"/>
  <c r="Y121" i="24" s="1" a="1"/>
  <c r="J44" i="24"/>
  <c r="Y44" i="24" s="1" a="1"/>
  <c r="J72" i="24"/>
  <c r="Y72" i="24" s="1" a="1"/>
  <c r="J51" i="24"/>
  <c r="Y51" i="24" s="1" a="1"/>
  <c r="J41" i="24"/>
  <c r="Y41" i="24" s="1" a="1"/>
  <c r="J61" i="24"/>
  <c r="Y61" i="24" s="1" a="1"/>
  <c r="J48" i="24"/>
  <c r="Y48" i="24" s="1" a="1"/>
  <c r="J77" i="24"/>
  <c r="Y77" i="24" s="1" a="1"/>
  <c r="J138" i="24"/>
  <c r="Y138" i="24" s="1" a="1"/>
  <c r="J66" i="24"/>
  <c r="Y66" i="24" s="1" a="1"/>
  <c r="J62" i="24"/>
  <c r="Y62" i="24" s="1" a="1"/>
  <c r="J76" i="24"/>
  <c r="Y76" i="24" s="1" a="1"/>
  <c r="J47" i="24"/>
  <c r="Y47" i="24" s="1" a="1"/>
  <c r="J105" i="24"/>
  <c r="Y105" i="24" s="1" a="1"/>
  <c r="J99" i="24"/>
  <c r="Y99" i="24" s="1" a="1"/>
  <c r="J103" i="24"/>
  <c r="Y103" i="24" s="1" a="1"/>
  <c r="J81" i="24"/>
  <c r="Y81" i="24" s="1" a="1"/>
  <c r="J90" i="24"/>
  <c r="Y90" i="24" s="1" a="1"/>
  <c r="Q1174" i="23"/>
  <c r="I30" i="24"/>
  <c r="X30" i="24" s="1" a="1"/>
  <c r="I31" i="24"/>
  <c r="X31" i="24" s="1" a="1"/>
  <c r="I42" i="24"/>
  <c r="X42" i="24" s="1" a="1"/>
  <c r="I111" i="24"/>
  <c r="X111" i="24" s="1" a="1"/>
  <c r="I32" i="24"/>
  <c r="X32" i="24" s="1" a="1"/>
  <c r="I20" i="24"/>
  <c r="X20" i="24" s="1" a="1"/>
  <c r="I60" i="24"/>
  <c r="X60" i="24" s="1" a="1"/>
  <c r="I29" i="24"/>
  <c r="X29" i="24" s="1" a="1"/>
  <c r="I69" i="24"/>
  <c r="X69" i="24" s="1" a="1"/>
  <c r="I46" i="24"/>
  <c r="X46" i="24" s="1" a="1"/>
  <c r="I61" i="24"/>
  <c r="X61" i="24" s="1" a="1"/>
  <c r="I102" i="24"/>
  <c r="X102" i="24" s="1" a="1"/>
  <c r="I73" i="24"/>
  <c r="X73" i="24" s="1" a="1"/>
  <c r="I68" i="24"/>
  <c r="X68" i="24" s="1" a="1"/>
  <c r="I89" i="24"/>
  <c r="X89" i="24" s="1" a="1"/>
  <c r="I96" i="24"/>
  <c r="X96" i="24" s="1" a="1"/>
  <c r="I108" i="24"/>
  <c r="X108" i="24" s="1" a="1"/>
  <c r="I134" i="24"/>
  <c r="X134" i="24" s="1" a="1"/>
  <c r="I138" i="24"/>
  <c r="X138" i="24" s="1" a="1"/>
  <c r="I90" i="24"/>
  <c r="X90" i="24" s="1" a="1"/>
  <c r="I8" i="24"/>
  <c r="X8" i="24" s="1" a="1"/>
  <c r="I49" i="24"/>
  <c r="X49" i="24" s="1" a="1"/>
  <c r="I22" i="24"/>
  <c r="X22" i="24" s="1" a="1"/>
  <c r="I78" i="24"/>
  <c r="X78" i="24" s="1" a="1"/>
  <c r="I125" i="24"/>
  <c r="X125" i="24" s="1" a="1"/>
  <c r="I15" i="24"/>
  <c r="X15" i="24" s="1" a="1"/>
  <c r="I39" i="24"/>
  <c r="X39" i="24" s="1" a="1"/>
  <c r="I82" i="24"/>
  <c r="X82" i="24" s="1" a="1"/>
  <c r="I23" i="24"/>
  <c r="X23" i="24" s="1" a="1"/>
  <c r="I13" i="24"/>
  <c r="X13" i="24" s="1" a="1"/>
  <c r="I137" i="24"/>
  <c r="X137" i="24" s="1" a="1"/>
  <c r="I133" i="24"/>
  <c r="X133" i="24" s="1" a="1"/>
  <c r="I112" i="24"/>
  <c r="X112" i="24" s="1" a="1"/>
  <c r="I56" i="24"/>
  <c r="X56" i="24" s="1" a="1"/>
  <c r="I58" i="24"/>
  <c r="X58" i="24" s="1" a="1"/>
  <c r="I119" i="24"/>
  <c r="X119" i="24" s="1" a="1"/>
  <c r="I106" i="24"/>
  <c r="X106" i="24" s="1" a="1"/>
  <c r="I123" i="24"/>
  <c r="X123" i="24" s="1" a="1"/>
  <c r="I93" i="24"/>
  <c r="X93" i="24" s="1" a="1"/>
  <c r="I38" i="24"/>
  <c r="X38" i="24" s="1" a="1"/>
  <c r="I37" i="24"/>
  <c r="X37" i="24" s="1" a="1"/>
  <c r="I109" i="24"/>
  <c r="X109" i="24" s="1" a="1"/>
  <c r="I124" i="24"/>
  <c r="X124" i="24" s="1" a="1"/>
  <c r="I132" i="24"/>
  <c r="X132" i="24" s="1" a="1"/>
  <c r="I14" i="24"/>
  <c r="X14" i="24" s="1" a="1"/>
  <c r="I97" i="24"/>
  <c r="X97" i="24" s="1" a="1"/>
  <c r="I11" i="24"/>
  <c r="X11" i="24" s="1" a="1"/>
  <c r="I26" i="24"/>
  <c r="X26" i="24" s="1" a="1"/>
  <c r="I33" i="24"/>
  <c r="X33" i="24" s="1" a="1"/>
  <c r="I36" i="24"/>
  <c r="X36" i="24" s="1" a="1"/>
  <c r="I43" i="24"/>
  <c r="X43" i="24" s="1" a="1"/>
  <c r="I99" i="24"/>
  <c r="X99" i="24" s="1" a="1"/>
  <c r="I59" i="24"/>
  <c r="X59" i="24" s="1" a="1"/>
  <c r="I17" i="24"/>
  <c r="X17" i="24" s="1" a="1"/>
  <c r="I63" i="24"/>
  <c r="X63" i="24" s="1" a="1"/>
  <c r="I7" i="24"/>
  <c r="X7" i="24" s="1" a="1"/>
  <c r="I47" i="24"/>
  <c r="X47" i="24" s="1" a="1"/>
  <c r="I66" i="24"/>
  <c r="X66" i="24" s="1" a="1"/>
  <c r="I80" i="24"/>
  <c r="X80" i="24" s="1" a="1"/>
  <c r="I72" i="24"/>
  <c r="X72" i="24" s="1" a="1"/>
  <c r="I98" i="24"/>
  <c r="X98" i="24" s="1" a="1"/>
  <c r="I110" i="24"/>
  <c r="X110" i="24" s="1" a="1"/>
  <c r="I142" i="24"/>
  <c r="X142" i="24" s="1" a="1"/>
  <c r="I128" i="24"/>
  <c r="X128" i="24" s="1" a="1"/>
  <c r="I25" i="24"/>
  <c r="X25" i="24" s="1" a="1"/>
  <c r="I4" i="24"/>
  <c r="X4" i="24" s="1" a="1"/>
  <c r="I140" i="24"/>
  <c r="X140" i="24" s="1" a="1"/>
  <c r="I107" i="24"/>
  <c r="X107" i="24" s="1" a="1"/>
  <c r="I18" i="24"/>
  <c r="X18" i="24" s="1" a="1"/>
  <c r="I86" i="24"/>
  <c r="X86" i="24" s="1" a="1"/>
  <c r="I6" i="24"/>
  <c r="X6" i="24" s="1" a="1"/>
  <c r="I84" i="24"/>
  <c r="X84" i="24" s="1" a="1"/>
  <c r="I53" i="24"/>
  <c r="X53" i="24" s="1" a="1"/>
  <c r="I70" i="24"/>
  <c r="X70" i="24" s="1" a="1"/>
  <c r="I34" i="24"/>
  <c r="X34" i="24" s="1" a="1"/>
  <c r="I65" i="24"/>
  <c r="X65" i="24" s="1" a="1"/>
  <c r="I139" i="24"/>
  <c r="X139" i="24" s="1" a="1"/>
  <c r="I50" i="24"/>
  <c r="X50" i="24" s="1" a="1"/>
  <c r="I27" i="24"/>
  <c r="X27" i="24" s="1" a="1"/>
  <c r="I10" i="24"/>
  <c r="X10" i="24" s="1" a="1"/>
  <c r="I45" i="24"/>
  <c r="X45" i="24" s="1" a="1"/>
  <c r="I55" i="24"/>
  <c r="X55" i="24" s="1" a="1"/>
  <c r="I95" i="24"/>
  <c r="X95" i="24" s="1" a="1"/>
  <c r="I79" i="24"/>
  <c r="X79" i="24" s="1" a="1"/>
  <c r="I81" i="24"/>
  <c r="X81" i="24" s="1" a="1"/>
  <c r="I100" i="24"/>
  <c r="X100" i="24" s="1" a="1"/>
  <c r="I54" i="24"/>
  <c r="X54" i="24" s="1" a="1"/>
  <c r="I91" i="24"/>
  <c r="X91" i="24" s="1" a="1"/>
  <c r="I115" i="24"/>
  <c r="X115" i="24" s="1" a="1"/>
  <c r="I126" i="24"/>
  <c r="X126" i="24" s="1" a="1"/>
  <c r="I135" i="24"/>
  <c r="X135" i="24" s="1" a="1"/>
  <c r="I120" i="24"/>
  <c r="X120" i="24" s="1" a="1"/>
  <c r="I85" i="24"/>
  <c r="X85" i="24" s="1" a="1"/>
  <c r="I5" i="24"/>
  <c r="X5" i="24" s="1" a="1"/>
  <c r="I3" i="24"/>
  <c r="X3" i="24" s="1" a="1"/>
  <c r="I19" i="24"/>
  <c r="X19" i="24" s="1" a="1"/>
  <c r="I118" i="24"/>
  <c r="X118" i="24" s="1" a="1"/>
  <c r="I75" i="24"/>
  <c r="X75" i="24" s="1" a="1"/>
  <c r="I35" i="24"/>
  <c r="X35" i="24" s="1" a="1"/>
  <c r="I129" i="24"/>
  <c r="X129" i="24" s="1" a="1"/>
  <c r="I101" i="24"/>
  <c r="X101" i="24" s="1" a="1"/>
  <c r="I21" i="24"/>
  <c r="X21" i="24" s="1" a="1"/>
  <c r="I28" i="24"/>
  <c r="X28" i="24" s="1" a="1"/>
  <c r="I9" i="24"/>
  <c r="X9" i="24" s="1" a="1"/>
  <c r="I12" i="24"/>
  <c r="X12" i="24" s="1" a="1"/>
  <c r="I130" i="24"/>
  <c r="X130" i="24" s="1" a="1"/>
  <c r="I52" i="24"/>
  <c r="X52" i="24" s="1" a="1"/>
  <c r="I62" i="24"/>
  <c r="X62" i="24" s="1" a="1"/>
  <c r="I74" i="24"/>
  <c r="X74" i="24" s="1" a="1"/>
  <c r="I87" i="24"/>
  <c r="X87" i="24" s="1" a="1"/>
  <c r="I41" i="24"/>
  <c r="X41" i="24" s="1" a="1"/>
  <c r="I117" i="24"/>
  <c r="X117" i="24" s="1" a="1"/>
  <c r="I127" i="24"/>
  <c r="X127" i="24" s="1" a="1"/>
  <c r="I116" i="24"/>
  <c r="X116" i="24" s="1" a="1"/>
  <c r="I122" i="24"/>
  <c r="X122" i="24" s="1" a="1"/>
  <c r="I114" i="24"/>
  <c r="X114" i="24" s="1" a="1"/>
  <c r="I144" i="24"/>
  <c r="X144" i="24" s="1" a="1"/>
  <c r="I104" i="24"/>
  <c r="X104" i="24" s="1" a="1"/>
  <c r="I71" i="24"/>
  <c r="X71" i="24" s="1" a="1"/>
  <c r="I77" i="24"/>
  <c r="X77" i="24" s="1" a="1"/>
  <c r="I83" i="24"/>
  <c r="X83" i="24" s="1" a="1"/>
  <c r="I113" i="24"/>
  <c r="X113" i="24" s="1" a="1"/>
  <c r="I24" i="24"/>
  <c r="X24" i="24" s="1" a="1"/>
  <c r="I16" i="24"/>
  <c r="X16" i="24" s="1" a="1"/>
  <c r="I57" i="24"/>
  <c r="X57" i="24" s="1" a="1"/>
  <c r="I94" i="24"/>
  <c r="X94" i="24" s="1" a="1"/>
  <c r="I131" i="24"/>
  <c r="X131" i="24" s="1" a="1"/>
  <c r="I44" i="24"/>
  <c r="X44" i="24" s="1" a="1"/>
  <c r="I51" i="24"/>
  <c r="X51" i="24" s="1" a="1"/>
  <c r="I64" i="24"/>
  <c r="X64" i="24" s="1" a="1"/>
  <c r="I76" i="24"/>
  <c r="X76" i="24" s="1" a="1"/>
  <c r="I88" i="24"/>
  <c r="X88" i="24" s="1" a="1"/>
  <c r="I67" i="24"/>
  <c r="X67" i="24" s="1" a="1"/>
  <c r="I103" i="24"/>
  <c r="X103" i="24" s="1" a="1"/>
  <c r="I48" i="24"/>
  <c r="X48" i="24" s="1" a="1"/>
  <c r="I40" i="24"/>
  <c r="X40" i="24" s="1" a="1"/>
  <c r="I136" i="24"/>
  <c r="X136" i="24" s="1" a="1"/>
  <c r="I121" i="24"/>
  <c r="X121" i="24" s="1" a="1"/>
  <c r="I141" i="24"/>
  <c r="X141" i="24" s="1" a="1"/>
  <c r="I143" i="24"/>
  <c r="X143" i="24" s="1" a="1"/>
  <c r="I105" i="24"/>
  <c r="X105" i="24" s="1" a="1"/>
  <c r="I92" i="24"/>
  <c r="X92" i="24" s="1" a="1"/>
  <c r="Q908" i="23"/>
  <c r="H108" i="24"/>
  <c r="W108" i="24" s="1" a="1"/>
  <c r="H25" i="24"/>
  <c r="W25" i="24" s="1" a="1"/>
  <c r="H88" i="24"/>
  <c r="W88" i="24" s="1" a="1"/>
  <c r="H5" i="24"/>
  <c r="W5" i="24" s="1" a="1"/>
  <c r="H57" i="24"/>
  <c r="W57" i="24" s="1" a="1"/>
  <c r="H84" i="24"/>
  <c r="W84" i="24" s="1" a="1"/>
  <c r="H7" i="24"/>
  <c r="W7" i="24" s="1" a="1"/>
  <c r="H10" i="24"/>
  <c r="W10" i="24" s="1" a="1"/>
  <c r="H35" i="24"/>
  <c r="W35" i="24" s="1" a="1"/>
  <c r="H93" i="24"/>
  <c r="W93" i="24" s="1" a="1"/>
  <c r="H75" i="24"/>
  <c r="W75" i="24" s="1" a="1"/>
  <c r="H85" i="24"/>
  <c r="W85" i="24" s="1" a="1"/>
  <c r="H20" i="24"/>
  <c r="W20" i="24" s="1" a="1"/>
  <c r="H104" i="24"/>
  <c r="W104" i="24" s="1" a="1"/>
  <c r="H82" i="24"/>
  <c r="W82" i="24" s="1" a="1"/>
  <c r="H132" i="24"/>
  <c r="W132" i="24" s="1" a="1"/>
  <c r="H28" i="24"/>
  <c r="W28" i="24" s="1" a="1"/>
  <c r="H83" i="24"/>
  <c r="W83" i="24" s="1" a="1"/>
  <c r="H141" i="24"/>
  <c r="W141" i="24" s="1" a="1"/>
  <c r="H100" i="24"/>
  <c r="W100" i="24" s="1" a="1"/>
  <c r="H117" i="24"/>
  <c r="W117" i="24" s="1" a="1"/>
  <c r="H128" i="24"/>
  <c r="W128" i="24" s="1" a="1"/>
  <c r="H142" i="24"/>
  <c r="W142" i="24" s="1" a="1"/>
  <c r="H134" i="24"/>
  <c r="W134" i="24" s="1" a="1"/>
  <c r="H9" i="24"/>
  <c r="W9" i="24" s="1" a="1"/>
  <c r="H13" i="24"/>
  <c r="W13" i="24" s="1" a="1"/>
  <c r="H143" i="24"/>
  <c r="W143" i="24" s="1" a="1"/>
  <c r="H24" i="24"/>
  <c r="W24" i="24" s="1" a="1"/>
  <c r="H27" i="24"/>
  <c r="W27" i="24" s="1" a="1"/>
  <c r="H37" i="24"/>
  <c r="W37" i="24" s="1" a="1"/>
  <c r="H144" i="24"/>
  <c r="W144" i="24" s="1" a="1"/>
  <c r="H38" i="24"/>
  <c r="W38" i="24" s="1" a="1"/>
  <c r="H42" i="24"/>
  <c r="W42" i="24" s="1" a="1"/>
  <c r="H49" i="24"/>
  <c r="W49" i="24" s="1" a="1"/>
  <c r="H70" i="24"/>
  <c r="W70" i="24" s="1" a="1"/>
  <c r="H3" i="24"/>
  <c r="W3" i="24" s="1" a="1"/>
  <c r="H43" i="24"/>
  <c r="W43" i="24" s="1" a="1"/>
  <c r="H51" i="24"/>
  <c r="W51" i="24" s="1" a="1"/>
  <c r="H116" i="24"/>
  <c r="W116" i="24" s="1" a="1"/>
  <c r="H66" i="24"/>
  <c r="W66" i="24" s="1" a="1"/>
  <c r="H99" i="24"/>
  <c r="W99" i="24" s="1" a="1"/>
  <c r="H21" i="24"/>
  <c r="W21" i="24" s="1" a="1"/>
  <c r="H50" i="24"/>
  <c r="W50" i="24" s="1" a="1"/>
  <c r="H97" i="24"/>
  <c r="W97" i="24" s="1" a="1"/>
  <c r="H15" i="24"/>
  <c r="W15" i="24" s="1" a="1"/>
  <c r="H31" i="24"/>
  <c r="W31" i="24" s="1" a="1"/>
  <c r="H54" i="24"/>
  <c r="W54" i="24" s="1" a="1"/>
  <c r="H65" i="24"/>
  <c r="W65" i="24" s="1" a="1"/>
  <c r="H110" i="24"/>
  <c r="W110" i="24" s="1" a="1"/>
  <c r="H125" i="24"/>
  <c r="W125" i="24" s="1" a="1"/>
  <c r="H41" i="24"/>
  <c r="W41" i="24" s="1" a="1"/>
  <c r="H64" i="24"/>
  <c r="W64" i="24" s="1" a="1"/>
  <c r="H94" i="24"/>
  <c r="W94" i="24" s="1" a="1"/>
  <c r="H133" i="24"/>
  <c r="W133" i="24" s="1" a="1"/>
  <c r="H22" i="24"/>
  <c r="W22" i="24" s="1" a="1"/>
  <c r="H78" i="24"/>
  <c r="W78" i="24" s="1" a="1"/>
  <c r="H98" i="24"/>
  <c r="W98" i="24" s="1" a="1"/>
  <c r="H102" i="24"/>
  <c r="W102" i="24" s="1" a="1"/>
  <c r="H6" i="24"/>
  <c r="W6" i="24" s="1" a="1"/>
  <c r="H112" i="24"/>
  <c r="W112" i="24" s="1" a="1"/>
  <c r="H40" i="24"/>
  <c r="W40" i="24" s="1" a="1"/>
  <c r="H74" i="24"/>
  <c r="W74" i="24" s="1" a="1"/>
  <c r="H92" i="24"/>
  <c r="W92" i="24" s="1" a="1"/>
  <c r="H129" i="24"/>
  <c r="W129" i="24" s="1" a="1"/>
  <c r="H8" i="24"/>
  <c r="W8" i="24" s="1" a="1"/>
  <c r="H46" i="24"/>
  <c r="W46" i="24" s="1" a="1"/>
  <c r="H76" i="24"/>
  <c r="W76" i="24" s="1" a="1"/>
  <c r="H106" i="24"/>
  <c r="W106" i="24" s="1" a="1"/>
  <c r="H122" i="24"/>
  <c r="W122" i="24" s="1" a="1"/>
  <c r="H18" i="24"/>
  <c r="W18" i="24" s="1" a="1"/>
  <c r="H103" i="24"/>
  <c r="W103" i="24" s="1" a="1"/>
  <c r="H109" i="24"/>
  <c r="W109" i="24" s="1" a="1"/>
  <c r="H131" i="24"/>
  <c r="W131" i="24" s="1" a="1"/>
  <c r="H53" i="24"/>
  <c r="W53" i="24" s="1" a="1"/>
  <c r="H86" i="24"/>
  <c r="W86" i="24" s="1" a="1"/>
  <c r="H19" i="24"/>
  <c r="W19" i="24" s="1" a="1"/>
  <c r="H140" i="24"/>
  <c r="W140" i="24" s="1" a="1"/>
  <c r="H96" i="24"/>
  <c r="W96" i="24" s="1" a="1"/>
  <c r="H101" i="24"/>
  <c r="W101" i="24" s="1" a="1"/>
  <c r="H73" i="24"/>
  <c r="W73" i="24" s="1" a="1"/>
  <c r="H127" i="24"/>
  <c r="W127" i="24" s="1" a="1"/>
  <c r="H44" i="24"/>
  <c r="W44" i="24" s="1" a="1"/>
  <c r="H89" i="24"/>
  <c r="W89" i="24" s="1" a="1"/>
  <c r="H123" i="24"/>
  <c r="W123" i="24" s="1" a="1"/>
  <c r="H33" i="24"/>
  <c r="W33" i="24" s="1" a="1"/>
  <c r="H47" i="24"/>
  <c r="W47" i="24" s="1" a="1"/>
  <c r="H59" i="24"/>
  <c r="W59" i="24" s="1" a="1"/>
  <c r="H120" i="24"/>
  <c r="W120" i="24" s="1" a="1"/>
  <c r="H11" i="24"/>
  <c r="W11" i="24" s="1" a="1"/>
  <c r="H56" i="24"/>
  <c r="W56" i="24" s="1" a="1"/>
  <c r="H69" i="24"/>
  <c r="W69" i="24" s="1" a="1"/>
  <c r="H113" i="24"/>
  <c r="W113" i="24" s="1" a="1"/>
  <c r="H135" i="24"/>
  <c r="W135" i="24" s="1" a="1"/>
  <c r="H137" i="24"/>
  <c r="W137" i="24" s="1" a="1"/>
  <c r="H60" i="24"/>
  <c r="W60" i="24" s="1" a="1"/>
  <c r="H4" i="24"/>
  <c r="W4" i="24" s="1" a="1"/>
  <c r="H126" i="24"/>
  <c r="W126" i="24" s="1" a="1"/>
  <c r="H29" i="24"/>
  <c r="W29" i="24" s="1" a="1"/>
  <c r="H77" i="24"/>
  <c r="W77" i="24" s="1" a="1"/>
  <c r="H95" i="24"/>
  <c r="W95" i="24" s="1" a="1"/>
  <c r="H12" i="24"/>
  <c r="W12" i="24" s="1" a="1"/>
  <c r="H14" i="24"/>
  <c r="W14" i="24" s="1" a="1"/>
  <c r="H32" i="24"/>
  <c r="W32" i="24" s="1" a="1"/>
  <c r="H63" i="24"/>
  <c r="W63" i="24" s="1" a="1"/>
  <c r="H105" i="24"/>
  <c r="W105" i="24" s="1" a="1"/>
  <c r="H136" i="24"/>
  <c r="W136" i="24" s="1" a="1"/>
  <c r="H48" i="24"/>
  <c r="W48" i="24" s="1" a="1"/>
  <c r="H62" i="24"/>
  <c r="W62" i="24" s="1" a="1"/>
  <c r="H91" i="24"/>
  <c r="W91" i="24" s="1" a="1"/>
  <c r="H121" i="24"/>
  <c r="W121" i="24" s="1" a="1"/>
  <c r="H17" i="24"/>
  <c r="W17" i="24" s="1" a="1"/>
  <c r="H139" i="24"/>
  <c r="W139" i="24" s="1" a="1"/>
  <c r="H71" i="24"/>
  <c r="W71" i="24" s="1" a="1"/>
  <c r="H119" i="24"/>
  <c r="W119" i="24" s="1" a="1"/>
  <c r="H39" i="24"/>
  <c r="W39" i="24" s="1" a="1"/>
  <c r="H124" i="24"/>
  <c r="W124" i="24" s="1" a="1"/>
  <c r="H26" i="24"/>
  <c r="W26" i="24" s="1" a="1"/>
  <c r="H45" i="24"/>
  <c r="W45" i="24" s="1" a="1"/>
  <c r="H80" i="24"/>
  <c r="W80" i="24" s="1" a="1"/>
  <c r="H23" i="24"/>
  <c r="W23" i="24" s="1" a="1"/>
  <c r="H30" i="24"/>
  <c r="W30" i="24" s="1" a="1"/>
  <c r="H36" i="24"/>
  <c r="W36" i="24" s="1" a="1"/>
  <c r="H68" i="24"/>
  <c r="W68" i="24" s="1" a="1"/>
  <c r="H107" i="24"/>
  <c r="W107" i="24" s="1" a="1"/>
  <c r="H90" i="24"/>
  <c r="W90" i="24" s="1" a="1"/>
  <c r="H58" i="24"/>
  <c r="W58" i="24" s="1" a="1"/>
  <c r="H72" i="24"/>
  <c r="W72" i="24" s="1" a="1"/>
  <c r="H118" i="24"/>
  <c r="W118" i="24" s="1" a="1"/>
  <c r="H87" i="24"/>
  <c r="W87" i="24" s="1" a="1"/>
  <c r="H130" i="24"/>
  <c r="W130" i="24" s="1" a="1"/>
  <c r="H79" i="24"/>
  <c r="W79" i="24" s="1" a="1"/>
  <c r="H111" i="24"/>
  <c r="W111" i="24" s="1" a="1"/>
  <c r="H34" i="24"/>
  <c r="W34" i="24" s="1" a="1"/>
  <c r="H52" i="24"/>
  <c r="W52" i="24" s="1" a="1"/>
  <c r="H67" i="24"/>
  <c r="W67" i="24" s="1" a="1"/>
  <c r="H114" i="24"/>
  <c r="W114" i="24" s="1" a="1"/>
  <c r="H138" i="24"/>
  <c r="W138" i="24" s="1" a="1"/>
  <c r="H55" i="24"/>
  <c r="W55" i="24" s="1" a="1"/>
  <c r="H81" i="24"/>
  <c r="W81" i="24" s="1" a="1"/>
  <c r="H115" i="24"/>
  <c r="W115" i="24" s="1" a="1"/>
  <c r="H16" i="24"/>
  <c r="W16" i="24" s="1" a="1"/>
  <c r="H61" i="24"/>
  <c r="W61" i="24" s="1" a="1"/>
  <c r="Q802" i="23"/>
  <c r="AB163" i="22" a="1"/>
  <c r="AN22" i="22"/>
  <c r="F74" i="22" s="1"/>
  <c r="A71" i="34" a="1"/>
  <c r="AN21" i="22"/>
  <c r="F77" i="22" s="1"/>
  <c r="AB162" i="22" a="1"/>
  <c r="A69" i="34" a="1"/>
  <c r="P133" i="23" a="1"/>
  <c r="Q133" i="23" s="1"/>
  <c r="P135" i="23" a="1"/>
  <c r="Q135" i="23" s="1"/>
  <c r="P138" i="23" a="1"/>
  <c r="Q138" i="23" s="1"/>
  <c r="P148" i="23" a="1"/>
  <c r="Q148" i="23" s="1"/>
  <c r="P131" i="23" a="1"/>
  <c r="P144" i="23" a="1"/>
  <c r="Q144" i="23" s="1"/>
  <c r="P109" i="23" a="1"/>
  <c r="Q109" i="23" s="1"/>
  <c r="N564" i="23"/>
  <c r="P534" i="23" a="1"/>
  <c r="Q534" i="23" s="1"/>
  <c r="P520" i="23" a="1"/>
  <c r="Q520" i="23" s="1"/>
  <c r="P456" i="23" a="1"/>
  <c r="Q456" i="23" s="1"/>
  <c r="P458" i="23" a="1"/>
  <c r="Q458" i="23" s="1"/>
  <c r="P461" i="23" a="1"/>
  <c r="Q461" i="23" s="1"/>
  <c r="B74" i="22"/>
  <c r="D74" i="22" a="1"/>
  <c r="B88" i="22"/>
  <c r="D88" i="22" a="1"/>
  <c r="Y75" i="22"/>
  <c r="B75" i="22"/>
  <c r="X75" i="22"/>
  <c r="F75" i="22"/>
  <c r="AB75" i="22"/>
  <c r="D75" i="22" a="1"/>
  <c r="E75" i="22" a="1"/>
  <c r="D76" i="22" a="1"/>
  <c r="E76" i="22" a="1"/>
  <c r="AB76" i="22"/>
  <c r="B76" i="22"/>
  <c r="Y76" i="22"/>
  <c r="X76" i="22"/>
  <c r="X77" i="22"/>
  <c r="AB77" i="22"/>
  <c r="E77" i="22" a="1"/>
  <c r="Y77" i="22"/>
  <c r="B77" i="22"/>
  <c r="D77" i="22" a="1"/>
  <c r="B89" i="22"/>
  <c r="D89" i="22" a="1"/>
  <c r="B91" i="22"/>
  <c r="D91" i="22" a="1"/>
  <c r="B90" i="22"/>
  <c r="D90" i="22" a="1"/>
  <c r="S121" i="28"/>
  <c r="S47" i="28"/>
  <c r="S75" i="28"/>
  <c r="S95" i="28"/>
  <c r="S112" i="28"/>
  <c r="S135" i="28"/>
  <c r="S15" i="28"/>
  <c r="S37" i="28"/>
  <c r="S49" i="28"/>
  <c r="S55" i="28"/>
  <c r="S67" i="28"/>
  <c r="S73" i="28"/>
  <c r="S79" i="28"/>
  <c r="S85" i="28"/>
  <c r="S91" i="28"/>
  <c r="S113" i="28"/>
  <c r="S118" i="28"/>
  <c r="S122" i="28"/>
  <c r="S131" i="28"/>
  <c r="S2" i="28"/>
  <c r="S11" i="28"/>
  <c r="S23" i="28"/>
  <c r="S137" i="28"/>
  <c r="S13" i="28"/>
  <c r="S39" i="28"/>
  <c r="S86" i="28"/>
  <c r="S107" i="28"/>
  <c r="S125" i="28"/>
  <c r="S3" i="28"/>
  <c r="S25" i="28"/>
  <c r="S48" i="28"/>
  <c r="S72" i="28"/>
  <c r="S96" i="28"/>
  <c r="S110" i="28"/>
  <c r="S124" i="28"/>
  <c r="S132" i="28"/>
  <c r="S141" i="28"/>
  <c r="S10" i="28"/>
  <c r="S28" i="28"/>
  <c r="S46" i="28"/>
  <c r="S65" i="28"/>
  <c r="S81" i="28"/>
  <c r="S109" i="28"/>
  <c r="O605" i="23"/>
  <c r="N605" i="23"/>
  <c r="P605" i="23" s="1" a="1"/>
  <c r="Q605" i="23" s="1"/>
  <c r="O604" i="23"/>
  <c r="N604" i="23"/>
  <c r="P604" i="23" s="1" a="1"/>
  <c r="Q604" i="23" s="1"/>
  <c r="O602" i="23"/>
  <c r="N602" i="23"/>
  <c r="P602" i="23" s="1" a="1"/>
  <c r="Q602" i="23" s="1"/>
  <c r="N601" i="23"/>
  <c r="O601" i="23"/>
  <c r="N600" i="23"/>
  <c r="O600" i="23"/>
  <c r="O599" i="23"/>
  <c r="N599" i="23"/>
  <c r="P599" i="23" s="1" a="1"/>
  <c r="Q599" i="23" s="1"/>
  <c r="O598" i="23"/>
  <c r="N598" i="23"/>
  <c r="P598" i="23" s="1" a="1"/>
  <c r="Q598" i="23" s="1"/>
  <c r="N597" i="23"/>
  <c r="O597" i="23"/>
  <c r="N596" i="23"/>
  <c r="O596" i="23"/>
  <c r="N595" i="23"/>
  <c r="O595" i="23"/>
  <c r="O594" i="23"/>
  <c r="N594" i="23"/>
  <c r="P594" i="23" s="1" a="1"/>
  <c r="Q594" i="23" s="1"/>
  <c r="N593" i="23"/>
  <c r="O593" i="23"/>
  <c r="O592" i="23"/>
  <c r="N592" i="23"/>
  <c r="P592" i="23" s="1" a="1"/>
  <c r="Q592" i="23" s="1"/>
  <c r="N591" i="23"/>
  <c r="O591" i="23"/>
  <c r="N590" i="23"/>
  <c r="O590" i="23"/>
  <c r="N589" i="23"/>
  <c r="O589" i="23"/>
  <c r="N588" i="23"/>
  <c r="O588" i="23"/>
  <c r="N587" i="23"/>
  <c r="O587" i="23"/>
  <c r="O586" i="23"/>
  <c r="N586" i="23"/>
  <c r="P586" i="23" s="1" a="1"/>
  <c r="Q586" i="23" s="1"/>
  <c r="O585" i="23"/>
  <c r="N585" i="23"/>
  <c r="P585" i="23" s="1" a="1"/>
  <c r="Q585" i="23" s="1"/>
  <c r="N584" i="23"/>
  <c r="O584" i="23"/>
  <c r="O583" i="23"/>
  <c r="N583" i="23"/>
  <c r="P583" i="23" s="1" a="1"/>
  <c r="Q583" i="23" s="1"/>
  <c r="O582" i="23"/>
  <c r="N582" i="23"/>
  <c r="P582" i="23" s="1" a="1"/>
  <c r="Q582" i="23" s="1"/>
  <c r="N581" i="23"/>
  <c r="O581" i="23"/>
  <c r="O580" i="23"/>
  <c r="N580" i="23"/>
  <c r="P580" i="23" s="1" a="1"/>
  <c r="Q580" i="23" s="1"/>
  <c r="O579" i="23"/>
  <c r="N579" i="23"/>
  <c r="P579" i="23" s="1" a="1"/>
  <c r="Q579" i="23" s="1"/>
  <c r="N578" i="23"/>
  <c r="O578" i="23"/>
  <c r="N577" i="23"/>
  <c r="O577" i="23"/>
  <c r="N576" i="23"/>
  <c r="O576" i="23"/>
  <c r="N575" i="23"/>
  <c r="O575" i="23"/>
  <c r="O574" i="23"/>
  <c r="N574" i="23"/>
  <c r="P574" i="23" s="1" a="1"/>
  <c r="Q574" i="23" s="1"/>
  <c r="N469" i="23"/>
  <c r="O469" i="23"/>
  <c r="O603" i="23"/>
  <c r="N603" i="23"/>
  <c r="P603" i="23" s="1" a="1"/>
  <c r="Q603" i="23" s="1"/>
  <c r="O572" i="23"/>
  <c r="N572" i="23"/>
  <c r="P572" i="23" s="1" a="1"/>
  <c r="Q572" i="23" s="1"/>
  <c r="O571" i="23"/>
  <c r="N571" i="23"/>
  <c r="P571" i="23" s="1" a="1"/>
  <c r="Q571" i="23" s="1"/>
  <c r="N494" i="23"/>
  <c r="O494" i="23"/>
  <c r="O570" i="23"/>
  <c r="N570" i="23"/>
  <c r="P570" i="23" s="1" a="1"/>
  <c r="Q570" i="23" s="1"/>
  <c r="N569" i="23"/>
  <c r="O569" i="23"/>
  <c r="O495" i="23"/>
  <c r="N495" i="23"/>
  <c r="P495" i="23" s="1" a="1"/>
  <c r="Q495" i="23" s="1"/>
  <c r="N459" i="23"/>
  <c r="O459" i="23"/>
  <c r="N568" i="23"/>
  <c r="O568" i="23"/>
  <c r="O532" i="23"/>
  <c r="N532" i="23"/>
  <c r="P532" i="23" s="1" a="1"/>
  <c r="Q532" i="23" s="1"/>
  <c r="N460" i="23"/>
  <c r="O460" i="23"/>
  <c r="N567" i="23"/>
  <c r="O567" i="23"/>
  <c r="O507" i="23"/>
  <c r="N507" i="23"/>
  <c r="P507" i="23" s="1" a="1"/>
  <c r="Q507" i="23" s="1"/>
  <c r="O566" i="23"/>
  <c r="N566" i="23"/>
  <c r="P566" i="23" s="1" a="1"/>
  <c r="Q566" i="23" s="1"/>
  <c r="O519" i="23"/>
  <c r="N519" i="23"/>
  <c r="P519" i="23" s="1" a="1"/>
  <c r="Q519" i="23" s="1"/>
  <c r="O462" i="23"/>
  <c r="N462" i="23"/>
  <c r="P462" i="23" s="1" a="1"/>
  <c r="Q462" i="23" s="1"/>
  <c r="N496" i="23"/>
  <c r="O496" i="23"/>
  <c r="O565" i="23"/>
  <c r="N565" i="23"/>
  <c r="P565" i="23" s="1" a="1"/>
  <c r="Q565" i="23" s="1"/>
  <c r="O331" i="23"/>
  <c r="P533" i="23" a="1"/>
  <c r="Q533" i="23" s="1"/>
  <c r="P463" i="23" a="1"/>
  <c r="P531" i="23" a="1"/>
  <c r="Q531" i="23" s="1"/>
  <c r="P497" i="23" a="1"/>
  <c r="Q497" i="23" s="1"/>
  <c r="P466" i="23" a="1"/>
  <c r="Q466" i="23" s="1"/>
  <c r="P508" i="23" a="1"/>
  <c r="Q508" i="23" s="1"/>
  <c r="P556" i="23" a="1"/>
  <c r="Q556" i="23" s="1"/>
  <c r="P471" i="23" a="1"/>
  <c r="Q471" i="23" s="1"/>
  <c r="P555" i="23" a="1"/>
  <c r="Q555" i="23" s="1"/>
  <c r="P554" i="23" a="1"/>
  <c r="Q554" i="23" s="1"/>
  <c r="P527" i="23" a="1"/>
  <c r="Q527" i="23" s="1"/>
  <c r="P509" i="23" a="1"/>
  <c r="Q509" i="23" s="1"/>
  <c r="P552" i="23" a="1"/>
  <c r="Q552" i="23" s="1"/>
  <c r="P518" i="23" a="1"/>
  <c r="Q518" i="23" s="1"/>
  <c r="P526" i="23" a="1"/>
  <c r="Q526" i="23" s="1"/>
  <c r="P550" i="23" a="1"/>
  <c r="Q550" i="23" s="1"/>
  <c r="P549" i="23" a="1"/>
  <c r="Q549" i="23" s="1"/>
  <c r="P479" i="23" a="1"/>
  <c r="Q479" i="23" s="1"/>
  <c r="P547" i="23" a="1"/>
  <c r="Q547" i="23" s="1"/>
  <c r="P546" i="23" a="1"/>
  <c r="Q546" i="23" s="1"/>
  <c r="P544" i="23" a="1"/>
  <c r="Q544" i="23" s="1"/>
  <c r="P523" i="23" a="1"/>
  <c r="Q523" i="23" s="1"/>
  <c r="P515" i="23" a="1"/>
  <c r="Q515" i="23" s="1"/>
  <c r="P521" i="23" a="1"/>
  <c r="Q521" i="23" s="1"/>
  <c r="P506" i="23" a="1"/>
  <c r="Q506" i="23" s="1"/>
  <c r="N516" i="23"/>
  <c r="O516" i="23"/>
  <c r="O563" i="23"/>
  <c r="N563" i="23"/>
  <c r="P563" i="23" s="1" a="1"/>
  <c r="Q563" i="23" s="1"/>
  <c r="O464" i="23"/>
  <c r="N464" i="23"/>
  <c r="P464" i="23" s="1" a="1"/>
  <c r="O562" i="23"/>
  <c r="N562" i="23"/>
  <c r="P562" i="23" s="1" a="1"/>
  <c r="Q562" i="23" s="1"/>
  <c r="O465" i="23"/>
  <c r="N465" i="23"/>
  <c r="P465" i="23" s="1" a="1"/>
  <c r="O561" i="23"/>
  <c r="N561" i="23"/>
  <c r="P561" i="23" s="1" a="1"/>
  <c r="Q561" i="23" s="1"/>
  <c r="O560" i="23"/>
  <c r="N560" i="23"/>
  <c r="P560" i="23" s="1" a="1"/>
  <c r="Q560" i="23" s="1"/>
  <c r="N467" i="23"/>
  <c r="O467" i="23"/>
  <c r="O559" i="23"/>
  <c r="N559" i="23"/>
  <c r="P559" i="23" s="1" a="1"/>
  <c r="Q559" i="23" s="1"/>
  <c r="O468" i="23"/>
  <c r="N468" i="23"/>
  <c r="P468" i="23" s="1" a="1"/>
  <c r="Q468" i="23" s="1"/>
  <c r="O499" i="23"/>
  <c r="N499" i="23"/>
  <c r="P499" i="23" s="1" a="1"/>
  <c r="Q499" i="23" s="1"/>
  <c r="O558" i="23"/>
  <c r="N558" i="23"/>
  <c r="P558" i="23" s="1" a="1"/>
  <c r="Q558" i="23" s="1"/>
  <c r="N514" i="23"/>
  <c r="O514" i="23"/>
  <c r="N470" i="23"/>
  <c r="O470" i="23"/>
  <c r="O557" i="23"/>
  <c r="N557" i="23"/>
  <c r="P557" i="23" s="1" a="1"/>
  <c r="Q557" i="23" s="1"/>
  <c r="N528" i="23"/>
  <c r="O528" i="23"/>
  <c r="N472" i="23"/>
  <c r="O472" i="23"/>
  <c r="O473" i="23"/>
  <c r="N473" i="23"/>
  <c r="P473" i="23" s="1" a="1"/>
  <c r="Q473" i="23" s="1"/>
  <c r="N475" i="23"/>
  <c r="O475" i="23"/>
  <c r="O477" i="23"/>
  <c r="N477" i="23"/>
  <c r="P477" i="23" s="1" a="1"/>
  <c r="Q477" i="23" s="1"/>
  <c r="N517" i="23"/>
  <c r="O517" i="23"/>
  <c r="O478" i="23"/>
  <c r="N478" i="23"/>
  <c r="P478" i="23" s="1" a="1"/>
  <c r="Q478" i="23" s="1"/>
  <c r="N548" i="23"/>
  <c r="O548" i="23"/>
  <c r="N480" i="23"/>
  <c r="O480" i="23"/>
  <c r="N525" i="23"/>
  <c r="O525" i="23"/>
  <c r="O510" i="23"/>
  <c r="N510" i="23"/>
  <c r="P510" i="23" s="1" a="1"/>
  <c r="Q510" i="23" s="1"/>
  <c r="N481" i="23"/>
  <c r="O481" i="23"/>
  <c r="N482" i="23"/>
  <c r="O482" i="23"/>
  <c r="N545" i="23"/>
  <c r="O545" i="23"/>
  <c r="N503" i="23"/>
  <c r="O503" i="23"/>
  <c r="N524" i="23"/>
  <c r="O524" i="23"/>
  <c r="N483" i="23"/>
  <c r="O483" i="23"/>
  <c r="N543" i="23"/>
  <c r="O543" i="23"/>
  <c r="N542" i="23"/>
  <c r="O542" i="23"/>
  <c r="N541" i="23"/>
  <c r="O541" i="23"/>
  <c r="O504" i="23"/>
  <c r="N504" i="23"/>
  <c r="O486" i="23"/>
  <c r="N486" i="23"/>
  <c r="P486" i="23" s="1" a="1"/>
  <c r="Q486" i="23" s="1"/>
  <c r="N522" i="23"/>
  <c r="O522" i="23"/>
  <c r="O540" i="23"/>
  <c r="N540" i="23"/>
  <c r="P540" i="23" s="1" a="1"/>
  <c r="Q540" i="23" s="1"/>
  <c r="O488" i="23"/>
  <c r="N488" i="23"/>
  <c r="P488" i="23" s="1" a="1"/>
  <c r="Q488" i="23" s="1"/>
  <c r="N539" i="23"/>
  <c r="O539" i="23"/>
  <c r="O489" i="23"/>
  <c r="N489" i="23"/>
  <c r="P489" i="23" s="1" a="1"/>
  <c r="Q489" i="23" s="1"/>
  <c r="N538" i="23"/>
  <c r="O538" i="23"/>
  <c r="O505" i="23"/>
  <c r="N505" i="23"/>
  <c r="P505" i="23" s="1" a="1"/>
  <c r="Q505" i="23" s="1"/>
  <c r="N537" i="23"/>
  <c r="O537" i="23"/>
  <c r="O491" i="23"/>
  <c r="N491" i="23"/>
  <c r="P491" i="23" s="1" a="1"/>
  <c r="Q491" i="23" s="1"/>
  <c r="O492" i="23"/>
  <c r="N492" i="23"/>
  <c r="P492" i="23" s="1" a="1"/>
  <c r="Q492" i="23" s="1"/>
  <c r="N535" i="23"/>
  <c r="O535" i="23"/>
  <c r="O512" i="23"/>
  <c r="N512" i="23"/>
  <c r="P512" i="23" s="1" a="1"/>
  <c r="Q512" i="23" s="1"/>
  <c r="O573" i="23"/>
  <c r="N573" i="23"/>
  <c r="P573" i="23" s="1" a="1"/>
  <c r="Q573" i="23" s="1"/>
  <c r="N331" i="23"/>
  <c r="O297" i="23"/>
  <c r="N297" i="23"/>
  <c r="P297" i="23" s="1" a="1"/>
  <c r="Q297" i="23" s="1"/>
  <c r="O292" i="23"/>
  <c r="N292" i="23"/>
  <c r="P292" i="23" s="1" a="1"/>
  <c r="Q292" i="23" s="1"/>
  <c r="O295" i="23"/>
  <c r="N295" i="23"/>
  <c r="P295" i="23" s="1" a="1"/>
  <c r="Q295" i="23" s="1"/>
  <c r="O319" i="23"/>
  <c r="N319" i="23"/>
  <c r="P319" i="23" s="1" a="1"/>
  <c r="Q319" i="23" s="1"/>
  <c r="G51" i="24"/>
  <c r="V51" i="24" s="1" a="1"/>
  <c r="G132" i="24"/>
  <c r="V132" i="24" s="1" a="1"/>
  <c r="G70" i="24"/>
  <c r="V70" i="24" s="1" a="1"/>
  <c r="G25" i="24"/>
  <c r="V25" i="24" s="1" a="1"/>
  <c r="G100" i="24"/>
  <c r="V100" i="24" s="1" a="1"/>
  <c r="G30" i="24"/>
  <c r="V30" i="24" s="1" a="1"/>
  <c r="G125" i="24"/>
  <c r="V125" i="24" s="1" a="1"/>
  <c r="G106" i="24"/>
  <c r="V106" i="24" s="1" a="1"/>
  <c r="G92" i="24"/>
  <c r="V92" i="24" s="1" a="1"/>
  <c r="G45" i="24"/>
  <c r="V45" i="24" s="1" a="1"/>
  <c r="G3" i="24"/>
  <c r="V3" i="24" s="1" a="1"/>
  <c r="G136" i="24"/>
  <c r="V136" i="24" s="1" a="1"/>
  <c r="G55" i="24"/>
  <c r="V55" i="24" s="1" a="1"/>
  <c r="G10" i="24"/>
  <c r="V10" i="24" s="1" a="1"/>
  <c r="G137" i="24"/>
  <c r="V137" i="24" s="1" a="1"/>
  <c r="G31" i="24"/>
  <c r="V31" i="24" s="1" a="1"/>
  <c r="G63" i="24"/>
  <c r="V63" i="24" s="1" a="1"/>
  <c r="G64" i="24"/>
  <c r="V64" i="24" s="1" a="1"/>
  <c r="G65" i="24"/>
  <c r="V65" i="24" s="1" a="1"/>
  <c r="G123" i="24"/>
  <c r="V123" i="24" s="1" a="1"/>
  <c r="G134" i="24"/>
  <c r="V134" i="24" s="1" a="1"/>
  <c r="G4" i="24"/>
  <c r="V4" i="24" s="1" a="1"/>
  <c r="G66" i="24"/>
  <c r="V66" i="24" s="1" a="1"/>
  <c r="G75" i="24"/>
  <c r="V75" i="24" s="1" a="1"/>
  <c r="G68" i="24"/>
  <c r="V68" i="24" s="1" a="1"/>
  <c r="G72" i="24"/>
  <c r="V72" i="24" s="1" a="1"/>
  <c r="G124" i="24"/>
  <c r="V124" i="24" s="1" a="1"/>
  <c r="G77" i="24"/>
  <c r="V77" i="24" s="1" a="1"/>
  <c r="G76" i="24"/>
  <c r="V76" i="24" s="1" a="1"/>
  <c r="G116" i="24"/>
  <c r="V116" i="24" s="1" a="1"/>
  <c r="G56" i="24"/>
  <c r="V56" i="24" s="1" a="1"/>
  <c r="G82" i="24"/>
  <c r="V82" i="24" s="1" a="1"/>
  <c r="G69" i="24"/>
  <c r="V69" i="24" s="1" a="1"/>
  <c r="G32" i="24"/>
  <c r="V32" i="24" s="1" a="1"/>
  <c r="G81" i="24"/>
  <c r="V81" i="24" s="1" a="1"/>
  <c r="G6" i="24"/>
  <c r="V6" i="24" s="1" a="1"/>
  <c r="G5" i="24"/>
  <c r="V5" i="24" s="1" a="1"/>
  <c r="G84" i="24"/>
  <c r="V84" i="24" s="1" a="1"/>
  <c r="G103" i="24"/>
  <c r="V103" i="24" s="1" a="1"/>
  <c r="G98" i="24"/>
  <c r="V98" i="24" s="1" a="1"/>
  <c r="G95" i="24"/>
  <c r="V95" i="24" s="1" a="1"/>
  <c r="G88" i="24"/>
  <c r="V88" i="24" s="1" a="1"/>
  <c r="G87" i="24"/>
  <c r="V87" i="24" s="1" a="1"/>
  <c r="G7" i="24"/>
  <c r="V7" i="24" s="1" a="1"/>
  <c r="G9" i="24"/>
  <c r="V9" i="24" s="1" a="1"/>
  <c r="G60" i="24"/>
  <c r="V60" i="24" s="1" a="1"/>
  <c r="G96" i="24"/>
  <c r="V96" i="24" s="1" a="1"/>
  <c r="G86" i="24"/>
  <c r="V86" i="24" s="1" a="1"/>
  <c r="G85" i="24"/>
  <c r="V85" i="24" s="1" a="1"/>
  <c r="G105" i="24"/>
  <c r="V105" i="24" s="1" a="1"/>
  <c r="G102" i="24"/>
  <c r="V102" i="24" s="1" a="1"/>
  <c r="G59" i="24"/>
  <c r="V59" i="24" s="1" a="1"/>
  <c r="G80" i="24"/>
  <c r="V80" i="24" s="1" a="1"/>
  <c r="G110" i="24"/>
  <c r="V110" i="24" s="1" a="1"/>
  <c r="G16" i="24"/>
  <c r="V16" i="24" s="1" a="1"/>
  <c r="G108" i="24"/>
  <c r="V108" i="24" s="1" a="1"/>
  <c r="G111" i="24"/>
  <c r="V111" i="24" s="1" a="1"/>
  <c r="G113" i="24"/>
  <c r="V113" i="24" s="1" a="1"/>
  <c r="G112" i="24"/>
  <c r="V112" i="24" s="1" a="1"/>
  <c r="G33" i="24"/>
  <c r="V33" i="24" s="1" a="1"/>
  <c r="G89" i="24"/>
  <c r="V89" i="24" s="1" a="1"/>
  <c r="G118" i="24"/>
  <c r="V118" i="24" s="1" a="1"/>
  <c r="G46" i="24"/>
  <c r="V46" i="24" s="1" a="1"/>
  <c r="G43" i="24"/>
  <c r="V43" i="24" s="1" a="1"/>
  <c r="G115" i="24"/>
  <c r="V115" i="24" s="1" a="1"/>
  <c r="G61" i="24"/>
  <c r="V61" i="24" s="1" a="1"/>
  <c r="G52" i="24"/>
  <c r="V52" i="24" s="1" a="1"/>
  <c r="G50" i="24"/>
  <c r="V50" i="24" s="1" a="1"/>
  <c r="G104" i="24"/>
  <c r="V104" i="24" s="1" a="1"/>
  <c r="G129" i="24"/>
  <c r="V129" i="24" s="1" a="1"/>
  <c r="G42" i="24"/>
  <c r="V42" i="24" s="1" a="1"/>
  <c r="G117" i="24"/>
  <c r="V117" i="24" s="1" a="1"/>
  <c r="G93" i="24"/>
  <c r="V93" i="24" s="1" a="1"/>
  <c r="G23" i="24"/>
  <c r="V23" i="24" s="1" a="1"/>
  <c r="G130" i="24"/>
  <c r="V130" i="24" s="1" a="1"/>
  <c r="G74" i="24"/>
  <c r="V74" i="24" s="1" a="1"/>
  <c r="G20" i="24"/>
  <c r="V20" i="24" s="1" a="1"/>
  <c r="G18" i="24"/>
  <c r="V18" i="24" s="1" a="1"/>
  <c r="G40" i="24"/>
  <c r="V40" i="24" s="1" a="1"/>
  <c r="G8" i="24"/>
  <c r="V8" i="24" s="1" a="1"/>
  <c r="G19" i="24"/>
  <c r="V19" i="24" s="1" a="1"/>
  <c r="G28" i="24"/>
  <c r="V28" i="24" s="1" a="1"/>
  <c r="G37" i="24"/>
  <c r="V37" i="24" s="1" a="1"/>
  <c r="G54" i="24"/>
  <c r="V54" i="24" s="1" a="1"/>
  <c r="G41" i="24"/>
  <c r="V41" i="24" s="1" a="1"/>
  <c r="G29" i="24"/>
  <c r="V29" i="24" s="1" a="1"/>
  <c r="G26" i="24"/>
  <c r="V26" i="24" s="1" a="1"/>
  <c r="G114" i="24"/>
  <c r="V114" i="24" s="1" a="1"/>
  <c r="G83" i="24"/>
  <c r="V83" i="24" s="1" a="1"/>
  <c r="G126" i="24"/>
  <c r="V126" i="24" s="1" a="1"/>
  <c r="G44" i="24"/>
  <c r="V44" i="24" s="1" a="1"/>
  <c r="G144" i="24"/>
  <c r="V144" i="24" s="1" a="1"/>
  <c r="G49" i="24"/>
  <c r="V49" i="24" s="1" a="1"/>
  <c r="G36" i="24"/>
  <c r="V36" i="24" s="1" a="1"/>
  <c r="G17" i="24"/>
  <c r="V17" i="24" s="1" a="1"/>
  <c r="G128" i="24"/>
  <c r="V128" i="24" s="1" a="1"/>
  <c r="G99" i="24"/>
  <c r="V99" i="24" s="1" a="1"/>
  <c r="G91" i="24"/>
  <c r="V91" i="24" s="1" a="1"/>
  <c r="G133" i="24"/>
  <c r="V133" i="24" s="1" a="1"/>
  <c r="G21" i="24"/>
  <c r="V21" i="24" s="1" a="1"/>
  <c r="G47" i="24"/>
  <c r="V47" i="24" s="1" a="1"/>
  <c r="G140" i="24"/>
  <c r="V140" i="24" s="1" a="1"/>
  <c r="G38" i="24"/>
  <c r="V38" i="24" s="1" a="1"/>
  <c r="G122" i="24"/>
  <c r="V122" i="24" s="1" a="1"/>
  <c r="G78" i="24"/>
  <c r="V78" i="24" s="1" a="1"/>
  <c r="G11" i="24"/>
  <c r="V11" i="24" s="1" a="1"/>
  <c r="G109" i="24"/>
  <c r="V109" i="24" s="1" a="1"/>
  <c r="G35" i="24"/>
  <c r="V35" i="24" s="1" a="1"/>
  <c r="G131" i="24"/>
  <c r="V131" i="24" s="1" a="1"/>
  <c r="G48" i="24"/>
  <c r="V48" i="24" s="1" a="1"/>
  <c r="G15" i="24"/>
  <c r="V15" i="24" s="1" a="1"/>
  <c r="G90" i="24"/>
  <c r="V90" i="24" s="1" a="1"/>
  <c r="G39" i="24"/>
  <c r="V39" i="24" s="1" a="1"/>
  <c r="G58" i="24"/>
  <c r="V58" i="24" s="1" a="1"/>
  <c r="G34" i="24"/>
  <c r="V34" i="24" s="1" a="1"/>
  <c r="G94" i="24"/>
  <c r="V94" i="24" s="1" a="1"/>
  <c r="G107" i="24"/>
  <c r="V107" i="24" s="1" a="1"/>
  <c r="G14" i="24"/>
  <c r="V14" i="24" s="1" a="1"/>
  <c r="G135" i="24"/>
  <c r="V135" i="24" s="1" a="1"/>
  <c r="G12" i="24"/>
  <c r="V12" i="24" s="1" a="1"/>
  <c r="G79" i="24"/>
  <c r="V79" i="24" s="1" a="1"/>
  <c r="G120" i="24"/>
  <c r="V120" i="24" s="1" a="1"/>
  <c r="G67" i="24"/>
  <c r="V67" i="24" s="1" a="1"/>
  <c r="G101" i="24"/>
  <c r="V101" i="24" s="1" a="1"/>
  <c r="G97" i="24"/>
  <c r="V97" i="24" s="1" a="1"/>
  <c r="G62" i="24"/>
  <c r="V62" i="24" s="1" a="1"/>
  <c r="G53" i="24"/>
  <c r="V53" i="24" s="1" a="1"/>
  <c r="G119" i="24"/>
  <c r="V119" i="24" s="1" a="1"/>
  <c r="G141" i="24"/>
  <c r="V141" i="24" s="1" a="1"/>
  <c r="G143" i="24"/>
  <c r="V143" i="24" s="1" a="1"/>
  <c r="G139" i="24"/>
  <c r="V139" i="24" s="1" a="1"/>
  <c r="G13" i="24"/>
  <c r="V13" i="24" s="1" a="1"/>
  <c r="Q606" i="23"/>
  <c r="G22" i="24"/>
  <c r="V22" i="24" s="1" a="1"/>
  <c r="G121" i="24"/>
  <c r="V121" i="24" s="1" a="1"/>
  <c r="G71" i="24"/>
  <c r="V71" i="24" s="1" a="1"/>
  <c r="G27" i="24"/>
  <c r="V27" i="24" s="1" a="1"/>
  <c r="G73" i="24"/>
  <c r="V73" i="24" s="1" a="1"/>
  <c r="G24" i="24"/>
  <c r="V24" i="24" s="1" a="1"/>
  <c r="G127" i="24"/>
  <c r="V127" i="24" s="1" a="1"/>
  <c r="G138" i="24"/>
  <c r="V138" i="24" s="1" a="1"/>
  <c r="G142" i="24"/>
  <c r="V142" i="24" s="1" a="1"/>
  <c r="G57" i="24"/>
  <c r="V57" i="24" s="1" a="1"/>
  <c r="O323" i="23"/>
  <c r="O340" i="23"/>
  <c r="N340" i="23"/>
  <c r="P340" i="23" s="1" a="1"/>
  <c r="Q340" i="23" s="1"/>
  <c r="O339" i="23"/>
  <c r="N339" i="23"/>
  <c r="P339" i="23" s="1" a="1"/>
  <c r="Q339" i="23" s="1"/>
  <c r="O326" i="23"/>
  <c r="N326" i="23"/>
  <c r="P326" i="23" s="1" a="1"/>
  <c r="Q326" i="23" s="1"/>
  <c r="O320" i="23"/>
  <c r="N320" i="23"/>
  <c r="P320" i="23" s="1" a="1"/>
  <c r="Q320" i="23" s="1"/>
  <c r="N406" i="23"/>
  <c r="O406" i="23"/>
  <c r="N408" i="23"/>
  <c r="O408" i="23"/>
  <c r="O410" i="23"/>
  <c r="N410" i="23"/>
  <c r="P410" i="23" s="1" a="1"/>
  <c r="Q410" i="23" s="1"/>
  <c r="N412" i="23"/>
  <c r="O412" i="23"/>
  <c r="O413" i="23"/>
  <c r="N413" i="23"/>
  <c r="P413" i="23" s="1" a="1"/>
  <c r="Q413" i="23" s="1"/>
  <c r="P227" i="23" a="1"/>
  <c r="Q227" i="23" s="1"/>
  <c r="O441" i="23"/>
  <c r="N441" i="23"/>
  <c r="P441" i="23" s="1" a="1"/>
  <c r="Q441" i="23" s="1"/>
  <c r="O304" i="23"/>
  <c r="N304" i="23"/>
  <c r="P304" i="23" s="1" a="1"/>
  <c r="Q304" i="23" s="1"/>
  <c r="N321" i="23"/>
  <c r="O321" i="23"/>
  <c r="O338" i="23"/>
  <c r="N338" i="23"/>
  <c r="P338" i="23" s="1" a="1"/>
  <c r="Q338" i="23" s="1"/>
  <c r="O305" i="23"/>
  <c r="N305" i="23"/>
  <c r="P305" i="23" s="1" a="1"/>
  <c r="Q305" i="23" s="1"/>
  <c r="O333" i="23"/>
  <c r="N333" i="23"/>
  <c r="P333" i="23" s="1" a="1"/>
  <c r="Q333" i="23" s="1"/>
  <c r="O328" i="23"/>
  <c r="N328" i="23"/>
  <c r="P328" i="23" s="1" a="1"/>
  <c r="Q328" i="23" s="1"/>
  <c r="O352" i="23"/>
  <c r="N352" i="23"/>
  <c r="P352" i="23" s="1" a="1"/>
  <c r="Q352" i="23" s="1"/>
  <c r="O337" i="23"/>
  <c r="N337" i="23"/>
  <c r="P337" i="23" s="1" a="1"/>
  <c r="Q337" i="23" s="1"/>
  <c r="O307" i="23"/>
  <c r="N307" i="23"/>
  <c r="P307" i="23" s="1" a="1"/>
  <c r="Q307" i="23" s="1"/>
  <c r="N351" i="23"/>
  <c r="O351" i="23"/>
  <c r="O322" i="23"/>
  <c r="N322" i="23"/>
  <c r="P322" i="23" s="1" a="1"/>
  <c r="Q322" i="23" s="1"/>
  <c r="N309" i="23"/>
  <c r="O309" i="23"/>
  <c r="O350" i="23"/>
  <c r="N350" i="23"/>
  <c r="P350" i="23" s="1" a="1"/>
  <c r="Q350" i="23" s="1"/>
  <c r="O336" i="23"/>
  <c r="N336" i="23"/>
  <c r="P336" i="23" s="1" a="1"/>
  <c r="Q336" i="23" s="1"/>
  <c r="O310" i="23"/>
  <c r="N310" i="23"/>
  <c r="P310" i="23" s="1" a="1"/>
  <c r="Q310" i="23" s="1"/>
  <c r="O349" i="23"/>
  <c r="N349" i="23"/>
  <c r="P349" i="23" s="1" a="1"/>
  <c r="Q349" i="23" s="1"/>
  <c r="O329" i="23"/>
  <c r="N329" i="23"/>
  <c r="P329" i="23" s="1" a="1"/>
  <c r="Q329" i="23" s="1"/>
  <c r="O348" i="23"/>
  <c r="N348" i="23"/>
  <c r="P348" i="23" s="1" a="1"/>
  <c r="Q348" i="23" s="1"/>
  <c r="P86" i="23" a="1"/>
  <c r="N442" i="23"/>
  <c r="O442" i="23"/>
  <c r="Q6" i="25"/>
  <c r="Q3" i="25"/>
  <c r="Z4" i="25"/>
  <c r="J124" i="22" s="1"/>
  <c r="Q5" i="25"/>
  <c r="Q4" i="25"/>
  <c r="Z3" i="25"/>
  <c r="J123" i="22" s="1"/>
  <c r="P299" i="23" a="1"/>
  <c r="Q299" i="23" s="1"/>
  <c r="O372" i="23"/>
  <c r="N372" i="23"/>
  <c r="P372" i="23" s="1" a="1"/>
  <c r="Q372" i="23" s="1"/>
  <c r="O371" i="23"/>
  <c r="N371" i="23"/>
  <c r="P371" i="23" s="1" a="1"/>
  <c r="Q371" i="23" s="1"/>
  <c r="O370" i="23"/>
  <c r="N370" i="23"/>
  <c r="P370" i="23" s="1" a="1"/>
  <c r="Q370" i="23" s="1"/>
  <c r="O369" i="23"/>
  <c r="N369" i="23"/>
  <c r="P369" i="23" s="1" a="1"/>
  <c r="Q369" i="23" s="1"/>
  <c r="O368" i="23"/>
  <c r="N368" i="23"/>
  <c r="P368" i="23" s="1" a="1"/>
  <c r="Q368" i="23" s="1"/>
  <c r="O366" i="23"/>
  <c r="N366" i="23"/>
  <c r="P366" i="23" s="1" a="1"/>
  <c r="Q366" i="23" s="1"/>
  <c r="O365" i="23"/>
  <c r="N365" i="23"/>
  <c r="O364" i="23"/>
  <c r="N364" i="23"/>
  <c r="P364" i="23" s="1" a="1"/>
  <c r="Q364" i="23" s="1"/>
  <c r="O363" i="23"/>
  <c r="N363" i="23"/>
  <c r="P363" i="23" s="1" a="1"/>
  <c r="Q363" i="23" s="1"/>
  <c r="O362" i="23"/>
  <c r="N362" i="23"/>
  <c r="P362" i="23" s="1" a="1"/>
  <c r="Q362" i="23" s="1"/>
  <c r="O361" i="23"/>
  <c r="N361" i="23"/>
  <c r="P361" i="23" s="1" a="1"/>
  <c r="Q361" i="23" s="1"/>
  <c r="O360" i="23"/>
  <c r="N360" i="23"/>
  <c r="P360" i="23" s="1" a="1"/>
  <c r="Q360" i="23" s="1"/>
  <c r="O359" i="23"/>
  <c r="N359" i="23"/>
  <c r="P359" i="23" s="1" a="1"/>
  <c r="Q359" i="23" s="1"/>
  <c r="O358" i="23"/>
  <c r="N358" i="23"/>
  <c r="P358" i="23" s="1" a="1"/>
  <c r="Q358" i="23" s="1"/>
  <c r="O357" i="23"/>
  <c r="N357" i="23"/>
  <c r="P357" i="23" s="1" a="1"/>
  <c r="Q357" i="23" s="1"/>
  <c r="O356" i="23"/>
  <c r="N356" i="23"/>
  <c r="P356" i="23" s="1" a="1"/>
  <c r="Q356" i="23" s="1"/>
  <c r="O355" i="23"/>
  <c r="N355" i="23"/>
  <c r="P355" i="23" s="1" a="1"/>
  <c r="Q355" i="23" s="1"/>
  <c r="O354" i="23"/>
  <c r="N354" i="23"/>
  <c r="P354" i="23" s="1" a="1"/>
  <c r="Q354" i="23" s="1"/>
  <c r="O353" i="23"/>
  <c r="N353" i="23"/>
  <c r="P353" i="23" s="1" a="1"/>
  <c r="Q353" i="23" s="1"/>
  <c r="P416" i="23" a="1"/>
  <c r="Q416" i="23" s="1"/>
  <c r="N367" i="23"/>
  <c r="O367" i="23"/>
  <c r="N400" i="23"/>
  <c r="O400" i="23"/>
  <c r="O399" i="23"/>
  <c r="N399" i="23"/>
  <c r="P399" i="23" s="1" a="1"/>
  <c r="Q399" i="23" s="1"/>
  <c r="O398" i="23"/>
  <c r="N398" i="23"/>
  <c r="P398" i="23" s="1" a="1"/>
  <c r="Q398" i="23" s="1"/>
  <c r="O397" i="23"/>
  <c r="N397" i="23"/>
  <c r="P397" i="23" s="1" a="1"/>
  <c r="Q397" i="23" s="1"/>
  <c r="O396" i="23"/>
  <c r="N396" i="23"/>
  <c r="P396" i="23" s="1" a="1"/>
  <c r="Q396" i="23" s="1"/>
  <c r="O395" i="23"/>
  <c r="N395" i="23"/>
  <c r="O394" i="23"/>
  <c r="N394" i="23"/>
  <c r="P394" i="23" s="1" a="1"/>
  <c r="Q394" i="23" s="1"/>
  <c r="O393" i="23"/>
  <c r="N393" i="23"/>
  <c r="P393" i="23" s="1" a="1"/>
  <c r="Q393" i="23" s="1"/>
  <c r="O392" i="23"/>
  <c r="N392" i="23"/>
  <c r="P392" i="23" s="1" a="1"/>
  <c r="Q392" i="23" s="1"/>
  <c r="N391" i="23"/>
  <c r="O391" i="23"/>
  <c r="O390" i="23"/>
  <c r="N390" i="23"/>
  <c r="P390" i="23" s="1" a="1"/>
  <c r="Q390" i="23" s="1"/>
  <c r="O389" i="23"/>
  <c r="N389" i="23"/>
  <c r="P389" i="23" s="1" a="1"/>
  <c r="Q389" i="23" s="1"/>
  <c r="O388" i="23"/>
  <c r="N388" i="23"/>
  <c r="O387" i="23"/>
  <c r="N387" i="23"/>
  <c r="P387" i="23" s="1" a="1"/>
  <c r="Q387" i="23" s="1"/>
  <c r="O386" i="23"/>
  <c r="N386" i="23"/>
  <c r="P386" i="23" s="1" a="1"/>
  <c r="Q386" i="23" s="1"/>
  <c r="O385" i="23"/>
  <c r="N385" i="23"/>
  <c r="P385" i="23" s="1" a="1"/>
  <c r="Q385" i="23" s="1"/>
  <c r="O384" i="23"/>
  <c r="N384" i="23"/>
  <c r="P384" i="23" s="1" a="1"/>
  <c r="Q384" i="23" s="1"/>
  <c r="O383" i="23"/>
  <c r="N383" i="23"/>
  <c r="P383" i="23" s="1" a="1"/>
  <c r="Q383" i="23" s="1"/>
  <c r="O382" i="23"/>
  <c r="N382" i="23"/>
  <c r="P382" i="23" s="1" a="1"/>
  <c r="Q382" i="23" s="1"/>
  <c r="O381" i="23"/>
  <c r="N381" i="23"/>
  <c r="P381" i="23" s="1" a="1"/>
  <c r="Q381" i="23" s="1"/>
  <c r="O380" i="23"/>
  <c r="N380" i="23"/>
  <c r="P380" i="23" s="1" a="1"/>
  <c r="Q380" i="23" s="1"/>
  <c r="O379" i="23"/>
  <c r="N379" i="23"/>
  <c r="O378" i="23"/>
  <c r="N378" i="23"/>
  <c r="P378" i="23" s="1" a="1"/>
  <c r="Q378" i="23" s="1"/>
  <c r="O377" i="23"/>
  <c r="N377" i="23"/>
  <c r="P377" i="23" s="1" a="1"/>
  <c r="Q377" i="23" s="1"/>
  <c r="O376" i="23"/>
  <c r="N376" i="23"/>
  <c r="P376" i="23" s="1" a="1"/>
  <c r="Q376" i="23" s="1"/>
  <c r="O375" i="23"/>
  <c r="N375" i="23"/>
  <c r="O374" i="23"/>
  <c r="N374" i="23"/>
  <c r="P374" i="23" s="1" a="1"/>
  <c r="Q374" i="23" s="1"/>
  <c r="O373" i="23"/>
  <c r="N373" i="23"/>
  <c r="P373" i="23" s="1" a="1"/>
  <c r="Q373" i="23" s="1"/>
  <c r="N414" i="23"/>
  <c r="O414" i="23"/>
  <c r="N418" i="23"/>
  <c r="O418" i="23"/>
  <c r="N419" i="23"/>
  <c r="O419" i="23"/>
  <c r="N422" i="23"/>
  <c r="O422" i="23"/>
  <c r="N323" i="23"/>
  <c r="P402" i="23" a="1"/>
  <c r="Q402" i="23" s="1"/>
  <c r="P438" i="23" a="1"/>
  <c r="Q438" i="23" s="1"/>
  <c r="O342" i="23"/>
  <c r="N342" i="23"/>
  <c r="P342" i="23" s="1" a="1"/>
  <c r="Q342" i="23" s="1"/>
  <c r="N423" i="23"/>
  <c r="O423" i="23"/>
  <c r="O425" i="23"/>
  <c r="N425" i="23"/>
  <c r="P425" i="23" s="1" a="1"/>
  <c r="Q425" i="23" s="1"/>
  <c r="N426" i="23"/>
  <c r="O426" i="23"/>
  <c r="N428" i="23"/>
  <c r="O428" i="23"/>
  <c r="N429" i="23"/>
  <c r="O429" i="23"/>
  <c r="P401" i="23" a="1"/>
  <c r="Q401" i="23" s="1"/>
  <c r="P403" i="23" a="1"/>
  <c r="Q403" i="23" s="1"/>
  <c r="P405" i="23" a="1"/>
  <c r="Q405" i="23" s="1"/>
  <c r="P407" i="23" a="1"/>
  <c r="Q407" i="23" s="1"/>
  <c r="P409" i="23" a="1"/>
  <c r="Q409" i="23" s="1"/>
  <c r="P414" i="23" a="1"/>
  <c r="Q414" i="23" s="1"/>
  <c r="P415" i="23" a="1"/>
  <c r="Q415" i="23" s="1"/>
  <c r="P435" i="23" a="1"/>
  <c r="Q435" i="23" s="1"/>
  <c r="P417" i="23" a="1"/>
  <c r="Q417" i="23" s="1"/>
  <c r="P418" i="23" a="1"/>
  <c r="Q418" i="23" s="1"/>
  <c r="P419" i="23" a="1"/>
  <c r="Q419" i="23" s="1"/>
  <c r="P421" i="23" a="1"/>
  <c r="Q421" i="23" s="1"/>
  <c r="P423" i="23" a="1"/>
  <c r="Q423" i="23" s="1"/>
  <c r="P426" i="23" a="1"/>
  <c r="Q426" i="23" s="1"/>
  <c r="P427" i="23" a="1"/>
  <c r="Q427" i="23" s="1"/>
  <c r="P428" i="23" a="1"/>
  <c r="Q428" i="23" s="1"/>
  <c r="P430" i="23" a="1"/>
  <c r="Q430" i="23" s="1"/>
  <c r="P431" i="23" a="1"/>
  <c r="Q431" i="23" s="1"/>
  <c r="P432" i="23" a="1"/>
  <c r="Q432" i="23" s="1"/>
  <c r="P433" i="23" a="1"/>
  <c r="Q433" i="23" s="1"/>
  <c r="P436" i="23" a="1"/>
  <c r="Q436" i="23" s="1"/>
  <c r="P437" i="23" a="1"/>
  <c r="Q437" i="23" s="1"/>
  <c r="P451" i="23" a="1"/>
  <c r="Q451" i="23" s="1"/>
  <c r="P454" i="23" a="1"/>
  <c r="Q454" i="23" s="1"/>
  <c r="O311" i="23"/>
  <c r="N311" i="23"/>
  <c r="P311" i="23" s="1" a="1"/>
  <c r="O312" i="23"/>
  <c r="N312" i="23"/>
  <c r="P312" i="23" s="1" a="1"/>
  <c r="N347" i="23"/>
  <c r="O347" i="23"/>
  <c r="O332" i="23"/>
  <c r="N332" i="23"/>
  <c r="P332" i="23" s="1" a="1"/>
  <c r="Q332" i="23" s="1"/>
  <c r="N346" i="23"/>
  <c r="O346" i="23"/>
  <c r="O324" i="23"/>
  <c r="N324" i="23"/>
  <c r="P324" i="23" s="1" a="1"/>
  <c r="Q324" i="23" s="1"/>
  <c r="O313" i="23"/>
  <c r="N313" i="23"/>
  <c r="N314" i="23"/>
  <c r="O314" i="23"/>
  <c r="O335" i="23"/>
  <c r="N335" i="23"/>
  <c r="O345" i="23"/>
  <c r="N345" i="23"/>
  <c r="P345" i="23" s="1" a="1"/>
  <c r="Q345" i="23" s="1"/>
  <c r="O315" i="23"/>
  <c r="N315" i="23"/>
  <c r="P315" i="23" s="1" a="1"/>
  <c r="Q315" i="23" s="1"/>
  <c r="N327" i="23"/>
  <c r="O327" i="23"/>
  <c r="O344" i="23"/>
  <c r="N344" i="23"/>
  <c r="P344" i="23" s="1" a="1"/>
  <c r="Q344" i="23" s="1"/>
  <c r="O334" i="23"/>
  <c r="N334" i="23"/>
  <c r="P334" i="23" s="1" a="1"/>
  <c r="Q334" i="23" s="1"/>
  <c r="N316" i="23"/>
  <c r="O316" i="23"/>
  <c r="N343" i="23"/>
  <c r="O343" i="23"/>
  <c r="N317" i="23"/>
  <c r="O317" i="23"/>
  <c r="O330" i="23"/>
  <c r="N330" i="23"/>
  <c r="P330" i="23" s="1" a="1"/>
  <c r="Q330" i="23" s="1"/>
  <c r="O341" i="23"/>
  <c r="N341" i="23"/>
  <c r="P341" i="23" s="1" a="1"/>
  <c r="Q341" i="23" s="1"/>
  <c r="O325" i="23"/>
  <c r="N325" i="23"/>
  <c r="P325" i="23" s="1" a="1"/>
  <c r="Q325" i="23" s="1"/>
  <c r="O318" i="23"/>
  <c r="N318" i="23"/>
  <c r="P318" i="23" s="1" a="1"/>
  <c r="Q318" i="23" s="1"/>
  <c r="N440" i="23"/>
  <c r="O440" i="23"/>
  <c r="N444" i="23"/>
  <c r="O444" i="23"/>
  <c r="O445" i="23"/>
  <c r="N445" i="23"/>
  <c r="P445" i="23" s="1" a="1"/>
  <c r="Q445" i="23" s="1"/>
  <c r="O446" i="23"/>
  <c r="N446" i="23"/>
  <c r="P446" i="23" s="1" a="1"/>
  <c r="Q446" i="23" s="1"/>
  <c r="N447" i="23"/>
  <c r="O447" i="23"/>
  <c r="N449" i="23"/>
  <c r="O449" i="23"/>
  <c r="O450" i="23"/>
  <c r="N450" i="23"/>
  <c r="N452" i="23"/>
  <c r="O452" i="23"/>
  <c r="Q43" i="23"/>
  <c r="Q2" i="23"/>
  <c r="Q455" i="23"/>
  <c r="N296" i="23"/>
  <c r="O296" i="23"/>
  <c r="O267" i="23"/>
  <c r="N267" i="23"/>
  <c r="P267" i="23" s="1" a="1"/>
  <c r="Q267" i="23" s="1"/>
  <c r="O191" i="23"/>
  <c r="N191" i="23"/>
  <c r="P191" i="23" s="1" a="1"/>
  <c r="Q191" i="23" s="1"/>
  <c r="N209" i="23"/>
  <c r="O209" i="23"/>
  <c r="N279" i="23"/>
  <c r="O279" i="23"/>
  <c r="O287" i="23"/>
  <c r="N287" i="23"/>
  <c r="P287" i="23" s="1" a="1"/>
  <c r="Q287" i="23" s="1"/>
  <c r="O259" i="23"/>
  <c r="N259" i="23"/>
  <c r="P259" i="23" s="1" a="1"/>
  <c r="Q259" i="23" s="1"/>
  <c r="O153" i="23"/>
  <c r="N153" i="23"/>
  <c r="O285" i="23"/>
  <c r="N285" i="23"/>
  <c r="P285" i="23" s="1" a="1"/>
  <c r="Q285" i="23" s="1"/>
  <c r="O260" i="23"/>
  <c r="N260" i="23"/>
  <c r="P260" i="23" s="1" a="1"/>
  <c r="Q260" i="23" s="1"/>
  <c r="N154" i="23"/>
  <c r="O154" i="23"/>
  <c r="N204" i="23"/>
  <c r="O204" i="23"/>
  <c r="N238" i="23"/>
  <c r="O238" i="23"/>
  <c r="O155" i="23"/>
  <c r="N155" i="23"/>
  <c r="P155" i="23" s="1" a="1"/>
  <c r="Q155" i="23" s="1"/>
  <c r="O224" i="23"/>
  <c r="N224" i="23"/>
  <c r="P224" i="23" s="1" a="1"/>
  <c r="Q224" i="23" s="1"/>
  <c r="O184" i="23"/>
  <c r="N184" i="23"/>
  <c r="O251" i="23"/>
  <c r="N251" i="23"/>
  <c r="P251" i="23" s="1" a="1"/>
  <c r="Q251" i="23" s="1"/>
  <c r="P206" i="23" a="1"/>
  <c r="Q206" i="23" s="1"/>
  <c r="O156" i="23"/>
  <c r="N156" i="23"/>
  <c r="P156" i="23" s="1" a="1"/>
  <c r="Q156" i="23" s="1"/>
  <c r="O261" i="23"/>
  <c r="N261" i="23"/>
  <c r="P261" i="23" s="1" a="1"/>
  <c r="Q261" i="23" s="1"/>
  <c r="O157" i="23"/>
  <c r="N157" i="23"/>
  <c r="P157" i="23" s="1" a="1"/>
  <c r="Q157" i="23" s="1"/>
  <c r="O207" i="23"/>
  <c r="N207" i="23"/>
  <c r="P207" i="23" s="1" a="1"/>
  <c r="Q207" i="23" s="1"/>
  <c r="O239" i="23"/>
  <c r="N239" i="23"/>
  <c r="P239" i="23" s="1" a="1"/>
  <c r="Q239" i="23" s="1"/>
  <c r="O158" i="23"/>
  <c r="N158" i="23"/>
  <c r="P158" i="23" s="1" a="1"/>
  <c r="Q158" i="23" s="1"/>
  <c r="O159" i="23"/>
  <c r="N159" i="23"/>
  <c r="O240" i="23"/>
  <c r="N240" i="23"/>
  <c r="P240" i="23" s="1" a="1"/>
  <c r="Q240" i="23" s="1"/>
  <c r="O277" i="23"/>
  <c r="N277" i="23"/>
  <c r="P277" i="23" s="1" a="1"/>
  <c r="Q277" i="23" s="1"/>
  <c r="O208" i="23"/>
  <c r="N208" i="23"/>
  <c r="O225" i="23"/>
  <c r="N225" i="23"/>
  <c r="P225" i="23" s="1" a="1"/>
  <c r="Q225" i="23" s="1"/>
  <c r="O185" i="23"/>
  <c r="N185" i="23"/>
  <c r="P185" i="23" s="1" a="1"/>
  <c r="Q185" i="23" s="1"/>
  <c r="O288" i="23"/>
  <c r="N288" i="23"/>
  <c r="P288" i="23" s="1" a="1"/>
  <c r="Q288" i="23" s="1"/>
  <c r="O252" i="23"/>
  <c r="N252" i="23"/>
  <c r="P252" i="23" s="1" a="1"/>
  <c r="Q252" i="23" s="1"/>
  <c r="O187" i="23"/>
  <c r="N187" i="23"/>
  <c r="P187" i="23" s="1" a="1"/>
  <c r="Q187" i="23" s="1"/>
  <c r="O253" i="23"/>
  <c r="N253" i="23"/>
  <c r="P253" i="23" s="1" a="1"/>
  <c r="Q253" i="23" s="1"/>
  <c r="O275" i="23"/>
  <c r="N275" i="23"/>
  <c r="P275" i="23" s="1" a="1"/>
  <c r="Q275" i="23" s="1"/>
  <c r="O298" i="23"/>
  <c r="N298" i="23"/>
  <c r="P298" i="23" s="1" a="1"/>
  <c r="Q298" i="23" s="1"/>
  <c r="O273" i="23"/>
  <c r="N273" i="23"/>
  <c r="P273" i="23" s="1" a="1"/>
  <c r="Q273" i="23" s="1"/>
  <c r="O160" i="23"/>
  <c r="N160" i="23"/>
  <c r="P160" i="23" s="1" a="1"/>
  <c r="O161" i="23"/>
  <c r="N161" i="23"/>
  <c r="P161" i="23" s="1" a="1"/>
  <c r="Q161" i="23" s="1"/>
  <c r="O162" i="23"/>
  <c r="N162" i="23"/>
  <c r="O241" i="23"/>
  <c r="N241" i="23"/>
  <c r="P241" i="23" s="1" a="1"/>
  <c r="Q241" i="23" s="1"/>
  <c r="O242" i="23"/>
  <c r="N242" i="23"/>
  <c r="P242" i="23" s="1" a="1"/>
  <c r="Q242" i="23" s="1"/>
  <c r="O210" i="23"/>
  <c r="N210" i="23"/>
  <c r="P210" i="23" s="1" a="1"/>
  <c r="Q210" i="23" s="1"/>
  <c r="O163" i="23"/>
  <c r="N163" i="23"/>
  <c r="P163" i="23" s="1" a="1"/>
  <c r="Q163" i="23" s="1"/>
  <c r="O263" i="23"/>
  <c r="N263" i="23"/>
  <c r="P263" i="23" s="1" a="1"/>
  <c r="Q263" i="23" s="1"/>
  <c r="O164" i="23"/>
  <c r="N164" i="23"/>
  <c r="P164" i="23" s="1" a="1"/>
  <c r="Q164" i="23" s="1"/>
  <c r="O284" i="23"/>
  <c r="N284" i="23"/>
  <c r="P284" i="23" s="1" a="1"/>
  <c r="Q284" i="23" s="1"/>
  <c r="O165" i="23"/>
  <c r="N165" i="23"/>
  <c r="P165" i="23" s="1" a="1"/>
  <c r="Q165" i="23" s="1"/>
  <c r="O243" i="23"/>
  <c r="N243" i="23"/>
  <c r="P243" i="23" s="1" a="1"/>
  <c r="Q243" i="23" s="1"/>
  <c r="O212" i="23"/>
  <c r="N212" i="23"/>
  <c r="P212" i="23" s="1" a="1"/>
  <c r="Q212" i="23" s="1"/>
  <c r="O166" i="23"/>
  <c r="N166" i="23"/>
  <c r="O213" i="23"/>
  <c r="N213" i="23"/>
  <c r="P213" i="23" s="1" a="1"/>
  <c r="Q213" i="23" s="1"/>
  <c r="O167" i="23"/>
  <c r="N167" i="23"/>
  <c r="P167" i="23" s="1" a="1"/>
  <c r="Q167" i="23" s="1"/>
  <c r="O281" i="23"/>
  <c r="N281" i="23"/>
  <c r="P281" i="23" s="1" a="1"/>
  <c r="Q281" i="23" s="1"/>
  <c r="O168" i="23"/>
  <c r="N168" i="23"/>
  <c r="P168" i="23" s="1" a="1"/>
  <c r="Q168" i="23" s="1"/>
  <c r="O169" i="23"/>
  <c r="N169" i="23"/>
  <c r="O215" i="23"/>
  <c r="N215" i="23"/>
  <c r="O170" i="23"/>
  <c r="N170" i="23"/>
  <c r="P170" i="23" s="1" a="1"/>
  <c r="Q170" i="23" s="1"/>
  <c r="O245" i="23"/>
  <c r="N245" i="23"/>
  <c r="O216" i="23"/>
  <c r="N216" i="23"/>
  <c r="P216" i="23" s="1" a="1"/>
  <c r="Q216" i="23" s="1"/>
  <c r="O171" i="23"/>
  <c r="N171" i="23"/>
  <c r="P171" i="23" s="1" a="1"/>
  <c r="Q171" i="23" s="1"/>
  <c r="O283" i="23"/>
  <c r="N283" i="23"/>
  <c r="P283" i="23" s="1" a="1"/>
  <c r="Q283" i="23" s="1"/>
  <c r="O172" i="23"/>
  <c r="N172" i="23"/>
  <c r="P172" i="23" s="1" a="1"/>
  <c r="Q172" i="23" s="1"/>
  <c r="O173" i="23"/>
  <c r="N173" i="23"/>
  <c r="P173" i="23" s="1" a="1"/>
  <c r="Q173" i="23" s="1"/>
  <c r="O246" i="23"/>
  <c r="N246" i="23"/>
  <c r="P246" i="23" s="1" a="1"/>
  <c r="Q246" i="23" s="1"/>
  <c r="O278" i="23"/>
  <c r="N278" i="23"/>
  <c r="P278" i="23" s="1" a="1"/>
  <c r="Q278" i="23" s="1"/>
  <c r="O174" i="23"/>
  <c r="N174" i="23"/>
  <c r="P174" i="23" s="1" a="1"/>
  <c r="Q174" i="23" s="1"/>
  <c r="O175" i="23"/>
  <c r="N175" i="23"/>
  <c r="P175" i="23" s="1" a="1"/>
  <c r="Q175" i="23" s="1"/>
  <c r="O218" i="23"/>
  <c r="N218" i="23"/>
  <c r="O219" i="23"/>
  <c r="N219" i="23"/>
  <c r="O176" i="23"/>
  <c r="N176" i="23"/>
  <c r="P176" i="23" s="1" a="1"/>
  <c r="Q176" i="23" s="1"/>
  <c r="O177" i="23"/>
  <c r="N177" i="23"/>
  <c r="P177" i="23" s="1" a="1"/>
  <c r="Q177" i="23" s="1"/>
  <c r="O266" i="23"/>
  <c r="N266" i="23"/>
  <c r="O220" i="23"/>
  <c r="N220" i="23"/>
  <c r="P220" i="23" s="1" a="1"/>
  <c r="Q220" i="23" s="1"/>
  <c r="O178" i="23"/>
  <c r="N178" i="23"/>
  <c r="O280" i="23"/>
  <c r="N280" i="23"/>
  <c r="P280" i="23" s="1" a="1"/>
  <c r="Q280" i="23" s="1"/>
  <c r="O179" i="23"/>
  <c r="N179" i="23"/>
  <c r="P179" i="23" s="1" a="1"/>
  <c r="Q179" i="23" s="1"/>
  <c r="O180" i="23"/>
  <c r="N180" i="23"/>
  <c r="P180" i="23" s="1" a="1"/>
  <c r="Q180" i="23" s="1"/>
  <c r="O290" i="23"/>
  <c r="N290" i="23"/>
  <c r="P290" i="23" s="1" a="1"/>
  <c r="Q290" i="23" s="1"/>
  <c r="O222" i="23"/>
  <c r="N222" i="23"/>
  <c r="P222" i="23" s="1" a="1"/>
  <c r="Q222" i="23" s="1"/>
  <c r="O268" i="23"/>
  <c r="N268" i="23"/>
  <c r="P268" i="23" s="1" a="1"/>
  <c r="Q268" i="23" s="1"/>
  <c r="O181" i="23"/>
  <c r="N181" i="23"/>
  <c r="P181" i="23" s="1" a="1"/>
  <c r="Q181" i="23" s="1"/>
  <c r="O182" i="23"/>
  <c r="N182" i="23"/>
  <c r="P182" i="23" s="1" a="1"/>
  <c r="Q182" i="23" s="1"/>
  <c r="O250" i="23"/>
  <c r="N250" i="23"/>
  <c r="P250" i="23" s="1" a="1"/>
  <c r="Q250" i="23" s="1"/>
  <c r="O289" i="23"/>
  <c r="N289" i="23"/>
  <c r="P289" i="23" s="1" a="1"/>
  <c r="Q289" i="23" s="1"/>
  <c r="O183" i="23"/>
  <c r="N183" i="23"/>
  <c r="P183" i="23" s="1" a="1"/>
  <c r="Q183" i="23" s="1"/>
  <c r="O254" i="23"/>
  <c r="N254" i="23"/>
  <c r="P254" i="23" s="1" a="1"/>
  <c r="Q254" i="23" s="1"/>
  <c r="O228" i="23"/>
  <c r="N228" i="23"/>
  <c r="P228" i="23" s="1" a="1"/>
  <c r="Q228" i="23" s="1"/>
  <c r="O190" i="23"/>
  <c r="N190" i="23"/>
  <c r="P190" i="23" s="1" a="1"/>
  <c r="Q190" i="23" s="1"/>
  <c r="O229" i="23"/>
  <c r="N229" i="23"/>
  <c r="P229" i="23" s="1" a="1"/>
  <c r="Q229" i="23" s="1"/>
  <c r="O303" i="23"/>
  <c r="N303" i="23"/>
  <c r="P303" i="23" s="1" a="1"/>
  <c r="Q303" i="23" s="1"/>
  <c r="O192" i="23"/>
  <c r="N192" i="23"/>
  <c r="P192" i="23" s="1" a="1"/>
  <c r="Q192" i="23" s="1"/>
  <c r="O302" i="23"/>
  <c r="N302" i="23"/>
  <c r="O230" i="23"/>
  <c r="N230" i="23"/>
  <c r="P230" i="23" s="1" a="1"/>
  <c r="Q230" i="23" s="1"/>
  <c r="O194" i="23"/>
  <c r="N194" i="23"/>
  <c r="O231" i="23"/>
  <c r="N231" i="23"/>
  <c r="P231" i="23" s="1" a="1"/>
  <c r="Q231" i="23" s="1"/>
  <c r="O270" i="23"/>
  <c r="N270" i="23"/>
  <c r="P270" i="23" s="1" a="1"/>
  <c r="Q270" i="23" s="1"/>
  <c r="O286" i="23"/>
  <c r="N286" i="23"/>
  <c r="P286" i="23" s="1" a="1"/>
  <c r="Q286" i="23" s="1"/>
  <c r="O301" i="23"/>
  <c r="N301" i="23"/>
  <c r="P301" i="23" s="1" a="1"/>
  <c r="Q301" i="23" s="1"/>
  <c r="O232" i="23"/>
  <c r="N232" i="23"/>
  <c r="O256" i="23"/>
  <c r="N256" i="23"/>
  <c r="P256" i="23" s="1" a="1"/>
  <c r="Q256" i="23" s="1"/>
  <c r="O196" i="23"/>
  <c r="N196" i="23"/>
  <c r="P196" i="23" s="1" a="1"/>
  <c r="Q196" i="23" s="1"/>
  <c r="O257" i="23"/>
  <c r="N257" i="23"/>
  <c r="P257" i="23" s="1" a="1"/>
  <c r="Q257" i="23" s="1"/>
  <c r="O300" i="23"/>
  <c r="N300" i="23"/>
  <c r="P300" i="23" s="1" a="1"/>
  <c r="Q300" i="23" s="1"/>
  <c r="O197" i="23"/>
  <c r="N197" i="23"/>
  <c r="P197" i="23" s="1" a="1"/>
  <c r="Q197" i="23" s="1"/>
  <c r="O258" i="23"/>
  <c r="N258" i="23"/>
  <c r="P258" i="23" s="1" a="1"/>
  <c r="Q258" i="23" s="1"/>
  <c r="O234" i="23"/>
  <c r="N234" i="23"/>
  <c r="P234" i="23" s="1" a="1"/>
  <c r="Q234" i="23" s="1"/>
  <c r="O276" i="23"/>
  <c r="N276" i="23"/>
  <c r="P276" i="23" s="1" a="1"/>
  <c r="Q276" i="23" s="1"/>
  <c r="O200" i="23"/>
  <c r="N200" i="23"/>
  <c r="P200" i="23" s="1" a="1"/>
  <c r="Q200" i="23" s="1"/>
  <c r="O202" i="23"/>
  <c r="N202" i="23"/>
  <c r="P202" i="23" s="1" a="1"/>
  <c r="Q202" i="23" s="1"/>
  <c r="M19" i="22"/>
  <c r="T7" i="28" l="1"/>
  <c r="U7" i="28" a="1"/>
  <c r="T32" i="28"/>
  <c r="U32" i="28" a="1"/>
  <c r="T70" i="28"/>
  <c r="U70" i="28" a="1"/>
  <c r="T94" i="28"/>
  <c r="U94" i="28" a="1"/>
  <c r="T115" i="28"/>
  <c r="U115" i="28" a="1"/>
  <c r="U6" i="28" a="1"/>
  <c r="T6" i="28"/>
  <c r="T27" i="28"/>
  <c r="U27" i="28" a="1"/>
  <c r="T69" i="28"/>
  <c r="U69" i="28" a="1"/>
  <c r="T92" i="28"/>
  <c r="U92" i="28" a="1"/>
  <c r="U111" i="28" a="1"/>
  <c r="T111" i="28"/>
  <c r="P271" i="23" a="1"/>
  <c r="Q271" i="23" s="1"/>
  <c r="P601" i="23" a="1"/>
  <c r="Q601" i="23" s="1"/>
  <c r="P595" i="23" a="1"/>
  <c r="Q595" i="23" s="1"/>
  <c r="P593" i="23" a="1"/>
  <c r="Q593" i="23" s="1"/>
  <c r="P590" i="23" a="1"/>
  <c r="Q590" i="23" s="1"/>
  <c r="P587" i="23" a="1"/>
  <c r="Q587" i="23" s="1"/>
  <c r="P584" i="23" a="1"/>
  <c r="Q584" i="23" s="1"/>
  <c r="P581" i="23" a="1"/>
  <c r="Q581" i="23" s="1"/>
  <c r="T9" i="28"/>
  <c r="U9" i="28" a="1"/>
  <c r="U54" i="28" a="1"/>
  <c r="T54" i="28"/>
  <c r="U105" i="28" a="1"/>
  <c r="T105" i="28"/>
  <c r="U129" i="28" a="1"/>
  <c r="T129" i="28"/>
  <c r="U140" i="28" a="1"/>
  <c r="T140" i="28"/>
  <c r="T22" i="28"/>
  <c r="U22" i="28" a="1"/>
  <c r="T59" i="28"/>
  <c r="U59" i="28" a="1"/>
  <c r="U93" i="28" a="1"/>
  <c r="T93" i="28"/>
  <c r="T89" i="28"/>
  <c r="U89" i="28" a="1"/>
  <c r="T117" i="28"/>
  <c r="U117" i="28" a="1"/>
  <c r="T43" i="28"/>
  <c r="U43" i="28" a="1"/>
  <c r="T12" i="28"/>
  <c r="U12" i="28" a="1"/>
  <c r="T128" i="28"/>
  <c r="U128" i="28" a="1"/>
  <c r="U30" i="28" a="1"/>
  <c r="T30" i="28"/>
  <c r="U84" i="28" a="1"/>
  <c r="T84" i="28"/>
  <c r="T119" i="28"/>
  <c r="U119" i="28" a="1"/>
  <c r="T136" i="28"/>
  <c r="U136" i="28" a="1"/>
  <c r="T4" i="28"/>
  <c r="U4" i="28" a="1"/>
  <c r="U40" i="28" a="1"/>
  <c r="T40" i="28"/>
  <c r="U77" i="28" a="1"/>
  <c r="T77" i="28"/>
  <c r="T61" i="28"/>
  <c r="U61" i="28" a="1"/>
  <c r="U57" i="28" a="1"/>
  <c r="T57" i="28"/>
  <c r="U8" i="28" a="1"/>
  <c r="T8" i="28"/>
  <c r="T21" i="28"/>
  <c r="U21" i="28" a="1"/>
  <c r="U45" i="28" a="1"/>
  <c r="T45" i="28"/>
  <c r="T133" i="28"/>
  <c r="U133" i="28" a="1"/>
  <c r="P564" i="23" a="1"/>
  <c r="Q564" i="23" s="1"/>
  <c r="U98" i="28" a="1"/>
  <c r="T98" i="28"/>
  <c r="T68" i="28"/>
  <c r="U68" i="28" a="1"/>
  <c r="T18" i="28"/>
  <c r="U18" i="28" a="1"/>
  <c r="T126" i="28"/>
  <c r="U126" i="28" a="1"/>
  <c r="T63" i="28"/>
  <c r="U63" i="28" a="1"/>
  <c r="U142" i="28" a="1"/>
  <c r="T142" i="28"/>
  <c r="U78" i="28" a="1"/>
  <c r="T78" i="28"/>
  <c r="T134" i="28"/>
  <c r="U134" i="28" a="1"/>
  <c r="T53" i="28"/>
  <c r="U53" i="28" a="1"/>
  <c r="U35" i="28" a="1"/>
  <c r="T35" i="28"/>
  <c r="U123" i="28" a="1"/>
  <c r="T123" i="28"/>
  <c r="U76" i="28" a="1"/>
  <c r="T76" i="28"/>
  <c r="U64" i="28" a="1"/>
  <c r="T64" i="28"/>
  <c r="T139" i="28"/>
  <c r="U139" i="28" a="1"/>
  <c r="T97" i="28"/>
  <c r="U97" i="28" a="1"/>
  <c r="T66" i="28"/>
  <c r="U66" i="28" a="1"/>
  <c r="U41" i="28" a="1"/>
  <c r="T41" i="28"/>
  <c r="T38" i="28"/>
  <c r="U38" i="28" a="1"/>
  <c r="T104" i="28"/>
  <c r="U104" i="28" a="1"/>
  <c r="U80" i="28" a="1"/>
  <c r="T80" i="28"/>
  <c r="T20" i="28"/>
  <c r="U20" i="28" a="1"/>
  <c r="U101" i="28" a="1"/>
  <c r="T101" i="28"/>
  <c r="U138" i="28" a="1"/>
  <c r="T138" i="28"/>
  <c r="T17" i="28"/>
  <c r="U17" i="28" a="1"/>
  <c r="T106" i="28"/>
  <c r="U106" i="28" a="1"/>
  <c r="T29" i="28"/>
  <c r="U29" i="28" a="1"/>
  <c r="T88" i="28"/>
  <c r="U88" i="28" a="1"/>
  <c r="U33" i="28" a="1"/>
  <c r="T33" i="28"/>
  <c r="U116" i="28" a="1"/>
  <c r="T116" i="28"/>
  <c r="T36" i="28"/>
  <c r="U36" i="28" a="1"/>
  <c r="T26" i="28"/>
  <c r="U26" i="28" a="1"/>
  <c r="T82" i="28"/>
  <c r="U82" i="28" a="1"/>
  <c r="T44" i="28"/>
  <c r="U44" i="28" a="1"/>
  <c r="U120" i="28" a="1"/>
  <c r="T120" i="28"/>
  <c r="U60" i="28" a="1"/>
  <c r="T60" i="28"/>
  <c r="U127" i="28" a="1"/>
  <c r="T127" i="28"/>
  <c r="T34" i="28"/>
  <c r="U34" i="28" a="1"/>
  <c r="U103" i="28" a="1"/>
  <c r="T103" i="28"/>
  <c r="U83" i="28" a="1"/>
  <c r="T83" i="28"/>
  <c r="T24" i="28"/>
  <c r="U24" i="28" a="1"/>
  <c r="U108" i="28" a="1"/>
  <c r="T108" i="28"/>
  <c r="U130" i="28" a="1"/>
  <c r="T130" i="28"/>
  <c r="U90" i="28" a="1"/>
  <c r="T90" i="28"/>
  <c r="U100" i="28" a="1"/>
  <c r="T100" i="28"/>
  <c r="U56" i="28" a="1"/>
  <c r="T56" i="28"/>
  <c r="U19" i="28" a="1"/>
  <c r="T19" i="28"/>
  <c r="U102" i="28" a="1"/>
  <c r="T102" i="28"/>
  <c r="U114" i="28" a="1"/>
  <c r="T114" i="28"/>
  <c r="U143" i="28" a="1"/>
  <c r="T143" i="28"/>
  <c r="U87" i="28" a="1"/>
  <c r="T87" i="28"/>
  <c r="T62" i="28"/>
  <c r="U62" i="28" a="1"/>
  <c r="U31" i="28" a="1"/>
  <c r="T31" i="28"/>
  <c r="U99" i="28" a="1"/>
  <c r="T99" i="28"/>
  <c r="T74" i="28"/>
  <c r="U74" i="28" a="1"/>
  <c r="AN20" i="22"/>
  <c r="F76" i="22" s="1"/>
  <c r="A67" i="34" a="1"/>
  <c r="AB161" i="22" a="1"/>
  <c r="AD74" i="22"/>
  <c r="AC74" i="22"/>
  <c r="Z74" i="22"/>
  <c r="AA74" i="22"/>
  <c r="B53" i="34" a="1"/>
  <c r="AD75" i="22"/>
  <c r="Z75" i="22"/>
  <c r="AA75" i="22"/>
  <c r="AC75" i="22"/>
  <c r="AC76" i="22"/>
  <c r="Z76" i="22"/>
  <c r="AA76" i="22"/>
  <c r="AD76" i="22"/>
  <c r="Z77" i="22"/>
  <c r="AA77" i="22"/>
  <c r="AD77" i="22"/>
  <c r="AC77" i="22"/>
  <c r="T121" i="28"/>
  <c r="U121" i="28" a="1"/>
  <c r="T47" i="28"/>
  <c r="U47" i="28" a="1"/>
  <c r="T75" i="28"/>
  <c r="U75" i="28" a="1"/>
  <c r="U95" i="28" a="1"/>
  <c r="T95" i="28"/>
  <c r="U112" i="28" a="1"/>
  <c r="T112" i="28"/>
  <c r="U135" i="28" a="1"/>
  <c r="T135" i="28"/>
  <c r="U15" i="28" a="1"/>
  <c r="T15" i="28"/>
  <c r="T37" i="28"/>
  <c r="U37" i="28" a="1"/>
  <c r="U49" i="28" a="1"/>
  <c r="T49" i="28"/>
  <c r="T55" i="28"/>
  <c r="U55" i="28" a="1"/>
  <c r="T67" i="28"/>
  <c r="U67" i="28" a="1"/>
  <c r="T73" i="28"/>
  <c r="U73" i="28" a="1"/>
  <c r="U79" i="28" a="1"/>
  <c r="T79" i="28"/>
  <c r="U85" i="28" a="1"/>
  <c r="T85" i="28"/>
  <c r="U91" i="28" a="1"/>
  <c r="T91" i="28"/>
  <c r="T113" i="28"/>
  <c r="U113" i="28" a="1"/>
  <c r="U118" i="28" a="1"/>
  <c r="T118" i="28"/>
  <c r="U122" i="28" a="1"/>
  <c r="T122" i="28"/>
  <c r="T131" i="28"/>
  <c r="U131" i="28" a="1"/>
  <c r="AL92" i="27" a="1"/>
  <c r="B32" i="27" a="1"/>
  <c r="AJ92" i="27" s="1"/>
  <c r="T2" i="28"/>
  <c r="U2" i="28" a="1"/>
  <c r="B31" i="27"/>
  <c r="T11" i="28"/>
  <c r="U11" i="28" a="1"/>
  <c r="U23" i="28" a="1"/>
  <c r="T23" i="28"/>
  <c r="T137" i="28"/>
  <c r="U137" i="28" a="1"/>
  <c r="T13" i="28"/>
  <c r="U13" i="28" a="1"/>
  <c r="T39" i="28"/>
  <c r="U39" i="28" a="1"/>
  <c r="U86" i="28" a="1"/>
  <c r="T86" i="28"/>
  <c r="T107" i="28"/>
  <c r="U107" i="28" a="1"/>
  <c r="U125" i="28" a="1"/>
  <c r="T125" i="28"/>
  <c r="U3" i="28" a="1"/>
  <c r="T3" i="28"/>
  <c r="T25" i="28"/>
  <c r="U25" i="28" a="1"/>
  <c r="T48" i="28"/>
  <c r="U48" i="28" a="1"/>
  <c r="U72" i="28" a="1"/>
  <c r="T72" i="28"/>
  <c r="U96" i="28" a="1"/>
  <c r="T96" i="28"/>
  <c r="T110" i="28"/>
  <c r="U110" i="28" a="1"/>
  <c r="T124" i="28"/>
  <c r="U124" i="28" a="1"/>
  <c r="T132" i="28"/>
  <c r="U132" i="28" a="1"/>
  <c r="U141" i="28" a="1"/>
  <c r="T141" i="28"/>
  <c r="U10" i="28" a="1"/>
  <c r="T10" i="28"/>
  <c r="U28" i="28" a="1"/>
  <c r="T28" i="28"/>
  <c r="U46" i="28" a="1"/>
  <c r="T46" i="28"/>
  <c r="T65" i="28"/>
  <c r="U65" i="28" a="1"/>
  <c r="T81" i="28"/>
  <c r="U81" i="28" a="1"/>
  <c r="U109" i="28" a="1"/>
  <c r="T109" i="28"/>
  <c r="P600" i="23" a="1"/>
  <c r="Q600" i="23" s="1"/>
  <c r="P597" i="23" a="1"/>
  <c r="Q597" i="23" s="1"/>
  <c r="P596" i="23" a="1"/>
  <c r="Q596" i="23" s="1"/>
  <c r="P591" i="23" a="1"/>
  <c r="Q591" i="23" s="1"/>
  <c r="P589" i="23" a="1"/>
  <c r="Q589" i="23" s="1"/>
  <c r="P588" i="23" a="1"/>
  <c r="Q588" i="23" s="1"/>
  <c r="P578" i="23" a="1"/>
  <c r="Q578" i="23" s="1"/>
  <c r="P577" i="23" a="1"/>
  <c r="Q577" i="23" s="1"/>
  <c r="P576" i="23" a="1"/>
  <c r="Q576" i="23" s="1"/>
  <c r="P575" i="23" a="1"/>
  <c r="Q575" i="23" s="1"/>
  <c r="P469" i="23" a="1"/>
  <c r="Q469" i="23" s="1"/>
  <c r="P494" i="23" a="1"/>
  <c r="Q494" i="23" s="1"/>
  <c r="P569" i="23" a="1"/>
  <c r="Q569" i="23" s="1"/>
  <c r="P459" i="23" a="1"/>
  <c r="P568" i="23" a="1"/>
  <c r="Q568" i="23" s="1"/>
  <c r="P460" i="23" a="1"/>
  <c r="Q460" i="23" s="1"/>
  <c r="P567" i="23" a="1"/>
  <c r="Q567" i="23" s="1"/>
  <c r="P496" i="23" a="1"/>
  <c r="Q496" i="23" s="1"/>
  <c r="P365" i="23" a="1"/>
  <c r="Q365" i="23" s="1"/>
  <c r="P545" i="23" a="1"/>
  <c r="Q545" i="23" s="1"/>
  <c r="P524" i="23" a="1"/>
  <c r="Q524" i="23" s="1"/>
  <c r="P542" i="23" a="1"/>
  <c r="Q542" i="23" s="1"/>
  <c r="P331" i="23" a="1"/>
  <c r="Q331" i="23" s="1"/>
  <c r="Q131" i="23"/>
  <c r="C87" i="24"/>
  <c r="R87" i="24" s="1" a="1"/>
  <c r="C11" i="24"/>
  <c r="R11" i="24" s="1" a="1"/>
  <c r="C44" i="24"/>
  <c r="R44" i="24" s="1" a="1"/>
  <c r="C7" i="24"/>
  <c r="R7" i="24" s="1" a="1"/>
  <c r="C23" i="24"/>
  <c r="R23" i="24" s="1" a="1"/>
  <c r="C108" i="24"/>
  <c r="R108" i="24" s="1" a="1"/>
  <c r="C139" i="24"/>
  <c r="R139" i="24" s="1" a="1"/>
  <c r="C58" i="24"/>
  <c r="R58" i="24" s="1" a="1"/>
  <c r="C102" i="24"/>
  <c r="R102" i="24" s="1" a="1"/>
  <c r="C13" i="24"/>
  <c r="R13" i="24" s="1" a="1"/>
  <c r="C117" i="24"/>
  <c r="R117" i="24" s="1" a="1"/>
  <c r="C17" i="24"/>
  <c r="R17" i="24" s="1" a="1"/>
  <c r="C129" i="24"/>
  <c r="R129" i="24" s="1" a="1"/>
  <c r="C76" i="24"/>
  <c r="R76" i="24" s="1" a="1"/>
  <c r="C50" i="24"/>
  <c r="R50" i="24" s="1" a="1"/>
  <c r="C124" i="24"/>
  <c r="R124" i="24" s="1" a="1"/>
  <c r="C29" i="24"/>
  <c r="R29" i="24" s="1" a="1"/>
  <c r="C40" i="24"/>
  <c r="R40" i="24" s="1" a="1"/>
  <c r="C25" i="24"/>
  <c r="R25" i="24" s="1" a="1"/>
  <c r="C52" i="24"/>
  <c r="R52" i="24" s="1" a="1"/>
  <c r="C53" i="24"/>
  <c r="R53" i="24" s="1" a="1"/>
  <c r="C130" i="24"/>
  <c r="R130" i="24" s="1" a="1"/>
  <c r="C48" i="24"/>
  <c r="R48" i="24" s="1" a="1"/>
  <c r="H126" i="22"/>
  <c r="C21" i="40"/>
  <c r="E21" i="40" s="1"/>
  <c r="A26" i="40" s="1" a="1"/>
  <c r="H123" i="22"/>
  <c r="H125" i="22"/>
  <c r="H124" i="22"/>
  <c r="P516" i="23" a="1"/>
  <c r="Q516" i="23" s="1"/>
  <c r="P467" i="23" a="1"/>
  <c r="P514" i="23" a="1"/>
  <c r="Q514" i="23" s="1"/>
  <c r="P470" i="23" a="1"/>
  <c r="Q470" i="23" s="1"/>
  <c r="P528" i="23" a="1"/>
  <c r="Q528" i="23" s="1"/>
  <c r="P472" i="23" a="1"/>
  <c r="Q472" i="23" s="1"/>
  <c r="P475" i="23" a="1"/>
  <c r="Q475" i="23" s="1"/>
  <c r="P517" i="23" a="1"/>
  <c r="Q517" i="23" s="1"/>
  <c r="P548" i="23" a="1"/>
  <c r="Q548" i="23" s="1"/>
  <c r="P480" i="23" a="1"/>
  <c r="P525" i="23" a="1"/>
  <c r="Q525" i="23" s="1"/>
  <c r="P481" i="23" a="1"/>
  <c r="Q481" i="23" s="1"/>
  <c r="P482" i="23" a="1"/>
  <c r="P483" i="23" a="1"/>
  <c r="Q483" i="23" s="1"/>
  <c r="P543" i="23" a="1"/>
  <c r="Q543" i="23" s="1"/>
  <c r="P541" i="23" a="1"/>
  <c r="Q541" i="23" s="1"/>
  <c r="P504" i="23" a="1"/>
  <c r="Q504" i="23" s="1"/>
  <c r="P522" i="23" a="1"/>
  <c r="Q522" i="23" s="1"/>
  <c r="P539" i="23" a="1"/>
  <c r="Q539" i="23" s="1"/>
  <c r="P538" i="23" a="1"/>
  <c r="Q538" i="23" s="1"/>
  <c r="P537" i="23" a="1"/>
  <c r="Q537" i="23" s="1"/>
  <c r="P535" i="23" a="1"/>
  <c r="Q535" i="23" s="1"/>
  <c r="P406" i="23" a="1"/>
  <c r="Q406" i="23" s="1"/>
  <c r="P412" i="23" a="1"/>
  <c r="Q412" i="23" s="1"/>
  <c r="P503" i="23" a="1"/>
  <c r="Q463" i="23"/>
  <c r="Q464" i="23"/>
  <c r="Q465" i="23"/>
  <c r="P442" i="23" a="1"/>
  <c r="Q442" i="23" s="1"/>
  <c r="P313" i="23" a="1"/>
  <c r="Q313" i="23" s="1"/>
  <c r="P408" i="23" a="1"/>
  <c r="Q408" i="23" s="1"/>
  <c r="P153" i="23" a="1"/>
  <c r="Q153" i="23" s="1"/>
  <c r="P388" i="23" a="1"/>
  <c r="Q388" i="23" s="1"/>
  <c r="P323" i="23" a="1"/>
  <c r="Q323" i="23" s="1"/>
  <c r="P245" i="23" a="1"/>
  <c r="Q245" i="23" s="1"/>
  <c r="C122" i="24"/>
  <c r="R122" i="24" s="1" a="1"/>
  <c r="C107" i="24"/>
  <c r="R107" i="24" s="1" a="1"/>
  <c r="C49" i="24"/>
  <c r="R49" i="24" s="1" a="1"/>
  <c r="C3" i="24"/>
  <c r="R3" i="24" s="1" a="1"/>
  <c r="C144" i="24"/>
  <c r="R144" i="24" s="1" a="1"/>
  <c r="C143" i="24"/>
  <c r="R143" i="24" s="1" a="1"/>
  <c r="C142" i="24"/>
  <c r="R142" i="24" s="1" a="1"/>
  <c r="C141" i="24"/>
  <c r="R141" i="24" s="1" a="1"/>
  <c r="C137" i="24"/>
  <c r="R137" i="24" s="1" a="1"/>
  <c r="C121" i="24"/>
  <c r="R121" i="24" s="1" a="1"/>
  <c r="C39" i="24"/>
  <c r="R39" i="24" s="1" a="1"/>
  <c r="C105" i="24"/>
  <c r="R105" i="24" s="1" a="1"/>
  <c r="C99" i="24"/>
  <c r="R99" i="24" s="1" a="1"/>
  <c r="C113" i="24"/>
  <c r="R113" i="24" s="1" a="1"/>
  <c r="C95" i="24"/>
  <c r="R95" i="24" s="1" a="1"/>
  <c r="C81" i="24"/>
  <c r="R81" i="24" s="1" a="1"/>
  <c r="C132" i="24"/>
  <c r="R132" i="24" s="1" a="1"/>
  <c r="C66" i="24"/>
  <c r="R66" i="24" s="1" a="1"/>
  <c r="C119" i="24"/>
  <c r="R119" i="24" s="1" a="1"/>
  <c r="C16" i="24"/>
  <c r="R16" i="24" s="1" a="1"/>
  <c r="C26" i="24"/>
  <c r="R26" i="24" s="1" a="1"/>
  <c r="C22" i="24"/>
  <c r="R22" i="24" s="1" a="1"/>
  <c r="C18" i="24"/>
  <c r="R18" i="24" s="1" a="1"/>
  <c r="C123" i="24"/>
  <c r="R123" i="24" s="1" a="1"/>
  <c r="C140" i="24"/>
  <c r="R140" i="24" s="1" a="1"/>
  <c r="C14" i="24"/>
  <c r="R14" i="24" s="1" a="1"/>
  <c r="C101" i="24"/>
  <c r="R101" i="24" s="1" a="1"/>
  <c r="C109" i="24"/>
  <c r="R109" i="24" s="1" a="1"/>
  <c r="C114" i="24"/>
  <c r="R114" i="24" s="1" a="1"/>
  <c r="C43" i="24"/>
  <c r="R43" i="24" s="1" a="1"/>
  <c r="C63" i="24"/>
  <c r="R63" i="24" s="1" a="1"/>
  <c r="C77" i="24"/>
  <c r="R77" i="24" s="1" a="1"/>
  <c r="C33" i="24"/>
  <c r="R33" i="24" s="1" a="1"/>
  <c r="C79" i="24"/>
  <c r="R79" i="24" s="1" a="1"/>
  <c r="C92" i="24"/>
  <c r="R92" i="24" s="1" a="1"/>
  <c r="C54" i="24"/>
  <c r="R54" i="24" s="1" a="1"/>
  <c r="C93" i="24"/>
  <c r="R93" i="24" s="1" a="1"/>
  <c r="C106" i="24"/>
  <c r="R106" i="24" s="1" a="1"/>
  <c r="C6" i="24"/>
  <c r="R6" i="24" s="1" a="1"/>
  <c r="C19" i="24"/>
  <c r="R19" i="24" s="1" a="1"/>
  <c r="C24" i="24"/>
  <c r="R24" i="24" s="1" a="1"/>
  <c r="C91" i="24"/>
  <c r="R91" i="24" s="1" a="1"/>
  <c r="C38" i="24"/>
  <c r="R38" i="24" s="1" a="1"/>
  <c r="C73" i="24"/>
  <c r="R73" i="24" s="1" a="1"/>
  <c r="C62" i="24"/>
  <c r="R62" i="24" s="1" a="1"/>
  <c r="C9" i="24"/>
  <c r="R9" i="24" s="1" a="1"/>
  <c r="C116" i="24"/>
  <c r="R116" i="24" s="1" a="1"/>
  <c r="C15" i="24"/>
  <c r="R15" i="24" s="1" a="1"/>
  <c r="P321" i="23" a="1"/>
  <c r="Q321" i="23" s="1"/>
  <c r="P351" i="23" a="1"/>
  <c r="Q351" i="23" s="1"/>
  <c r="P309" i="23" a="1"/>
  <c r="P379" i="23" a="1"/>
  <c r="Q379" i="23" s="1"/>
  <c r="P335" i="23" a="1"/>
  <c r="Q335" i="23" s="1"/>
  <c r="P218" i="23" a="1"/>
  <c r="Q218" i="23" s="1"/>
  <c r="C64" i="24"/>
  <c r="R64" i="24" s="1" a="1"/>
  <c r="C78" i="24"/>
  <c r="R78" i="24" s="1" a="1"/>
  <c r="C128" i="24"/>
  <c r="R128" i="24" s="1" a="1"/>
  <c r="C5" i="24"/>
  <c r="R5" i="24" s="1" a="1"/>
  <c r="C74" i="24"/>
  <c r="R74" i="24" s="1" a="1"/>
  <c r="C71" i="24"/>
  <c r="R71" i="24" s="1" a="1"/>
  <c r="C134" i="24"/>
  <c r="R134" i="24" s="1" a="1"/>
  <c r="C55" i="24"/>
  <c r="R55" i="24" s="1" a="1"/>
  <c r="C34" i="24"/>
  <c r="R34" i="24" s="1" a="1"/>
  <c r="C12" i="24"/>
  <c r="R12" i="24" s="1" a="1"/>
  <c r="C51" i="24"/>
  <c r="R51" i="24" s="1" a="1"/>
  <c r="C94" i="24"/>
  <c r="R94" i="24" s="1" a="1"/>
  <c r="C59" i="24"/>
  <c r="R59" i="24" s="1" a="1"/>
  <c r="C110" i="24"/>
  <c r="R110" i="24" s="1" a="1"/>
  <c r="C88" i="24"/>
  <c r="R88" i="24" s="1" a="1"/>
  <c r="C86" i="24"/>
  <c r="R86" i="24" s="1" a="1"/>
  <c r="C69" i="24"/>
  <c r="R69" i="24" s="1" a="1"/>
  <c r="C10" i="24"/>
  <c r="R10" i="24" s="1" a="1"/>
  <c r="C136" i="24"/>
  <c r="R136" i="24" s="1" a="1"/>
  <c r="Q86" i="23"/>
  <c r="C96" i="24"/>
  <c r="R96" i="24" s="1" a="1"/>
  <c r="C28" i="24"/>
  <c r="R28" i="24" s="1" a="1"/>
  <c r="C82" i="24"/>
  <c r="R82" i="24" s="1" a="1"/>
  <c r="C8" i="24"/>
  <c r="R8" i="24" s="1" a="1"/>
  <c r="C75" i="24"/>
  <c r="R75" i="24" s="1" a="1"/>
  <c r="C112" i="24"/>
  <c r="R112" i="24" s="1" a="1"/>
  <c r="C68" i="24"/>
  <c r="R68" i="24" s="1" a="1"/>
  <c r="C85" i="24"/>
  <c r="R85" i="24" s="1" a="1"/>
  <c r="C104" i="24"/>
  <c r="R104" i="24" s="1" a="1"/>
  <c r="C135" i="24"/>
  <c r="R135" i="24" s="1" a="1"/>
  <c r="C80" i="24"/>
  <c r="R80" i="24" s="1" a="1"/>
  <c r="C67" i="24"/>
  <c r="R67" i="24" s="1" a="1"/>
  <c r="C103" i="24"/>
  <c r="R103" i="24" s="1" a="1"/>
  <c r="C65" i="24"/>
  <c r="R65" i="24" s="1" a="1"/>
  <c r="C27" i="24"/>
  <c r="R27" i="24" s="1" a="1"/>
  <c r="C126" i="24"/>
  <c r="R126" i="24" s="1" a="1"/>
  <c r="C30" i="24"/>
  <c r="R30" i="24" s="1" a="1"/>
  <c r="C42" i="24"/>
  <c r="R42" i="24" s="1" a="1"/>
  <c r="C90" i="24"/>
  <c r="R90" i="24" s="1" a="1"/>
  <c r="C4" i="24"/>
  <c r="R4" i="24" s="1" a="1"/>
  <c r="C138" i="24"/>
  <c r="R138" i="24" s="1" a="1"/>
  <c r="C111" i="24"/>
  <c r="R111" i="24" s="1" a="1"/>
  <c r="C131" i="24"/>
  <c r="R131" i="24" s="1" a="1"/>
  <c r="C72" i="24"/>
  <c r="R72" i="24" s="1" a="1"/>
  <c r="C83" i="24"/>
  <c r="R83" i="24" s="1" a="1"/>
  <c r="C84" i="24"/>
  <c r="R84" i="24" s="1" a="1"/>
  <c r="C98" i="24"/>
  <c r="R98" i="24" s="1" a="1"/>
  <c r="C61" i="24"/>
  <c r="R61" i="24" s="1" a="1"/>
  <c r="C97" i="24"/>
  <c r="R97" i="24" s="1" a="1"/>
  <c r="C32" i="24"/>
  <c r="R32" i="24" s="1" a="1"/>
  <c r="C125" i="24"/>
  <c r="R125" i="24" s="1" a="1"/>
  <c r="C31" i="24"/>
  <c r="R31" i="24" s="1" a="1"/>
  <c r="C133" i="24"/>
  <c r="R133" i="24" s="1" a="1"/>
  <c r="C127" i="24"/>
  <c r="R127" i="24" s="1" a="1"/>
  <c r="C56" i="24"/>
  <c r="R56" i="24" s="1" a="1"/>
  <c r="C45" i="24"/>
  <c r="R45" i="24" s="1" a="1"/>
  <c r="C46" i="24"/>
  <c r="R46" i="24" s="1" a="1"/>
  <c r="C47" i="24"/>
  <c r="R47" i="24" s="1" a="1"/>
  <c r="C118" i="24"/>
  <c r="R118" i="24" s="1" a="1"/>
  <c r="C115" i="24"/>
  <c r="R115" i="24" s="1" a="1"/>
  <c r="C36" i="24"/>
  <c r="R36" i="24" s="1" a="1"/>
  <c r="C41" i="24"/>
  <c r="R41" i="24" s="1" a="1"/>
  <c r="C37" i="24"/>
  <c r="R37" i="24" s="1" a="1"/>
  <c r="C120" i="24"/>
  <c r="R120" i="24" s="1" a="1"/>
  <c r="C100" i="24"/>
  <c r="R100" i="24" s="1" a="1"/>
  <c r="C60" i="24"/>
  <c r="R60" i="24" s="1" a="1"/>
  <c r="C21" i="24"/>
  <c r="R21" i="24" s="1" a="1"/>
  <c r="C70" i="24"/>
  <c r="R70" i="24" s="1" a="1"/>
  <c r="C35" i="24"/>
  <c r="R35" i="24" s="1" a="1"/>
  <c r="C57" i="24"/>
  <c r="R57" i="24" s="1" a="1"/>
  <c r="C20" i="24"/>
  <c r="R20" i="24" s="1" a="1"/>
  <c r="C89" i="24"/>
  <c r="R89" i="24" s="1" a="1"/>
  <c r="P159" i="23" a="1"/>
  <c r="Q159" i="23" s="1"/>
  <c r="P395" i="23" a="1"/>
  <c r="Q395" i="23" s="1"/>
  <c r="P208" i="23" a="1"/>
  <c r="Q208" i="23" s="1"/>
  <c r="P219" i="23" a="1"/>
  <c r="Q219" i="23" s="1"/>
  <c r="P375" i="23" a="1"/>
  <c r="Q375" i="23" s="1"/>
  <c r="P184" i="23" a="1"/>
  <c r="Q184" i="23" s="1"/>
  <c r="P266" i="23" a="1"/>
  <c r="Q266" i="23" s="1"/>
  <c r="P422" i="23" a="1"/>
  <c r="Q422" i="23" s="1"/>
  <c r="P391" i="23" a="1"/>
  <c r="Q391" i="23" s="1"/>
  <c r="P367" i="23" a="1"/>
  <c r="Q367" i="23" s="1"/>
  <c r="P400" i="23" a="1"/>
  <c r="Q400" i="23" s="1"/>
  <c r="P429" i="23" a="1"/>
  <c r="Q429" i="23" s="1"/>
  <c r="P450" i="23" a="1"/>
  <c r="Q450" i="23" s="1"/>
  <c r="P347" i="23" a="1"/>
  <c r="Q347" i="23" s="1"/>
  <c r="P346" i="23" a="1"/>
  <c r="P314" i="23" a="1"/>
  <c r="P327" i="23" a="1"/>
  <c r="Q327" i="23" s="1"/>
  <c r="P316" i="23" a="1"/>
  <c r="Q316" i="23" s="1"/>
  <c r="P343" i="23" a="1"/>
  <c r="Q343" i="23" s="1"/>
  <c r="P317" i="23" a="1"/>
  <c r="P440" i="23" a="1"/>
  <c r="P444" i="23" a="1"/>
  <c r="Q444" i="23" s="1"/>
  <c r="P447" i="23" a="1"/>
  <c r="Q447" i="23" s="1"/>
  <c r="P449" i="23" a="1"/>
  <c r="Q449" i="23" s="1"/>
  <c r="P452" i="23" a="1"/>
  <c r="Q452" i="23" s="1"/>
  <c r="Q311" i="23"/>
  <c r="Q312" i="23"/>
  <c r="P296" i="23" a="1"/>
  <c r="Q296" i="23" s="1"/>
  <c r="P209" i="23" a="1"/>
  <c r="Q209" i="23" s="1"/>
  <c r="P279" i="23" a="1"/>
  <c r="Q279" i="23" s="1"/>
  <c r="P154" i="23" a="1"/>
  <c r="P204" i="23" a="1"/>
  <c r="Q204" i="23" s="1"/>
  <c r="P238" i="23" a="1"/>
  <c r="Q238" i="23" s="1"/>
  <c r="P215" i="23" a="1"/>
  <c r="P178" i="23" a="1"/>
  <c r="Q178" i="23" s="1"/>
  <c r="P302" i="23" a="1"/>
  <c r="Q302" i="23" s="1"/>
  <c r="P166" i="23" a="1"/>
  <c r="Q166" i="23" s="1"/>
  <c r="P232" i="23" a="1"/>
  <c r="Q232" i="23" s="1"/>
  <c r="P169" i="23" a="1"/>
  <c r="Q169" i="23" s="1"/>
  <c r="P194" i="23" a="1"/>
  <c r="Q194" i="23" s="1"/>
  <c r="P162" i="23" a="1"/>
  <c r="Q160" i="23"/>
  <c r="Q459" i="23" l="1"/>
  <c r="F75" i="24"/>
  <c r="U75" i="24" s="1" a="1"/>
  <c r="F36" i="24"/>
  <c r="U36" i="24" s="1" a="1"/>
  <c r="F57" i="24"/>
  <c r="U57" i="24" s="1" a="1"/>
  <c r="F6" i="24"/>
  <c r="U6" i="24" s="1" a="1"/>
  <c r="F91" i="24"/>
  <c r="U91" i="24" s="1" a="1"/>
  <c r="F7" i="24"/>
  <c r="U7" i="24" s="1" a="1"/>
  <c r="F18" i="24"/>
  <c r="U18" i="24" s="1" a="1"/>
  <c r="F121" i="24"/>
  <c r="U121" i="24" s="1" a="1"/>
  <c r="F35" i="24"/>
  <c r="U35" i="24" s="1" a="1"/>
  <c r="F139" i="24"/>
  <c r="U139" i="24" s="1" a="1"/>
  <c r="F143" i="24"/>
  <c r="U143" i="24" s="1" a="1"/>
  <c r="F132" i="24"/>
  <c r="U132" i="24" s="1" a="1"/>
  <c r="F38" i="24"/>
  <c r="U38" i="24" s="1" a="1"/>
  <c r="F100" i="24"/>
  <c r="U100" i="24" s="1" a="1"/>
  <c r="F48" i="24"/>
  <c r="U48" i="24" s="1" a="1"/>
  <c r="F30" i="24"/>
  <c r="U30" i="24" s="1" a="1"/>
  <c r="A57" i="34"/>
  <c r="B54" i="34"/>
  <c r="U71" i="28" a="1"/>
  <c r="U51" i="28" a="1"/>
  <c r="U58" i="28" a="1"/>
  <c r="U52" i="28" a="1"/>
  <c r="A39" i="27"/>
  <c r="A40" i="27"/>
  <c r="A41" i="27"/>
  <c r="A42" i="27"/>
  <c r="A43" i="27"/>
  <c r="A44" i="27"/>
  <c r="A45" i="27"/>
  <c r="A46" i="27"/>
  <c r="J46" i="27" s="1"/>
  <c r="A47" i="27"/>
  <c r="J47" i="27" s="1"/>
  <c r="A48" i="27"/>
  <c r="J48" i="27" s="1"/>
  <c r="A49" i="27"/>
  <c r="A50" i="27"/>
  <c r="A51" i="27"/>
  <c r="A52" i="27"/>
  <c r="A53" i="27"/>
  <c r="A54" i="27"/>
  <c r="A55" i="27"/>
  <c r="A56" i="27"/>
  <c r="A57" i="27"/>
  <c r="A58" i="27"/>
  <c r="A59" i="27"/>
  <c r="A60" i="27"/>
  <c r="A61" i="27"/>
  <c r="A62" i="27"/>
  <c r="A63" i="27"/>
  <c r="A64" i="27"/>
  <c r="A65" i="27"/>
  <c r="A66" i="27"/>
  <c r="A67" i="27"/>
  <c r="A68" i="27"/>
  <c r="A69" i="27"/>
  <c r="A70" i="27"/>
  <c r="A71" i="27"/>
  <c r="A72" i="27"/>
  <c r="A73" i="27"/>
  <c r="A74" i="27"/>
  <c r="A75" i="27"/>
  <c r="A76" i="27"/>
  <c r="A77" i="27"/>
  <c r="A78" i="27"/>
  <c r="AK92" i="27"/>
  <c r="G97" i="22"/>
  <c r="R5" i="25" s="1" a="1"/>
  <c r="U5" i="25" s="1"/>
  <c r="E97" i="22"/>
  <c r="R3" i="25" s="1" a="1"/>
  <c r="U3" i="25" s="1"/>
  <c r="F97" i="22"/>
  <c r="F64" i="24"/>
  <c r="U64" i="24" s="1" a="1"/>
  <c r="U14" i="28" a="1"/>
  <c r="U5" i="28" a="1"/>
  <c r="U42" i="28" a="1"/>
  <c r="AK160" i="22" a="1"/>
  <c r="AL160" i="22" a="1"/>
  <c r="D48" i="27"/>
  <c r="C48" i="27"/>
  <c r="B48" i="27" s="1"/>
  <c r="E48" i="27"/>
  <c r="F48" i="27" s="1"/>
  <c r="G48" i="27" s="1"/>
  <c r="H48" i="27" s="1"/>
  <c r="D47" i="27"/>
  <c r="E47" i="27"/>
  <c r="F47" i="27" s="1"/>
  <c r="G47" i="27" s="1"/>
  <c r="H47" i="27" s="1"/>
  <c r="C47" i="27"/>
  <c r="B47" i="27" s="1"/>
  <c r="D46" i="27"/>
  <c r="C46" i="27"/>
  <c r="F39" i="24"/>
  <c r="U39" i="24" s="1" a="1"/>
  <c r="F71" i="24"/>
  <c r="U71" i="24" s="1" a="1"/>
  <c r="F131" i="24"/>
  <c r="U131" i="24" s="1" a="1"/>
  <c r="F23" i="24"/>
  <c r="U23" i="24" s="1" a="1"/>
  <c r="F104" i="24"/>
  <c r="U104" i="24" s="1" a="1"/>
  <c r="F76" i="24"/>
  <c r="U76" i="24" s="1" a="1"/>
  <c r="F47" i="24"/>
  <c r="U47" i="24" s="1" a="1"/>
  <c r="F141" i="24"/>
  <c r="U141" i="24" s="1" a="1"/>
  <c r="F42" i="24"/>
  <c r="U42" i="24" s="1" a="1"/>
  <c r="F17" i="24"/>
  <c r="U17" i="24" s="1" a="1"/>
  <c r="F33" i="24"/>
  <c r="U33" i="24" s="1" a="1"/>
  <c r="F101" i="24"/>
  <c r="U101" i="24" s="1" a="1"/>
  <c r="F3" i="24"/>
  <c r="U3" i="24" s="1" a="1"/>
  <c r="F140" i="24"/>
  <c r="U140" i="24" s="1" a="1"/>
  <c r="F112" i="24"/>
  <c r="U112" i="24" s="1" a="1"/>
  <c r="F82" i="24"/>
  <c r="U82" i="24" s="1" a="1"/>
  <c r="F135" i="24"/>
  <c r="U135" i="24" s="1" a="1"/>
  <c r="F90" i="24"/>
  <c r="U90" i="24" s="1" a="1"/>
  <c r="F62" i="24"/>
  <c r="U62" i="24" s="1" a="1"/>
  <c r="F31" i="24"/>
  <c r="U31" i="24" s="1" a="1"/>
  <c r="F11" i="24"/>
  <c r="U11" i="24" s="1" a="1"/>
  <c r="F26" i="24"/>
  <c r="U26" i="24" s="1" a="1"/>
  <c r="F95" i="24"/>
  <c r="U95" i="24" s="1" a="1"/>
  <c r="F120" i="24"/>
  <c r="U120" i="24" s="1" a="1"/>
  <c r="F117" i="24"/>
  <c r="U117" i="24" s="1" a="1"/>
  <c r="F51" i="24"/>
  <c r="U51" i="24" s="1" a="1"/>
  <c r="F49" i="24"/>
  <c r="U49" i="24" s="1" a="1"/>
  <c r="F129" i="24"/>
  <c r="U129" i="24" s="1" a="1"/>
  <c r="F73" i="24"/>
  <c r="U73" i="24" s="1" a="1"/>
  <c r="F8" i="24"/>
  <c r="U8" i="24" s="1" a="1"/>
  <c r="F37" i="24"/>
  <c r="U37" i="24" s="1" a="1"/>
  <c r="F113" i="24"/>
  <c r="U113" i="24" s="1" a="1"/>
  <c r="F89" i="24"/>
  <c r="U89" i="24" s="1" a="1"/>
  <c r="F5" i="24"/>
  <c r="U5" i="24" s="1" a="1"/>
  <c r="F58" i="24"/>
  <c r="U58" i="24" s="1" a="1"/>
  <c r="F55" i="24"/>
  <c r="U55" i="24" s="1" a="1"/>
  <c r="F110" i="24"/>
  <c r="U110" i="24" s="1" a="1"/>
  <c r="F21" i="24"/>
  <c r="U21" i="24" s="1" a="1"/>
  <c r="F136" i="24"/>
  <c r="U136" i="24" s="1" a="1"/>
  <c r="F13" i="24"/>
  <c r="U13" i="24" s="1" a="1"/>
  <c r="F27" i="24"/>
  <c r="U27" i="24" s="1" a="1"/>
  <c r="F74" i="24"/>
  <c r="U74" i="24" s="1" a="1"/>
  <c r="F53" i="24"/>
  <c r="U53" i="24" s="1" a="1"/>
  <c r="F40" i="24"/>
  <c r="U40" i="24" s="1" a="1"/>
  <c r="F56" i="24"/>
  <c r="U56" i="24" s="1" a="1"/>
  <c r="F29" i="24"/>
  <c r="U29" i="24" s="1" a="1"/>
  <c r="F130" i="24"/>
  <c r="U130" i="24" s="1" a="1"/>
  <c r="F142" i="24"/>
  <c r="U142" i="24" s="1" a="1"/>
  <c r="F137" i="24"/>
  <c r="U137" i="24" s="1" a="1"/>
  <c r="F111" i="24"/>
  <c r="U111" i="24" s="1" a="1"/>
  <c r="F85" i="24"/>
  <c r="U85" i="24" s="1" a="1"/>
  <c r="F4" i="24"/>
  <c r="U4" i="24" s="1" a="1"/>
  <c r="F105" i="24"/>
  <c r="U105" i="24" s="1" a="1"/>
  <c r="F84" i="24"/>
  <c r="U84" i="24" s="1" a="1"/>
  <c r="F12" i="24"/>
  <c r="U12" i="24" s="1" a="1"/>
  <c r="F114" i="24"/>
  <c r="U114" i="24" s="1" a="1"/>
  <c r="F15" i="24"/>
  <c r="U15" i="24" s="1" a="1"/>
  <c r="F133" i="24"/>
  <c r="U133" i="24" s="1" a="1"/>
  <c r="F67" i="24"/>
  <c r="U67" i="24" s="1" a="1"/>
  <c r="F63" i="24"/>
  <c r="U63" i="24" s="1" a="1"/>
  <c r="F77" i="24"/>
  <c r="U77" i="24" s="1" a="1"/>
  <c r="F69" i="24"/>
  <c r="U69" i="24" s="1" a="1"/>
  <c r="F46" i="24"/>
  <c r="U46" i="24" s="1" a="1"/>
  <c r="F22" i="24"/>
  <c r="U22" i="24" s="1" a="1"/>
  <c r="F124" i="24"/>
  <c r="U124" i="24" s="1" a="1"/>
  <c r="F70" i="24"/>
  <c r="U70" i="24" s="1" a="1"/>
  <c r="F19" i="24"/>
  <c r="U19" i="24" s="1" a="1"/>
  <c r="F16" i="24"/>
  <c r="U16" i="24" s="1" a="1"/>
  <c r="F134" i="24"/>
  <c r="U134" i="24" s="1" a="1"/>
  <c r="F34" i="24"/>
  <c r="U34" i="24" s="1" a="1"/>
  <c r="F127" i="24"/>
  <c r="U127" i="24" s="1" a="1"/>
  <c r="F78" i="24"/>
  <c r="U78" i="24" s="1" a="1"/>
  <c r="F50" i="24"/>
  <c r="U50" i="24" s="1" a="1"/>
  <c r="F80" i="24"/>
  <c r="U80" i="24" s="1" a="1"/>
  <c r="F14" i="24"/>
  <c r="U14" i="24" s="1" a="1"/>
  <c r="F98" i="24"/>
  <c r="U98" i="24" s="1" a="1"/>
  <c r="F61" i="24"/>
  <c r="U61" i="24" s="1" a="1"/>
  <c r="F59" i="24"/>
  <c r="U59" i="24" s="1" a="1"/>
  <c r="F54" i="24"/>
  <c r="U54" i="24" s="1" a="1"/>
  <c r="F44" i="24"/>
  <c r="U44" i="24" s="1" a="1"/>
  <c r="F52" i="24"/>
  <c r="U52" i="24" s="1" a="1"/>
  <c r="F103" i="24"/>
  <c r="U103" i="24" s="1" a="1"/>
  <c r="F115" i="24"/>
  <c r="U115" i="24" s="1" a="1"/>
  <c r="F109" i="24"/>
  <c r="U109" i="24" s="1" a="1"/>
  <c r="F32" i="24"/>
  <c r="U32" i="24" s="1" a="1"/>
  <c r="F106" i="24"/>
  <c r="U106" i="24" s="1" a="1"/>
  <c r="F87" i="24"/>
  <c r="U87" i="24" s="1" a="1"/>
  <c r="F92" i="24"/>
  <c r="U92" i="24" s="1" a="1"/>
  <c r="F94" i="24"/>
  <c r="U94" i="24" s="1" a="1"/>
  <c r="F99" i="24"/>
  <c r="U99" i="24" s="1" a="1"/>
  <c r="F102" i="24"/>
  <c r="U102" i="24" s="1" a="1"/>
  <c r="F83" i="24"/>
  <c r="U83" i="24" s="1" a="1"/>
  <c r="F81" i="24"/>
  <c r="U81" i="24" s="1" a="1"/>
  <c r="F107" i="24"/>
  <c r="U107" i="24" s="1" a="1"/>
  <c r="F108" i="24"/>
  <c r="U108" i="24" s="1" a="1"/>
  <c r="F72" i="24"/>
  <c r="U72" i="24" s="1" a="1"/>
  <c r="F66" i="24"/>
  <c r="U66" i="24" s="1" a="1"/>
  <c r="F25" i="24"/>
  <c r="U25" i="24" s="1" a="1"/>
  <c r="F116" i="24"/>
  <c r="U116" i="24" s="1" a="1"/>
  <c r="F118" i="24"/>
  <c r="U118" i="24" s="1" a="1"/>
  <c r="F119" i="24"/>
  <c r="U119" i="24" s="1" a="1"/>
  <c r="F28" i="24"/>
  <c r="U28" i="24" s="1" a="1"/>
  <c r="F96" i="24"/>
  <c r="U96" i="24" s="1" a="1"/>
  <c r="F10" i="24"/>
  <c r="U10" i="24" s="1" a="1"/>
  <c r="F43" i="24"/>
  <c r="U43" i="24" s="1" a="1"/>
  <c r="F41" i="24"/>
  <c r="U41" i="24" s="1" a="1"/>
  <c r="F20" i="24"/>
  <c r="U20" i="24" s="1" a="1"/>
  <c r="F144" i="24"/>
  <c r="U144" i="24" s="1" a="1"/>
  <c r="F79" i="24"/>
  <c r="U79" i="24" s="1" a="1"/>
  <c r="F122" i="24"/>
  <c r="U122" i="24" s="1" a="1"/>
  <c r="F128" i="24"/>
  <c r="U128" i="24" s="1" a="1"/>
  <c r="F68" i="24"/>
  <c r="U68" i="24" s="1" a="1"/>
  <c r="F65" i="24"/>
  <c r="U65" i="24" s="1" a="1"/>
  <c r="F93" i="24"/>
  <c r="U93" i="24" s="1" a="1"/>
  <c r="F123" i="24"/>
  <c r="U123" i="24" s="1" a="1"/>
  <c r="F60" i="24"/>
  <c r="U60" i="24" s="1" a="1"/>
  <c r="F138" i="24"/>
  <c r="U138" i="24" s="1" a="1"/>
  <c r="F45" i="24"/>
  <c r="U45" i="24" s="1" a="1"/>
  <c r="F125" i="24"/>
  <c r="U125" i="24" s="1" a="1"/>
  <c r="F9" i="24"/>
  <c r="U9" i="24" s="1" a="1"/>
  <c r="F86" i="24"/>
  <c r="U86" i="24" s="1" a="1"/>
  <c r="Q467" i="23"/>
  <c r="Q480" i="23"/>
  <c r="F126" i="24"/>
  <c r="U126" i="24" s="1" a="1"/>
  <c r="Q482" i="23"/>
  <c r="F24" i="24"/>
  <c r="U24" i="24" s="1" a="1"/>
  <c r="Q503" i="23"/>
  <c r="F97" i="24"/>
  <c r="U97" i="24" s="1" a="1"/>
  <c r="F88" i="24"/>
  <c r="U88" i="24" s="1" a="1"/>
  <c r="Q309" i="23"/>
  <c r="E99" i="24"/>
  <c r="T99" i="24" s="1" a="1"/>
  <c r="E103" i="24"/>
  <c r="T103" i="24" s="1" a="1"/>
  <c r="E118" i="24"/>
  <c r="T118" i="24" s="1" a="1"/>
  <c r="E119" i="24"/>
  <c r="T119" i="24" s="1" a="1"/>
  <c r="E120" i="24"/>
  <c r="T120" i="24" s="1" a="1"/>
  <c r="E17" i="24"/>
  <c r="T17" i="24" s="1" a="1"/>
  <c r="Q346" i="23"/>
  <c r="E19" i="24"/>
  <c r="T19" i="24" s="1" a="1"/>
  <c r="E137" i="24"/>
  <c r="T137" i="24" s="1" a="1"/>
  <c r="E11" i="24"/>
  <c r="T11" i="24" s="1" a="1"/>
  <c r="Q317" i="23"/>
  <c r="E114" i="24"/>
  <c r="T114" i="24" s="1" a="1"/>
  <c r="Q440" i="23"/>
  <c r="E90" i="24"/>
  <c r="T90" i="24" s="1" a="1"/>
  <c r="E112" i="24"/>
  <c r="T112" i="24" s="1" a="1"/>
  <c r="E142" i="24"/>
  <c r="T142" i="24" s="1" a="1"/>
  <c r="E101" i="24"/>
  <c r="T101" i="24" s="1" a="1"/>
  <c r="E59" i="24"/>
  <c r="T59" i="24" s="1" a="1"/>
  <c r="E44" i="24"/>
  <c r="T44" i="24" s="1" a="1"/>
  <c r="E41" i="24"/>
  <c r="T41" i="24" s="1" a="1"/>
  <c r="E4" i="24"/>
  <c r="T4" i="24" s="1" a="1"/>
  <c r="E100" i="24"/>
  <c r="T100" i="24" s="1" a="1"/>
  <c r="E85" i="24"/>
  <c r="T85" i="24" s="1" a="1"/>
  <c r="E66" i="24"/>
  <c r="T66" i="24" s="1" a="1"/>
  <c r="E6" i="24"/>
  <c r="T6" i="24" s="1" a="1"/>
  <c r="E116" i="24"/>
  <c r="T116" i="24" s="1" a="1"/>
  <c r="E94" i="24"/>
  <c r="T94" i="24" s="1" a="1"/>
  <c r="E76" i="24"/>
  <c r="T76" i="24" s="1" a="1"/>
  <c r="E68" i="24"/>
  <c r="T68" i="24" s="1" a="1"/>
  <c r="E53" i="24"/>
  <c r="T53" i="24" s="1" a="1"/>
  <c r="E27" i="24"/>
  <c r="T27" i="24" s="1" a="1"/>
  <c r="E131" i="24"/>
  <c r="T131" i="24" s="1" a="1"/>
  <c r="E115" i="24"/>
  <c r="T115" i="24" s="1" a="1"/>
  <c r="E87" i="24"/>
  <c r="T87" i="24" s="1" a="1"/>
  <c r="E72" i="24"/>
  <c r="T72" i="24" s="1" a="1"/>
  <c r="E63" i="24"/>
  <c r="T63" i="24" s="1" a="1"/>
  <c r="E45" i="24"/>
  <c r="T45" i="24" s="1" a="1"/>
  <c r="E31" i="24"/>
  <c r="T31" i="24" s="1" a="1"/>
  <c r="E16" i="24"/>
  <c r="T16" i="24" s="1" a="1"/>
  <c r="E14" i="24"/>
  <c r="T14" i="24" s="1" a="1"/>
  <c r="E132" i="24"/>
  <c r="T132" i="24" s="1" a="1"/>
  <c r="E123" i="24"/>
  <c r="T123" i="24" s="1" a="1"/>
  <c r="E122" i="24"/>
  <c r="T122" i="24" s="1" a="1"/>
  <c r="E117" i="24"/>
  <c r="T117" i="24" s="1" a="1"/>
  <c r="E111" i="24"/>
  <c r="T111" i="24" s="1" a="1"/>
  <c r="E107" i="24"/>
  <c r="T107" i="24" s="1" a="1"/>
  <c r="E105" i="24"/>
  <c r="T105" i="24" s="1" a="1"/>
  <c r="E98" i="24"/>
  <c r="T98" i="24" s="1" a="1"/>
  <c r="E97" i="24"/>
  <c r="T97" i="24" s="1" a="1"/>
  <c r="E92" i="24"/>
  <c r="T92" i="24" s="1" a="1"/>
  <c r="E91" i="24"/>
  <c r="T91" i="24" s="1" a="1"/>
  <c r="E69" i="24"/>
  <c r="T69" i="24" s="1" a="1"/>
  <c r="E51" i="24"/>
  <c r="T51" i="24" s="1" a="1"/>
  <c r="E46" i="24"/>
  <c r="T46" i="24" s="1" a="1"/>
  <c r="E33" i="24"/>
  <c r="T33" i="24" s="1" a="1"/>
  <c r="E26" i="24"/>
  <c r="T26" i="24" s="1" a="1"/>
  <c r="E12" i="24"/>
  <c r="T12" i="24" s="1" a="1"/>
  <c r="E8" i="24"/>
  <c r="T8" i="24" s="1" a="1"/>
  <c r="E141" i="24"/>
  <c r="T141" i="24" s="1" a="1"/>
  <c r="E139" i="24"/>
  <c r="T139" i="24" s="1" a="1"/>
  <c r="E49" i="24"/>
  <c r="T49" i="24" s="1" a="1"/>
  <c r="E143" i="24"/>
  <c r="T143" i="24" s="1" a="1"/>
  <c r="E106" i="24"/>
  <c r="T106" i="24" s="1" a="1"/>
  <c r="E60" i="24"/>
  <c r="T60" i="24" s="1" a="1"/>
  <c r="E47" i="24"/>
  <c r="T47" i="24" s="1" a="1"/>
  <c r="E10" i="24"/>
  <c r="T10" i="24" s="1" a="1"/>
  <c r="E133" i="24"/>
  <c r="T133" i="24" s="1" a="1"/>
  <c r="E84" i="24"/>
  <c r="T84" i="24" s="1" a="1"/>
  <c r="E75" i="24"/>
  <c r="T75" i="24" s="1" a="1"/>
  <c r="E54" i="24"/>
  <c r="T54" i="24" s="1" a="1"/>
  <c r="E37" i="24"/>
  <c r="T37" i="24" s="1" a="1"/>
  <c r="E28" i="24"/>
  <c r="T28" i="24" s="1" a="1"/>
  <c r="E7" i="24"/>
  <c r="T7" i="24" s="1" a="1"/>
  <c r="E136" i="24"/>
  <c r="T136" i="24" s="1" a="1"/>
  <c r="E130" i="24"/>
  <c r="T130" i="24" s="1" a="1"/>
  <c r="E113" i="24"/>
  <c r="T113" i="24" s="1" a="1"/>
  <c r="E88" i="24"/>
  <c r="T88" i="24" s="1" a="1"/>
  <c r="E82" i="24"/>
  <c r="T82" i="24" s="1" a="1"/>
  <c r="E58" i="24"/>
  <c r="T58" i="24" s="1" a="1"/>
  <c r="E56" i="24"/>
  <c r="T56" i="24" s="1" a="1"/>
  <c r="E55" i="24"/>
  <c r="T55" i="24" s="1" a="1"/>
  <c r="E34" i="24"/>
  <c r="T34" i="24" s="1" a="1"/>
  <c r="E30" i="24"/>
  <c r="T30" i="24" s="1" a="1"/>
  <c r="E25" i="24"/>
  <c r="T25" i="24" s="1" a="1"/>
  <c r="E21" i="24"/>
  <c r="T21" i="24" s="1" a="1"/>
  <c r="E20" i="24"/>
  <c r="T20" i="24" s="1" a="1"/>
  <c r="E144" i="24"/>
  <c r="T144" i="24" s="1" a="1"/>
  <c r="E124" i="24"/>
  <c r="T124" i="24" s="1" a="1"/>
  <c r="E102" i="24"/>
  <c r="T102" i="24" s="1" a="1"/>
  <c r="E70" i="24"/>
  <c r="T70" i="24" s="1" a="1"/>
  <c r="E50" i="24"/>
  <c r="T50" i="24" s="1" a="1"/>
  <c r="E42" i="24"/>
  <c r="T42" i="24" s="1" a="1"/>
  <c r="E13" i="24"/>
  <c r="T13" i="24" s="1" a="1"/>
  <c r="E109" i="24"/>
  <c r="T109" i="24" s="1" a="1"/>
  <c r="E93" i="24"/>
  <c r="T93" i="24" s="1" a="1"/>
  <c r="E81" i="24"/>
  <c r="T81" i="24" s="1" a="1"/>
  <c r="E67" i="24"/>
  <c r="T67" i="24" s="1" a="1"/>
  <c r="E23" i="24"/>
  <c r="T23" i="24" s="1" a="1"/>
  <c r="E126" i="24"/>
  <c r="T126" i="24" s="1" a="1"/>
  <c r="E95" i="24"/>
  <c r="T95" i="24" s="1" a="1"/>
  <c r="E83" i="24"/>
  <c r="T83" i="24" s="1" a="1"/>
  <c r="E74" i="24"/>
  <c r="T74" i="24" s="1" a="1"/>
  <c r="E65" i="24"/>
  <c r="T65" i="24" s="1" a="1"/>
  <c r="E52" i="24"/>
  <c r="T52" i="24" s="1" a="1"/>
  <c r="E24" i="24"/>
  <c r="T24" i="24" s="1" a="1"/>
  <c r="E9" i="24"/>
  <c r="T9" i="24" s="1" a="1"/>
  <c r="E121" i="24"/>
  <c r="T121" i="24" s="1" a="1"/>
  <c r="E110" i="24"/>
  <c r="T110" i="24" s="1" a="1"/>
  <c r="E79" i="24"/>
  <c r="T79" i="24" s="1" a="1"/>
  <c r="E64" i="24"/>
  <c r="T64" i="24" s="1" a="1"/>
  <c r="E48" i="24"/>
  <c r="T48" i="24" s="1" a="1"/>
  <c r="E35" i="24"/>
  <c r="T35" i="24" s="1" a="1"/>
  <c r="E32" i="24"/>
  <c r="T32" i="24" s="1" a="1"/>
  <c r="E18" i="24"/>
  <c r="T18" i="24" s="1" a="1"/>
  <c r="E15" i="24"/>
  <c r="T15" i="24" s="1" a="1"/>
  <c r="E134" i="24"/>
  <c r="T134" i="24" s="1" a="1"/>
  <c r="E125" i="24"/>
  <c r="T125" i="24" s="1" a="1"/>
  <c r="E80" i="24"/>
  <c r="T80" i="24" s="1" a="1"/>
  <c r="E61" i="24"/>
  <c r="T61" i="24" s="1" a="1"/>
  <c r="E39" i="24"/>
  <c r="T39" i="24" s="1" a="1"/>
  <c r="E29" i="24"/>
  <c r="T29" i="24" s="1" a="1"/>
  <c r="E22" i="24"/>
  <c r="T22" i="24" s="1" a="1"/>
  <c r="E5" i="24"/>
  <c r="T5" i="24" s="1" a="1"/>
  <c r="E140" i="24"/>
  <c r="T140" i="24" s="1" a="1"/>
  <c r="E135" i="24"/>
  <c r="T135" i="24" s="1" a="1"/>
  <c r="E127" i="24"/>
  <c r="T127" i="24" s="1" a="1"/>
  <c r="E108" i="24"/>
  <c r="T108" i="24" s="1" a="1"/>
  <c r="E73" i="24"/>
  <c r="T73" i="24" s="1" a="1"/>
  <c r="E3" i="24"/>
  <c r="T3" i="24" s="1" a="1"/>
  <c r="E138" i="24"/>
  <c r="T138" i="24" s="1" a="1"/>
  <c r="E86" i="24"/>
  <c r="T86" i="24" s="1" a="1"/>
  <c r="E57" i="24"/>
  <c r="T57" i="24" s="1" a="1"/>
  <c r="E43" i="24"/>
  <c r="T43" i="24" s="1" a="1"/>
  <c r="E36" i="24"/>
  <c r="T36" i="24" s="1" a="1"/>
  <c r="E104" i="24"/>
  <c r="T104" i="24" s="1" a="1"/>
  <c r="E89" i="24"/>
  <c r="T89" i="24" s="1" a="1"/>
  <c r="E78" i="24"/>
  <c r="T78" i="24" s="1" a="1"/>
  <c r="E38" i="24"/>
  <c r="T38" i="24" s="1" a="1"/>
  <c r="E128" i="24"/>
  <c r="T128" i="24" s="1" a="1"/>
  <c r="E96" i="24"/>
  <c r="T96" i="24" s="1" a="1"/>
  <c r="E77" i="24"/>
  <c r="T77" i="24" s="1" a="1"/>
  <c r="E71" i="24"/>
  <c r="T71" i="24" s="1" a="1"/>
  <c r="E62" i="24"/>
  <c r="T62" i="24" s="1" a="1"/>
  <c r="E40" i="24"/>
  <c r="T40" i="24" s="1" a="1"/>
  <c r="E129" i="24"/>
  <c r="T129" i="24" s="1" a="1"/>
  <c r="Q314" i="23"/>
  <c r="D5" i="24"/>
  <c r="S5" i="24" s="1" a="1"/>
  <c r="D38" i="24"/>
  <c r="S38" i="24" s="1" a="1"/>
  <c r="D101" i="24"/>
  <c r="S101" i="24" s="1" a="1"/>
  <c r="D76" i="24"/>
  <c r="S76" i="24" s="1" a="1"/>
  <c r="D114" i="24"/>
  <c r="S114" i="24" s="1" a="1"/>
  <c r="D91" i="24"/>
  <c r="S91" i="24" s="1" a="1"/>
  <c r="D122" i="24"/>
  <c r="S122" i="24" s="1" a="1"/>
  <c r="D42" i="24"/>
  <c r="S42" i="24" s="1" a="1"/>
  <c r="D118" i="24"/>
  <c r="S118" i="24" s="1" a="1"/>
  <c r="D105" i="24"/>
  <c r="S105" i="24" s="1" a="1"/>
  <c r="D55" i="24"/>
  <c r="S55" i="24" s="1" a="1"/>
  <c r="D139" i="24"/>
  <c r="S139" i="24" s="1" a="1"/>
  <c r="D115" i="24"/>
  <c r="S115" i="24" s="1" a="1"/>
  <c r="D31" i="24"/>
  <c r="S31" i="24" s="1" a="1"/>
  <c r="D40" i="24"/>
  <c r="S40" i="24" s="1" a="1"/>
  <c r="D30" i="24"/>
  <c r="S30" i="24" s="1" a="1"/>
  <c r="D69" i="24"/>
  <c r="S69" i="24" s="1" a="1"/>
  <c r="D95" i="24"/>
  <c r="S95" i="24" s="1" a="1"/>
  <c r="D75" i="24"/>
  <c r="S75" i="24" s="1" a="1"/>
  <c r="D74" i="24"/>
  <c r="S74" i="24" s="1" a="1"/>
  <c r="D144" i="24"/>
  <c r="S144" i="24" s="1" a="1"/>
  <c r="D24" i="24"/>
  <c r="S24" i="24" s="1" a="1"/>
  <c r="D44" i="24"/>
  <c r="S44" i="24" s="1" a="1"/>
  <c r="D90" i="24"/>
  <c r="S90" i="24" s="1" a="1"/>
  <c r="D10" i="24"/>
  <c r="S10" i="24" s="1" a="1"/>
  <c r="D77" i="24"/>
  <c r="S77" i="24" s="1" a="1"/>
  <c r="D138" i="24"/>
  <c r="S138" i="24" s="1" a="1"/>
  <c r="D35" i="24"/>
  <c r="S35" i="24" s="1" a="1"/>
  <c r="D43" i="24"/>
  <c r="S43" i="24" s="1" a="1"/>
  <c r="D47" i="24"/>
  <c r="S47" i="24" s="1" a="1"/>
  <c r="D52" i="24"/>
  <c r="S52" i="24" s="1" a="1"/>
  <c r="Q154" i="23"/>
  <c r="D4" i="24"/>
  <c r="S4" i="24" s="1" a="1"/>
  <c r="D28" i="24"/>
  <c r="S28" i="24" s="1" a="1"/>
  <c r="D126" i="24"/>
  <c r="S126" i="24" s="1" a="1"/>
  <c r="D12" i="24"/>
  <c r="S12" i="24" s="1" a="1"/>
  <c r="D98" i="24"/>
  <c r="S98" i="24" s="1" a="1"/>
  <c r="D7" i="24"/>
  <c r="S7" i="24" s="1" a="1"/>
  <c r="D20" i="24"/>
  <c r="S20" i="24" s="1" a="1"/>
  <c r="D27" i="24"/>
  <c r="S27" i="24" s="1" a="1"/>
  <c r="Q215" i="23"/>
  <c r="D34" i="24"/>
  <c r="S34" i="24" s="1" a="1"/>
  <c r="D137" i="24"/>
  <c r="S137" i="24" s="1" a="1"/>
  <c r="D103" i="24"/>
  <c r="S103" i="24" s="1" a="1"/>
  <c r="D53" i="24"/>
  <c r="S53" i="24" s="1" a="1"/>
  <c r="D92" i="24"/>
  <c r="S92" i="24" s="1" a="1"/>
  <c r="D140" i="24"/>
  <c r="S140" i="24" s="1" a="1"/>
  <c r="D6" i="24"/>
  <c r="S6" i="24" s="1" a="1"/>
  <c r="D41" i="24"/>
  <c r="S41" i="24" s="1" a="1"/>
  <c r="D71" i="24"/>
  <c r="S71" i="24" s="1" a="1"/>
  <c r="D120" i="24"/>
  <c r="S120" i="24" s="1" a="1"/>
  <c r="D141" i="24"/>
  <c r="S141" i="24" s="1" a="1"/>
  <c r="D132" i="24"/>
  <c r="S132" i="24" s="1" a="1"/>
  <c r="D29" i="24"/>
  <c r="S29" i="24" s="1" a="1"/>
  <c r="D59" i="24"/>
  <c r="S59" i="24" s="1" a="1"/>
  <c r="D86" i="24"/>
  <c r="S86" i="24" s="1" a="1"/>
  <c r="D117" i="24"/>
  <c r="S117" i="24" s="1" a="1"/>
  <c r="D80" i="24"/>
  <c r="S80" i="24" s="1" a="1"/>
  <c r="D102" i="24"/>
  <c r="S102" i="24" s="1" a="1"/>
  <c r="D62" i="24"/>
  <c r="S62" i="24" s="1" a="1"/>
  <c r="D124" i="24"/>
  <c r="S124" i="24" s="1" a="1"/>
  <c r="D32" i="24"/>
  <c r="S32" i="24" s="1" a="1"/>
  <c r="D79" i="24"/>
  <c r="S79" i="24" s="1" a="1"/>
  <c r="D134" i="24"/>
  <c r="S134" i="24" s="1" a="1"/>
  <c r="D123" i="24"/>
  <c r="S123" i="24" s="1" a="1"/>
  <c r="D3" i="24"/>
  <c r="S3" i="24" s="1" a="1"/>
  <c r="D37" i="24"/>
  <c r="S37" i="24" s="1" a="1"/>
  <c r="D57" i="24"/>
  <c r="S57" i="24" s="1" a="1"/>
  <c r="D87" i="24"/>
  <c r="S87" i="24" s="1" a="1"/>
  <c r="D121" i="24"/>
  <c r="S121" i="24" s="1" a="1"/>
  <c r="D8" i="24"/>
  <c r="S8" i="24" s="1" a="1"/>
  <c r="D133" i="24"/>
  <c r="S133" i="24" s="1" a="1"/>
  <c r="D22" i="24"/>
  <c r="S22" i="24" s="1" a="1"/>
  <c r="D46" i="24"/>
  <c r="S46" i="24" s="1" a="1"/>
  <c r="D72" i="24"/>
  <c r="S72" i="24" s="1" a="1"/>
  <c r="D97" i="24"/>
  <c r="S97" i="24" s="1" a="1"/>
  <c r="D127" i="24"/>
  <c r="S127" i="24" s="1" a="1"/>
  <c r="D78" i="24"/>
  <c r="S78" i="24" s="1" a="1"/>
  <c r="D100" i="24"/>
  <c r="S100" i="24" s="1" a="1"/>
  <c r="D129" i="24"/>
  <c r="S129" i="24" s="1" a="1"/>
  <c r="D68" i="24"/>
  <c r="S68" i="24" s="1" a="1"/>
  <c r="D131" i="24"/>
  <c r="S131" i="24" s="1" a="1"/>
  <c r="D39" i="24"/>
  <c r="S39" i="24" s="1" a="1"/>
  <c r="D33" i="24"/>
  <c r="S33" i="24" s="1" a="1"/>
  <c r="D50" i="24"/>
  <c r="S50" i="24" s="1" a="1"/>
  <c r="D66" i="24"/>
  <c r="S66" i="24" s="1" a="1"/>
  <c r="D67" i="24"/>
  <c r="S67" i="24" s="1" a="1"/>
  <c r="D107" i="24"/>
  <c r="S107" i="24" s="1" a="1"/>
  <c r="D125" i="24"/>
  <c r="S125" i="24" s="1" a="1"/>
  <c r="D61" i="24"/>
  <c r="S61" i="24" s="1" a="1"/>
  <c r="D119" i="24"/>
  <c r="S119" i="24" s="1" a="1"/>
  <c r="D135" i="24"/>
  <c r="S135" i="24" s="1" a="1"/>
  <c r="D17" i="24"/>
  <c r="S17" i="24" s="1" a="1"/>
  <c r="D19" i="24"/>
  <c r="S19" i="24" s="1" a="1"/>
  <c r="D54" i="24"/>
  <c r="S54" i="24" s="1" a="1"/>
  <c r="D84" i="24"/>
  <c r="S84" i="24" s="1" a="1"/>
  <c r="D113" i="24"/>
  <c r="S113" i="24" s="1" a="1"/>
  <c r="D65" i="24"/>
  <c r="S65" i="24" s="1" a="1"/>
  <c r="D99" i="24"/>
  <c r="S99" i="24" s="1" a="1"/>
  <c r="D18" i="24"/>
  <c r="S18" i="24" s="1" a="1"/>
  <c r="D82" i="24"/>
  <c r="S82" i="24" s="1" a="1"/>
  <c r="D9" i="24"/>
  <c r="S9" i="24" s="1" a="1"/>
  <c r="D51" i="24"/>
  <c r="S51" i="24" s="1" a="1"/>
  <c r="D108" i="24"/>
  <c r="S108" i="24" s="1" a="1"/>
  <c r="D142" i="24"/>
  <c r="S142" i="24" s="1" a="1"/>
  <c r="D36" i="24"/>
  <c r="S36" i="24" s="1" a="1"/>
  <c r="D45" i="24"/>
  <c r="S45" i="24" s="1" a="1"/>
  <c r="D63" i="24"/>
  <c r="S63" i="24" s="1" a="1"/>
  <c r="D81" i="24"/>
  <c r="S81" i="24" s="1" a="1"/>
  <c r="D88" i="24"/>
  <c r="S88" i="24" s="1" a="1"/>
  <c r="D56" i="24"/>
  <c r="S56" i="24" s="1" a="1"/>
  <c r="D58" i="24"/>
  <c r="S58" i="24" s="1" a="1"/>
  <c r="D60" i="24"/>
  <c r="S60" i="24" s="1" a="1"/>
  <c r="D70" i="24"/>
  <c r="S70" i="24" s="1" a="1"/>
  <c r="D89" i="24"/>
  <c r="S89" i="24" s="1" a="1"/>
  <c r="D93" i="24"/>
  <c r="S93" i="24" s="1" a="1"/>
  <c r="D94" i="24"/>
  <c r="S94" i="24" s="1" a="1"/>
  <c r="D96" i="24"/>
  <c r="S96" i="24" s="1" a="1"/>
  <c r="D104" i="24"/>
  <c r="S104" i="24" s="1" a="1"/>
  <c r="D106" i="24"/>
  <c r="S106" i="24" s="1" a="1"/>
  <c r="D109" i="24"/>
  <c r="S109" i="24" s="1" a="1"/>
  <c r="D112" i="24"/>
  <c r="S112" i="24" s="1" a="1"/>
  <c r="D73" i="24"/>
  <c r="S73" i="24" s="1" a="1"/>
  <c r="D116" i="24"/>
  <c r="S116" i="24" s="1" a="1"/>
  <c r="D143" i="24"/>
  <c r="S143" i="24" s="1" a="1"/>
  <c r="D128" i="24"/>
  <c r="S128" i="24" s="1" a="1"/>
  <c r="D130" i="24"/>
  <c r="S130" i="24" s="1" a="1"/>
  <c r="D11" i="24"/>
  <c r="S11" i="24" s="1" a="1"/>
  <c r="L11" i="24" s="1"/>
  <c r="D21" i="24"/>
  <c r="S21" i="24" s="1" a="1"/>
  <c r="D26" i="24"/>
  <c r="S26" i="24" s="1" a="1"/>
  <c r="D85" i="24"/>
  <c r="S85" i="24" s="1" a="1"/>
  <c r="D64" i="24"/>
  <c r="S64" i="24" s="1" a="1"/>
  <c r="D48" i="24"/>
  <c r="S48" i="24" s="1" a="1"/>
  <c r="D136" i="24"/>
  <c r="S136" i="24" s="1" a="1"/>
  <c r="D13" i="24"/>
  <c r="S13" i="24" s="1" a="1"/>
  <c r="D14" i="24"/>
  <c r="S14" i="24" s="1" a="1"/>
  <c r="D15" i="24"/>
  <c r="S15" i="24" s="1" a="1"/>
  <c r="D16" i="24"/>
  <c r="S16" i="24" s="1" a="1"/>
  <c r="D23" i="24"/>
  <c r="S23" i="24" s="1" a="1"/>
  <c r="D111" i="24"/>
  <c r="S111" i="24" s="1" a="1"/>
  <c r="D110" i="24"/>
  <c r="S110" i="24" s="1" a="1"/>
  <c r="D83" i="24"/>
  <c r="S83" i="24" s="1" a="1"/>
  <c r="D49" i="24"/>
  <c r="S49" i="24" s="1" a="1"/>
  <c r="D25" i="24"/>
  <c r="S25" i="24" s="1" a="1"/>
  <c r="Q162" i="23"/>
  <c r="L17" i="24" l="1"/>
  <c r="J39" i="27"/>
  <c r="C39" i="27"/>
  <c r="D39" i="27"/>
  <c r="J40" i="27"/>
  <c r="D40" i="27"/>
  <c r="C40" i="27"/>
  <c r="J41" i="27"/>
  <c r="C41" i="27"/>
  <c r="D41" i="27"/>
  <c r="J42" i="27"/>
  <c r="D42" i="27"/>
  <c r="C42" i="27"/>
  <c r="J43" i="27"/>
  <c r="C43" i="27"/>
  <c r="D43" i="27"/>
  <c r="J44" i="27"/>
  <c r="J45" i="27"/>
  <c r="F49" i="27"/>
  <c r="G49" i="27" s="1"/>
  <c r="D49" i="27"/>
  <c r="H49" i="27"/>
  <c r="J49" i="27"/>
  <c r="C49" i="27"/>
  <c r="E49" i="27"/>
  <c r="B49" i="27"/>
  <c r="H50" i="27"/>
  <c r="C50" i="27"/>
  <c r="J50" i="27"/>
  <c r="B50" i="27"/>
  <c r="D50" i="27"/>
  <c r="E50" i="27"/>
  <c r="F50" i="27"/>
  <c r="G50" i="27" s="1"/>
  <c r="D51" i="27"/>
  <c r="B51" i="27"/>
  <c r="H51" i="27"/>
  <c r="J51" i="27"/>
  <c r="E51" i="27"/>
  <c r="C51" i="27"/>
  <c r="F51" i="27"/>
  <c r="G51" i="27" s="1"/>
  <c r="J52" i="27"/>
  <c r="F52" i="27"/>
  <c r="G52" i="27" s="1"/>
  <c r="D52" i="27"/>
  <c r="H52" i="27"/>
  <c r="B52" i="27"/>
  <c r="E52" i="27"/>
  <c r="C52" i="27"/>
  <c r="J53" i="27"/>
  <c r="E53" i="27"/>
  <c r="B53" i="27"/>
  <c r="C53" i="27"/>
  <c r="H53" i="27"/>
  <c r="D53" i="27"/>
  <c r="F53" i="27"/>
  <c r="G53" i="27" s="1"/>
  <c r="J54" i="27"/>
  <c r="E54" i="27"/>
  <c r="F54" i="27"/>
  <c r="G54" i="27" s="1"/>
  <c r="D54" i="27"/>
  <c r="C54" i="27"/>
  <c r="H54" i="27"/>
  <c r="B54" i="27"/>
  <c r="J55" i="27"/>
  <c r="F55" i="27"/>
  <c r="G55" i="27" s="1"/>
  <c r="B55" i="27"/>
  <c r="H55" i="27"/>
  <c r="D55" i="27"/>
  <c r="E55" i="27"/>
  <c r="C55" i="27"/>
  <c r="J56" i="27"/>
  <c r="F56" i="27"/>
  <c r="G56" i="27" s="1"/>
  <c r="D56" i="27"/>
  <c r="C56" i="27"/>
  <c r="H56" i="27"/>
  <c r="B56" i="27"/>
  <c r="E56" i="27"/>
  <c r="J57" i="27"/>
  <c r="F57" i="27"/>
  <c r="G57" i="27" s="1"/>
  <c r="E57" i="27"/>
  <c r="D57" i="27"/>
  <c r="B57" i="27"/>
  <c r="H57" i="27"/>
  <c r="C57" i="27"/>
  <c r="J58" i="27"/>
  <c r="E58" i="27"/>
  <c r="B58" i="27"/>
  <c r="H58" i="27"/>
  <c r="D58" i="27"/>
  <c r="F58" i="27"/>
  <c r="G58" i="27" s="1"/>
  <c r="C58" i="27"/>
  <c r="J59" i="27"/>
  <c r="H59" i="27"/>
  <c r="C59" i="27"/>
  <c r="F59" i="27"/>
  <c r="G59" i="27" s="1"/>
  <c r="E59" i="27"/>
  <c r="B59" i="27"/>
  <c r="D59" i="27"/>
  <c r="J60" i="27"/>
  <c r="E60" i="27"/>
  <c r="D60" i="27"/>
  <c r="F60" i="27"/>
  <c r="G60" i="27" s="1"/>
  <c r="C60" i="27"/>
  <c r="H60" i="27"/>
  <c r="B60" i="27"/>
  <c r="J61" i="27"/>
  <c r="C61" i="27"/>
  <c r="H61" i="27"/>
  <c r="B61" i="27"/>
  <c r="E61" i="27"/>
  <c r="D61" i="27"/>
  <c r="F61" i="27"/>
  <c r="G61" i="27" s="1"/>
  <c r="J62" i="27"/>
  <c r="D62" i="27"/>
  <c r="F62" i="27"/>
  <c r="G62" i="27" s="1"/>
  <c r="H62" i="27"/>
  <c r="E62" i="27"/>
  <c r="B62" i="27"/>
  <c r="C62" i="27"/>
  <c r="J63" i="27"/>
  <c r="E63" i="27"/>
  <c r="B63" i="27"/>
  <c r="D63" i="27"/>
  <c r="F63" i="27"/>
  <c r="G63" i="27" s="1"/>
  <c r="C63" i="27"/>
  <c r="H63" i="27"/>
  <c r="J64" i="27"/>
  <c r="D64" i="27"/>
  <c r="E64" i="27"/>
  <c r="B64" i="27"/>
  <c r="H64" i="27"/>
  <c r="C64" i="27"/>
  <c r="F64" i="27"/>
  <c r="G64" i="27" s="1"/>
  <c r="J65" i="27"/>
  <c r="E65" i="27"/>
  <c r="F65" i="27"/>
  <c r="G65" i="27" s="1"/>
  <c r="B65" i="27"/>
  <c r="H65" i="27"/>
  <c r="D65" i="27"/>
  <c r="C65" i="27"/>
  <c r="J66" i="27"/>
  <c r="F66" i="27"/>
  <c r="G66" i="27" s="1"/>
  <c r="B66" i="27"/>
  <c r="C66" i="27"/>
  <c r="D66" i="27"/>
  <c r="E66" i="27"/>
  <c r="H66" i="27"/>
  <c r="J67" i="27"/>
  <c r="D67" i="27"/>
  <c r="F67" i="27"/>
  <c r="G67" i="27" s="1"/>
  <c r="B67" i="27"/>
  <c r="H67" i="27"/>
  <c r="E67" i="27"/>
  <c r="C67" i="27"/>
  <c r="J68" i="27"/>
  <c r="C68" i="27"/>
  <c r="D68" i="27"/>
  <c r="H68" i="27"/>
  <c r="E68" i="27"/>
  <c r="B68" i="27"/>
  <c r="F68" i="27"/>
  <c r="G68" i="27" s="1"/>
  <c r="J69" i="27"/>
  <c r="F69" i="27"/>
  <c r="G69" i="27" s="1"/>
  <c r="C69" i="27"/>
  <c r="D69" i="27"/>
  <c r="B69" i="27"/>
  <c r="H69" i="27"/>
  <c r="E69" i="27"/>
  <c r="J70" i="27"/>
  <c r="C70" i="27"/>
  <c r="F70" i="27"/>
  <c r="G70" i="27" s="1"/>
  <c r="D70" i="27"/>
  <c r="E70" i="27"/>
  <c r="H70" i="27"/>
  <c r="B70" i="27"/>
  <c r="J71" i="27"/>
  <c r="E71" i="27"/>
  <c r="F71" i="27"/>
  <c r="G71" i="27" s="1"/>
  <c r="C71" i="27"/>
  <c r="H71" i="27"/>
  <c r="D71" i="27"/>
  <c r="B71" i="27"/>
  <c r="J72" i="27"/>
  <c r="D72" i="27"/>
  <c r="F72" i="27"/>
  <c r="G72" i="27" s="1"/>
  <c r="C72" i="27"/>
  <c r="E72" i="27"/>
  <c r="H72" i="27"/>
  <c r="B72" i="27"/>
  <c r="J73" i="27"/>
  <c r="C73" i="27"/>
  <c r="E73" i="27"/>
  <c r="H73" i="27"/>
  <c r="F73" i="27"/>
  <c r="G73" i="27" s="1"/>
  <c r="B73" i="27"/>
  <c r="D73" i="27"/>
  <c r="J74" i="27"/>
  <c r="F74" i="27"/>
  <c r="G74" i="27" s="1"/>
  <c r="C74" i="27"/>
  <c r="B74" i="27"/>
  <c r="H74" i="27"/>
  <c r="D74" i="27"/>
  <c r="E74" i="27"/>
  <c r="J75" i="27"/>
  <c r="C75" i="27"/>
  <c r="D75" i="27"/>
  <c r="H75" i="27"/>
  <c r="E75" i="27"/>
  <c r="F75" i="27"/>
  <c r="G75" i="27" s="1"/>
  <c r="B75" i="27"/>
  <c r="J76" i="27"/>
  <c r="D76" i="27"/>
  <c r="H76" i="27"/>
  <c r="B76" i="27"/>
  <c r="E76" i="27"/>
  <c r="F76" i="27"/>
  <c r="G76" i="27" s="1"/>
  <c r="C76" i="27"/>
  <c r="J77" i="27"/>
  <c r="H77" i="27"/>
  <c r="F77" i="27"/>
  <c r="G77" i="27" s="1"/>
  <c r="E77" i="27"/>
  <c r="C77" i="27"/>
  <c r="D77" i="27"/>
  <c r="B77" i="27"/>
  <c r="J78" i="27"/>
  <c r="E78" i="27"/>
  <c r="C78" i="27"/>
  <c r="F78" i="27"/>
  <c r="G78" i="27" s="1"/>
  <c r="H78" i="27"/>
  <c r="D78" i="27"/>
  <c r="B78" i="27"/>
  <c r="AI5" i="25"/>
  <c r="K125" i="22" s="1"/>
  <c r="I125" i="22"/>
  <c r="AI3" i="25"/>
  <c r="I123" i="22"/>
  <c r="R6" i="25" a="1"/>
  <c r="U6" i="25" s="1"/>
  <c r="R4" i="25" a="1"/>
  <c r="U4" i="25" s="1"/>
  <c r="AL163" i="22" a="1"/>
  <c r="AK163" i="22" a="1"/>
  <c r="AL162" i="22" a="1"/>
  <c r="AK162" i="22" a="1"/>
  <c r="AL161" i="22" a="1"/>
  <c r="AK161" i="22" a="1"/>
  <c r="B46" i="27"/>
  <c r="E46" i="27"/>
  <c r="F46" i="27" s="1"/>
  <c r="G46" i="27" s="1"/>
  <c r="H46" i="27" s="1"/>
  <c r="B42" i="27"/>
  <c r="E42" i="27"/>
  <c r="F42" i="27" s="1"/>
  <c r="G42" i="27" s="1"/>
  <c r="H42" i="27" s="1"/>
  <c r="B41" i="27"/>
  <c r="E41" i="27"/>
  <c r="F41" i="27" s="1"/>
  <c r="G41" i="27" s="1"/>
  <c r="H41" i="27" s="1"/>
  <c r="B40" i="27"/>
  <c r="E40" i="27"/>
  <c r="F40" i="27" s="1"/>
  <c r="G40" i="27" s="1"/>
  <c r="H40" i="27" s="1"/>
  <c r="B39" i="27"/>
  <c r="E39" i="27"/>
  <c r="F39" i="27" s="1"/>
  <c r="L19" i="24"/>
  <c r="L101" i="24"/>
  <c r="L118" i="24"/>
  <c r="L44" i="24"/>
  <c r="L90" i="24"/>
  <c r="L138" i="24"/>
  <c r="L103" i="24"/>
  <c r="L120" i="24"/>
  <c r="L119" i="24"/>
  <c r="L99" i="24"/>
  <c r="L142" i="24"/>
  <c r="L85" i="24"/>
  <c r="L137" i="24"/>
  <c r="L114" i="24"/>
  <c r="L139" i="24"/>
  <c r="L49" i="24"/>
  <c r="L75" i="24"/>
  <c r="L74" i="24"/>
  <c r="L24" i="24"/>
  <c r="N24" i="24" s="1" a="1"/>
  <c r="L10" i="24"/>
  <c r="L35" i="24"/>
  <c r="L6" i="24"/>
  <c r="O6" i="24" s="1"/>
  <c r="L41" i="24"/>
  <c r="L141" i="24"/>
  <c r="L8" i="24"/>
  <c r="L133" i="24"/>
  <c r="L65" i="24"/>
  <c r="N65" i="24" s="1" a="1"/>
  <c r="L9" i="24"/>
  <c r="L88" i="24"/>
  <c r="N88" i="24" s="1" a="1"/>
  <c r="L56" i="24"/>
  <c r="L58" i="24"/>
  <c r="N58" i="24" s="1" a="1"/>
  <c r="L110" i="24"/>
  <c r="L60" i="24"/>
  <c r="N60" i="24" s="1" a="1"/>
  <c r="L93" i="24"/>
  <c r="N93" i="24" s="1" a="1"/>
  <c r="L64" i="24"/>
  <c r="N64" i="24" s="1" a="1"/>
  <c r="L48" i="24"/>
  <c r="N48" i="24" s="1" a="1"/>
  <c r="L15" i="24"/>
  <c r="L29" i="24"/>
  <c r="L59" i="24"/>
  <c r="L117" i="24"/>
  <c r="L80" i="24"/>
  <c r="L79" i="24"/>
  <c r="L37" i="24"/>
  <c r="L87" i="24"/>
  <c r="L121" i="24"/>
  <c r="L22" i="24"/>
  <c r="L72" i="24"/>
  <c r="L127" i="24"/>
  <c r="L100" i="24"/>
  <c r="L129" i="24"/>
  <c r="L68" i="24"/>
  <c r="L131" i="24"/>
  <c r="L39" i="24"/>
  <c r="L89" i="24"/>
  <c r="L33" i="24"/>
  <c r="L50" i="24"/>
  <c r="L66" i="24"/>
  <c r="L54" i="24"/>
  <c r="L84" i="24"/>
  <c r="L18" i="24"/>
  <c r="L82" i="24"/>
  <c r="N82" i="24" s="1" a="1"/>
  <c r="L45" i="24"/>
  <c r="L63" i="24"/>
  <c r="L70" i="24"/>
  <c r="O11" i="24"/>
  <c r="K11" i="24"/>
  <c r="M11" i="24" a="1"/>
  <c r="L5" i="24"/>
  <c r="L38" i="24"/>
  <c r="N38" i="24" s="1" a="1"/>
  <c r="L76" i="24"/>
  <c r="L91" i="24"/>
  <c r="L122" i="24"/>
  <c r="N122" i="24" s="1" a="1"/>
  <c r="L42" i="24"/>
  <c r="L105" i="24"/>
  <c r="N105" i="24" s="1" a="1"/>
  <c r="L55" i="24"/>
  <c r="N55" i="24" s="1" a="1"/>
  <c r="L115" i="24"/>
  <c r="N115" i="24" s="1" a="1"/>
  <c r="L31" i="24"/>
  <c r="N31" i="24" s="1" a="1"/>
  <c r="L40" i="24"/>
  <c r="L30" i="24"/>
  <c r="L69" i="24"/>
  <c r="N69" i="24" s="1" a="1"/>
  <c r="L95" i="24"/>
  <c r="N95" i="24" s="1" a="1"/>
  <c r="L144" i="24"/>
  <c r="N144" i="24" s="1" a="1"/>
  <c r="L77" i="24"/>
  <c r="N77" i="24" s="1" a="1"/>
  <c r="L43" i="24"/>
  <c r="L47" i="24"/>
  <c r="N47" i="24" s="1" a="1"/>
  <c r="L52" i="24"/>
  <c r="L4" i="24"/>
  <c r="L28" i="24"/>
  <c r="N28" i="24" s="1" a="1"/>
  <c r="L126" i="24"/>
  <c r="N126" i="24" s="1" a="1"/>
  <c r="L12" i="24"/>
  <c r="L98" i="24"/>
  <c r="L7" i="24"/>
  <c r="N7" i="24" s="1" a="1"/>
  <c r="L20" i="24"/>
  <c r="N20" i="24" s="1" a="1"/>
  <c r="L27" i="24"/>
  <c r="N27" i="24" s="1" a="1"/>
  <c r="L34" i="24"/>
  <c r="N34" i="24" s="1" a="1"/>
  <c r="L53" i="24"/>
  <c r="L92" i="24"/>
  <c r="N92" i="24" s="1" a="1"/>
  <c r="L140" i="24"/>
  <c r="N140" i="24" s="1" a="1"/>
  <c r="L71" i="24"/>
  <c r="N71" i="24" s="1" a="1"/>
  <c r="L132" i="24"/>
  <c r="N132" i="24" s="1" a="1"/>
  <c r="L86" i="24"/>
  <c r="N86" i="24" s="1" a="1"/>
  <c r="L67" i="24"/>
  <c r="L102" i="24"/>
  <c r="N102" i="24" s="1" a="1"/>
  <c r="L62" i="24"/>
  <c r="N62" i="24" s="1" a="1"/>
  <c r="L124" i="24"/>
  <c r="N124" i="24" s="1" a="1"/>
  <c r="L32" i="24"/>
  <c r="L134" i="24"/>
  <c r="L123" i="24"/>
  <c r="L3" i="24"/>
  <c r="L57" i="24"/>
  <c r="N57" i="24" s="1" a="1"/>
  <c r="L46" i="24"/>
  <c r="L97" i="24"/>
  <c r="L78" i="24"/>
  <c r="L107" i="24"/>
  <c r="L125" i="24"/>
  <c r="N125" i="24" s="1" a="1"/>
  <c r="L61" i="24"/>
  <c r="N61" i="24" s="1" a="1"/>
  <c r="L135" i="24"/>
  <c r="N135" i="24" s="1" a="1"/>
  <c r="L113" i="24"/>
  <c r="N113" i="24" s="1" a="1"/>
  <c r="L51" i="24"/>
  <c r="L108" i="24"/>
  <c r="L36" i="24"/>
  <c r="N36" i="24" s="1" a="1"/>
  <c r="L81" i="24"/>
  <c r="N81" i="24" s="1" a="1"/>
  <c r="L94" i="24"/>
  <c r="N94" i="24" s="1" a="1"/>
  <c r="L96" i="24"/>
  <c r="N96" i="24" s="1" a="1"/>
  <c r="L104" i="24"/>
  <c r="N104" i="24" s="1" a="1"/>
  <c r="L106" i="24"/>
  <c r="N106" i="24" s="1" a="1"/>
  <c r="L109" i="24"/>
  <c r="N109" i="24" s="1" a="1"/>
  <c r="L112" i="24"/>
  <c r="N112" i="24" s="1" a="1"/>
  <c r="L73" i="24"/>
  <c r="L116" i="24"/>
  <c r="L143" i="24"/>
  <c r="L128" i="24"/>
  <c r="N128" i="24" s="1" a="1"/>
  <c r="L130" i="24"/>
  <c r="N130" i="24" s="1" a="1"/>
  <c r="L21" i="24"/>
  <c r="N21" i="24" s="1" a="1"/>
  <c r="L26" i="24"/>
  <c r="N26" i="24" s="1" a="1"/>
  <c r="L136" i="24"/>
  <c r="N136" i="24" s="1" a="1"/>
  <c r="L13" i="24"/>
  <c r="N13" i="24" s="1" a="1"/>
  <c r="L14" i="24"/>
  <c r="N14" i="24" s="1" a="1"/>
  <c r="L16" i="24"/>
  <c r="L23" i="24"/>
  <c r="N23" i="24" s="1" a="1"/>
  <c r="L111" i="24"/>
  <c r="N111" i="24" s="1" a="1"/>
  <c r="L83" i="24"/>
  <c r="N83" i="24" s="1" a="1"/>
  <c r="L25" i="24"/>
  <c r="N25" i="24" s="1" a="1"/>
  <c r="C44" i="27" l="1"/>
  <c r="D44" i="27"/>
  <c r="D45" i="27"/>
  <c r="C45" i="27"/>
  <c r="O17" i="24"/>
  <c r="M17" i="24" a="1"/>
  <c r="K17" i="24"/>
  <c r="B43" i="27"/>
  <c r="E43" i="27"/>
  <c r="F43" i="27" s="1"/>
  <c r="K123" i="22"/>
  <c r="AI6" i="25"/>
  <c r="K126" i="22" s="1"/>
  <c r="I126" i="22"/>
  <c r="AI4" i="25"/>
  <c r="I124" i="22"/>
  <c r="A70" i="22"/>
  <c r="A69" i="22"/>
  <c r="A68" i="22"/>
  <c r="A67" i="22"/>
  <c r="A66" i="22"/>
  <c r="A65" i="22"/>
  <c r="A64" i="22"/>
  <c r="A63" i="22"/>
  <c r="A62" i="22"/>
  <c r="A61" i="22"/>
  <c r="A60" i="22"/>
  <c r="A59" i="22"/>
  <c r="A58" i="22"/>
  <c r="A57" i="22"/>
  <c r="A56" i="22"/>
  <c r="A55" i="22"/>
  <c r="A54" i="22"/>
  <c r="A53" i="22"/>
  <c r="A52" i="22"/>
  <c r="A51" i="22"/>
  <c r="A50" i="22"/>
  <c r="A49" i="22"/>
  <c r="A48" i="22"/>
  <c r="A47" i="22"/>
  <c r="A46" i="22"/>
  <c r="A45" i="22"/>
  <c r="A44" i="22"/>
  <c r="A43" i="22"/>
  <c r="A42" i="22"/>
  <c r="A41" i="22"/>
  <c r="A40" i="22"/>
  <c r="A39" i="22"/>
  <c r="A38" i="22"/>
  <c r="A37" i="22"/>
  <c r="A36" i="22"/>
  <c r="A35" i="22"/>
  <c r="A34" i="22"/>
  <c r="A33" i="22"/>
  <c r="A32" i="22"/>
  <c r="A31" i="22"/>
  <c r="A30" i="22"/>
  <c r="G39" i="27"/>
  <c r="H39" i="27" s="1"/>
  <c r="O19" i="24"/>
  <c r="K19" i="24"/>
  <c r="M19" i="24" a="1"/>
  <c r="N19" i="24" a="1"/>
  <c r="N101" i="24" a="1"/>
  <c r="M101" i="24" a="1"/>
  <c r="O101" i="24"/>
  <c r="K101" i="24"/>
  <c r="M118" i="24" a="1"/>
  <c r="K118" i="24"/>
  <c r="O118" i="24"/>
  <c r="N118" i="24" a="1"/>
  <c r="O44" i="24"/>
  <c r="M44" i="24" a="1"/>
  <c r="K44" i="24"/>
  <c r="N44" i="24" a="1"/>
  <c r="M90" i="24" a="1"/>
  <c r="K90" i="24"/>
  <c r="O90" i="24"/>
  <c r="N90" i="24" a="1"/>
  <c r="N138" i="24" a="1"/>
  <c r="M138" i="24" a="1"/>
  <c r="K138" i="24"/>
  <c r="O138" i="24"/>
  <c r="M103" i="24" a="1"/>
  <c r="O103" i="24"/>
  <c r="K103" i="24"/>
  <c r="N103" i="24" a="1"/>
  <c r="O120" i="24"/>
  <c r="K120" i="24"/>
  <c r="M120" i="24" a="1"/>
  <c r="N120" i="24" a="1"/>
  <c r="M119" i="24" a="1"/>
  <c r="O119" i="24"/>
  <c r="K119" i="24"/>
  <c r="N119" i="24" a="1"/>
  <c r="O99" i="24"/>
  <c r="K99" i="24"/>
  <c r="N99" i="24" a="1"/>
  <c r="M99" i="24" a="1"/>
  <c r="M142" i="24" a="1"/>
  <c r="O142" i="24"/>
  <c r="K142" i="24"/>
  <c r="N142" i="24" a="1"/>
  <c r="M85" i="24" a="1"/>
  <c r="O85" i="24"/>
  <c r="N85" i="24" a="1"/>
  <c r="K85" i="24"/>
  <c r="N137" i="24" a="1"/>
  <c r="M137" i="24" a="1"/>
  <c r="K137" i="24"/>
  <c r="O137" i="24"/>
  <c r="O49" i="24"/>
  <c r="K49" i="24"/>
  <c r="M49" i="24" a="1"/>
  <c r="N49" i="24" a="1"/>
  <c r="M114" i="24" a="1"/>
  <c r="K114" i="24"/>
  <c r="N139" i="24" a="1"/>
  <c r="M139" i="24" a="1"/>
  <c r="K139" i="24"/>
  <c r="O139" i="24"/>
  <c r="N75" i="24" a="1"/>
  <c r="O75" i="24"/>
  <c r="M75" i="24" a="1"/>
  <c r="K75" i="24"/>
  <c r="O74" i="24"/>
  <c r="M74" i="24" a="1"/>
  <c r="N10" i="24" a="1"/>
  <c r="O10" i="24"/>
  <c r="K10" i="24"/>
  <c r="M10" i="24" a="1"/>
  <c r="N35" i="24" a="1"/>
  <c r="O35" i="24"/>
  <c r="K35" i="24"/>
  <c r="M35" i="24" a="1"/>
  <c r="O114" i="24"/>
  <c r="N114" i="24" a="1"/>
  <c r="K74" i="24"/>
  <c r="N74" i="24" a="1"/>
  <c r="K6" i="24"/>
  <c r="M6" i="24" a="1"/>
  <c r="K110" i="24"/>
  <c r="O110" i="24"/>
  <c r="N8" i="24" a="1"/>
  <c r="K8" i="24"/>
  <c r="O8" i="24"/>
  <c r="M8" i="24" a="1"/>
  <c r="N133" i="24" a="1"/>
  <c r="M133" i="24" a="1"/>
  <c r="K133" i="24"/>
  <c r="O133" i="24"/>
  <c r="O24" i="24"/>
  <c r="M24" i="24" a="1"/>
  <c r="K24" i="24"/>
  <c r="M110" i="24" a="1"/>
  <c r="N110" i="24" a="1"/>
  <c r="O41" i="24"/>
  <c r="M41" i="24" a="1"/>
  <c r="K41" i="24"/>
  <c r="M141" i="24" a="1"/>
  <c r="K141" i="24"/>
  <c r="O141" i="24"/>
  <c r="N141" i="24" a="1"/>
  <c r="K65" i="24"/>
  <c r="O65" i="24"/>
  <c r="M65" i="24" a="1"/>
  <c r="M9" i="24" a="1"/>
  <c r="K9" i="24"/>
  <c r="O9" i="24"/>
  <c r="K88" i="24"/>
  <c r="O88" i="24"/>
  <c r="M88" i="24" a="1"/>
  <c r="K56" i="24"/>
  <c r="M56" i="24" a="1"/>
  <c r="O56" i="24"/>
  <c r="O58" i="24"/>
  <c r="K58" i="24"/>
  <c r="M58" i="24" a="1"/>
  <c r="M60" i="24" a="1"/>
  <c r="O60" i="24"/>
  <c r="K60" i="24"/>
  <c r="K93" i="24"/>
  <c r="O93" i="24"/>
  <c r="M93" i="24" a="1"/>
  <c r="M64" i="24" a="1"/>
  <c r="O64" i="24"/>
  <c r="K64" i="24"/>
  <c r="M48" i="24" a="1"/>
  <c r="O48" i="24"/>
  <c r="K48" i="24"/>
  <c r="K15" i="24"/>
  <c r="M15" i="24" a="1"/>
  <c r="O15" i="24"/>
  <c r="N29" i="24" a="1"/>
  <c r="M29" i="24" a="1"/>
  <c r="K29" i="24"/>
  <c r="O29" i="24"/>
  <c r="O59" i="24"/>
  <c r="M59" i="24" a="1"/>
  <c r="K59" i="24"/>
  <c r="M117" i="24" a="1"/>
  <c r="K117" i="24"/>
  <c r="O117" i="24"/>
  <c r="N117" i="24" a="1"/>
  <c r="N80" i="24" a="1"/>
  <c r="O80" i="24"/>
  <c r="M80" i="24" a="1"/>
  <c r="K80" i="24"/>
  <c r="O79" i="24"/>
  <c r="M79" i="24" a="1"/>
  <c r="K79" i="24"/>
  <c r="O37" i="24"/>
  <c r="K37" i="24"/>
  <c r="M37" i="24" a="1"/>
  <c r="N87" i="24" a="1"/>
  <c r="M87" i="24" a="1"/>
  <c r="O87" i="24"/>
  <c r="K87" i="24"/>
  <c r="N121" i="24" a="1"/>
  <c r="O121" i="24"/>
  <c r="K121" i="24"/>
  <c r="M121" i="24" a="1"/>
  <c r="O89" i="24"/>
  <c r="K89" i="24"/>
  <c r="N89" i="24" a="1"/>
  <c r="M89" i="24" a="1"/>
  <c r="N54" i="24" a="1"/>
  <c r="K54" i="24"/>
  <c r="O54" i="24"/>
  <c r="M54" i="24" a="1"/>
  <c r="N84" i="24" a="1"/>
  <c r="M84" i="24" a="1"/>
  <c r="K84" i="24"/>
  <c r="O84" i="24"/>
  <c r="N45" i="24" a="1"/>
  <c r="K45" i="24"/>
  <c r="O45" i="24"/>
  <c r="M45" i="24" a="1"/>
  <c r="N63" i="24" a="1"/>
  <c r="K63" i="24"/>
  <c r="M63" i="24" a="1"/>
  <c r="O63" i="24"/>
  <c r="M70" i="24" a="1"/>
  <c r="K70" i="24"/>
  <c r="O70" i="24"/>
  <c r="N70" i="24" a="1"/>
  <c r="O22" i="24"/>
  <c r="K22" i="24"/>
  <c r="M22" i="24" a="1"/>
  <c r="O72" i="24"/>
  <c r="K72" i="24"/>
  <c r="M72" i="24" a="1"/>
  <c r="M127" i="24" a="1"/>
  <c r="K127" i="24"/>
  <c r="O127" i="24"/>
  <c r="M100" i="24" a="1"/>
  <c r="O100" i="24"/>
  <c r="K100" i="24"/>
  <c r="M129" i="24" a="1"/>
  <c r="K129" i="24"/>
  <c r="O129" i="24"/>
  <c r="O68" i="24"/>
  <c r="M68" i="24" a="1"/>
  <c r="K68" i="24"/>
  <c r="M131" i="24" a="1"/>
  <c r="K131" i="24"/>
  <c r="O131" i="24"/>
  <c r="M39" i="24" a="1"/>
  <c r="O39" i="24"/>
  <c r="K39" i="24"/>
  <c r="K33" i="24"/>
  <c r="O33" i="24"/>
  <c r="M33" i="24" a="1"/>
  <c r="O50" i="24"/>
  <c r="K50" i="24"/>
  <c r="M50" i="24" a="1"/>
  <c r="O66" i="24"/>
  <c r="K66" i="24"/>
  <c r="M66" i="24" a="1"/>
  <c r="O18" i="24"/>
  <c r="M18" i="24" a="1"/>
  <c r="K18" i="24"/>
  <c r="K82" i="24"/>
  <c r="O82" i="24"/>
  <c r="M82" i="24" a="1"/>
  <c r="N16" i="24" a="1"/>
  <c r="M5" i="24" a="1"/>
  <c r="K5" i="24"/>
  <c r="O5" i="24"/>
  <c r="K38" i="24"/>
  <c r="M38" i="24" a="1"/>
  <c r="O38" i="24"/>
  <c r="M76" i="24" a="1"/>
  <c r="K76" i="24"/>
  <c r="O76" i="24"/>
  <c r="K91" i="24"/>
  <c r="O91" i="24"/>
  <c r="M91" i="24" a="1"/>
  <c r="O122" i="24"/>
  <c r="K122" i="24"/>
  <c r="M122" i="24" a="1"/>
  <c r="K42" i="24"/>
  <c r="M42" i="24" a="1"/>
  <c r="O42" i="24"/>
  <c r="K105" i="24"/>
  <c r="O105" i="24"/>
  <c r="M105" i="24" a="1"/>
  <c r="M55" i="24" a="1"/>
  <c r="K55" i="24"/>
  <c r="O55" i="24"/>
  <c r="K115" i="24"/>
  <c r="O115" i="24"/>
  <c r="M115" i="24" a="1"/>
  <c r="K31" i="24"/>
  <c r="M31" i="24" a="1"/>
  <c r="O31" i="24"/>
  <c r="K40" i="24"/>
  <c r="M40" i="24" a="1"/>
  <c r="O40" i="24"/>
  <c r="M30" i="24" a="1"/>
  <c r="K30" i="24"/>
  <c r="O30" i="24"/>
  <c r="K69" i="24"/>
  <c r="M69" i="24" a="1"/>
  <c r="O69" i="24"/>
  <c r="K95" i="24"/>
  <c r="O95" i="24"/>
  <c r="M95" i="24" a="1"/>
  <c r="K144" i="24"/>
  <c r="O144" i="24"/>
  <c r="M144" i="24" a="1"/>
  <c r="M77" i="24" a="1"/>
  <c r="K77" i="24"/>
  <c r="O77" i="24"/>
  <c r="M43" i="24" a="1"/>
  <c r="K43" i="24"/>
  <c r="O43" i="24"/>
  <c r="M47" i="24" a="1"/>
  <c r="K47" i="24"/>
  <c r="O47" i="24"/>
  <c r="M52" i="24" a="1"/>
  <c r="K52" i="24"/>
  <c r="O52" i="24"/>
  <c r="K4" i="24"/>
  <c r="O4" i="24"/>
  <c r="M4" i="24" a="1"/>
  <c r="M28" i="24" a="1"/>
  <c r="K28" i="24"/>
  <c r="O28" i="24"/>
  <c r="O126" i="24"/>
  <c r="K126" i="24"/>
  <c r="M126" i="24" a="1"/>
  <c r="K12" i="24"/>
  <c r="M12" i="24" a="1"/>
  <c r="O12" i="24"/>
  <c r="K98" i="24"/>
  <c r="O98" i="24"/>
  <c r="M98" i="24" a="1"/>
  <c r="K7" i="24"/>
  <c r="M7" i="24" a="1"/>
  <c r="O7" i="24"/>
  <c r="K20" i="24"/>
  <c r="M20" i="24" a="1"/>
  <c r="O20" i="24"/>
  <c r="M27" i="24" a="1"/>
  <c r="K27" i="24"/>
  <c r="O27" i="24"/>
  <c r="K34" i="24"/>
  <c r="M34" i="24" a="1"/>
  <c r="O34" i="24"/>
  <c r="M53" i="24" a="1"/>
  <c r="K53" i="24"/>
  <c r="O53" i="24"/>
  <c r="O92" i="24"/>
  <c r="K92" i="24"/>
  <c r="M92" i="24" a="1"/>
  <c r="K140" i="24"/>
  <c r="O140" i="24"/>
  <c r="M140" i="24" a="1"/>
  <c r="K71" i="24"/>
  <c r="M71" i="24" a="1"/>
  <c r="O71" i="24"/>
  <c r="O132" i="24"/>
  <c r="K132" i="24"/>
  <c r="M132" i="24" a="1"/>
  <c r="O86" i="24"/>
  <c r="K86" i="24"/>
  <c r="M86" i="24" a="1"/>
  <c r="K67" i="24"/>
  <c r="M67" i="24" a="1"/>
  <c r="O67" i="24"/>
  <c r="K102" i="24"/>
  <c r="O102" i="24"/>
  <c r="M102" i="24" a="1"/>
  <c r="M62" i="24" a="1"/>
  <c r="K62" i="24"/>
  <c r="O62" i="24"/>
  <c r="K124" i="24"/>
  <c r="O124" i="24"/>
  <c r="M124" i="24" a="1"/>
  <c r="M32" i="24" a="1"/>
  <c r="K32" i="24"/>
  <c r="O32" i="24"/>
  <c r="O134" i="24"/>
  <c r="K134" i="24"/>
  <c r="M134" i="24" a="1"/>
  <c r="K123" i="24"/>
  <c r="O123" i="24"/>
  <c r="M123" i="24" a="1"/>
  <c r="K3" i="24"/>
  <c r="O3" i="24"/>
  <c r="M3" i="24" a="1"/>
  <c r="K57" i="24"/>
  <c r="M57" i="24" a="1"/>
  <c r="O57" i="24"/>
  <c r="K46" i="24"/>
  <c r="M46" i="24" a="1"/>
  <c r="O46" i="24"/>
  <c r="O97" i="24"/>
  <c r="K97" i="24"/>
  <c r="M97" i="24" a="1"/>
  <c r="M78" i="24" a="1"/>
  <c r="K78" i="24"/>
  <c r="O78" i="24"/>
  <c r="K107" i="24"/>
  <c r="O107" i="24"/>
  <c r="M107" i="24" a="1"/>
  <c r="O125" i="24"/>
  <c r="K125" i="24"/>
  <c r="M125" i="24" a="1"/>
  <c r="M61" i="24" a="1"/>
  <c r="K61" i="24"/>
  <c r="O61" i="24"/>
  <c r="K135" i="24"/>
  <c r="O135" i="24"/>
  <c r="M135" i="24" a="1"/>
  <c r="K113" i="24"/>
  <c r="O113" i="24"/>
  <c r="M113" i="24" a="1"/>
  <c r="K51" i="24"/>
  <c r="M51" i="24" a="1"/>
  <c r="O51" i="24"/>
  <c r="O108" i="24"/>
  <c r="K108" i="24"/>
  <c r="M108" i="24" a="1"/>
  <c r="M36" i="24" a="1"/>
  <c r="K36" i="24"/>
  <c r="O36" i="24"/>
  <c r="M81" i="24" a="1"/>
  <c r="O81" i="24"/>
  <c r="K81" i="24"/>
  <c r="O94" i="24"/>
  <c r="K94" i="24"/>
  <c r="M94" i="24" a="1"/>
  <c r="O96" i="24"/>
  <c r="K96" i="24"/>
  <c r="M96" i="24" a="1"/>
  <c r="O104" i="24"/>
  <c r="K104" i="24"/>
  <c r="M104" i="24" a="1"/>
  <c r="O106" i="24"/>
  <c r="K106" i="24"/>
  <c r="M106" i="24" a="1"/>
  <c r="K109" i="24"/>
  <c r="O109" i="24"/>
  <c r="M109" i="24" a="1"/>
  <c r="K112" i="24"/>
  <c r="O112" i="24"/>
  <c r="M112" i="24" a="1"/>
  <c r="M73" i="24" a="1"/>
  <c r="K73" i="24"/>
  <c r="O73" i="24"/>
  <c r="O116" i="24"/>
  <c r="K116" i="24"/>
  <c r="M116" i="24" a="1"/>
  <c r="O143" i="24"/>
  <c r="K143" i="24"/>
  <c r="M143" i="24" a="1"/>
  <c r="O128" i="24"/>
  <c r="K128" i="24"/>
  <c r="M128" i="24" a="1"/>
  <c r="O130" i="24"/>
  <c r="K130" i="24"/>
  <c r="M130" i="24" a="1"/>
  <c r="K21" i="24"/>
  <c r="M21" i="24" a="1"/>
  <c r="O21" i="24"/>
  <c r="M26" i="24" a="1"/>
  <c r="K26" i="24"/>
  <c r="O26" i="24"/>
  <c r="K136" i="24"/>
  <c r="O136" i="24"/>
  <c r="M136" i="24" a="1"/>
  <c r="M13" i="24" a="1"/>
  <c r="K13" i="24"/>
  <c r="O13" i="24"/>
  <c r="K14" i="24"/>
  <c r="M14" i="24" a="1"/>
  <c r="O14" i="24"/>
  <c r="O16" i="24"/>
  <c r="K16" i="24"/>
  <c r="M16" i="24" a="1"/>
  <c r="M23" i="24" a="1"/>
  <c r="K23" i="24"/>
  <c r="O23" i="24"/>
  <c r="K111" i="24"/>
  <c r="O111" i="24"/>
  <c r="M111" i="24" a="1"/>
  <c r="K83" i="24"/>
  <c r="O83" i="24"/>
  <c r="M83" i="24" a="1"/>
  <c r="K25" i="24"/>
  <c r="M25" i="24" a="1"/>
  <c r="O25" i="24"/>
  <c r="N73" i="24" a="1"/>
  <c r="N98" i="24" a="1"/>
  <c r="N46" i="24" a="1"/>
  <c r="N97" i="24" a="1"/>
  <c r="N127" i="24" a="1"/>
  <c r="N108" i="24" a="1"/>
  <c r="N78" i="24" a="1"/>
  <c r="N100" i="24" a="1"/>
  <c r="N129" i="24" a="1"/>
  <c r="N68" i="24" a="1"/>
  <c r="N131" i="24" a="1"/>
  <c r="N50" i="24" a="1"/>
  <c r="N66" i="24" a="1"/>
  <c r="N67" i="24" a="1"/>
  <c r="N107" i="24" a="1"/>
  <c r="N5" i="24" a="1"/>
  <c r="N76" i="24" a="1"/>
  <c r="N91" i="24" a="1"/>
  <c r="N32" i="24" a="1"/>
  <c r="N79" i="24" a="1"/>
  <c r="N134" i="24" a="1"/>
  <c r="N123" i="24" a="1"/>
  <c r="N116" i="24" a="1"/>
  <c r="N143" i="24" a="1"/>
  <c r="N37" i="24" a="1"/>
  <c r="B44" i="27" l="1"/>
  <c r="E44" i="27"/>
  <c r="F44" i="27" s="1"/>
  <c r="G44" i="27" s="1"/>
  <c r="H44" i="27" s="1"/>
  <c r="B45" i="27"/>
  <c r="E45" i="27"/>
  <c r="F45" i="27" s="1"/>
  <c r="G45" i="27" s="1"/>
  <c r="H45" i="27" s="1"/>
  <c r="G43" i="27"/>
  <c r="H43" i="27" s="1"/>
  <c r="B33" i="27"/>
  <c r="B34" i="27" s="1"/>
  <c r="P92" i="27" s="1"/>
  <c r="AE69" i="22"/>
  <c r="AF69" i="22" s="1"/>
  <c r="B69" i="22"/>
  <c r="C69" i="22" a="1"/>
  <c r="D69" i="22"/>
  <c r="E69" i="22" a="1"/>
  <c r="F69" i="22" a="1"/>
  <c r="H69" i="22" a="1"/>
  <c r="L69" i="22"/>
  <c r="I69" i="22"/>
  <c r="J69" i="22"/>
  <c r="K69" i="22"/>
  <c r="M69" i="22"/>
  <c r="AE68" i="22"/>
  <c r="AF68" i="22" s="1"/>
  <c r="B68" i="22"/>
  <c r="C68" i="22" a="1"/>
  <c r="D68" i="22"/>
  <c r="E68" i="22" a="1"/>
  <c r="F68" i="22" a="1"/>
  <c r="H68" i="22" a="1"/>
  <c r="L68" i="22"/>
  <c r="I68" i="22"/>
  <c r="J68" i="22"/>
  <c r="K68" i="22"/>
  <c r="M68" i="22"/>
  <c r="AE67" i="22"/>
  <c r="AF67" i="22" s="1"/>
  <c r="B67" i="22"/>
  <c r="C67" i="22" a="1"/>
  <c r="D67" i="22"/>
  <c r="E67" i="22" a="1"/>
  <c r="F67" i="22" a="1"/>
  <c r="H67" i="22" a="1"/>
  <c r="L67" i="22"/>
  <c r="I67" i="22"/>
  <c r="J67" i="22"/>
  <c r="K67" i="22"/>
  <c r="M67" i="22"/>
  <c r="AE66" i="22"/>
  <c r="AF66" i="22" s="1"/>
  <c r="B66" i="22"/>
  <c r="C66" i="22" a="1"/>
  <c r="D66" i="22"/>
  <c r="E66" i="22" a="1"/>
  <c r="F66" i="22" a="1"/>
  <c r="H66" i="22" a="1"/>
  <c r="L66" i="22"/>
  <c r="I66" i="22"/>
  <c r="J66" i="22"/>
  <c r="K66" i="22"/>
  <c r="M66" i="22"/>
  <c r="AE65" i="22"/>
  <c r="AF65" i="22" s="1"/>
  <c r="B65" i="22"/>
  <c r="C65" i="22" a="1"/>
  <c r="D65" i="22"/>
  <c r="E65" i="22" a="1"/>
  <c r="F65" i="22" a="1"/>
  <c r="H65" i="22" a="1"/>
  <c r="L65" i="22"/>
  <c r="I65" i="22"/>
  <c r="J65" i="22"/>
  <c r="K65" i="22"/>
  <c r="M65" i="22"/>
  <c r="AE64" i="22"/>
  <c r="AF64" i="22" s="1"/>
  <c r="B64" i="22"/>
  <c r="C64" i="22" a="1"/>
  <c r="D64" i="22"/>
  <c r="E64" i="22" a="1"/>
  <c r="F64" i="22" a="1"/>
  <c r="H64" i="22" a="1"/>
  <c r="L64" i="22"/>
  <c r="I64" i="22"/>
  <c r="J64" i="22"/>
  <c r="K64" i="22"/>
  <c r="M64" i="22"/>
  <c r="AE63" i="22"/>
  <c r="AF63" i="22" s="1"/>
  <c r="B63" i="22"/>
  <c r="C63" i="22" a="1"/>
  <c r="D63" i="22"/>
  <c r="E63" i="22" a="1"/>
  <c r="F63" i="22" a="1"/>
  <c r="H63" i="22" a="1"/>
  <c r="L63" i="22"/>
  <c r="I63" i="22"/>
  <c r="J63" i="22"/>
  <c r="K63" i="22"/>
  <c r="M63" i="22"/>
  <c r="AE62" i="22"/>
  <c r="AF62" i="22" s="1"/>
  <c r="B62" i="22"/>
  <c r="C62" i="22" a="1"/>
  <c r="D62" i="22"/>
  <c r="E62" i="22" a="1"/>
  <c r="F62" i="22" a="1"/>
  <c r="H62" i="22" a="1"/>
  <c r="L62" i="22"/>
  <c r="I62" i="22"/>
  <c r="J62" i="22"/>
  <c r="K62" i="22"/>
  <c r="M62" i="22"/>
  <c r="AE61" i="22"/>
  <c r="AF61" i="22" s="1"/>
  <c r="B61" i="22"/>
  <c r="C61" i="22" a="1"/>
  <c r="D61" i="22"/>
  <c r="E61" i="22" a="1"/>
  <c r="F61" i="22" a="1"/>
  <c r="H61" i="22" a="1"/>
  <c r="L61" i="22"/>
  <c r="I61" i="22"/>
  <c r="J61" i="22"/>
  <c r="K61" i="22"/>
  <c r="M61" i="22"/>
  <c r="AE60" i="22"/>
  <c r="AF60" i="22" s="1"/>
  <c r="B60" i="22"/>
  <c r="C60" i="22" a="1"/>
  <c r="D60" i="22"/>
  <c r="E60" i="22" a="1"/>
  <c r="F60" i="22" a="1"/>
  <c r="H60" i="22" a="1"/>
  <c r="L60" i="22"/>
  <c r="I60" i="22"/>
  <c r="J60" i="22"/>
  <c r="K60" i="22"/>
  <c r="M60" i="22"/>
  <c r="AE59" i="22"/>
  <c r="AF59" i="22" s="1"/>
  <c r="B59" i="22"/>
  <c r="C59" i="22" a="1"/>
  <c r="D59" i="22"/>
  <c r="E59" i="22" a="1"/>
  <c r="F59" i="22" a="1"/>
  <c r="H59" i="22" a="1"/>
  <c r="L59" i="22"/>
  <c r="I59" i="22"/>
  <c r="J59" i="22"/>
  <c r="K59" i="22"/>
  <c r="M59" i="22"/>
  <c r="AE58" i="22"/>
  <c r="AF58" i="22" s="1"/>
  <c r="B58" i="22"/>
  <c r="C58" i="22" a="1"/>
  <c r="D58" i="22"/>
  <c r="E58" i="22" a="1"/>
  <c r="F58" i="22" a="1"/>
  <c r="H58" i="22" a="1"/>
  <c r="L58" i="22"/>
  <c r="I58" i="22"/>
  <c r="J58" i="22"/>
  <c r="K58" i="22"/>
  <c r="M58" i="22"/>
  <c r="AE57" i="22"/>
  <c r="AF57" i="22" s="1"/>
  <c r="B57" i="22"/>
  <c r="C57" i="22" a="1"/>
  <c r="D57" i="22"/>
  <c r="E57" i="22" a="1"/>
  <c r="F57" i="22" a="1"/>
  <c r="H57" i="22" a="1"/>
  <c r="L57" i="22"/>
  <c r="I57" i="22"/>
  <c r="J57" i="22"/>
  <c r="K57" i="22"/>
  <c r="M57" i="22"/>
  <c r="AE56" i="22"/>
  <c r="AF56" i="22" s="1"/>
  <c r="B56" i="22"/>
  <c r="C56" i="22" a="1"/>
  <c r="D56" i="22"/>
  <c r="E56" i="22" a="1"/>
  <c r="F56" i="22" a="1"/>
  <c r="H56" i="22" a="1"/>
  <c r="L56" i="22"/>
  <c r="I56" i="22"/>
  <c r="J56" i="22"/>
  <c r="K56" i="22"/>
  <c r="M56" i="22"/>
  <c r="AE55" i="22"/>
  <c r="AF55" i="22" s="1"/>
  <c r="B55" i="22"/>
  <c r="C55" i="22" a="1"/>
  <c r="D55" i="22"/>
  <c r="E55" i="22" a="1"/>
  <c r="F55" i="22" a="1"/>
  <c r="H55" i="22" a="1"/>
  <c r="L55" i="22"/>
  <c r="I55" i="22"/>
  <c r="J55" i="22"/>
  <c r="K55" i="22"/>
  <c r="M55" i="22"/>
  <c r="AE54" i="22"/>
  <c r="AF54" i="22" s="1"/>
  <c r="B54" i="22"/>
  <c r="C54" i="22" a="1"/>
  <c r="D54" i="22"/>
  <c r="E54" i="22" a="1"/>
  <c r="F54" i="22" a="1"/>
  <c r="H54" i="22" a="1"/>
  <c r="L54" i="22"/>
  <c r="AE53" i="22"/>
  <c r="AF53" i="22" s="1"/>
  <c r="B53" i="22"/>
  <c r="C53" i="22" a="1"/>
  <c r="D53" i="22"/>
  <c r="E53" i="22" a="1"/>
  <c r="F53" i="22" a="1"/>
  <c r="H53" i="22" a="1"/>
  <c r="L53" i="22"/>
  <c r="AE52" i="22"/>
  <c r="AF52" i="22" s="1"/>
  <c r="B52" i="22"/>
  <c r="C52" i="22" a="1"/>
  <c r="D52" i="22"/>
  <c r="E52" i="22" a="1"/>
  <c r="F52" i="22" a="1"/>
  <c r="H52" i="22" a="1"/>
  <c r="L52" i="22"/>
  <c r="AE51" i="22"/>
  <c r="AF51" i="22" s="1"/>
  <c r="B51" i="22"/>
  <c r="C51" i="22" a="1"/>
  <c r="D51" i="22"/>
  <c r="E51" i="22" a="1"/>
  <c r="F51" i="22" a="1"/>
  <c r="H51" i="22" a="1"/>
  <c r="L51" i="22"/>
  <c r="AE50" i="22"/>
  <c r="AF50" i="22" s="1"/>
  <c r="B50" i="22"/>
  <c r="C50" i="22" a="1"/>
  <c r="D50" i="22"/>
  <c r="E50" i="22" a="1"/>
  <c r="F50" i="22" a="1"/>
  <c r="H50" i="22" a="1"/>
  <c r="L50" i="22"/>
  <c r="AE49" i="22"/>
  <c r="AE48" i="22"/>
  <c r="AE47" i="22"/>
  <c r="AE46" i="22"/>
  <c r="AE45" i="22"/>
  <c r="AE44" i="22"/>
  <c r="AE43" i="22"/>
  <c r="AE42" i="22"/>
  <c r="AE41" i="22"/>
  <c r="AE40" i="22"/>
  <c r="AE39" i="22"/>
  <c r="AE38" i="22"/>
  <c r="AE37" i="22"/>
  <c r="AE36" i="22"/>
  <c r="AE35" i="22"/>
  <c r="AE34" i="22"/>
  <c r="AE33" i="22"/>
  <c r="AE32" i="22"/>
  <c r="AE31" i="22"/>
  <c r="D31" i="22" s="1"/>
  <c r="AE30" i="22"/>
  <c r="K124" i="22"/>
  <c r="B118" i="22"/>
  <c r="B117" i="22"/>
  <c r="I50" i="22"/>
  <c r="J50" i="22" s="1"/>
  <c r="K50" i="22" s="1"/>
  <c r="M50" i="22" s="1"/>
  <c r="I51" i="22"/>
  <c r="J51" i="22" s="1"/>
  <c r="K51" i="22" s="1"/>
  <c r="M51" i="22" s="1"/>
  <c r="I52" i="22"/>
  <c r="J52" i="22" s="1"/>
  <c r="K52" i="22" s="1"/>
  <c r="M52" i="22" s="1"/>
  <c r="I53" i="22"/>
  <c r="J53" i="22" s="1"/>
  <c r="K53" i="22" s="1"/>
  <c r="M53" i="22" s="1"/>
  <c r="I54" i="22"/>
  <c r="J54" i="22" s="1"/>
  <c r="K54" i="22" s="1"/>
  <c r="M54" i="22" s="1"/>
  <c r="N56" i="24" a="1"/>
  <c r="N30" i="24" a="1"/>
  <c r="N22" i="24" a="1"/>
  <c r="N33" i="24" a="1"/>
  <c r="N18" i="24" a="1"/>
  <c r="N40" i="24" a="1"/>
  <c r="N11" i="24" a="1"/>
  <c r="N42" i="24" a="1"/>
  <c r="N12" i="24" a="1"/>
  <c r="N9" i="24" a="1"/>
  <c r="N4" i="24" a="1"/>
  <c r="N59" i="24" a="1"/>
  <c r="N52" i="24" a="1"/>
  <c r="N43" i="24" a="1"/>
  <c r="N15" i="24" a="1"/>
  <c r="N17" i="24" a="1"/>
  <c r="N6" i="24" a="1"/>
  <c r="N53" i="24" a="1"/>
  <c r="N72" i="24" a="1"/>
  <c r="N3" i="24" a="1"/>
  <c r="N51" i="24" a="1"/>
  <c r="N39" i="24" a="1"/>
  <c r="N41" i="24" a="1"/>
  <c r="AF41" i="22" l="1"/>
  <c r="E41" i="22" a="1"/>
  <c r="D41" i="22"/>
  <c r="AF40" i="22"/>
  <c r="D40" i="22"/>
  <c r="E40" i="22" a="1"/>
  <c r="AF39" i="22"/>
  <c r="D39" i="22"/>
  <c r="E39" i="22" a="1"/>
  <c r="AF38" i="22"/>
  <c r="D38" i="22"/>
  <c r="E38" i="22" a="1"/>
  <c r="AF36" i="22"/>
  <c r="D36" i="22"/>
  <c r="E36" i="22" a="1"/>
  <c r="AF35" i="22"/>
  <c r="D35" i="22"/>
  <c r="E35" i="22" a="1"/>
  <c r="AF34" i="22"/>
  <c r="E34" i="22" a="1"/>
  <c r="D34" i="22"/>
  <c r="AF49" i="22"/>
  <c r="D49" i="22"/>
  <c r="AF48" i="22"/>
  <c r="D48" i="22"/>
  <c r="AF47" i="22"/>
  <c r="C47" i="22" s="1" a="1"/>
  <c r="D47" i="22"/>
  <c r="E47" i="22" a="1"/>
  <c r="F47" i="22" a="1"/>
  <c r="H47" i="22" a="1"/>
  <c r="AF43" i="22"/>
  <c r="D43" i="22"/>
  <c r="E43" i="22" a="1"/>
  <c r="AF42" i="22"/>
  <c r="D42" i="22"/>
  <c r="E42" i="22" a="1"/>
  <c r="AF33" i="22"/>
  <c r="D33" i="22"/>
  <c r="E33" i="22" a="1"/>
  <c r="AF32" i="22"/>
  <c r="E32" i="22" a="1"/>
  <c r="D32" i="22"/>
  <c r="AF30" i="22"/>
  <c r="E30" i="22" a="1"/>
  <c r="D30" i="22"/>
  <c r="AF46" i="22"/>
  <c r="D46" i="22"/>
  <c r="F46" i="22" a="1"/>
  <c r="C46" i="22" a="1"/>
  <c r="AF45" i="22"/>
  <c r="B45" i="22"/>
  <c r="D45" i="22"/>
  <c r="E45" i="22" a="1"/>
  <c r="C45" i="22" a="1"/>
  <c r="L45" i="22" s="1"/>
  <c r="H45" i="22" a="1"/>
  <c r="F45" i="22" a="1"/>
  <c r="AF44" i="22"/>
  <c r="E44" i="22" a="1"/>
  <c r="B44" i="22"/>
  <c r="C44" i="22" a="1"/>
  <c r="D44" i="22"/>
  <c r="F44" i="22" a="1"/>
  <c r="H44" i="22" a="1"/>
  <c r="L44" i="22"/>
  <c r="AF37" i="22"/>
  <c r="F37" i="22" a="1"/>
  <c r="B37" i="22"/>
  <c r="C37" i="22" a="1"/>
  <c r="D37" i="22"/>
  <c r="E37" i="22" a="1"/>
  <c r="H37" i="22" a="1"/>
  <c r="L37" i="22"/>
  <c r="AF31" i="22"/>
  <c r="E31" i="22" a="1"/>
  <c r="F31" i="22" a="1"/>
  <c r="H31" i="22" a="1"/>
  <c r="H41" i="22" a="1"/>
  <c r="B40" i="22"/>
  <c r="C40" i="22" a="1"/>
  <c r="L40" i="22" s="1"/>
  <c r="F40" i="22" a="1"/>
  <c r="H40" i="22" a="1"/>
  <c r="B39" i="22"/>
  <c r="C39" i="22" a="1"/>
  <c r="L39" i="22" s="1"/>
  <c r="B41" i="22"/>
  <c r="H39" i="22" a="1"/>
  <c r="B38" i="22"/>
  <c r="C38" i="22" a="1"/>
  <c r="L38" i="22" s="1"/>
  <c r="F38" i="22" a="1"/>
  <c r="H38" i="22" a="1"/>
  <c r="B43" i="22"/>
  <c r="C43" i="22" a="1"/>
  <c r="L43" i="22" s="1"/>
  <c r="F43" i="22" a="1"/>
  <c r="H43" i="22" a="1"/>
  <c r="F39" i="22" a="1"/>
  <c r="B42" i="22"/>
  <c r="C42" i="22" a="1"/>
  <c r="L42" i="22" s="1"/>
  <c r="B36" i="22"/>
  <c r="C36" i="22" a="1"/>
  <c r="L36" i="22" s="1"/>
  <c r="F36" i="22" a="1"/>
  <c r="H36" i="22" a="1"/>
  <c r="B35" i="22"/>
  <c r="C35" i="22" a="1"/>
  <c r="L35" i="22" s="1"/>
  <c r="F35" i="22" a="1"/>
  <c r="H35" i="22" a="1"/>
  <c r="B34" i="22"/>
  <c r="C34" i="22" a="1"/>
  <c r="L34" i="22" s="1"/>
  <c r="F34" i="22" a="1"/>
  <c r="H34" i="22" a="1"/>
  <c r="B33" i="22"/>
  <c r="C33" i="22" a="1"/>
  <c r="L33" i="22" s="1"/>
  <c r="F33" i="22" a="1"/>
  <c r="H33" i="22" a="1"/>
  <c r="B32" i="22"/>
  <c r="C32" i="22" a="1"/>
  <c r="L32" i="22" s="1"/>
  <c r="F32" i="22" a="1"/>
  <c r="H32" i="22" a="1"/>
  <c r="B31" i="22"/>
  <c r="C31" i="22" a="1"/>
  <c r="L31" i="22" s="1"/>
  <c r="F42" i="22" a="1"/>
  <c r="H42" i="22" a="1"/>
  <c r="C41" i="22" a="1"/>
  <c r="L41" i="22" s="1"/>
  <c r="F41" i="22" a="1"/>
  <c r="F30" i="22" a="1"/>
  <c r="C30" i="22" a="1"/>
  <c r="L30" i="22" s="1"/>
  <c r="B30" i="22"/>
  <c r="H30" i="22" a="1"/>
  <c r="F48" i="22" l="1" a="1"/>
  <c r="C48" i="22" a="1"/>
  <c r="E48" i="22" a="1"/>
  <c r="H48" i="22" a="1"/>
  <c r="C49" i="22" a="1"/>
  <c r="H49" i="22" a="1"/>
  <c r="E49" i="22" a="1"/>
  <c r="F49" i="22" a="1"/>
  <c r="B47" i="22"/>
  <c r="L47" i="22"/>
  <c r="E46" i="22" a="1"/>
  <c r="H46" i="22" a="1"/>
  <c r="L46" i="22"/>
  <c r="B46" i="22"/>
  <c r="B48" i="22"/>
  <c r="L48" i="22"/>
  <c r="I31" i="22"/>
  <c r="J31" i="22" s="1"/>
  <c r="K31" i="22" s="1"/>
  <c r="M31" i="22" s="1"/>
  <c r="I48" i="22"/>
  <c r="J48" i="22" s="1"/>
  <c r="K48" i="22" s="1"/>
  <c r="M48" i="22" s="1"/>
  <c r="I47" i="22"/>
  <c r="J47" i="22" s="1"/>
  <c r="K47" i="22" s="1"/>
  <c r="M47" i="22" s="1"/>
  <c r="I36" i="22"/>
  <c r="J36" i="22" s="1"/>
  <c r="K36" i="22" s="1"/>
  <c r="M36" i="22" s="1"/>
  <c r="I33" i="22"/>
  <c r="J33" i="22" s="1"/>
  <c r="K33" i="22" s="1"/>
  <c r="M33" i="22" s="1"/>
  <c r="I32" i="22"/>
  <c r="J32" i="22" s="1"/>
  <c r="K32" i="22" s="1"/>
  <c r="M32" i="22" s="1"/>
  <c r="I43" i="22"/>
  <c r="J43" i="22" s="1"/>
  <c r="K43" i="22" s="1"/>
  <c r="M43" i="22" s="1"/>
  <c r="I44" i="22"/>
  <c r="J44" i="22" s="1"/>
  <c r="K44" i="22" s="1"/>
  <c r="M44" i="22" s="1"/>
  <c r="I45" i="22"/>
  <c r="J45" i="22" s="1"/>
  <c r="K45" i="22" s="1"/>
  <c r="M45" i="22" s="1"/>
  <c r="I41" i="22"/>
  <c r="J41" i="22" s="1"/>
  <c r="K41" i="22" s="1"/>
  <c r="M41" i="22" s="1"/>
  <c r="I40" i="22"/>
  <c r="J40" i="22" s="1"/>
  <c r="K40" i="22" s="1"/>
  <c r="M40" i="22" s="1"/>
  <c r="I39" i="22"/>
  <c r="J39" i="22" s="1"/>
  <c r="K39" i="22" s="1"/>
  <c r="M39" i="22" s="1"/>
  <c r="I38" i="22"/>
  <c r="J38" i="22" s="1"/>
  <c r="K38" i="22" s="1"/>
  <c r="M38" i="22" s="1"/>
  <c r="I37" i="22"/>
  <c r="J37" i="22" s="1"/>
  <c r="K37" i="22" s="1"/>
  <c r="M37" i="22" s="1"/>
  <c r="I35" i="22"/>
  <c r="J35" i="22" s="1"/>
  <c r="K35" i="22" s="1"/>
  <c r="M35" i="22" s="1"/>
  <c r="I34" i="22"/>
  <c r="J34" i="22" s="1"/>
  <c r="K34" i="22" s="1"/>
  <c r="M34" i="22" s="1"/>
  <c r="I42" i="22"/>
  <c r="J42" i="22" s="1"/>
  <c r="K42" i="22" s="1"/>
  <c r="M42" i="22" s="1"/>
  <c r="I46" i="22"/>
  <c r="I30" i="22"/>
  <c r="J30" i="22" s="1"/>
  <c r="K30" i="22" s="1"/>
  <c r="M30" i="22" s="1"/>
  <c r="I49" i="22" l="1"/>
  <c r="J49" i="22" s="1"/>
  <c r="K49" i="22" s="1"/>
  <c r="M49" i="22" s="1"/>
  <c r="L49" i="22"/>
  <c r="B49" i="22"/>
  <c r="J46" i="22"/>
  <c r="K46" i="22" s="1"/>
  <c r="M46" i="2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<sst xmlns="http://schemas.openxmlformats.org/spreadsheetml/2006/main" count="48363" uniqueCount="8587">
  <si>
    <t>L1</t>
  </si>
  <si>
    <t>L2</t>
  </si>
  <si>
    <t>L3</t>
  </si>
  <si>
    <t>L4</t>
  </si>
  <si>
    <t>HECA</t>
  </si>
  <si>
    <t>FAOR</t>
  </si>
  <si>
    <t>Eritrea</t>
  </si>
  <si>
    <t>Ethiopia</t>
  </si>
  <si>
    <t>Kenya</t>
  </si>
  <si>
    <t>Tanzania</t>
  </si>
  <si>
    <t>Malawi</t>
  </si>
  <si>
    <t>Zambia</t>
  </si>
  <si>
    <t>OVF</t>
  </si>
  <si>
    <t>LDG</t>
  </si>
  <si>
    <t>GH</t>
  </si>
  <si>
    <t>L1, L2</t>
  </si>
  <si>
    <t>Egypt</t>
  </si>
  <si>
    <t>JTL</t>
  </si>
  <si>
    <t>GMMX</t>
  </si>
  <si>
    <t>Z-Aviation</t>
  </si>
  <si>
    <t>IDENTIFIERS</t>
  </si>
  <si>
    <t>LOCATION &amp; CONTACT</t>
  </si>
  <si>
    <t>GEO &amp; TIME</t>
  </si>
  <si>
    <t>OPERATIONS</t>
  </si>
  <si>
    <t>INFRASTRUCTURE</t>
  </si>
  <si>
    <t>LIVE DATA</t>
  </si>
  <si>
    <t>BULLETINS</t>
  </si>
  <si>
    <t>DOCUMENTS</t>
  </si>
  <si>
    <t>RELATED RECORDS</t>
  </si>
  <si>
    <t>OTHER</t>
  </si>
  <si>
    <t>Airport ICAO</t>
  </si>
  <si>
    <t>Airport IATA</t>
  </si>
  <si>
    <t>FAA ID</t>
  </si>
  <si>
    <t>EIP ICAO</t>
  </si>
  <si>
    <t>Airport Name</t>
  </si>
  <si>
    <t>Location Type</t>
  </si>
  <si>
    <t>Airport Type</t>
  </si>
  <si>
    <t>Country</t>
  </si>
  <si>
    <t>City Name</t>
  </si>
  <si>
    <t>Location / Region</t>
  </si>
  <si>
    <t>Airport Address 1</t>
  </si>
  <si>
    <t>Airport Address 2</t>
  </si>
  <si>
    <t>Website</t>
  </si>
  <si>
    <t>Coordinates (DMS)</t>
  </si>
  <si>
    <t>Latitude (DD)</t>
  </si>
  <si>
    <t>Longitude (DD)</t>
  </si>
  <si>
    <t>Elevation (m)</t>
  </si>
  <si>
    <t>Elevation (ft)</t>
  </si>
  <si>
    <t>Magnetic Variation</t>
  </si>
  <si>
    <t>Time Zone</t>
  </si>
  <si>
    <t>UTC Offset (hrs)</t>
  </si>
  <si>
    <t>Local Time (now)</t>
  </si>
  <si>
    <t>Airport Hours</t>
  </si>
  <si>
    <t>Operating Hours</t>
  </si>
  <si>
    <t>Airport of Entry</t>
  </si>
  <si>
    <t>PPR Required</t>
  </si>
  <si>
    <t>CIQ Procedure</t>
  </si>
  <si>
    <t>Arrival Slot</t>
  </si>
  <si>
    <t>Departure Slot</t>
  </si>
  <si>
    <t>Approaches</t>
  </si>
  <si>
    <t>Runway(s)</t>
  </si>
  <si>
    <t>PCN No.</t>
  </si>
  <si>
    <t>Fuel Types Available</t>
  </si>
  <si>
    <t>Security Rating</t>
  </si>
  <si>
    <t>Alternates</t>
  </si>
  <si>
    <t>NOTAM</t>
  </si>
  <si>
    <t>Airport OFP</t>
  </si>
  <si>
    <t>Daily Weather</t>
  </si>
  <si>
    <t>Country Bulletin</t>
  </si>
  <si>
    <t>City Bulletin</t>
  </si>
  <si>
    <t>Airport Charts (folder)</t>
  </si>
  <si>
    <t>Runway Diagram</t>
  </si>
  <si>
    <t>Airport Images</t>
  </si>
  <si>
    <t>City Map</t>
  </si>
  <si>
    <t>VISA Info</t>
  </si>
  <si>
    <t>Vendors</t>
  </si>
  <si>
    <t>Strategic Role</t>
  </si>
  <si>
    <t>Last Updated</t>
  </si>
  <si>
    <t>Workstation UTC offset (hrs)</t>
  </si>
  <si>
    <t>OOTH</t>
  </si>
  <si>
    <t>TTH</t>
  </si>
  <si>
    <t>Thumrait Air Base</t>
  </si>
  <si>
    <t>Airport</t>
  </si>
  <si>
    <t>Military</t>
  </si>
  <si>
    <t>Oman</t>
  </si>
  <si>
    <t>Thumrait</t>
  </si>
  <si>
    <t>Dhofar, Oman</t>
  </si>
  <si>
    <t>01W</t>
  </si>
  <si>
    <t>Asia/Muscat</t>
  </si>
  <si>
    <t>H24</t>
  </si>
  <si>
    <t>Open 24 hours (H24)</t>
  </si>
  <si>
    <t>No</t>
  </si>
  <si>
    <t>PPR</t>
  </si>
  <si>
    <t>ILS, VOR/DME</t>
  </si>
  <si>
    <t>One hard-surface runway 17/35 – 4,000 x 45 m</t>
  </si>
  <si>
    <t>JET A-1</t>
  </si>
  <si>
    <t>Key base for the Royal Air Force of Oman. Frequently hosts joint international and multinational military exercises. Provides strategic regional access and operations support.</t>
  </si>
  <si>
    <t>Nationality</t>
  </si>
  <si>
    <t>Visa Type</t>
  </si>
  <si>
    <t>Required?</t>
  </si>
  <si>
    <t>Lead Time (days)</t>
  </si>
  <si>
    <t>Max Stay (days)</t>
  </si>
  <si>
    <t>Notes / Conditions</t>
  </si>
  <si>
    <t>Handler</t>
  </si>
  <si>
    <t>Reference lists</t>
  </si>
  <si>
    <t>Fuel Types</t>
  </si>
  <si>
    <t>Vendor Category</t>
  </si>
  <si>
    <t>Civil</t>
  </si>
  <si>
    <t>Yes</t>
  </si>
  <si>
    <t>Airstrip</t>
  </si>
  <si>
    <t>AVGAS</t>
  </si>
  <si>
    <t>Permit</t>
  </si>
  <si>
    <t>Private</t>
  </si>
  <si>
    <t>Prior Notice</t>
  </si>
  <si>
    <t>Helipad</t>
  </si>
  <si>
    <t>Seasonal</t>
  </si>
  <si>
    <t>JET A-1 + AVGAS</t>
  </si>
  <si>
    <t>Supervisor</t>
  </si>
  <si>
    <t>Joint</t>
  </si>
  <si>
    <t>Bulk Origin</t>
  </si>
  <si>
    <t>None</t>
  </si>
  <si>
    <t>Fuel</t>
  </si>
  <si>
    <t>Other</t>
  </si>
  <si>
    <t>Bulk Destination</t>
  </si>
  <si>
    <t>Catering</t>
  </si>
  <si>
    <t>Shipping Port</t>
  </si>
  <si>
    <t>Security</t>
  </si>
  <si>
    <t>Aircraft Carrier</t>
  </si>
  <si>
    <t>Transport</t>
  </si>
  <si>
    <t>OMAA</t>
  </si>
  <si>
    <t>AUH</t>
  </si>
  <si>
    <t>OMAD</t>
  </si>
  <si>
    <t>AZI</t>
  </si>
  <si>
    <t>OAHR</t>
  </si>
  <si>
    <t>HEA</t>
  </si>
  <si>
    <t>OAKB</t>
  </si>
  <si>
    <t>KBL</t>
  </si>
  <si>
    <t>TAPA</t>
  </si>
  <si>
    <t>ANU</t>
  </si>
  <si>
    <t>LATI</t>
  </si>
  <si>
    <t>TIA</t>
  </si>
  <si>
    <t>UDSG</t>
  </si>
  <si>
    <t>LWN</t>
  </si>
  <si>
    <t>UDYZ</t>
  </si>
  <si>
    <t>EVN</t>
  </si>
  <si>
    <t>FNBJ</t>
  </si>
  <si>
    <t>NBJ</t>
  </si>
  <si>
    <t>FNLU</t>
  </si>
  <si>
    <t>LAD</t>
  </si>
  <si>
    <t>SAAR</t>
  </si>
  <si>
    <t>ROS</t>
  </si>
  <si>
    <t>SABE</t>
  </si>
  <si>
    <t>AEP</t>
  </si>
  <si>
    <t>NSTU</t>
  </si>
  <si>
    <t>PPG</t>
  </si>
  <si>
    <t>LOWG</t>
  </si>
  <si>
    <t>GRZ</t>
  </si>
  <si>
    <t>LOWI</t>
  </si>
  <si>
    <t>INN</t>
  </si>
  <si>
    <t>YBBN</t>
  </si>
  <si>
    <t>BNE</t>
  </si>
  <si>
    <t>YBCG</t>
  </si>
  <si>
    <t>OOL</t>
  </si>
  <si>
    <t>TNCA</t>
  </si>
  <si>
    <t>AUA</t>
  </si>
  <si>
    <t>UBBB</t>
  </si>
  <si>
    <t>GYD</t>
  </si>
  <si>
    <t>UBBG</t>
  </si>
  <si>
    <t>GNJ</t>
  </si>
  <si>
    <t>LQBK</t>
  </si>
  <si>
    <t>BNX</t>
  </si>
  <si>
    <t>LQMO</t>
  </si>
  <si>
    <t>OMO</t>
  </si>
  <si>
    <t>TBPB</t>
  </si>
  <si>
    <t>BGI</t>
  </si>
  <si>
    <t>VGEG</t>
  </si>
  <si>
    <t>CGP</t>
  </si>
  <si>
    <t>VGHS</t>
  </si>
  <si>
    <t>DAC</t>
  </si>
  <si>
    <t>EBBR</t>
  </si>
  <si>
    <t>BRU</t>
  </si>
  <si>
    <t>EBCI</t>
  </si>
  <si>
    <t>CRL</t>
  </si>
  <si>
    <t>DFFD</t>
  </si>
  <si>
    <t>OUA</t>
  </si>
  <si>
    <t>DFOO</t>
  </si>
  <si>
    <t>BOY</t>
  </si>
  <si>
    <t>LBBG</t>
  </si>
  <si>
    <t>BOJ</t>
  </si>
  <si>
    <t>LBPD</t>
  </si>
  <si>
    <t>PDV</t>
  </si>
  <si>
    <t>OBBI</t>
  </si>
  <si>
    <t>BAH</t>
  </si>
  <si>
    <t>HBBA</t>
  </si>
  <si>
    <t>BJM</t>
  </si>
  <si>
    <t>DBBB</t>
  </si>
  <si>
    <t>COO</t>
  </si>
  <si>
    <t>TXKF</t>
  </si>
  <si>
    <t>BDA</t>
  </si>
  <si>
    <t>WBSB</t>
  </si>
  <si>
    <t>BWN</t>
  </si>
  <si>
    <t>SLAL</t>
  </si>
  <si>
    <t>SRE</t>
  </si>
  <si>
    <t>SLCB</t>
  </si>
  <si>
    <t>CBB</t>
  </si>
  <si>
    <t>TNCB</t>
  </si>
  <si>
    <t>BON</t>
  </si>
  <si>
    <t>SBBE</t>
  </si>
  <si>
    <t>BEL</t>
  </si>
  <si>
    <t>SBBR</t>
  </si>
  <si>
    <t>BSB</t>
  </si>
  <si>
    <t>MYGF</t>
  </si>
  <si>
    <t>FPO</t>
  </si>
  <si>
    <t>MYNN</t>
  </si>
  <si>
    <t>NAS</t>
  </si>
  <si>
    <t>VQPR</t>
  </si>
  <si>
    <t>PBH</t>
  </si>
  <si>
    <t>FBKE</t>
  </si>
  <si>
    <t>BBK</t>
  </si>
  <si>
    <t>FBMN</t>
  </si>
  <si>
    <t>MUB</t>
  </si>
  <si>
    <t>UMBB</t>
  </si>
  <si>
    <t>BQT</t>
  </si>
  <si>
    <t>UMMS</t>
  </si>
  <si>
    <t>MSQ</t>
  </si>
  <si>
    <t>MZBZ</t>
  </si>
  <si>
    <t>BZE</t>
  </si>
  <si>
    <t>CYEG</t>
  </si>
  <si>
    <t>YEG</t>
  </si>
  <si>
    <t>CYHZ</t>
  </si>
  <si>
    <t>YHZ</t>
  </si>
  <si>
    <t>YPCC</t>
  </si>
  <si>
    <t>CCK</t>
  </si>
  <si>
    <t>FZAA</t>
  </si>
  <si>
    <t>FIH</t>
  </si>
  <si>
    <t>FZIC</t>
  </si>
  <si>
    <t>FKI</t>
  </si>
  <si>
    <t>FEFF</t>
  </si>
  <si>
    <t>BGF</t>
  </si>
  <si>
    <t>FCBB</t>
  </si>
  <si>
    <t>BZV</t>
  </si>
  <si>
    <t>FCPP</t>
  </si>
  <si>
    <t>PNR</t>
  </si>
  <si>
    <t>LSGG</t>
  </si>
  <si>
    <t>GVA</t>
  </si>
  <si>
    <t>LSZH</t>
  </si>
  <si>
    <t>ZRH</t>
  </si>
  <si>
    <t>DIAP</t>
  </si>
  <si>
    <t>ABJ</t>
  </si>
  <si>
    <t>DIYO</t>
  </si>
  <si>
    <t>ASK</t>
  </si>
  <si>
    <t>NCRG</t>
  </si>
  <si>
    <t>RAR</t>
  </si>
  <si>
    <t>SCCI</t>
  </si>
  <si>
    <t>PUQ</t>
  </si>
  <si>
    <t>SCDA</t>
  </si>
  <si>
    <t>IQQ</t>
  </si>
  <si>
    <t>FKKD</t>
  </si>
  <si>
    <t>DLA</t>
  </si>
  <si>
    <t>FKKR</t>
  </si>
  <si>
    <t>GOU</t>
  </si>
  <si>
    <t>ZBAA</t>
  </si>
  <si>
    <t>PEK</t>
  </si>
  <si>
    <t>ZBAD</t>
  </si>
  <si>
    <t>PKX</t>
  </si>
  <si>
    <t>SKBO</t>
  </si>
  <si>
    <t>BOG</t>
  </si>
  <si>
    <t>SKBQ</t>
  </si>
  <si>
    <t>BAQ</t>
  </si>
  <si>
    <t>MRLB</t>
  </si>
  <si>
    <t>LIR</t>
  </si>
  <si>
    <t>MROC</t>
  </si>
  <si>
    <t>SJO</t>
  </si>
  <si>
    <t>MUCM</t>
  </si>
  <si>
    <t>CMW</t>
  </si>
  <si>
    <t>MUCU</t>
  </si>
  <si>
    <t>SCU</t>
  </si>
  <si>
    <t>GVAC</t>
  </si>
  <si>
    <t>SID</t>
  </si>
  <si>
    <t>GVBA</t>
  </si>
  <si>
    <t>BVC</t>
  </si>
  <si>
    <t>TNCC</t>
  </si>
  <si>
    <t>CUR</t>
  </si>
  <si>
    <t>LCEN</t>
  </si>
  <si>
    <t>ECN</t>
  </si>
  <si>
    <t>LCLK</t>
  </si>
  <si>
    <t>LCA</t>
  </si>
  <si>
    <t>LKCS</t>
  </si>
  <si>
    <t>JCL</t>
  </si>
  <si>
    <t>LKKV</t>
  </si>
  <si>
    <t>KLV</t>
  </si>
  <si>
    <t>EDDB</t>
  </si>
  <si>
    <t>BER</t>
  </si>
  <si>
    <t>EDDC</t>
  </si>
  <si>
    <t>DRS</t>
  </si>
  <si>
    <t>HDAM</t>
  </si>
  <si>
    <t>JIB</t>
  </si>
  <si>
    <t>EKAH</t>
  </si>
  <si>
    <t>AAR</t>
  </si>
  <si>
    <t>EKBI</t>
  </si>
  <si>
    <t>BLL</t>
  </si>
  <si>
    <t>MDLR</t>
  </si>
  <si>
    <t>LRM</t>
  </si>
  <si>
    <t>MDPC</t>
  </si>
  <si>
    <t>PUJ</t>
  </si>
  <si>
    <t>DAAE</t>
  </si>
  <si>
    <t>BJA</t>
  </si>
  <si>
    <t>DAAG</t>
  </si>
  <si>
    <t>ALG</t>
  </si>
  <si>
    <t>SEGU</t>
  </si>
  <si>
    <t>GYE</t>
  </si>
  <si>
    <t>SEQM</t>
  </si>
  <si>
    <t>UIO</t>
  </si>
  <si>
    <t>EETN</t>
  </si>
  <si>
    <t>TLL</t>
  </si>
  <si>
    <t>HEAL</t>
  </si>
  <si>
    <t>DBB</t>
  </si>
  <si>
    <t>HEAR</t>
  </si>
  <si>
    <t>AAC</t>
  </si>
  <si>
    <t>GMMH</t>
  </si>
  <si>
    <t>VIL</t>
  </si>
  <si>
    <t>GMML</t>
  </si>
  <si>
    <t>EUN</t>
  </si>
  <si>
    <t>GCFV</t>
  </si>
  <si>
    <t>FUE</t>
  </si>
  <si>
    <t>GCLP</t>
  </si>
  <si>
    <t>LPA</t>
  </si>
  <si>
    <t>HAAB</t>
  </si>
  <si>
    <t>ADD</t>
  </si>
  <si>
    <t>HADR</t>
  </si>
  <si>
    <t>DIR</t>
  </si>
  <si>
    <t>EFHK</t>
  </si>
  <si>
    <t>HEL</t>
  </si>
  <si>
    <t>EFIV</t>
  </si>
  <si>
    <t>IVL</t>
  </si>
  <si>
    <t>NFFN</t>
  </si>
  <si>
    <t>NAN</t>
  </si>
  <si>
    <t>NFNA</t>
  </si>
  <si>
    <t>SUV</t>
  </si>
  <si>
    <t>EGYP</t>
  </si>
  <si>
    <t>MPN</t>
  </si>
  <si>
    <t>PTKK</t>
  </si>
  <si>
    <t>TKK</t>
  </si>
  <si>
    <t>PTSA</t>
  </si>
  <si>
    <t>KSA</t>
  </si>
  <si>
    <t>EKVG</t>
  </si>
  <si>
    <t>FAE</t>
  </si>
  <si>
    <t>LFBD</t>
  </si>
  <si>
    <t>BOD</t>
  </si>
  <si>
    <t>LFBO</t>
  </si>
  <si>
    <t>TLS</t>
  </si>
  <si>
    <t>FOOG</t>
  </si>
  <si>
    <t>POG</t>
  </si>
  <si>
    <t>FOOL</t>
  </si>
  <si>
    <t>LBV</t>
  </si>
  <si>
    <t>EGAA</t>
  </si>
  <si>
    <t>BFS</t>
  </si>
  <si>
    <t>EGBB</t>
  </si>
  <si>
    <t>BHX</t>
  </si>
  <si>
    <t>TGPY</t>
  </si>
  <si>
    <t>GND</t>
  </si>
  <si>
    <t>UGKO</t>
  </si>
  <si>
    <t>KUT</t>
  </si>
  <si>
    <t>UGSB</t>
  </si>
  <si>
    <t>BUS</t>
  </si>
  <si>
    <t>SOCA</t>
  </si>
  <si>
    <t>CAY</t>
  </si>
  <si>
    <t>DGAA</t>
  </si>
  <si>
    <t>ACC</t>
  </si>
  <si>
    <t>DGLE</t>
  </si>
  <si>
    <t>TML</t>
  </si>
  <si>
    <t>LXGB</t>
  </si>
  <si>
    <t>GIB</t>
  </si>
  <si>
    <t>BGGH</t>
  </si>
  <si>
    <t>GOH</t>
  </si>
  <si>
    <t>GBYD</t>
  </si>
  <si>
    <t>BJL</t>
  </si>
  <si>
    <t>GUCY</t>
  </si>
  <si>
    <t>CKY</t>
  </si>
  <si>
    <t>TFFR</t>
  </si>
  <si>
    <t>PTP</t>
  </si>
  <si>
    <t>FGBT</t>
  </si>
  <si>
    <t>BSG</t>
  </si>
  <si>
    <t>FGCO</t>
  </si>
  <si>
    <t>OCS</t>
  </si>
  <si>
    <t>LGAV</t>
  </si>
  <si>
    <t>ATH</t>
  </si>
  <si>
    <t>LGIR</t>
  </si>
  <si>
    <t>HER</t>
  </si>
  <si>
    <t>MGGT</t>
  </si>
  <si>
    <t>GUA</t>
  </si>
  <si>
    <t>PGUM</t>
  </si>
  <si>
    <t>GUM</t>
  </si>
  <si>
    <t>GGOV</t>
  </si>
  <si>
    <t>OXB</t>
  </si>
  <si>
    <t>SYCJ</t>
  </si>
  <si>
    <t>GEO</t>
  </si>
  <si>
    <t>VHHH</t>
  </si>
  <si>
    <t>HKG</t>
  </si>
  <si>
    <t>MHLM</t>
  </si>
  <si>
    <t>SAP</t>
  </si>
  <si>
    <t>MHPR</t>
  </si>
  <si>
    <t>XPL</t>
  </si>
  <si>
    <t>LDDU</t>
  </si>
  <si>
    <t>DBV</t>
  </si>
  <si>
    <t>LDPL</t>
  </si>
  <si>
    <t>PUY</t>
  </si>
  <si>
    <t>MTCH</t>
  </si>
  <si>
    <t>CAP</t>
  </si>
  <si>
    <t>MTPP</t>
  </si>
  <si>
    <t>PAP</t>
  </si>
  <si>
    <t>LHBP</t>
  </si>
  <si>
    <t>BUD</t>
  </si>
  <si>
    <t>LHDC</t>
  </si>
  <si>
    <t>DEB</t>
  </si>
  <si>
    <t>WAAA</t>
  </si>
  <si>
    <t>UPG</t>
  </si>
  <si>
    <t>WADD</t>
  </si>
  <si>
    <t>DPS</t>
  </si>
  <si>
    <t>EICK</t>
  </si>
  <si>
    <t>ORK</t>
  </si>
  <si>
    <t>EIDW</t>
  </si>
  <si>
    <t>DUB</t>
  </si>
  <si>
    <t>LLBG</t>
  </si>
  <si>
    <t>TLV</t>
  </si>
  <si>
    <t>LLER</t>
  </si>
  <si>
    <t>ETM</t>
  </si>
  <si>
    <t>EGNS</t>
  </si>
  <si>
    <t>IOM</t>
  </si>
  <si>
    <t>VAAH</t>
  </si>
  <si>
    <t>AMD</t>
  </si>
  <si>
    <t>VABB</t>
  </si>
  <si>
    <t>BOM</t>
  </si>
  <si>
    <t>ORBI</t>
  </si>
  <si>
    <t>BGW</t>
  </si>
  <si>
    <t>ORBM</t>
  </si>
  <si>
    <t>OSM</t>
  </si>
  <si>
    <t>OIAA</t>
  </si>
  <si>
    <t>ABD</t>
  </si>
  <si>
    <t>OIAW</t>
  </si>
  <si>
    <t>AWZ</t>
  </si>
  <si>
    <t>BIAR</t>
  </si>
  <si>
    <t>AEY</t>
  </si>
  <si>
    <t>BIKF</t>
  </si>
  <si>
    <t>KEF</t>
  </si>
  <si>
    <t>LIBD</t>
  </si>
  <si>
    <t>BRI</t>
  </si>
  <si>
    <t>LIBP</t>
  </si>
  <si>
    <t>PSR</t>
  </si>
  <si>
    <t>MKJP</t>
  </si>
  <si>
    <t>KIN</t>
  </si>
  <si>
    <t>MKJS</t>
  </si>
  <si>
    <t>MBJ</t>
  </si>
  <si>
    <t>OJAI</t>
  </si>
  <si>
    <t>AMM</t>
  </si>
  <si>
    <t>OJAM</t>
  </si>
  <si>
    <t>ADJ</t>
  </si>
  <si>
    <t>RJAA</t>
  </si>
  <si>
    <t>NRT</t>
  </si>
  <si>
    <t>RJAH</t>
  </si>
  <si>
    <t>IBR</t>
  </si>
  <si>
    <t>HKEL</t>
  </si>
  <si>
    <t>EDL</t>
  </si>
  <si>
    <t>HKJK</t>
  </si>
  <si>
    <t>NBO</t>
  </si>
  <si>
    <t>UCFL</t>
  </si>
  <si>
    <t>IKU</t>
  </si>
  <si>
    <t>UCFM</t>
  </si>
  <si>
    <t>BSZ</t>
  </si>
  <si>
    <t>VDDS</t>
  </si>
  <si>
    <t>DSY</t>
  </si>
  <si>
    <t>VDPP</t>
  </si>
  <si>
    <t>PNH</t>
  </si>
  <si>
    <t>NGTA</t>
  </si>
  <si>
    <t>TRW</t>
  </si>
  <si>
    <t>PLCH</t>
  </si>
  <si>
    <t>CXI</t>
  </si>
  <si>
    <t>Zayed International Airport</t>
  </si>
  <si>
    <t>Al Bateen Executive Airport</t>
  </si>
  <si>
    <t>Herat - Khwaja Abdullah Ansari International</t>
  </si>
  <si>
    <t>Kabul International Airport</t>
  </si>
  <si>
    <t>V. C. Bird International Airport</t>
  </si>
  <si>
    <t>Tirana International Airport Mother Teresa</t>
  </si>
  <si>
    <t>Shirak International Airport</t>
  </si>
  <si>
    <t>Zvartnots International Airport</t>
  </si>
  <si>
    <t>Dr. Antonio Agostinho Neto International Airport</t>
  </si>
  <si>
    <t>Quatro de Fevereiro International Airport</t>
  </si>
  <si>
    <t>Rosario Islas Malvinas International Airport</t>
  </si>
  <si>
    <t>Aeroparque Jorge Newbery</t>
  </si>
  <si>
    <t>Pago Pago International Airport</t>
  </si>
  <si>
    <t>Graz Airport</t>
  </si>
  <si>
    <t>Innsbruck Airport</t>
  </si>
  <si>
    <t>Brisbane International Airport</t>
  </si>
  <si>
    <t>Gold Coast Airport</t>
  </si>
  <si>
    <t>Queen Beatrix International Airport</t>
  </si>
  <si>
    <t>Heydar Aliyev International Airport</t>
  </si>
  <si>
    <t>Ganja International Airport</t>
  </si>
  <si>
    <t>Banja Luka International Airport</t>
  </si>
  <si>
    <t>Mostar International Airport</t>
  </si>
  <si>
    <t>Grantley Adams International Airport</t>
  </si>
  <si>
    <t>Shah Amanat International Airport</t>
  </si>
  <si>
    <t>Hazrat Shahjalal International Airport</t>
  </si>
  <si>
    <t>Brussels Airport</t>
  </si>
  <si>
    <t>Brussels South Charleroi Airport</t>
  </si>
  <si>
    <t>Ouagadougou Thomas Sankara International Airport</t>
  </si>
  <si>
    <t>Bobo Dioulasso Airport</t>
  </si>
  <si>
    <t>Burgas Airport</t>
  </si>
  <si>
    <t>Plovdiv International Airport</t>
  </si>
  <si>
    <t>Bahrain International Airport</t>
  </si>
  <si>
    <t>Bujumbura Melchior Ndadaye International Airport</t>
  </si>
  <si>
    <t>Cotonou Cadjehoun International Airport</t>
  </si>
  <si>
    <t>L.F. Wade International Airport</t>
  </si>
  <si>
    <t>Brunei International Airport</t>
  </si>
  <si>
    <t>Alcantarí International Airport</t>
  </si>
  <si>
    <t>Jorge Wilsterman International Airport</t>
  </si>
  <si>
    <t>Flamingo International Airport</t>
  </si>
  <si>
    <t>Val de Cans/Júlio Cezar Ribeiro International</t>
  </si>
  <si>
    <t>Presidente Juscelino Kubitschek International</t>
  </si>
  <si>
    <t>Grand Bahama International Airport</t>
  </si>
  <si>
    <t>Lynden Pindling International Airport</t>
  </si>
  <si>
    <t>Paro International Airport</t>
  </si>
  <si>
    <t>Kasane International Airport</t>
  </si>
  <si>
    <t>Maun International Airport</t>
  </si>
  <si>
    <t>Brest International Airport</t>
  </si>
  <si>
    <t>Minsk National Airport</t>
  </si>
  <si>
    <t>Philip S. W. Goldson International Airport</t>
  </si>
  <si>
    <t>Edmonton International Airport</t>
  </si>
  <si>
    <t>Halifax / Stanfield International Airport</t>
  </si>
  <si>
    <t>Cocos (Keeling) Islands Airport</t>
  </si>
  <si>
    <t>Ndjili International Airport</t>
  </si>
  <si>
    <t>Bangoka International Airport</t>
  </si>
  <si>
    <t>Bangui M'Poko International Airport</t>
  </si>
  <si>
    <t>Maya-Maya International Airport</t>
  </si>
  <si>
    <t>Antonio Agostinho-Neto International Airport</t>
  </si>
  <si>
    <t>Geneva International Airport</t>
  </si>
  <si>
    <t>Zürich Airport</t>
  </si>
  <si>
    <t>Félix-Houphouët-Boigny International Airport</t>
  </si>
  <si>
    <t>Yamoussoukro International Airport</t>
  </si>
  <si>
    <t>Rarotonga International Airport</t>
  </si>
  <si>
    <t>President Carlos Ibáñez International Airport</t>
  </si>
  <si>
    <t>Diego Aracena International Airport</t>
  </si>
  <si>
    <t>Douala International Airport</t>
  </si>
  <si>
    <t>Garoua International Airport</t>
  </si>
  <si>
    <t>Beijing Capital International Airport</t>
  </si>
  <si>
    <t>Beijing Daxing International Airport</t>
  </si>
  <si>
    <t>El Dorado International Airport</t>
  </si>
  <si>
    <t>Ernesto Cortissoz International Airport</t>
  </si>
  <si>
    <t>Daniel Oduber Quirós International Airport</t>
  </si>
  <si>
    <t>Juan Santamaría International Airport</t>
  </si>
  <si>
    <t>Ignacio Agramonte International Airport</t>
  </si>
  <si>
    <t>Antonio Maceo International Airport</t>
  </si>
  <si>
    <t>Amílcar Cabral International Airport</t>
  </si>
  <si>
    <t>Aristides Pereira International Airport</t>
  </si>
  <si>
    <t>Hato International Airport</t>
  </si>
  <si>
    <t>Ercan International Airport</t>
  </si>
  <si>
    <t>Larnaca International Airport</t>
  </si>
  <si>
    <t>České Budějovice South Bohemian Airport</t>
  </si>
  <si>
    <t>Karlovy Vary Airport</t>
  </si>
  <si>
    <t>Berlin Brandenburg Airport</t>
  </si>
  <si>
    <t>Dresden Airport</t>
  </si>
  <si>
    <t>Djibouti-Ambouli Airport</t>
  </si>
  <si>
    <t>Aarhus Airport</t>
  </si>
  <si>
    <t>Billund Airport</t>
  </si>
  <si>
    <t>Casa De Campo International Airport</t>
  </si>
  <si>
    <t>Punta Cana International Airport</t>
  </si>
  <si>
    <t>Soummam–Abane Ramdane Airport</t>
  </si>
  <si>
    <t>Houari Boumediene Airport</t>
  </si>
  <si>
    <t>José Joaquín de Olmedo International Airport</t>
  </si>
  <si>
    <t>Mariscal Sucre International Airport</t>
  </si>
  <si>
    <t>Lennart Meri Tallinn Airport</t>
  </si>
  <si>
    <t>El Alamein International Airport</t>
  </si>
  <si>
    <t>El Arish International Airport</t>
  </si>
  <si>
    <t>Dakhla Airport</t>
  </si>
  <si>
    <t>Laayoune Hassan I International Airport</t>
  </si>
  <si>
    <t>Fuerteventura Airport</t>
  </si>
  <si>
    <t>Gran Canaria Airport</t>
  </si>
  <si>
    <t>Addis Ababa Bole International Airport</t>
  </si>
  <si>
    <t>Aba Tenna Dejazmach Yilma International Airport</t>
  </si>
  <si>
    <t>Helsinki Vantaa Airport</t>
  </si>
  <si>
    <t>Ivalo Airport</t>
  </si>
  <si>
    <t>Nadi International Airport</t>
  </si>
  <si>
    <t>Nausori International Airport</t>
  </si>
  <si>
    <t>Mount Pleasant Airport / RAF Mount Pleasant</t>
  </si>
  <si>
    <t>Chuuk International Airport</t>
  </si>
  <si>
    <t>Kosrae International Airport</t>
  </si>
  <si>
    <t>Vágar Airport</t>
  </si>
  <si>
    <t>Bordeaux–Mérignac Airport</t>
  </si>
  <si>
    <t>Toulouse-Blagnac Airport</t>
  </si>
  <si>
    <t>Port Gentil International Airport</t>
  </si>
  <si>
    <t>Libreville Leon M'ba International Airport</t>
  </si>
  <si>
    <t>Belfast International Airport</t>
  </si>
  <si>
    <t>Birmingham Airport</t>
  </si>
  <si>
    <t>Maurice Bishop International Airport</t>
  </si>
  <si>
    <t>David the Builder Kutaisi International Airport</t>
  </si>
  <si>
    <t>Alexander Kartveli Batumi International Airport</t>
  </si>
  <si>
    <t>Cayenne – Félix Eboué Airport</t>
  </si>
  <si>
    <t>Kotoka International Airport</t>
  </si>
  <si>
    <t>Yakubu Tali International Airport</t>
  </si>
  <si>
    <t>Gibraltar Airport</t>
  </si>
  <si>
    <t>Nuuk International Airport</t>
  </si>
  <si>
    <t>Banjul International Airport</t>
  </si>
  <si>
    <t>Ahmed Sékou Touré International Airport</t>
  </si>
  <si>
    <t>Maryse Condé International Airport</t>
  </si>
  <si>
    <t>Bata International Airport</t>
  </si>
  <si>
    <t>Corisco International Airport</t>
  </si>
  <si>
    <t>Athens Eleftherios Venizelos International Airport</t>
  </si>
  <si>
    <t>Heraklion International Nikos Kazantzakis Airport</t>
  </si>
  <si>
    <t>La Aurora International Airport</t>
  </si>
  <si>
    <t>Antonio B. Won Pat International Airport</t>
  </si>
  <si>
    <t>Osvaldo Vieira International Airport</t>
  </si>
  <si>
    <t>Cheddi Jagan International Airport</t>
  </si>
  <si>
    <t>Hong Kong International Airport</t>
  </si>
  <si>
    <t>Ramón Villeda Morales International Airport</t>
  </si>
  <si>
    <t>Palmerola International Airport</t>
  </si>
  <si>
    <t>Dubrovnik Ruđer Bošković Airport</t>
  </si>
  <si>
    <t>Pula Airport</t>
  </si>
  <si>
    <t>Cap Haitien International Airport</t>
  </si>
  <si>
    <t>Toussaint Louverture International Airport</t>
  </si>
  <si>
    <t>Budapest Liszt Ferenc International Airport</t>
  </si>
  <si>
    <t>Debrecen International Airport</t>
  </si>
  <si>
    <t>Sultan Hasanuddin International Airport</t>
  </si>
  <si>
    <t>Denpasar I Gusti Ngurah Rai International Airport</t>
  </si>
  <si>
    <t>Cork International Airport</t>
  </si>
  <si>
    <t>Dublin Airport</t>
  </si>
  <si>
    <t>Ben Gurion International Airport</t>
  </si>
  <si>
    <t>Ramon International Airport</t>
  </si>
  <si>
    <t>Isle of Man Airport</t>
  </si>
  <si>
    <t>Sardar Vallabh Patel International Airport</t>
  </si>
  <si>
    <t>Chhatrapati Shivaji Maharaj International Airport</t>
  </si>
  <si>
    <t>Baghdad International Airport</t>
  </si>
  <si>
    <t>Mosul International Airport</t>
  </si>
  <si>
    <t>Abadan Ayatollah Jami International Airport</t>
  </si>
  <si>
    <t>Qasem Soleimani International Airport</t>
  </si>
  <si>
    <t>Akureyri International Airport</t>
  </si>
  <si>
    <t>Keflavik International Airport</t>
  </si>
  <si>
    <t>Bari Karol Wojtyła International Airport</t>
  </si>
  <si>
    <t>Abruzzo Airport</t>
  </si>
  <si>
    <t>Norman Manley International Airport</t>
  </si>
  <si>
    <t>Sangster International Airport</t>
  </si>
  <si>
    <t>Queen Alia International Airport</t>
  </si>
  <si>
    <t>Marka International Airport</t>
  </si>
  <si>
    <t>Narita International Airport</t>
  </si>
  <si>
    <t>Ibaraki Airport</t>
  </si>
  <si>
    <t>Eldoret International Airport</t>
  </si>
  <si>
    <t>Jomo Kenyatta International Airport</t>
  </si>
  <si>
    <t>Issyk-Kul International Airport</t>
  </si>
  <si>
    <t>Manas International Airport</t>
  </si>
  <si>
    <t>Dara Sakor International Airport</t>
  </si>
  <si>
    <t>Phnom Penh International Airport</t>
  </si>
  <si>
    <t>Bonriki International Airport</t>
  </si>
  <si>
    <t>Cassidy International Airport</t>
  </si>
  <si>
    <t>United Arab Emirates</t>
  </si>
  <si>
    <t>Abu Dhabi</t>
  </si>
  <si>
    <t>Afghanistan</t>
  </si>
  <si>
    <t>Guzara</t>
  </si>
  <si>
    <t>Kabul</t>
  </si>
  <si>
    <t>Antigua and Barbuda</t>
  </si>
  <si>
    <t>Osbourn</t>
  </si>
  <si>
    <t>Albania</t>
  </si>
  <si>
    <t>Rinas</t>
  </si>
  <si>
    <t>Armenia</t>
  </si>
  <si>
    <t>Gyumri</t>
  </si>
  <si>
    <t>Yerevan</t>
  </si>
  <si>
    <t>Angola</t>
  </si>
  <si>
    <t>Luanda</t>
  </si>
  <si>
    <t>Argentina</t>
  </si>
  <si>
    <t>Rosario</t>
  </si>
  <si>
    <t>Buenos Aires</t>
  </si>
  <si>
    <t>American Samoa</t>
  </si>
  <si>
    <t>Pago Pago</t>
  </si>
  <si>
    <t>Austria</t>
  </si>
  <si>
    <t>Feldkirchen bei Graz</t>
  </si>
  <si>
    <t>Innsbruck</t>
  </si>
  <si>
    <t>Australia</t>
  </si>
  <si>
    <t>Brisbane</t>
  </si>
  <si>
    <t>Gold Coast</t>
  </si>
  <si>
    <t>Aruba</t>
  </si>
  <si>
    <t>Oranjestad</t>
  </si>
  <si>
    <t>Azerbaijan</t>
  </si>
  <si>
    <t>Baku</t>
  </si>
  <si>
    <t>Ganja</t>
  </si>
  <si>
    <t>Bosnia and Herzegovina</t>
  </si>
  <si>
    <t>Mahovljani</t>
  </si>
  <si>
    <t>Mostar</t>
  </si>
  <si>
    <t>Barbados</t>
  </si>
  <si>
    <t>Bridgetown</t>
  </si>
  <si>
    <t>Bangladesh</t>
  </si>
  <si>
    <t>Chattogram</t>
  </si>
  <si>
    <t>Dhaka</t>
  </si>
  <si>
    <t>Belgium</t>
  </si>
  <si>
    <t>Zaventem</t>
  </si>
  <si>
    <t>Charleroi</t>
  </si>
  <si>
    <t>Burkina Faso</t>
  </si>
  <si>
    <t>Ouagadougou</t>
  </si>
  <si>
    <t>Bobo Dioulasso</t>
  </si>
  <si>
    <t>Bulgaria</t>
  </si>
  <si>
    <t>Burgas</t>
  </si>
  <si>
    <t>Plovdiv</t>
  </si>
  <si>
    <t>Bahrain</t>
  </si>
  <si>
    <t>Manama</t>
  </si>
  <si>
    <t>Burundi</t>
  </si>
  <si>
    <t>Bujumbura</t>
  </si>
  <si>
    <t>Benin</t>
  </si>
  <si>
    <t>Cotonou</t>
  </si>
  <si>
    <t>Bermuda</t>
  </si>
  <si>
    <t>Hamilton</t>
  </si>
  <si>
    <t>Brunei</t>
  </si>
  <si>
    <t>Bandar Seri Begawan</t>
  </si>
  <si>
    <t>Bolivia</t>
  </si>
  <si>
    <t>Sucre</t>
  </si>
  <si>
    <t>Cochabamba</t>
  </si>
  <si>
    <t>Caribbean Netherlands</t>
  </si>
  <si>
    <t>Kralendijk</t>
  </si>
  <si>
    <t>Brazil</t>
  </si>
  <si>
    <t>Belém</t>
  </si>
  <si>
    <t>Brasília</t>
  </si>
  <si>
    <t>Bahamas</t>
  </si>
  <si>
    <t>Freeport</t>
  </si>
  <si>
    <t>Nassau</t>
  </si>
  <si>
    <t>Bhutan</t>
  </si>
  <si>
    <t>Paro</t>
  </si>
  <si>
    <t>Botswana</t>
  </si>
  <si>
    <t>Kasane</t>
  </si>
  <si>
    <t>Maun</t>
  </si>
  <si>
    <t>Belarus</t>
  </si>
  <si>
    <t>Brest</t>
  </si>
  <si>
    <t>Minsk</t>
  </si>
  <si>
    <t>Belize</t>
  </si>
  <si>
    <t>Belize City</t>
  </si>
  <si>
    <t>Canada</t>
  </si>
  <si>
    <t>Edmonton</t>
  </si>
  <si>
    <t>Halifax</t>
  </si>
  <si>
    <t>Cocos (Keeling) Islands</t>
  </si>
  <si>
    <t>West Island</t>
  </si>
  <si>
    <t>Democratic Republic of the Congo</t>
  </si>
  <si>
    <t>Kinshasa</t>
  </si>
  <si>
    <t>Kisangani</t>
  </si>
  <si>
    <t>Central African Republic</t>
  </si>
  <si>
    <t>Bangui</t>
  </si>
  <si>
    <t>Republic of the Congo</t>
  </si>
  <si>
    <t>Brazzaville</t>
  </si>
  <si>
    <t>Pointe Noire</t>
  </si>
  <si>
    <t>Switzerland</t>
  </si>
  <si>
    <t>Geneva</t>
  </si>
  <si>
    <t>Zurich</t>
  </si>
  <si>
    <t>Côte d'Ivoire</t>
  </si>
  <si>
    <t>Abidjan</t>
  </si>
  <si>
    <t>Yamoussoukro</t>
  </si>
  <si>
    <t>Cook Islands</t>
  </si>
  <si>
    <t>Avarua</t>
  </si>
  <si>
    <t>Chile</t>
  </si>
  <si>
    <t>Punta Arenas</t>
  </si>
  <si>
    <t>Iquique</t>
  </si>
  <si>
    <t>Cameroon</t>
  </si>
  <si>
    <t>Douala</t>
  </si>
  <si>
    <t>Garoua</t>
  </si>
  <si>
    <t>China</t>
  </si>
  <si>
    <t>Beijing</t>
  </si>
  <si>
    <t>Colombia</t>
  </si>
  <si>
    <t>Bogota</t>
  </si>
  <si>
    <t>Barranquilla</t>
  </si>
  <si>
    <t>Costa Rica</t>
  </si>
  <si>
    <t>Liberia</t>
  </si>
  <si>
    <t>San José</t>
  </si>
  <si>
    <t>Cuba</t>
  </si>
  <si>
    <t>Camaguey</t>
  </si>
  <si>
    <t>Santiago</t>
  </si>
  <si>
    <t>Cape Verde</t>
  </si>
  <si>
    <t>Espargos</t>
  </si>
  <si>
    <t>Rabil</t>
  </si>
  <si>
    <t>Curaçao</t>
  </si>
  <si>
    <t>Willemstad</t>
  </si>
  <si>
    <t>Cyprus</t>
  </si>
  <si>
    <t>Tymbou</t>
  </si>
  <si>
    <t>Larnaca</t>
  </si>
  <si>
    <t>Czech Republic</t>
  </si>
  <si>
    <t>České Budějovice</t>
  </si>
  <si>
    <t>Karlovy Vary</t>
  </si>
  <si>
    <t>Germany</t>
  </si>
  <si>
    <t>Berlin</t>
  </si>
  <si>
    <t>Dresden</t>
  </si>
  <si>
    <t>Djibouti</t>
  </si>
  <si>
    <t>Djibouti City</t>
  </si>
  <si>
    <t>Denmark</t>
  </si>
  <si>
    <t>Aarhus</t>
  </si>
  <si>
    <t>Billund</t>
  </si>
  <si>
    <t>Dominican Republic</t>
  </si>
  <si>
    <t>La Romana</t>
  </si>
  <si>
    <t>Punta Cana</t>
  </si>
  <si>
    <t>Algeria</t>
  </si>
  <si>
    <t>Béjaïa</t>
  </si>
  <si>
    <t>Algiers</t>
  </si>
  <si>
    <t>Ecuador</t>
  </si>
  <si>
    <t>Guayaquil</t>
  </si>
  <si>
    <t>Quito</t>
  </si>
  <si>
    <t>Estonia</t>
  </si>
  <si>
    <t>Tallinn</t>
  </si>
  <si>
    <t>El Alamein</t>
  </si>
  <si>
    <t>El Arish</t>
  </si>
  <si>
    <t>Western Sahara</t>
  </si>
  <si>
    <t>Dakhla</t>
  </si>
  <si>
    <t>El Aaiún</t>
  </si>
  <si>
    <t>Spain</t>
  </si>
  <si>
    <t>El Matorral</t>
  </si>
  <si>
    <t>Gran Canaria Island</t>
  </si>
  <si>
    <t>Addis Ababa</t>
  </si>
  <si>
    <t>Dire Dawa</t>
  </si>
  <si>
    <t>Finland</t>
  </si>
  <si>
    <t>Helsinki</t>
  </si>
  <si>
    <t>Ivalo</t>
  </si>
  <si>
    <t>Fiji</t>
  </si>
  <si>
    <t>Nadi</t>
  </si>
  <si>
    <t>Nausori</t>
  </si>
  <si>
    <t>Falkland Islands</t>
  </si>
  <si>
    <t>Mount Pleasant</t>
  </si>
  <si>
    <t>Micronesia</t>
  </si>
  <si>
    <t>Weno Island</t>
  </si>
  <si>
    <t>Okat</t>
  </si>
  <si>
    <t>Faroe Islands</t>
  </si>
  <si>
    <t>Vágar</t>
  </si>
  <si>
    <t>France</t>
  </si>
  <si>
    <t>Bordeaux</t>
  </si>
  <si>
    <t>Toulouse</t>
  </si>
  <si>
    <t>Gabon</t>
  </si>
  <si>
    <t>Port Gentil</t>
  </si>
  <si>
    <t>Libreville</t>
  </si>
  <si>
    <t>United Kingdom</t>
  </si>
  <si>
    <t>Belfast</t>
  </si>
  <si>
    <t>Birmingham</t>
  </si>
  <si>
    <t>Grenada</t>
  </si>
  <si>
    <t>Saint George's</t>
  </si>
  <si>
    <t>Georgia</t>
  </si>
  <si>
    <t>Kopitnari</t>
  </si>
  <si>
    <t>Batumi</t>
  </si>
  <si>
    <t>French Guiana</t>
  </si>
  <si>
    <t>Matoury</t>
  </si>
  <si>
    <t>Ghana</t>
  </si>
  <si>
    <t>Accra</t>
  </si>
  <si>
    <t>Tamale</t>
  </si>
  <si>
    <t>Gibraltar</t>
  </si>
  <si>
    <t>Greenland</t>
  </si>
  <si>
    <t>Nuuk</t>
  </si>
  <si>
    <t>Gambia</t>
  </si>
  <si>
    <t>Banjul</t>
  </si>
  <si>
    <t>Guinea</t>
  </si>
  <si>
    <t>Conakry</t>
  </si>
  <si>
    <t>Guadeloupe</t>
  </si>
  <si>
    <t>Pointe-à-Pitre</t>
  </si>
  <si>
    <t>Equatorial Guinea</t>
  </si>
  <si>
    <t>Bata</t>
  </si>
  <si>
    <t>Corisco Island</t>
  </si>
  <si>
    <t>Greece</t>
  </si>
  <si>
    <t>Spata-Artemida</t>
  </si>
  <si>
    <t>Heraklion</t>
  </si>
  <si>
    <t>Guatemala</t>
  </si>
  <si>
    <t>Guatemala City</t>
  </si>
  <si>
    <t>Guam</t>
  </si>
  <si>
    <t>Hagåtña</t>
  </si>
  <si>
    <t>Guinea-Bissau</t>
  </si>
  <si>
    <t>Bissau</t>
  </si>
  <si>
    <t>Guyana</t>
  </si>
  <si>
    <t>Georgetown</t>
  </si>
  <si>
    <t>Hong Kong</t>
  </si>
  <si>
    <t>Honduras</t>
  </si>
  <si>
    <t>San Pedro Sula</t>
  </si>
  <si>
    <t>Palmerola</t>
  </si>
  <si>
    <t>Croatia</t>
  </si>
  <si>
    <t>Dubrovnik</t>
  </si>
  <si>
    <t>Pula</t>
  </si>
  <si>
    <t>Haiti</t>
  </si>
  <si>
    <t>Cap Haitien</t>
  </si>
  <si>
    <t>Port-au-Prince</t>
  </si>
  <si>
    <t>Hungary</t>
  </si>
  <si>
    <t>Budapest</t>
  </si>
  <si>
    <t>Debrecen</t>
  </si>
  <si>
    <t>Indonesia</t>
  </si>
  <si>
    <t>Makassar</t>
  </si>
  <si>
    <t>Kuta, Badung</t>
  </si>
  <si>
    <t>Ireland</t>
  </si>
  <si>
    <t>Cork</t>
  </si>
  <si>
    <t>Dublin</t>
  </si>
  <si>
    <t>Israel</t>
  </si>
  <si>
    <t>Tel Aviv</t>
  </si>
  <si>
    <t>Eilat</t>
  </si>
  <si>
    <t>Isle of Man</t>
  </si>
  <si>
    <t>Castletown</t>
  </si>
  <si>
    <t>India</t>
  </si>
  <si>
    <t>Ahmedabad</t>
  </si>
  <si>
    <t>Mumbai</t>
  </si>
  <si>
    <t>Iraq</t>
  </si>
  <si>
    <t>Baghdad</t>
  </si>
  <si>
    <t>Mosul</t>
  </si>
  <si>
    <t>Iran</t>
  </si>
  <si>
    <t>Abadan</t>
  </si>
  <si>
    <t>Ahvaz</t>
  </si>
  <si>
    <t>Iceland</t>
  </si>
  <si>
    <t>Akureyri</t>
  </si>
  <si>
    <t>Reykjavík</t>
  </si>
  <si>
    <t>Italy</t>
  </si>
  <si>
    <t>Bari</t>
  </si>
  <si>
    <t>Pescara</t>
  </si>
  <si>
    <t>Jamaica</t>
  </si>
  <si>
    <t>Kingston</t>
  </si>
  <si>
    <t>Montego Bay</t>
  </si>
  <si>
    <t>Jordan</t>
  </si>
  <si>
    <t>Amman</t>
  </si>
  <si>
    <t>Japan</t>
  </si>
  <si>
    <t>Narita</t>
  </si>
  <si>
    <t>Omitama</t>
  </si>
  <si>
    <t>Eldoret</t>
  </si>
  <si>
    <t>Nairobi</t>
  </si>
  <si>
    <t>Kyrgyzstan</t>
  </si>
  <si>
    <t>Tamchy</t>
  </si>
  <si>
    <t>Bishkek</t>
  </si>
  <si>
    <t>Cambodia</t>
  </si>
  <si>
    <t>Ta Noun</t>
  </si>
  <si>
    <t>Phnom Penh</t>
  </si>
  <si>
    <t>Kiribati</t>
  </si>
  <si>
    <t>South Tarawa</t>
  </si>
  <si>
    <t>Kiritimati</t>
  </si>
  <si>
    <t>Asia/Dubai</t>
  </si>
  <si>
    <t>Asia/Kabul</t>
  </si>
  <si>
    <t>America/Antigua</t>
  </si>
  <si>
    <t>Europe/Tirane</t>
  </si>
  <si>
    <t>Asia/Yerevan</t>
  </si>
  <si>
    <t>Africa/Luanda</t>
  </si>
  <si>
    <t>America/Cordoba</t>
  </si>
  <si>
    <t>America/Buenos_Aires</t>
  </si>
  <si>
    <t>Pacific/Pago_Pago</t>
  </si>
  <si>
    <t>Europe/Vienna</t>
  </si>
  <si>
    <t>Australia/Brisbane</t>
  </si>
  <si>
    <t>America/Aruba</t>
  </si>
  <si>
    <t>Asia/Baku</t>
  </si>
  <si>
    <t>Europe/Sarajevo</t>
  </si>
  <si>
    <t>America/Barbados</t>
  </si>
  <si>
    <t>Asia/Dhaka</t>
  </si>
  <si>
    <t>Europe/Brussels</t>
  </si>
  <si>
    <t>Africa/Ouagadougou</t>
  </si>
  <si>
    <t>Europe/Sofia</t>
  </si>
  <si>
    <t>Asia/Bahrain</t>
  </si>
  <si>
    <t>Africa/Bujumbura</t>
  </si>
  <si>
    <t>Africa/Porto-Novo</t>
  </si>
  <si>
    <t>Atlantic/Bermuda</t>
  </si>
  <si>
    <t>Asia/Brunei</t>
  </si>
  <si>
    <t>America/La_Paz</t>
  </si>
  <si>
    <t>America/Curacao</t>
  </si>
  <si>
    <t>America/Belem</t>
  </si>
  <si>
    <t>America/Sao_Paulo</t>
  </si>
  <si>
    <t>America/Nassau</t>
  </si>
  <si>
    <t>Asia/Thimphu</t>
  </si>
  <si>
    <t>Africa/Gaborone</t>
  </si>
  <si>
    <t>Europe/Minsk</t>
  </si>
  <si>
    <t>America/Belize</t>
  </si>
  <si>
    <t>America/Edmonton</t>
  </si>
  <si>
    <t>America/Halifax</t>
  </si>
  <si>
    <t>Indian/Cocos</t>
  </si>
  <si>
    <t>Africa/Kinshasa</t>
  </si>
  <si>
    <t>Africa/Lubumbashi</t>
  </si>
  <si>
    <t>Africa/Bangui</t>
  </si>
  <si>
    <t>Africa/Brazzaville</t>
  </si>
  <si>
    <t>Europe/Paris</t>
  </si>
  <si>
    <t>Europe/Zurich</t>
  </si>
  <si>
    <t>Africa/Abidjan</t>
  </si>
  <si>
    <t>Pacific/Rarotonga</t>
  </si>
  <si>
    <t>America/Santiago</t>
  </si>
  <si>
    <t>Africa/Douala</t>
  </si>
  <si>
    <t>Asia/Shanghai</t>
  </si>
  <si>
    <t>America/Bogota</t>
  </si>
  <si>
    <t>America/Costa_Rica</t>
  </si>
  <si>
    <t>America/Havana</t>
  </si>
  <si>
    <t>Atlantic/Cape_Verde</t>
  </si>
  <si>
    <t>Asia/Nicosia</t>
  </si>
  <si>
    <t>Europe/Prague</t>
  </si>
  <si>
    <t>Europe/Berlin</t>
  </si>
  <si>
    <t>Africa/Djibouti</t>
  </si>
  <si>
    <t>Europe/Copenhagen</t>
  </si>
  <si>
    <t>America/Santo_Domingo</t>
  </si>
  <si>
    <t>Africa/Algiers</t>
  </si>
  <si>
    <t>America/Guayaquil</t>
  </si>
  <si>
    <t>Europe/Tallinn</t>
  </si>
  <si>
    <t>Africa/Cairo</t>
  </si>
  <si>
    <t>Africa/El_Aaiun</t>
  </si>
  <si>
    <t>Atlantic/Canary</t>
  </si>
  <si>
    <t>Africa/Addis_Ababa</t>
  </si>
  <si>
    <t>Europe/Helsinki</t>
  </si>
  <si>
    <t>Pacific/Fiji</t>
  </si>
  <si>
    <t>Atlantic/Stanley</t>
  </si>
  <si>
    <t>Pacific/Truk</t>
  </si>
  <si>
    <t>Pacific/Kosrae</t>
  </si>
  <si>
    <t>Atlantic/Faeroe</t>
  </si>
  <si>
    <t>Africa/Libreville</t>
  </si>
  <si>
    <t>Europe/London</t>
  </si>
  <si>
    <t>America/Grenada</t>
  </si>
  <si>
    <t>Asia/Tbilisi</t>
  </si>
  <si>
    <t>America/Cayenne</t>
  </si>
  <si>
    <t>Africa/Accra</t>
  </si>
  <si>
    <t>Europe/Gibraltar</t>
  </si>
  <si>
    <t>America/Godthab</t>
  </si>
  <si>
    <t>Africa/Banjul</t>
  </si>
  <si>
    <t>Africa/Conakry</t>
  </si>
  <si>
    <t>America/Guadeloupe</t>
  </si>
  <si>
    <t>Africa/Malabo</t>
  </si>
  <si>
    <t>Europe/Athens</t>
  </si>
  <si>
    <t>America/Guatemala</t>
  </si>
  <si>
    <t>Pacific/Guam</t>
  </si>
  <si>
    <t>Africa/Bissau</t>
  </si>
  <si>
    <t>America/Guyana</t>
  </si>
  <si>
    <t>Asia/Hong_Kong</t>
  </si>
  <si>
    <t>America/Tegucigalpa</t>
  </si>
  <si>
    <t>Europe/Zagreb</t>
  </si>
  <si>
    <t>America/Port-au-Prince</t>
  </si>
  <si>
    <t>Europe/Budapest</t>
  </si>
  <si>
    <t>Asia/Makassar</t>
  </si>
  <si>
    <t>Europe/Dublin</t>
  </si>
  <si>
    <t>Asia/Jerusalem</t>
  </si>
  <si>
    <t>Europe/Isle_of_Man</t>
  </si>
  <si>
    <t>Asia/Calcutta</t>
  </si>
  <si>
    <t>Asia/Baghdad</t>
  </si>
  <si>
    <t>Asia/Tehran</t>
  </si>
  <si>
    <t>Atlantic/Reykjavik</t>
  </si>
  <si>
    <t>Europe/Rome</t>
  </si>
  <si>
    <t>America/Jamaica</t>
  </si>
  <si>
    <t>Asia/Amman</t>
  </si>
  <si>
    <t>Asia/Tokyo</t>
  </si>
  <si>
    <t>Africa/Nairobi</t>
  </si>
  <si>
    <t>Asia/Phnom_Penh</t>
  </si>
  <si>
    <t>Pacific/Tarawa</t>
  </si>
  <si>
    <t>13L/31R 4,100x60m ASP; 13R/31L 4,106x60m ASP</t>
  </si>
  <si>
    <t>13/31 3,200x46m ASP</t>
  </si>
  <si>
    <t>18/36 3,014x46m ASP</t>
  </si>
  <si>
    <t>11/29 3,500x50m ASP</t>
  </si>
  <si>
    <t>07/25 2,744x45m ASP</t>
  </si>
  <si>
    <t>17/35 3,000x45m ASP</t>
  </si>
  <si>
    <t>02/20 3,220x45m ASP</t>
  </si>
  <si>
    <t>08/26 3,850x56m ASP</t>
  </si>
  <si>
    <t>06L/24R 3,800x60m ASP; 06R/24L 4,000x60m PEM</t>
  </si>
  <si>
    <t>05/23 3,716x45m ASP; 07/25 2,600x60m ASP</t>
  </si>
  <si>
    <t>02/20 3,000x45m CON</t>
  </si>
  <si>
    <t>13/31 2,350x45m PEM</t>
  </si>
  <si>
    <t>05/23 3,048x46m ASP; 08/26 1,158x30m ASP</t>
  </si>
  <si>
    <t>16C/34C 3,000x45m ASP</t>
  </si>
  <si>
    <t>08/26 2,000x45m ASP</t>
  </si>
  <si>
    <t>01L/19R 3,300x60m ASP; 01R/19L 3,560x45m ASP</t>
  </si>
  <si>
    <t>14/32 2,492x45m ASP</t>
  </si>
  <si>
    <t>11/29 2,743x45m ASP</t>
  </si>
  <si>
    <t>16/34 4,000x60m ASP; 17/35 3,200x45m CON</t>
  </si>
  <si>
    <t>12/30 3,300x45m CON</t>
  </si>
  <si>
    <t>16/34 2,500x45m ASP</t>
  </si>
  <si>
    <t>15/33 2,400x48m ASP</t>
  </si>
  <si>
    <t>09/27 3,353x46m ASP</t>
  </si>
  <si>
    <t>05/23 2,940x45m CON</t>
  </si>
  <si>
    <t>14/32 3,505x46m PEM</t>
  </si>
  <si>
    <t>07L/25R 3,638x45m ASP; 07R/25L 3,211x45m ASP</t>
  </si>
  <si>
    <t>06/24 3,055x45m ASP</t>
  </si>
  <si>
    <t>04/22 3,000x45m ASP</t>
  </si>
  <si>
    <t>06/24 3,300x45m ASP</t>
  </si>
  <si>
    <t>04/22 3,200x45m CON</t>
  </si>
  <si>
    <t>12/30 2,500x45m CON</t>
  </si>
  <si>
    <t>12L/30R 3,956x60m ASP; 12R/30L 2,530x45m ASP</t>
  </si>
  <si>
    <t>17/35 3,600x45m ASP</t>
  </si>
  <si>
    <t>06/24 2,410x45m ASP</t>
  </si>
  <si>
    <t>12/30 2,958x46m ASP</t>
  </si>
  <si>
    <t>03/21 3,658x46m ASP</t>
  </si>
  <si>
    <t>18/36 3,600x45m ASP</t>
  </si>
  <si>
    <t>05/23 2,649x45m ASP; 14/32 3,798x45m ASP</t>
  </si>
  <si>
    <t>10/28 2,880x45m ASP</t>
  </si>
  <si>
    <t>03/21 1,830x45m ASP; 07/25 2,800x45m ASP</t>
  </si>
  <si>
    <t>11L/29R 3,200x45m ASP; 11R/29L 3,300x45m ASP</t>
  </si>
  <si>
    <t>06/24 3,359x46m ASP</t>
  </si>
  <si>
    <t>10/28 2,522x46m ASP; 14/32 3,460x46m ASP</t>
  </si>
  <si>
    <t>15/33 2,265x30m ASP</t>
  </si>
  <si>
    <t>08/26 2,000x30m ASP</t>
  </si>
  <si>
    <t>11/29 2,620x42m ASP</t>
  </si>
  <si>
    <t>13L/31R 3,700x60m CON; 13R/31L 3,641x60m CON</t>
  </si>
  <si>
    <t>07/25 2,950x45m ASP</t>
  </si>
  <si>
    <t>02/20 3,353x61m ASP; 12/30 3,109x61m ASP</t>
  </si>
  <si>
    <t>05/23 3,200x61m ASP; 14/32 2,347x61m ASP</t>
  </si>
  <si>
    <t>15/33 2,438x45m ASP</t>
  </si>
  <si>
    <t>06/24 4,000x60m CON</t>
  </si>
  <si>
    <t>13/31 3,500x45m ASP</t>
  </si>
  <si>
    <t>16/34 2,600x45m ASP</t>
  </si>
  <si>
    <t>05/23 3,300x45m ASP</t>
  </si>
  <si>
    <t>17/35 2,600x45m ASP</t>
  </si>
  <si>
    <t>04/22 3,900x50m CON</t>
  </si>
  <si>
    <t>10/28 2,500x60m CON; 14/32 3,300x60m CON</t>
  </si>
  <si>
    <t>03/21 3,000x50m ASP</t>
  </si>
  <si>
    <t>05/23 3,000x45m ASP</t>
  </si>
  <si>
    <t>08/26 2,328x46m CON</t>
  </si>
  <si>
    <t>07/25 2,790x45m ASP; 12/30 2,400x45m ASP</t>
  </si>
  <si>
    <t>01/19 3,350x45m ASP</t>
  </si>
  <si>
    <t>12/30 2,850x45m ASP</t>
  </si>
  <si>
    <t>09/27 3,363x45m ASP</t>
  </si>
  <si>
    <t>01/19 3,800x60m CON; 18L/36R 3,800x60m ASP; 18R/36L 3,200x50m ASP</t>
  </si>
  <si>
    <t>01L/19R 3,400x60m CON; 11L/29R 3,800x60m CON; 17L/35R 3,800x60m CON</t>
  </si>
  <si>
    <t>14L/32R 3,800x45m ASP; 14R/32L 3,800x45m ASP</t>
  </si>
  <si>
    <t>05/23 3,000x45m CON</t>
  </si>
  <si>
    <t>07/25 2,750x45m ASP</t>
  </si>
  <si>
    <t>07/25 3,012x46m ASP</t>
  </si>
  <si>
    <t>07/25 3,000x45m ASP</t>
  </si>
  <si>
    <t>10/28 4,002x45m ASP</t>
  </si>
  <si>
    <t>01/19 3,280x45m ASP</t>
  </si>
  <si>
    <t>03/21 2,100x45m ASP</t>
  </si>
  <si>
    <t>11/29 3,410x60m ASP</t>
  </si>
  <si>
    <t>11L/29R 2,755x45m CON; 11R/29L 3,200x45m</t>
  </si>
  <si>
    <t>04/22 2,994x45m ASP</t>
  </si>
  <si>
    <t>09/27 2,500x80m CON</t>
  </si>
  <si>
    <t>11/29 2,150x30m ASP</t>
  </si>
  <si>
    <t>06L/24R 3,600x45m ASP; 06R/24L 4,000x60m CON</t>
  </si>
  <si>
    <t>04/22 2,850x60m CON</t>
  </si>
  <si>
    <t>09/27 3,150x45m PEM</t>
  </si>
  <si>
    <t>10R/28L 2,702x45m PEM</t>
  </si>
  <si>
    <t>09/27 3,100x45m ASP</t>
  </si>
  <si>
    <t>11/29 2,950x45m CON</t>
  </si>
  <si>
    <t>08/26 3,100x45m ASP; 09/27 3,100x45m ASP</t>
  </si>
  <si>
    <t>08/26 2,400x45m ASP</t>
  </si>
  <si>
    <t>05/23 3,500x60m ASP; 09/27 3,500x45m ASP</t>
  </si>
  <si>
    <t>03/21 2,790x46m ASP</t>
  </si>
  <si>
    <t>18/36 4,098x45m CON</t>
  </si>
  <si>
    <t>08/26 3,480x45m ASP</t>
  </si>
  <si>
    <t>13/31 3,499x45m ASP</t>
  </si>
  <si>
    <t>16L/34R 3,019x45m ASP; 16R/34L 3,019x45m ASP</t>
  </si>
  <si>
    <t>03/21 3,000x45m ASP</t>
  </si>
  <si>
    <t>02/20 2,701x45m ASP; 04/22 2,500x45m ASP</t>
  </si>
  <si>
    <t>01/19 3,420x45m ASP</t>
  </si>
  <si>
    <t>03L/21R 3,100x45m ASP; 03R/21L 3,100x45m ASP</t>
  </si>
  <si>
    <t>07L/25R 3,700x45m ASP; 07R/25L 3,800x45m ASP</t>
  </si>
  <si>
    <t>15/33 2,679x45m ASP</t>
  </si>
  <si>
    <t>04L/22R 3,060x60m ASP; 04R/22L 3,500x60m ASP; 15/33 2,901x60m ASP</t>
  </si>
  <si>
    <t>04/22 2,499x45m ASP</t>
  </si>
  <si>
    <t>02/20 3,273x46m ASP; 09/27 2,136x46m ASP</t>
  </si>
  <si>
    <t>10/28 2,148x45m ASP</t>
  </si>
  <si>
    <t>10/28 2,590x46m ASP</t>
  </si>
  <si>
    <t>04/22 1,831x46m ASP</t>
  </si>
  <si>
    <t>05/23 1,753x46m ASP</t>
  </si>
  <si>
    <t>12/30 1,800x30m ASP</t>
  </si>
  <si>
    <t>05/23 3,100x45m ASP; 11/29 2,415x45m ASP</t>
  </si>
  <si>
    <t>14L/32R 3,000x45m ASP; 14R/32L 3,500x45m ASP</t>
  </si>
  <si>
    <t>02/20 1,900x45m ASP</t>
  </si>
  <si>
    <t>16/34 3,000x45m ASP</t>
  </si>
  <si>
    <t>07/25 2,780x45m ASP; 17/35 1,891x45m ASP</t>
  </si>
  <si>
    <t>15/33 3,052x45m ASP</t>
  </si>
  <si>
    <t>10/28 2,744x45m ASP</t>
  </si>
  <si>
    <t>07/25 2,500x44m CON</t>
  </si>
  <si>
    <t>12/30 2,500x45m ASP</t>
  </si>
  <si>
    <t>08/26 3,196x45m ASP</t>
  </si>
  <si>
    <t>03/21 3,403x61m ASP</t>
  </si>
  <si>
    <t>05/23 2,438x45m ASP</t>
  </si>
  <si>
    <t>09/27 1,829x46m ASP</t>
  </si>
  <si>
    <t>04/22 2,200x45m ASP</t>
  </si>
  <si>
    <t>14/32 3,600x45m ASP</t>
  </si>
  <si>
    <t>12/30 3,505x45m ASP</t>
  </si>
  <si>
    <t>03/21 3,310x61m ASP</t>
  </si>
  <si>
    <t>01/19 CON</t>
  </si>
  <si>
    <t>03L/21R 3,800x45m ASP; 03R/21L 4,000x45m ASP</t>
  </si>
  <si>
    <t>09/27 2,714x45m ASP</t>
  </si>
  <si>
    <t>02/20 2,987x60m ASP</t>
  </si>
  <si>
    <t>06L/24R 3,662x46m ASP; 06R/24L 3,052x46m ASP</t>
  </si>
  <si>
    <t>03/21 3,200x45m ASP</t>
  </si>
  <si>
    <t>06/24 3,360x45m ASP</t>
  </si>
  <si>
    <t>07C/25C 3,800x60m ASP; 07L/25R 3,800x60m ASP; 07R/25L 3,800x60m ASP</t>
  </si>
  <si>
    <t>04/22 2,805x45m CON</t>
  </si>
  <si>
    <t>17/35 2,458x45m ASP</t>
  </si>
  <si>
    <t>11/29 3,230x45m ASP</t>
  </si>
  <si>
    <t>09/27 2,950x45m ASP</t>
  </si>
  <si>
    <t>05/23 2,652x45m ASP</t>
  </si>
  <si>
    <t>10/28 3,040x43m ASP</t>
  </si>
  <si>
    <t>13L/31R 3,707x45m CON; 13R/31L 3,010x45m CON</t>
  </si>
  <si>
    <t>04R/22L 2,498x40m CON</t>
  </si>
  <si>
    <t>03/21 3,100x45m ASP; 13/31 2,500x45m ASP</t>
  </si>
  <si>
    <t>09/27 2,984x45m ASP</t>
  </si>
  <si>
    <t>16/34 2,133x45m ASP</t>
  </si>
  <si>
    <t>10L/28R 3,110x45m CON; 10R/28L 2,637x45m ASP</t>
  </si>
  <si>
    <t>03/21 2,772x60m ASP; 08/26 4,062x45m ASP; 12/30 3,112x45m ASP</t>
  </si>
  <si>
    <t>08/26 2,110x46m ASP</t>
  </si>
  <si>
    <t>05/23 3,505x46m ASP</t>
  </si>
  <si>
    <t>09/27 3,509x60m ASP; 14/32 2,871x45m ASP</t>
  </si>
  <si>
    <t>15L/33R 4,000x60m CON; 15R/33L 3,301x45m CON</t>
  </si>
  <si>
    <t>15/33 2,650x45m CON</t>
  </si>
  <si>
    <t>14L/32R 2,267x35m ASP; 14R/32L 3,100x45m ASP</t>
  </si>
  <si>
    <t>12/30 3,398x45m ASP</t>
  </si>
  <si>
    <t>01/19 2,700x45m ASP</t>
  </si>
  <si>
    <t>01/19 3,054x60m ASP; 10/28 3,065x60m ASP</t>
  </si>
  <si>
    <t>04/22 2,418x45m ASP</t>
  </si>
  <si>
    <t>12/30 2,713x46m ASP</t>
  </si>
  <si>
    <t>07/25 3,060x45m ASP</t>
  </si>
  <si>
    <t>08L/26R 3,660x61m ASP; 08R/26L 3,660x61m CON</t>
  </si>
  <si>
    <t>06/24 3,275x45m ASP</t>
  </si>
  <si>
    <t>16L/34R 2,500x60m ASP; 16R/34L 4,000x60m ASP</t>
  </si>
  <si>
    <t>03L/21R 2,700x46m ASP; 03R/21L 2,700x46m CON</t>
  </si>
  <si>
    <t>08/26 3,499x45m ASP</t>
  </si>
  <si>
    <t>06/24 4,117x45m ASP</t>
  </si>
  <si>
    <t>07/25 3,800x45m ASP</t>
  </si>
  <si>
    <t>07/25 4,200x55m CON</t>
  </si>
  <si>
    <t>03/21 3,200x45m CON</t>
  </si>
  <si>
    <t>05/23 3,000x44m ASP</t>
  </si>
  <si>
    <t>09/27 2,011x41m BIT</t>
  </si>
  <si>
    <t>08/26 2,103x30m ASP</t>
  </si>
  <si>
    <t>FMCH</t>
  </si>
  <si>
    <t>HAH</t>
  </si>
  <si>
    <t>TKPK</t>
  </si>
  <si>
    <t>SKB</t>
  </si>
  <si>
    <t>ZKPY</t>
  </si>
  <si>
    <t>FNJ</t>
  </si>
  <si>
    <t>RKJB</t>
  </si>
  <si>
    <t>MWX</t>
  </si>
  <si>
    <t>RKNY</t>
  </si>
  <si>
    <t>YNY</t>
  </si>
  <si>
    <t>OKKK</t>
  </si>
  <si>
    <t>KWI</t>
  </si>
  <si>
    <t>MWCR</t>
  </si>
  <si>
    <t>GCM</t>
  </si>
  <si>
    <t>UAAA</t>
  </si>
  <si>
    <t>ALA</t>
  </si>
  <si>
    <t>UACC</t>
  </si>
  <si>
    <t>NQZ</t>
  </si>
  <si>
    <t>VLLB</t>
  </si>
  <si>
    <t>LPQ</t>
  </si>
  <si>
    <t>VLPS</t>
  </si>
  <si>
    <t>PKZ</t>
  </si>
  <si>
    <t>OLBA</t>
  </si>
  <si>
    <t>BEY</t>
  </si>
  <si>
    <t>TLPL</t>
  </si>
  <si>
    <t>UVF</t>
  </si>
  <si>
    <t>VCBI</t>
  </si>
  <si>
    <t>CMB</t>
  </si>
  <si>
    <t>VCCC</t>
  </si>
  <si>
    <t>RML</t>
  </si>
  <si>
    <t>GLRB</t>
  </si>
  <si>
    <t>ROB</t>
  </si>
  <si>
    <t>FXMM</t>
  </si>
  <si>
    <t>MSU</t>
  </si>
  <si>
    <t>EYKA</t>
  </si>
  <si>
    <t>KUN</t>
  </si>
  <si>
    <t>EYPA</t>
  </si>
  <si>
    <t>PLQ</t>
  </si>
  <si>
    <t>ELLX</t>
  </si>
  <si>
    <t>LUX</t>
  </si>
  <si>
    <t>EVLA</t>
  </si>
  <si>
    <t>LPX</t>
  </si>
  <si>
    <t>EVRA</t>
  </si>
  <si>
    <t>RIX</t>
  </si>
  <si>
    <t>HLGD</t>
  </si>
  <si>
    <t>SRX</t>
  </si>
  <si>
    <t>HLLB</t>
  </si>
  <si>
    <t>BEN</t>
  </si>
  <si>
    <t>GMAD</t>
  </si>
  <si>
    <t>AGA</t>
  </si>
  <si>
    <t>GMAZ</t>
  </si>
  <si>
    <t>OZG</t>
  </si>
  <si>
    <t>LUKK</t>
  </si>
  <si>
    <t>RMO</t>
  </si>
  <si>
    <t>LYPG</t>
  </si>
  <si>
    <t>TGD</t>
  </si>
  <si>
    <t>FMMI</t>
  </si>
  <si>
    <t>TNR</t>
  </si>
  <si>
    <t>FMMT</t>
  </si>
  <si>
    <t>TMM</t>
  </si>
  <si>
    <t>PKMJ</t>
  </si>
  <si>
    <t>MAJ</t>
  </si>
  <si>
    <t>LWOH</t>
  </si>
  <si>
    <t>OHD</t>
  </si>
  <si>
    <t>LWSK</t>
  </si>
  <si>
    <t>SKP</t>
  </si>
  <si>
    <t>GABS</t>
  </si>
  <si>
    <t>BKO</t>
  </si>
  <si>
    <t>GATB</t>
  </si>
  <si>
    <t>TOM</t>
  </si>
  <si>
    <t>VYMD</t>
  </si>
  <si>
    <t>MDL</t>
  </si>
  <si>
    <t>VYNT</t>
  </si>
  <si>
    <t>NYT</t>
  </si>
  <si>
    <t>ZMCK</t>
  </si>
  <si>
    <t>UBN</t>
  </si>
  <si>
    <t>ZMUB</t>
  </si>
  <si>
    <t>ULN</t>
  </si>
  <si>
    <t>VMMC</t>
  </si>
  <si>
    <t>MFM</t>
  </si>
  <si>
    <t>PGRO</t>
  </si>
  <si>
    <t>ROP</t>
  </si>
  <si>
    <t>TFFF</t>
  </si>
  <si>
    <t>FDF</t>
  </si>
  <si>
    <t>GQNO</t>
  </si>
  <si>
    <t>NKC</t>
  </si>
  <si>
    <t>GQPP</t>
  </si>
  <si>
    <t>NDB</t>
  </si>
  <si>
    <t>TRPG</t>
  </si>
  <si>
    <t>MNI</t>
  </si>
  <si>
    <t>LMML</t>
  </si>
  <si>
    <t>MLA</t>
  </si>
  <si>
    <t>FIMP</t>
  </si>
  <si>
    <t>MRU</t>
  </si>
  <si>
    <t>VRMG</t>
  </si>
  <si>
    <t>GAN</t>
  </si>
  <si>
    <t>VRMH</t>
  </si>
  <si>
    <t>HAQ</t>
  </si>
  <si>
    <t>FWCL</t>
  </si>
  <si>
    <t>BLZ</t>
  </si>
  <si>
    <t>FWKI</t>
  </si>
  <si>
    <t>LLW</t>
  </si>
  <si>
    <t>MMAA</t>
  </si>
  <si>
    <t>ACA</t>
  </si>
  <si>
    <t>MMAS</t>
  </si>
  <si>
    <t>AGU</t>
  </si>
  <si>
    <t>WBGG</t>
  </si>
  <si>
    <t>KCH</t>
  </si>
  <si>
    <t>WBKK</t>
  </si>
  <si>
    <t>BKI</t>
  </si>
  <si>
    <t>FQBR</t>
  </si>
  <si>
    <t>BEW</t>
  </si>
  <si>
    <t>FQMA</t>
  </si>
  <si>
    <t>MPM</t>
  </si>
  <si>
    <t>NWWW</t>
  </si>
  <si>
    <t>NOU</t>
  </si>
  <si>
    <t>DRRN</t>
  </si>
  <si>
    <t>NIM</t>
  </si>
  <si>
    <t>DNAA</t>
  </si>
  <si>
    <t>ABV</t>
  </si>
  <si>
    <t>DNAS</t>
  </si>
  <si>
    <t>ABB</t>
  </si>
  <si>
    <t>MNMG</t>
  </si>
  <si>
    <t>MGA</t>
  </si>
  <si>
    <t>EHAM</t>
  </si>
  <si>
    <t>AMS</t>
  </si>
  <si>
    <t>EHBK</t>
  </si>
  <si>
    <t>MST</t>
  </si>
  <si>
    <t>ENAL</t>
  </si>
  <si>
    <t>AES</t>
  </si>
  <si>
    <t>ENBO</t>
  </si>
  <si>
    <t>BOO</t>
  </si>
  <si>
    <t>VNBW</t>
  </si>
  <si>
    <t>BWA</t>
  </si>
  <si>
    <t>VNKT</t>
  </si>
  <si>
    <t>KTM</t>
  </si>
  <si>
    <t>NZAA</t>
  </si>
  <si>
    <t>AKL</t>
  </si>
  <si>
    <t>NZCH</t>
  </si>
  <si>
    <t>CHC</t>
  </si>
  <si>
    <t>OODQ</t>
  </si>
  <si>
    <t>DQM</t>
  </si>
  <si>
    <t>OOMS</t>
  </si>
  <si>
    <t>MCT</t>
  </si>
  <si>
    <t>MPTO</t>
  </si>
  <si>
    <t>PTY</t>
  </si>
  <si>
    <t>SPCL</t>
  </si>
  <si>
    <t>PCL</t>
  </si>
  <si>
    <t>SPHI</t>
  </si>
  <si>
    <t>CIX</t>
  </si>
  <si>
    <t>NTAA</t>
  </si>
  <si>
    <t>PPT</t>
  </si>
  <si>
    <t>AYNZ</t>
  </si>
  <si>
    <t>LAE</t>
  </si>
  <si>
    <t>AYPY</t>
  </si>
  <si>
    <t>POM</t>
  </si>
  <si>
    <t>RPLB</t>
  </si>
  <si>
    <t>SFS</t>
  </si>
  <si>
    <t>RPLC</t>
  </si>
  <si>
    <t>CRK</t>
  </si>
  <si>
    <t>OPFA</t>
  </si>
  <si>
    <t>LYP</t>
  </si>
  <si>
    <t>OPGW</t>
  </si>
  <si>
    <t>GWD</t>
  </si>
  <si>
    <t>EPGD</t>
  </si>
  <si>
    <t>GDN</t>
  </si>
  <si>
    <t>EPKK</t>
  </si>
  <si>
    <t>KRK</t>
  </si>
  <si>
    <t>TJSJ</t>
  </si>
  <si>
    <t>SJU</t>
  </si>
  <si>
    <t>LPFR</t>
  </si>
  <si>
    <t>FAO</t>
  </si>
  <si>
    <t>LPMA</t>
  </si>
  <si>
    <t>FNC</t>
  </si>
  <si>
    <t>PTRO</t>
  </si>
  <si>
    <t>ROR</t>
  </si>
  <si>
    <t>SGAS</t>
  </si>
  <si>
    <t>ASU</t>
  </si>
  <si>
    <t>SGEN</t>
  </si>
  <si>
    <t>ENO</t>
  </si>
  <si>
    <t>OTBD</t>
  </si>
  <si>
    <t>DIA</t>
  </si>
  <si>
    <t>OTHH</t>
  </si>
  <si>
    <t>DOH</t>
  </si>
  <si>
    <t>FMEE</t>
  </si>
  <si>
    <t>RUN</t>
  </si>
  <si>
    <t>FMEP</t>
  </si>
  <si>
    <t>ZSE</t>
  </si>
  <si>
    <t>LRBC</t>
  </si>
  <si>
    <t>BCM</t>
  </si>
  <si>
    <t>LRBS</t>
  </si>
  <si>
    <t>BBU</t>
  </si>
  <si>
    <t>LYBE</t>
  </si>
  <si>
    <t>BEG</t>
  </si>
  <si>
    <t>LYNI</t>
  </si>
  <si>
    <t>INI</t>
  </si>
  <si>
    <t>UEEE</t>
  </si>
  <si>
    <t>YKS</t>
  </si>
  <si>
    <t>UHPP</t>
  </si>
  <si>
    <t>PKC</t>
  </si>
  <si>
    <t>HRYR</t>
  </si>
  <si>
    <t>KGL</t>
  </si>
  <si>
    <t>OEAB</t>
  </si>
  <si>
    <t>AHB</t>
  </si>
  <si>
    <t>OEAH</t>
  </si>
  <si>
    <t>HOF</t>
  </si>
  <si>
    <t>AGGH</t>
  </si>
  <si>
    <t>HIR</t>
  </si>
  <si>
    <t>FSIA</t>
  </si>
  <si>
    <t>SEZ</t>
  </si>
  <si>
    <t>HSPN</t>
  </si>
  <si>
    <t>PZU</t>
  </si>
  <si>
    <t>HSSK</t>
  </si>
  <si>
    <t>KRT</t>
  </si>
  <si>
    <t>ESGG</t>
  </si>
  <si>
    <t>GOT</t>
  </si>
  <si>
    <t>ESKN</t>
  </si>
  <si>
    <t>NYO</t>
  </si>
  <si>
    <t>WSSS</t>
  </si>
  <si>
    <t>SIN</t>
  </si>
  <si>
    <t>LJLJ</t>
  </si>
  <si>
    <t>LJU</t>
  </si>
  <si>
    <t>LZIB</t>
  </si>
  <si>
    <t>BTS</t>
  </si>
  <si>
    <t>GFLL</t>
  </si>
  <si>
    <t>FNA</t>
  </si>
  <si>
    <t>GOBD</t>
  </si>
  <si>
    <t>DSS</t>
  </si>
  <si>
    <t>GOOY</t>
  </si>
  <si>
    <t>DKR</t>
  </si>
  <si>
    <t>HCMF</t>
  </si>
  <si>
    <t>BSA</t>
  </si>
  <si>
    <t>HCMH</t>
  </si>
  <si>
    <t>HGA</t>
  </si>
  <si>
    <t>SMJP</t>
  </si>
  <si>
    <t>PBM</t>
  </si>
  <si>
    <t>HJJJ</t>
  </si>
  <si>
    <t>JUB</t>
  </si>
  <si>
    <t>FPST</t>
  </si>
  <si>
    <t>TMS</t>
  </si>
  <si>
    <t>MSLP</t>
  </si>
  <si>
    <t>SAL</t>
  </si>
  <si>
    <t>TNCM</t>
  </si>
  <si>
    <t>SXM</t>
  </si>
  <si>
    <t>OSAP</t>
  </si>
  <si>
    <t>ALP</t>
  </si>
  <si>
    <t>OSDI</t>
  </si>
  <si>
    <t>DAM</t>
  </si>
  <si>
    <t>FDSK</t>
  </si>
  <si>
    <t>SHO</t>
  </si>
  <si>
    <t>MBPV</t>
  </si>
  <si>
    <t>PLS</t>
  </si>
  <si>
    <t>FTTJ</t>
  </si>
  <si>
    <t>NDJ</t>
  </si>
  <si>
    <t>DXNG</t>
  </si>
  <si>
    <t>LRL</t>
  </si>
  <si>
    <t>DXXX</t>
  </si>
  <si>
    <t>LFW</t>
  </si>
  <si>
    <t>VTBD</t>
  </si>
  <si>
    <t>DMK</t>
  </si>
  <si>
    <t>VTBS</t>
  </si>
  <si>
    <t>BKK</t>
  </si>
  <si>
    <t>UTDD</t>
  </si>
  <si>
    <t>DYU</t>
  </si>
  <si>
    <t>UTDK</t>
  </si>
  <si>
    <t>TJU</t>
  </si>
  <si>
    <t>WPDL</t>
  </si>
  <si>
    <t>DIL</t>
  </si>
  <si>
    <t>WPOC</t>
  </si>
  <si>
    <t>OEC</t>
  </si>
  <si>
    <t>UTAA</t>
  </si>
  <si>
    <t>ASB</t>
  </si>
  <si>
    <t>UTAT</t>
  </si>
  <si>
    <t>TAZ</t>
  </si>
  <si>
    <t>DTTA</t>
  </si>
  <si>
    <t>TUN</t>
  </si>
  <si>
    <t>DTTJ</t>
  </si>
  <si>
    <t>DJE</t>
  </si>
  <si>
    <t>NFTF</t>
  </si>
  <si>
    <t>TBU</t>
  </si>
  <si>
    <t>NFTV</t>
  </si>
  <si>
    <t>VAV</t>
  </si>
  <si>
    <t>LTAC</t>
  </si>
  <si>
    <t>ESB</t>
  </si>
  <si>
    <t>LTAI</t>
  </si>
  <si>
    <t>AYT</t>
  </si>
  <si>
    <t>TTCP</t>
  </si>
  <si>
    <t>TAB</t>
  </si>
  <si>
    <t>TTPP</t>
  </si>
  <si>
    <t>POS</t>
  </si>
  <si>
    <t>RCKH</t>
  </si>
  <si>
    <t>KHH</t>
  </si>
  <si>
    <t>RCMQ</t>
  </si>
  <si>
    <t>RMQ</t>
  </si>
  <si>
    <t>HTDA</t>
  </si>
  <si>
    <t>DAR</t>
  </si>
  <si>
    <t>HTKJ</t>
  </si>
  <si>
    <t>JRO</t>
  </si>
  <si>
    <t>UKDE</t>
  </si>
  <si>
    <t>OZH</t>
  </si>
  <si>
    <t>UKFF</t>
  </si>
  <si>
    <t>SIP</t>
  </si>
  <si>
    <t>HUEN</t>
  </si>
  <si>
    <t>EBB</t>
  </si>
  <si>
    <t>KABQ</t>
  </si>
  <si>
    <t>ABQ</t>
  </si>
  <si>
    <t>KALB</t>
  </si>
  <si>
    <t>ALB</t>
  </si>
  <si>
    <t>SUMU</t>
  </si>
  <si>
    <t>MVD</t>
  </si>
  <si>
    <t>UZFN</t>
  </si>
  <si>
    <t>NMA</t>
  </si>
  <si>
    <t>UZNN</t>
  </si>
  <si>
    <t>NCU</t>
  </si>
  <si>
    <t>TVSA</t>
  </si>
  <si>
    <t>SVD</t>
  </si>
  <si>
    <t>SVBC</t>
  </si>
  <si>
    <t>BLA</t>
  </si>
  <si>
    <t>SVBM</t>
  </si>
  <si>
    <t>BRM</t>
  </si>
  <si>
    <t>TUPJ</t>
  </si>
  <si>
    <t>EIS</t>
  </si>
  <si>
    <t>TIST</t>
  </si>
  <si>
    <t>STT</t>
  </si>
  <si>
    <t>VVCI</t>
  </si>
  <si>
    <t>HPH</t>
  </si>
  <si>
    <t>VVCR</t>
  </si>
  <si>
    <t>CXR</t>
  </si>
  <si>
    <t>NVVV</t>
  </si>
  <si>
    <t>VLI</t>
  </si>
  <si>
    <t>NLWW</t>
  </si>
  <si>
    <t>WLS</t>
  </si>
  <si>
    <t>NSFA</t>
  </si>
  <si>
    <t>APW</t>
  </si>
  <si>
    <t>BKPR</t>
  </si>
  <si>
    <t>PRN</t>
  </si>
  <si>
    <t>OYAA</t>
  </si>
  <si>
    <t>ADE</t>
  </si>
  <si>
    <t>OYRN</t>
  </si>
  <si>
    <t>RIY</t>
  </si>
  <si>
    <t>FMCZ</t>
  </si>
  <si>
    <t>DZA</t>
  </si>
  <si>
    <t>FABL</t>
  </si>
  <si>
    <t>BFN</t>
  </si>
  <si>
    <t>FACT</t>
  </si>
  <si>
    <t>CPT</t>
  </si>
  <si>
    <t>FLHN</t>
  </si>
  <si>
    <t>LVI</t>
  </si>
  <si>
    <t>FLKK</t>
  </si>
  <si>
    <t>LUN</t>
  </si>
  <si>
    <t>FVFA</t>
  </si>
  <si>
    <t>VFA</t>
  </si>
  <si>
    <t>FVJN</t>
  </si>
  <si>
    <t>BUQ</t>
  </si>
  <si>
    <t>Prince Said Ibrahim International Airport</t>
  </si>
  <si>
    <t>Robert L. Bradshaw International Airport</t>
  </si>
  <si>
    <t>Pyongyang Sunan International Airport</t>
  </si>
  <si>
    <t>Muan International Airport</t>
  </si>
  <si>
    <t>Yangyang International Airport</t>
  </si>
  <si>
    <t>Kuwait International Airport</t>
  </si>
  <si>
    <t>Owen Roberts International Airport</t>
  </si>
  <si>
    <t>Almaty International Airport</t>
  </si>
  <si>
    <t>Nursultan Nazarbayev International Airport</t>
  </si>
  <si>
    <t>Luang Phabang International Airport</t>
  </si>
  <si>
    <t>Pakse International Airport</t>
  </si>
  <si>
    <t>Beirut Rafic Hariri International Airport</t>
  </si>
  <si>
    <t>Hewanorra International Airport</t>
  </si>
  <si>
    <t>Bandaranaike International Colombo Airport</t>
  </si>
  <si>
    <t>Colombo Ratmalana International Airport</t>
  </si>
  <si>
    <t>Roberts International Airport</t>
  </si>
  <si>
    <t>Moshoeshoe I International Airport</t>
  </si>
  <si>
    <t>Kaunas International Airport</t>
  </si>
  <si>
    <t>Palanga International Airport</t>
  </si>
  <si>
    <t>Luxembourg-Findel International Airport</t>
  </si>
  <si>
    <t>Liepāja International Airport</t>
  </si>
  <si>
    <t>Riga International Airport</t>
  </si>
  <si>
    <t>Sirt International Airport / Ghardabiya Airbase</t>
  </si>
  <si>
    <t>Benina International Airport</t>
  </si>
  <si>
    <t>Al Massira Airport</t>
  </si>
  <si>
    <t>Zagora Airport</t>
  </si>
  <si>
    <t>Chişinău International Airport</t>
  </si>
  <si>
    <t>Podgorica Airport</t>
  </si>
  <si>
    <t>Ivato International Airport</t>
  </si>
  <si>
    <t>Toamasina Ambalamanasy Airport</t>
  </si>
  <si>
    <t>Marshall Islands International Airport</t>
  </si>
  <si>
    <t>Ohrid St. Paul the Apostle Airport</t>
  </si>
  <si>
    <t>Skopje International Airport</t>
  </si>
  <si>
    <t>Modibo Keita International Airport</t>
  </si>
  <si>
    <t>Tombouktou Airport</t>
  </si>
  <si>
    <t>Mandalay International Airport</t>
  </si>
  <si>
    <t>Nay Pyi Taw International Airport</t>
  </si>
  <si>
    <t>Ulaanbaatar Chinggis Khaan International Airport</t>
  </si>
  <si>
    <t>Buyant-Ukhaa International Airport</t>
  </si>
  <si>
    <t>Macau International Airport</t>
  </si>
  <si>
    <t>Rota International Airport</t>
  </si>
  <si>
    <t>Martinique Aimé Césaire International Airport</t>
  </si>
  <si>
    <t>Nouakchott–Oumtounsy International Airport</t>
  </si>
  <si>
    <t>Nouadhibou International Airport</t>
  </si>
  <si>
    <t>John A. Osborne Airport</t>
  </si>
  <si>
    <t>Malta International Airport</t>
  </si>
  <si>
    <t>Sir Seewoosagur Ramgoolam International Airport</t>
  </si>
  <si>
    <t>Gan International Airport</t>
  </si>
  <si>
    <t>Hanimaadhoo International Airport</t>
  </si>
  <si>
    <t>Chileka International Airport</t>
  </si>
  <si>
    <t>Kamuzu International Airport</t>
  </si>
  <si>
    <t>General Juan N. Álvarez International Airport</t>
  </si>
  <si>
    <t>Aguascalientes International Airport</t>
  </si>
  <si>
    <t>Kuching International Airport</t>
  </si>
  <si>
    <t>Kota Kinabalu International Airport</t>
  </si>
  <si>
    <t>Beira International Airport</t>
  </si>
  <si>
    <t>Maputo Airport</t>
  </si>
  <si>
    <t>La Tontouta International Airport</t>
  </si>
  <si>
    <t>Diori Hamani International Airport</t>
  </si>
  <si>
    <t>Nnamdi Azikiwe International Airport</t>
  </si>
  <si>
    <t>Asaba International Airport</t>
  </si>
  <si>
    <t>Augusto C. Sandino International Airport</t>
  </si>
  <si>
    <t>Amsterdam Airport Schiphol</t>
  </si>
  <si>
    <t>Maastricht Aachen Airport</t>
  </si>
  <si>
    <t>Ålesund Airport</t>
  </si>
  <si>
    <t>Bodø Airport</t>
  </si>
  <si>
    <t>Gautam Buddha International Airport</t>
  </si>
  <si>
    <t>Tribhuvan International Airport</t>
  </si>
  <si>
    <t>Auckland International Airport</t>
  </si>
  <si>
    <t>Christchurch International Airport</t>
  </si>
  <si>
    <t>Duqm International Airport</t>
  </si>
  <si>
    <t>Muscat International Airport</t>
  </si>
  <si>
    <t>Tocumen International Airport</t>
  </si>
  <si>
    <t>Cap FAP David Abenzur Rengifo International Airport</t>
  </si>
  <si>
    <t>Capitán FAP José A. Quiñones González Airport</t>
  </si>
  <si>
    <t>Fa'a'ā International Airport</t>
  </si>
  <si>
    <t>Nadzab Tomodachi International Airport</t>
  </si>
  <si>
    <t>Port Moresby Jacksons International Airport</t>
  </si>
  <si>
    <t>Subic Bay International Airport</t>
  </si>
  <si>
    <t>Clark International Airport / Clark Air Base</t>
  </si>
  <si>
    <t>Faisalabad International Airport</t>
  </si>
  <si>
    <t>New Gwadar International Airport</t>
  </si>
  <si>
    <t>Gdańsk Lech Wałęsa Airport</t>
  </si>
  <si>
    <t>Kraków John Paul II International Airport</t>
  </si>
  <si>
    <t>Luis Munoz Marin International Airport</t>
  </si>
  <si>
    <t>Faro - Gago Coutinho International Airport</t>
  </si>
  <si>
    <t>Cristiano Ronaldo International Airport</t>
  </si>
  <si>
    <t>Roman Tmetuchl International Airport</t>
  </si>
  <si>
    <t>Silvio Pettirossi International Airport</t>
  </si>
  <si>
    <t>Teniente Ramon A. Ayub Gonzalez International</t>
  </si>
  <si>
    <t>Doha International Airport</t>
  </si>
  <si>
    <t>Hamad International Airport</t>
  </si>
  <si>
    <t>Roland Garros Airport</t>
  </si>
  <si>
    <t>Saint-Pierre Pierrefonds Airport</t>
  </si>
  <si>
    <t>Bacău George Enescu International Airport</t>
  </si>
  <si>
    <t>Bucharest Băneasa Aurel Vlaicu International</t>
  </si>
  <si>
    <t>Belgrade Nikola Tesla Airport</t>
  </si>
  <si>
    <t>Niš Constantine the Great Airport</t>
  </si>
  <si>
    <t>Platon Oyunsky Yakutsk International Airport</t>
  </si>
  <si>
    <t>Yelizovo Airport</t>
  </si>
  <si>
    <t>Kigali International Airport</t>
  </si>
  <si>
    <t>Abha International Airport</t>
  </si>
  <si>
    <t>Al-Ahsa International Airport</t>
  </si>
  <si>
    <t>Honiara International Airport</t>
  </si>
  <si>
    <t>Seychelles International Airport</t>
  </si>
  <si>
    <t>Port Sudan New International Airport</t>
  </si>
  <si>
    <t>Khartoum International Airport</t>
  </si>
  <si>
    <t>Göteborg Landvetter Airport</t>
  </si>
  <si>
    <t>Stockholm Skavsta Airport</t>
  </si>
  <si>
    <t>Singapore Changi Airport</t>
  </si>
  <si>
    <t>Ljubljana Jože Pučnik Airport</t>
  </si>
  <si>
    <t>M. R. Štefánik Airport</t>
  </si>
  <si>
    <t>Lungi International Airport</t>
  </si>
  <si>
    <t>Blaise Diagne International Airport</t>
  </si>
  <si>
    <t>Léopold Sédar Senghor International Airport</t>
  </si>
  <si>
    <t>Bender Qassim International Airport</t>
  </si>
  <si>
    <t>Egal International Airport</t>
  </si>
  <si>
    <t>Johan Adolf Pengel International Airport</t>
  </si>
  <si>
    <t>Juba International Airport</t>
  </si>
  <si>
    <t>São Tomé International Airport</t>
  </si>
  <si>
    <t>El Salvador International Airport</t>
  </si>
  <si>
    <t>Princess Juliana International Airport</t>
  </si>
  <si>
    <t>Aleppo International Airport</t>
  </si>
  <si>
    <t>Damascus International Airport</t>
  </si>
  <si>
    <t>King Mswati III International Airport</t>
  </si>
  <si>
    <t>Providenciales International Airport</t>
  </si>
  <si>
    <t>N'Djamena International Airport</t>
  </si>
  <si>
    <t>Niamtougou International Airport</t>
  </si>
  <si>
    <t>Lomé–Tokoin International Airport</t>
  </si>
  <si>
    <t>Don Mueang International Airport</t>
  </si>
  <si>
    <t>Suvarnabhumi Airport</t>
  </si>
  <si>
    <t>Dushanbe International Airport</t>
  </si>
  <si>
    <t>Kulob International Airport</t>
  </si>
  <si>
    <t>Presidente Nicolau Lobato International Airport</t>
  </si>
  <si>
    <t>Oecusse International Airport</t>
  </si>
  <si>
    <t>Ashgabat International Airport</t>
  </si>
  <si>
    <t>Dashoguz International Airport</t>
  </si>
  <si>
    <t>Tunis Carthage International Airport</t>
  </si>
  <si>
    <t>Djerba Zarzis International Airport</t>
  </si>
  <si>
    <t>Fua'amotu International Airport</t>
  </si>
  <si>
    <t>Vava'u International Airport</t>
  </si>
  <si>
    <t>Esenboğa International Airport</t>
  </si>
  <si>
    <t>Antalya International Airport</t>
  </si>
  <si>
    <t>A.N.R. Robinson International Airport</t>
  </si>
  <si>
    <t>Piarco International Airport</t>
  </si>
  <si>
    <t>Kaohsiung International Airport</t>
  </si>
  <si>
    <t>Taichung International Airport</t>
  </si>
  <si>
    <t>Julius Nyerere International Airport</t>
  </si>
  <si>
    <t>Kilimanjaro International Airport</t>
  </si>
  <si>
    <t>Zaporizhzhia International Airport</t>
  </si>
  <si>
    <t>Simferopol International Airport</t>
  </si>
  <si>
    <t>Entebbe International Airport</t>
  </si>
  <si>
    <t>Albuquerque International Sunport</t>
  </si>
  <si>
    <t>Albany International Airport</t>
  </si>
  <si>
    <t>Carrasco General Cesáreo L. Berisso Airport</t>
  </si>
  <si>
    <t>Namangan International Airport</t>
  </si>
  <si>
    <t>Nukus International Airport</t>
  </si>
  <si>
    <t>Argyle International Airport</t>
  </si>
  <si>
    <t>General José Antonio Anzoategui International</t>
  </si>
  <si>
    <t>Jacinto Lara International Airport</t>
  </si>
  <si>
    <t>Terrance B. Lettsome International Airport</t>
  </si>
  <si>
    <t>Cyril E. King Airport</t>
  </si>
  <si>
    <t>Cat Bi International Airport</t>
  </si>
  <si>
    <t>Cam Ranh International Airport</t>
  </si>
  <si>
    <t>Bauerfield International Airport</t>
  </si>
  <si>
    <t>Hihifo Airport</t>
  </si>
  <si>
    <t>Faleolo International Airport</t>
  </si>
  <si>
    <t>Priština Adem Jashari International Airport</t>
  </si>
  <si>
    <t>Aden International Airport</t>
  </si>
  <si>
    <t>Riyan International Airport</t>
  </si>
  <si>
    <t>Dzaoudzi Pamandzi International Airport</t>
  </si>
  <si>
    <t>Bram Fischer International Airport</t>
  </si>
  <si>
    <t>Cape Town International Airport</t>
  </si>
  <si>
    <t>Harry Mwanga Nkumbula International Airport</t>
  </si>
  <si>
    <t>Kenneth Kaunda International Airport</t>
  </si>
  <si>
    <t>Victoria Falls International Airport</t>
  </si>
  <si>
    <t>Joshua Mqabuko Nkomo International Airport</t>
  </si>
  <si>
    <t>Comoros</t>
  </si>
  <si>
    <t>Moroni</t>
  </si>
  <si>
    <t>Saint Kitts and Nevis</t>
  </si>
  <si>
    <t>Basseterre</t>
  </si>
  <si>
    <t>North Korea</t>
  </si>
  <si>
    <t>Pyongyang</t>
  </si>
  <si>
    <t>South Korea</t>
  </si>
  <si>
    <t>Muan</t>
  </si>
  <si>
    <t>Gonghang-ro</t>
  </si>
  <si>
    <t>Kuwait</t>
  </si>
  <si>
    <t>Kuwait City</t>
  </si>
  <si>
    <t>Cayman Islands</t>
  </si>
  <si>
    <t>George Town</t>
  </si>
  <si>
    <t>Kazakhstan</t>
  </si>
  <si>
    <t>Almaty</t>
  </si>
  <si>
    <t>Astana</t>
  </si>
  <si>
    <t>Laos</t>
  </si>
  <si>
    <t>Luang Phabang</t>
  </si>
  <si>
    <t>Pakse</t>
  </si>
  <si>
    <t>Lebanon</t>
  </si>
  <si>
    <t>Beirut</t>
  </si>
  <si>
    <t>Saint Lucia</t>
  </si>
  <si>
    <t>Vieux Fort</t>
  </si>
  <si>
    <t>Sri Lanka</t>
  </si>
  <si>
    <t>Colombo</t>
  </si>
  <si>
    <t>Monrovia</t>
  </si>
  <si>
    <t>Lesotho</t>
  </si>
  <si>
    <t>Maseru</t>
  </si>
  <si>
    <t>Lithuania</t>
  </si>
  <si>
    <t>Kaunas</t>
  </si>
  <si>
    <t>Palanga</t>
  </si>
  <si>
    <t>Luxembourg</t>
  </si>
  <si>
    <t>Latvia</t>
  </si>
  <si>
    <t>Liepāja</t>
  </si>
  <si>
    <t>Riga</t>
  </si>
  <si>
    <t>Libya</t>
  </si>
  <si>
    <t>Sirt</t>
  </si>
  <si>
    <t>Benina</t>
  </si>
  <si>
    <t>Morocco</t>
  </si>
  <si>
    <t>Agadir</t>
  </si>
  <si>
    <t>Zagora</t>
  </si>
  <si>
    <t>Moldova</t>
  </si>
  <si>
    <t>Chişinău</t>
  </si>
  <si>
    <t>Montenegro</t>
  </si>
  <si>
    <t>Podgorica</t>
  </si>
  <si>
    <t>Madagascar</t>
  </si>
  <si>
    <t>Antananarivo</t>
  </si>
  <si>
    <t>Toamasina</t>
  </si>
  <si>
    <t>Marshall Islands</t>
  </si>
  <si>
    <t>Majuro Atoll</t>
  </si>
  <si>
    <t>North Macedonia</t>
  </si>
  <si>
    <t>Ohrid</t>
  </si>
  <si>
    <t>Ilinden</t>
  </si>
  <si>
    <t>Mali</t>
  </si>
  <si>
    <t>Bamako</t>
  </si>
  <si>
    <t>Timbuktu</t>
  </si>
  <si>
    <t>Myanmar</t>
  </si>
  <si>
    <t>Mandalay</t>
  </si>
  <si>
    <t>Naypyitaw</t>
  </si>
  <si>
    <t>Mongolia</t>
  </si>
  <si>
    <t>Ulaanbaatar</t>
  </si>
  <si>
    <t>Macau</t>
  </si>
  <si>
    <t>Nossa Senhora do Carmo</t>
  </si>
  <si>
    <t>Northern Mariana Islands</t>
  </si>
  <si>
    <t>Rota Island</t>
  </si>
  <si>
    <t>Martinique</t>
  </si>
  <si>
    <t>Fort-de-France</t>
  </si>
  <si>
    <t>Mauritania</t>
  </si>
  <si>
    <t>Nouakchott</t>
  </si>
  <si>
    <t>Nouadhibou</t>
  </si>
  <si>
    <t>Montserrat</t>
  </si>
  <si>
    <t>Gerald's Park</t>
  </si>
  <si>
    <t>Malta</t>
  </si>
  <si>
    <t>Valletta</t>
  </si>
  <si>
    <t>Mauritius</t>
  </si>
  <si>
    <t>Plaine Magnien</t>
  </si>
  <si>
    <t>Maldives</t>
  </si>
  <si>
    <t>Gan</t>
  </si>
  <si>
    <t>Haa Dhaalu Atoll</t>
  </si>
  <si>
    <t>Blantyre</t>
  </si>
  <si>
    <t>Lumbadzi</t>
  </si>
  <si>
    <t>Mexico</t>
  </si>
  <si>
    <t>Acapulco</t>
  </si>
  <si>
    <t>Aguascalientes</t>
  </si>
  <si>
    <t>Malaysia</t>
  </si>
  <si>
    <t>Kuching</t>
  </si>
  <si>
    <t>Kota Kinabalu</t>
  </si>
  <si>
    <t>Mozambique</t>
  </si>
  <si>
    <t>Beira</t>
  </si>
  <si>
    <t>Maputo</t>
  </si>
  <si>
    <t>New Caledonia</t>
  </si>
  <si>
    <t>Nouméa</t>
  </si>
  <si>
    <t>Niger</t>
  </si>
  <si>
    <t>Niamey</t>
  </si>
  <si>
    <t>Nigeria</t>
  </si>
  <si>
    <t>Abuja</t>
  </si>
  <si>
    <t>Asaba</t>
  </si>
  <si>
    <t>Nicaragua</t>
  </si>
  <si>
    <t>Managua</t>
  </si>
  <si>
    <t>Netherlands</t>
  </si>
  <si>
    <t>Amsterdam</t>
  </si>
  <si>
    <t>Maastricht</t>
  </si>
  <si>
    <t>Norway</t>
  </si>
  <si>
    <t>Ålesund</t>
  </si>
  <si>
    <t>Bodø</t>
  </si>
  <si>
    <t>Nepal</t>
  </si>
  <si>
    <t>Siddharthanagar</t>
  </si>
  <si>
    <t>Kathmandu</t>
  </si>
  <si>
    <t>New Zealand</t>
  </si>
  <si>
    <t>Auckland</t>
  </si>
  <si>
    <t>Christchurch</t>
  </si>
  <si>
    <t>Duqm</t>
  </si>
  <si>
    <t>Muscat/Seeb</t>
  </si>
  <si>
    <t>Panama</t>
  </si>
  <si>
    <t>Tocumen</t>
  </si>
  <si>
    <t>Peru</t>
  </si>
  <si>
    <t>Pucallpa</t>
  </si>
  <si>
    <t>Chiclayo</t>
  </si>
  <si>
    <t>French Polynesia</t>
  </si>
  <si>
    <t>Papeete</t>
  </si>
  <si>
    <t>Papua New Guinea</t>
  </si>
  <si>
    <t>Lae</t>
  </si>
  <si>
    <t>Port Moresby</t>
  </si>
  <si>
    <t>Philippines</t>
  </si>
  <si>
    <t>Olongapo</t>
  </si>
  <si>
    <t>Mabalacat</t>
  </si>
  <si>
    <t>Pakistan</t>
  </si>
  <si>
    <t>Faisalabad</t>
  </si>
  <si>
    <t>Gurandani</t>
  </si>
  <si>
    <t>Poland</t>
  </si>
  <si>
    <t>Gdańsk</t>
  </si>
  <si>
    <t>Balice</t>
  </si>
  <si>
    <t>Puerto Rico</t>
  </si>
  <si>
    <t>San Juan</t>
  </si>
  <si>
    <t>Portugal</t>
  </si>
  <si>
    <t>Faro</t>
  </si>
  <si>
    <t>Funchal</t>
  </si>
  <si>
    <t>Palau</t>
  </si>
  <si>
    <t>Babelthuap Island</t>
  </si>
  <si>
    <t>Paraguay</t>
  </si>
  <si>
    <t>Asunción</t>
  </si>
  <si>
    <t>Encarnación</t>
  </si>
  <si>
    <t>Qatar</t>
  </si>
  <si>
    <t>Doha</t>
  </si>
  <si>
    <t>Réunion</t>
  </si>
  <si>
    <t>Sainte-Marie</t>
  </si>
  <si>
    <t>Saint-Pierre</t>
  </si>
  <si>
    <t>Romania</t>
  </si>
  <si>
    <t>Bacău</t>
  </si>
  <si>
    <t>Bucharest</t>
  </si>
  <si>
    <t>Serbia</t>
  </si>
  <si>
    <t>Belgrade</t>
  </si>
  <si>
    <t>Niš</t>
  </si>
  <si>
    <t>Russia</t>
  </si>
  <si>
    <t>Yakutsk</t>
  </si>
  <si>
    <t>Petropavlovsk-Kamchatsky</t>
  </si>
  <si>
    <t>Rwanda</t>
  </si>
  <si>
    <t>Kigali</t>
  </si>
  <si>
    <t>Saudi Arabia</t>
  </si>
  <si>
    <t>Abha</t>
  </si>
  <si>
    <t>Hofuf</t>
  </si>
  <si>
    <t>Solomon Islands</t>
  </si>
  <si>
    <t>Honiara</t>
  </si>
  <si>
    <t>Seychelles</t>
  </si>
  <si>
    <t>Victoria</t>
  </si>
  <si>
    <t>Sudan</t>
  </si>
  <si>
    <t>Port Sudan</t>
  </si>
  <si>
    <t>Khartoum</t>
  </si>
  <si>
    <t>Sweden</t>
  </si>
  <si>
    <t>Göteborg</t>
  </si>
  <si>
    <t>Nyköping</t>
  </si>
  <si>
    <t>Singapore</t>
  </si>
  <si>
    <t>Slovenia</t>
  </si>
  <si>
    <t>Zgornji Brnik</t>
  </si>
  <si>
    <t>Slovakia</t>
  </si>
  <si>
    <t>Bratislava</t>
  </si>
  <si>
    <t>Sierra Leone</t>
  </si>
  <si>
    <t>Freetown</t>
  </si>
  <si>
    <t>Senegal</t>
  </si>
  <si>
    <t>Dakar</t>
  </si>
  <si>
    <t>Somalia</t>
  </si>
  <si>
    <t>Bosaso</t>
  </si>
  <si>
    <t>Hargeisa</t>
  </si>
  <si>
    <t>Suriname</t>
  </si>
  <si>
    <t>Paramaribo</t>
  </si>
  <si>
    <t>South Sudan</t>
  </si>
  <si>
    <t>Juba</t>
  </si>
  <si>
    <t>São Tomé and Principe</t>
  </si>
  <si>
    <t>São Tomé</t>
  </si>
  <si>
    <t>El Salvador</t>
  </si>
  <si>
    <t>San Luis Talpa</t>
  </si>
  <si>
    <t>Sint Maarten</t>
  </si>
  <si>
    <t>Syria</t>
  </si>
  <si>
    <t>Aleppo</t>
  </si>
  <si>
    <t>Damascus</t>
  </si>
  <si>
    <t>Eswatini</t>
  </si>
  <si>
    <t>Mpaka</t>
  </si>
  <si>
    <t>Turks and Caicos Islands</t>
  </si>
  <si>
    <t>Providenciales</t>
  </si>
  <si>
    <t>Chad</t>
  </si>
  <si>
    <t>N'Djamena</t>
  </si>
  <si>
    <t>Togo</t>
  </si>
  <si>
    <t>Niamtougou</t>
  </si>
  <si>
    <t>Lomé</t>
  </si>
  <si>
    <t>Thailand</t>
  </si>
  <si>
    <t>Bangkok</t>
  </si>
  <si>
    <t>Tajikistan</t>
  </si>
  <si>
    <t>Dushanbe</t>
  </si>
  <si>
    <t>Kulob</t>
  </si>
  <si>
    <t>Timor-Leste</t>
  </si>
  <si>
    <t>Dili</t>
  </si>
  <si>
    <t>Oecussi-Ambeno</t>
  </si>
  <si>
    <t>Turkmenistan</t>
  </si>
  <si>
    <t>Ashgabat</t>
  </si>
  <si>
    <t>Daşoguz</t>
  </si>
  <si>
    <t>Tunisia</t>
  </si>
  <si>
    <t>Tunis</t>
  </si>
  <si>
    <t>Mellita</t>
  </si>
  <si>
    <t>Tonga</t>
  </si>
  <si>
    <t>Nuku'alofa</t>
  </si>
  <si>
    <t>Vava'u Island</t>
  </si>
  <si>
    <t>Turkey</t>
  </si>
  <si>
    <t>Ankara</t>
  </si>
  <si>
    <t>Antalya</t>
  </si>
  <si>
    <t>Trinidad and Tobago</t>
  </si>
  <si>
    <t>Scarborough</t>
  </si>
  <si>
    <t>Port of Spain</t>
  </si>
  <si>
    <t>Taiwan</t>
  </si>
  <si>
    <t>Kaohsiung</t>
  </si>
  <si>
    <t>Taichung</t>
  </si>
  <si>
    <t>Dar es Salaam</t>
  </si>
  <si>
    <t>Arusha</t>
  </si>
  <si>
    <t>Ukraine</t>
  </si>
  <si>
    <t>Zaporizhia</t>
  </si>
  <si>
    <t>Simferopol</t>
  </si>
  <si>
    <t>Uganda</t>
  </si>
  <si>
    <t>Entebbe</t>
  </si>
  <si>
    <t>United States</t>
  </si>
  <si>
    <t>Albuquerque</t>
  </si>
  <si>
    <t>Albany</t>
  </si>
  <si>
    <t>Uruguay</t>
  </si>
  <si>
    <t>Ciudad de la Costa</t>
  </si>
  <si>
    <t>Uzbekistan</t>
  </si>
  <si>
    <t>Namangan</t>
  </si>
  <si>
    <t>Nukus</t>
  </si>
  <si>
    <t>Saint Vincent and the Grenadines</t>
  </si>
  <si>
    <t>Kingstown</t>
  </si>
  <si>
    <t>Venezuela</t>
  </si>
  <si>
    <t>Barcelona</t>
  </si>
  <si>
    <t>Barquisimeto</t>
  </si>
  <si>
    <t>British Virgin Islands</t>
  </si>
  <si>
    <t>Beef Island</t>
  </si>
  <si>
    <t>U.S. Virgin Islands</t>
  </si>
  <si>
    <t>Charlotte Amalie</t>
  </si>
  <si>
    <t>Vietnam</t>
  </si>
  <si>
    <t>Haiphong</t>
  </si>
  <si>
    <t>Cam Ranh</t>
  </si>
  <si>
    <t>Vanuatu</t>
  </si>
  <si>
    <t>Port Vila</t>
  </si>
  <si>
    <t>Wallis and Futuna</t>
  </si>
  <si>
    <t>Wallis Island</t>
  </si>
  <si>
    <t>Samoa</t>
  </si>
  <si>
    <t>Apia</t>
  </si>
  <si>
    <t>Kosovo</t>
  </si>
  <si>
    <t>Prishtina</t>
  </si>
  <si>
    <t>Yemen</t>
  </si>
  <si>
    <t>Aden</t>
  </si>
  <si>
    <t>Mukalla</t>
  </si>
  <si>
    <t>Mayotte</t>
  </si>
  <si>
    <t>Dzaoudzi</t>
  </si>
  <si>
    <t>South Africa</t>
  </si>
  <si>
    <t>Bloemfontein</t>
  </si>
  <si>
    <t>Cape Town</t>
  </si>
  <si>
    <t>Livingstone</t>
  </si>
  <si>
    <t>Lusaka</t>
  </si>
  <si>
    <t>Zimbabwe</t>
  </si>
  <si>
    <t>Victoria Falls</t>
  </si>
  <si>
    <t>Bulawayo</t>
  </si>
  <si>
    <t>Indian/Comoro</t>
  </si>
  <si>
    <t>America/St_Kitts</t>
  </si>
  <si>
    <t>Asia/Pyongyang</t>
  </si>
  <si>
    <t>Asia/Seoul</t>
  </si>
  <si>
    <t>America/Cayman</t>
  </si>
  <si>
    <t>Asia/Qyzylorda</t>
  </si>
  <si>
    <t>Asia/Vientiane</t>
  </si>
  <si>
    <t>Asia/Beirut</t>
  </si>
  <si>
    <t>America/St_Lucia</t>
  </si>
  <si>
    <t>Asia/Colombo</t>
  </si>
  <si>
    <t>Africa/Monrovia</t>
  </si>
  <si>
    <t>Africa/Maseru</t>
  </si>
  <si>
    <t>Europe/Vilnius</t>
  </si>
  <si>
    <t>Europe/Luxembourg</t>
  </si>
  <si>
    <t>Europe/Riga</t>
  </si>
  <si>
    <t>Africa/Tripoli</t>
  </si>
  <si>
    <t>Africa/Casablanca</t>
  </si>
  <si>
    <t>Europe/Chisinau</t>
  </si>
  <si>
    <t>Europe/Podgorica</t>
  </si>
  <si>
    <t>Indian/Antananarivo</t>
  </si>
  <si>
    <t>Pacific/Majuro</t>
  </si>
  <si>
    <t>Europe/Skopje</t>
  </si>
  <si>
    <t>Africa/Bamako</t>
  </si>
  <si>
    <t>Asia/Rangoon</t>
  </si>
  <si>
    <t>Asia/Ulaanbaatar</t>
  </si>
  <si>
    <t>Asia/Macau</t>
  </si>
  <si>
    <t>Pacific/Saipan</t>
  </si>
  <si>
    <t>America/Martinique</t>
  </si>
  <si>
    <t>Africa/Nouakchott</t>
  </si>
  <si>
    <t>America/Montserrat</t>
  </si>
  <si>
    <t>Europe/Malta</t>
  </si>
  <si>
    <t>Indian/Mauritius</t>
  </si>
  <si>
    <t>Indian/Maldives</t>
  </si>
  <si>
    <t>Africa/Blantyre</t>
  </si>
  <si>
    <t>America/Mexico_City</t>
  </si>
  <si>
    <t>Asia/Kuala_Lumpur</t>
  </si>
  <si>
    <t>Africa/Maputo</t>
  </si>
  <si>
    <t>Pacific/Noumea</t>
  </si>
  <si>
    <t>Africa/Niamey</t>
  </si>
  <si>
    <t>Africa/Lagos</t>
  </si>
  <si>
    <t>America/Managua</t>
  </si>
  <si>
    <t>Europe/Amsterdam</t>
  </si>
  <si>
    <t>Europe/Oslo</t>
  </si>
  <si>
    <t>Asia/Katmandu</t>
  </si>
  <si>
    <t>Pacific/Auckland</t>
  </si>
  <si>
    <t>America/Panama</t>
  </si>
  <si>
    <t>America/Lima</t>
  </si>
  <si>
    <t>Pacific/Tahiti</t>
  </si>
  <si>
    <t>Pacific/Port_Moresby</t>
  </si>
  <si>
    <t>Asia/Manila</t>
  </si>
  <si>
    <t>Asia/Karachi</t>
  </si>
  <si>
    <t>Europe/Warsaw</t>
  </si>
  <si>
    <t>America/Puerto_Rico</t>
  </si>
  <si>
    <t>Europe/Lisbon</t>
  </si>
  <si>
    <t>Pacific/Palau</t>
  </si>
  <si>
    <t>America/Asuncion</t>
  </si>
  <si>
    <t>Asia/Qatar</t>
  </si>
  <si>
    <t>Indian/Reunion</t>
  </si>
  <si>
    <t>Europe/Bucharest</t>
  </si>
  <si>
    <t>Europe/Belgrade</t>
  </si>
  <si>
    <t>Asia/Yakutsk</t>
  </si>
  <si>
    <t>Asia/Anadyr</t>
  </si>
  <si>
    <t>Africa/Kigali</t>
  </si>
  <si>
    <t>Asia/Riyadh</t>
  </si>
  <si>
    <t>Pacific/Guadalcanal</t>
  </si>
  <si>
    <t>Indian/Mahe</t>
  </si>
  <si>
    <t>Africa/Khartoum</t>
  </si>
  <si>
    <t>Europe/Stockholm</t>
  </si>
  <si>
    <t>Asia/Singapore</t>
  </si>
  <si>
    <t>Europe/Ljubljana</t>
  </si>
  <si>
    <t>Europe/Bratislava</t>
  </si>
  <si>
    <t>Africa/Freetown</t>
  </si>
  <si>
    <t>Africa/Dakar</t>
  </si>
  <si>
    <t>Africa/Mogadishu</t>
  </si>
  <si>
    <t>America/Paramaribo</t>
  </si>
  <si>
    <t>Africa/Sao_Tome</t>
  </si>
  <si>
    <t>America/El_Salvador</t>
  </si>
  <si>
    <t>Asia/Damascus</t>
  </si>
  <si>
    <t>America/Grand_Turk</t>
  </si>
  <si>
    <t>Africa/Ndjamena</t>
  </si>
  <si>
    <t>Africa/Lome</t>
  </si>
  <si>
    <t>Asia/Bangkok</t>
  </si>
  <si>
    <t>Asia/Dushanbe</t>
  </si>
  <si>
    <t>Asia/Dili</t>
  </si>
  <si>
    <t>Asia/Ashgabat</t>
  </si>
  <si>
    <t>Africa/Tunis</t>
  </si>
  <si>
    <t>Pacific/Tongatapu</t>
  </si>
  <si>
    <t>Europe/Istanbul</t>
  </si>
  <si>
    <t>America/Port_of_Spain</t>
  </si>
  <si>
    <t>Asia/Taipei</t>
  </si>
  <si>
    <t>Africa/Dar_es_Salaam</t>
  </si>
  <si>
    <t>Europe/Kiev</t>
  </si>
  <si>
    <t>Europe/Simferopol</t>
  </si>
  <si>
    <t>Africa/Kampala</t>
  </si>
  <si>
    <t>America/Denver</t>
  </si>
  <si>
    <t>America/New_York</t>
  </si>
  <si>
    <t>America/Montevideo</t>
  </si>
  <si>
    <t>America/St_Vincent</t>
  </si>
  <si>
    <t>America/Caracas</t>
  </si>
  <si>
    <t>America/Tortola</t>
  </si>
  <si>
    <t>America/St_Thomas</t>
  </si>
  <si>
    <t>Asia/Saigon</t>
  </si>
  <si>
    <t>Pacific/Efate</t>
  </si>
  <si>
    <t>Pacific/Wallis</t>
  </si>
  <si>
    <t>Pacific/Apia</t>
  </si>
  <si>
    <t>Asia/Aden</t>
  </si>
  <si>
    <t>Indian/Mayotte</t>
  </si>
  <si>
    <t>Africa/Johannesburg</t>
  </si>
  <si>
    <t>Africa/Harare</t>
  </si>
  <si>
    <t>02/20 2,900x45m ASP</t>
  </si>
  <si>
    <t>07/25 2,317x45m ASP</t>
  </si>
  <si>
    <t>17/35 3,502x70m CON</t>
  </si>
  <si>
    <t>15/33 2,500x45m CON</t>
  </si>
  <si>
    <t>15L/33R 3,500x45m ASP; 15R/33L 3,400x45m CON; 16/34 4,580x60m ASP</t>
  </si>
  <si>
    <t>08/26 2,398x45m ASP</t>
  </si>
  <si>
    <t>05L/23R 4,500x45m ASP; 05R/23L 4,400x45m ASP</t>
  </si>
  <si>
    <t>04/22 3,500x45m ASP</t>
  </si>
  <si>
    <t>06/24 2,500x45m ASP</t>
  </si>
  <si>
    <t>15/33 2,400x45m CON</t>
  </si>
  <si>
    <t>03/21 3,800x45m CON; 16/34 3,395x45m CON; 17/35 3,250x60m ASP</t>
  </si>
  <si>
    <t>04/22 3,350x45m ASP</t>
  </si>
  <si>
    <t>04/22 1,833x30m ASP</t>
  </si>
  <si>
    <t>04/22 3,353x46m ASP</t>
  </si>
  <si>
    <t>04/22 3,200x45m ASP</t>
  </si>
  <si>
    <t>08/26 3,250x45m ASP</t>
  </si>
  <si>
    <t>01/19 2,280x45m ASP</t>
  </si>
  <si>
    <t>06/24 4,000x45m ASP</t>
  </si>
  <si>
    <t>06/24 2,002x40m ASP</t>
  </si>
  <si>
    <t>18/36 3,200x45m ASP</t>
  </si>
  <si>
    <t>13/31 3,599x45m ASP; 18/36 3,599x45m ASP</t>
  </si>
  <si>
    <t>15L/33R 3,576x45m ASP; 15R/33L 3,576x45m ASP</t>
  </si>
  <si>
    <t>09/27 3,200x45m ASP</t>
  </si>
  <si>
    <t>08/26 3,590x45m CON</t>
  </si>
  <si>
    <t>18/36 2,500x45m ASP</t>
  </si>
  <si>
    <t>11/29 3,100x45m ASP</t>
  </si>
  <si>
    <t>01/19 2,200x40m ASP</t>
  </si>
  <si>
    <t>07/25 2,407x46m ASP</t>
  </si>
  <si>
    <t>01/19 2,550x45m ASP</t>
  </si>
  <si>
    <t>16/34 2,950x45m ASP</t>
  </si>
  <si>
    <t>06/24 3,200x45m ASP</t>
  </si>
  <si>
    <t>07/25 2,110x30m ASP</t>
  </si>
  <si>
    <t>17/35 4,268x61m CON</t>
  </si>
  <si>
    <t>16/34 3,658x152m CON</t>
  </si>
  <si>
    <t>11/29 3,600x45m ASP</t>
  </si>
  <si>
    <t>14/32 3,100x60m ASP</t>
  </si>
  <si>
    <t>16/34 3,214x45m CON</t>
  </si>
  <si>
    <t>10/28 3,000x45m ASP</t>
  </si>
  <si>
    <t>06/24 2,400x45m CON; 16/34 3,400x60m CON</t>
  </si>
  <si>
    <t>02/20 2,427x45m ASP</t>
  </si>
  <si>
    <t>10/28 ASP</t>
  </si>
  <si>
    <t>05/23 2,373x45m ASP; 13/31 3,350x58m ASP</t>
  </si>
  <si>
    <t>14/32 3,370x45m ASP</t>
  </si>
  <si>
    <t>10/28 3,658x50m CON</t>
  </si>
  <si>
    <t>03/21 2,465x45m ASP</t>
  </si>
  <si>
    <t>10/28 2,325x30m ASP</t>
  </si>
  <si>
    <t>14/32 3,540x45m ASP</t>
  </si>
  <si>
    <t>10/28 3,302x45m CON</t>
  </si>
  <si>
    <t>18/36 3,000x45m ASP</t>
  </si>
  <si>
    <t>07/25 3,780x46m ASP</t>
  </si>
  <si>
    <t>02/20 3,780x45m ASP</t>
  </si>
  <si>
    <t>12/30 2,400x45m ASP</t>
  </si>
  <si>
    <t>05/23 3,660x45m ASP</t>
  </si>
  <si>
    <t>11/29 3,250x45m ASP</t>
  </si>
  <si>
    <t>09R/27L 3,000x45m BIT</t>
  </si>
  <si>
    <t>04/22 3,609x60m ASP</t>
  </si>
  <si>
    <t>11/29 3,400x58m ASP</t>
  </si>
  <si>
    <t>10/28 2,442x45m ASP</t>
  </si>
  <si>
    <t>06/24 3,439x45m ASP; 09/27 3,453x45m ASP; 18R/36L 3,800x60m ASP</t>
  </si>
  <si>
    <t>03/21 2,750x45m ASP</t>
  </si>
  <si>
    <t>06/24 2,314x45m ASP</t>
  </si>
  <si>
    <t>07/25 2,794x45m CON</t>
  </si>
  <si>
    <t>02/20 3,350x45m ASP</t>
  </si>
  <si>
    <t>05R/23L 3,635x45m CON</t>
  </si>
  <si>
    <t>02/20 3,288x45m ASP</t>
  </si>
  <si>
    <t>04/22 4,000x60m CON</t>
  </si>
  <si>
    <t>08L/26R 4,000x60m ASP; 08R/26L 4,080x45m ASP</t>
  </si>
  <si>
    <t>03L/21R 2,682x61m ASP; 03R/21L 3,050x45m CON</t>
  </si>
  <si>
    <t>02/20 2,800x45m ASP</t>
  </si>
  <si>
    <t>01/19 2,519x45m ASP</t>
  </si>
  <si>
    <t>04/22 3,463x45m ASP</t>
  </si>
  <si>
    <t>09/27 2,438x45m ASP</t>
  </si>
  <si>
    <t>14L/32R 2,750x45m ASP</t>
  </si>
  <si>
    <t>02R/20L 3,200x60m CON</t>
  </si>
  <si>
    <t>03R/21L 2,842x46m ASP</t>
  </si>
  <si>
    <t>07/25 3,658x45m CON</t>
  </si>
  <si>
    <t>11/29 2,800x45m ASP</t>
  </si>
  <si>
    <t>07/25 2,550x60m CON</t>
  </si>
  <si>
    <t>08/26 3,049x61m ASP; 10/28 2,443x46m CON</t>
  </si>
  <si>
    <t>10/28 2,490x45m ASP</t>
  </si>
  <si>
    <t>05/23 2,777x45m ASP</t>
  </si>
  <si>
    <t>09/27 2,195x46m ASP</t>
  </si>
  <si>
    <t>02/20 3,352x45m ASP</t>
  </si>
  <si>
    <t>02/20 2,200x45m ASP</t>
  </si>
  <si>
    <t>15/33 4,572x46m ASP</t>
  </si>
  <si>
    <t>16L/34R 4,850x60m ASP; 16R/34L 4,250x60m ASP</t>
  </si>
  <si>
    <t>12/30 3,200x45m ASP</t>
  </si>
  <si>
    <t>15/33 2,134x46m ASP</t>
  </si>
  <si>
    <t>16/34 2,500x80m CON</t>
  </si>
  <si>
    <t>07/25 3,200x45m CON</t>
  </si>
  <si>
    <t>12L/30R 3,400x45m ASP; 12R/30L 3,500x45m ASP</t>
  </si>
  <si>
    <t>11/29 2,500x45m ASP</t>
  </si>
  <si>
    <t>05R/23L 3,400x60m CON</t>
  </si>
  <si>
    <t>16R/34L 3,400x45m CON</t>
  </si>
  <si>
    <t>10/28 3,500x45m ASP</t>
  </si>
  <si>
    <t>13/31 3,350x45m ASP</t>
  </si>
  <si>
    <t>16/34 3,060x45m ASP</t>
  </si>
  <si>
    <t>06/24 2,200x45m ASP</t>
  </si>
  <si>
    <t>13/31 2,987x46m CON</t>
  </si>
  <si>
    <t>18/36 2,972x45m ASP</t>
  </si>
  <si>
    <t>03/21 3,299x45m ASP</t>
  </si>
  <si>
    <t>08/26 2,878x45m ASP</t>
  </si>
  <si>
    <t>02C/20C 4,000x60m PEM; 02L/20R 4,000x60m PEM</t>
  </si>
  <si>
    <t>12/30 3,300x45m ASP</t>
  </si>
  <si>
    <t>13/31 3,190x45m CON</t>
  </si>
  <si>
    <t>12/30 3,200x46m ASP</t>
  </si>
  <si>
    <t>01/19 3,500x60m ASP</t>
  </si>
  <si>
    <t>18/36 3,490x45m ASP</t>
  </si>
  <si>
    <t>09/27 2,400x45m ASP</t>
  </si>
  <si>
    <t>06/24 3,700x45m ASP</t>
  </si>
  <si>
    <t>11/29 3,480x45m ASP</t>
  </si>
  <si>
    <t>13/31 3,100x45m ASP</t>
  </si>
  <si>
    <t>11/29 2,220x45m ASP</t>
  </si>
  <si>
    <t>07/25 3,200x45m ASP</t>
  </si>
  <si>
    <t>10/28 2,300x45m ASP</t>
  </si>
  <si>
    <t>09/27 2,910x45m ASP</t>
  </si>
  <si>
    <t>05R/23L 3,600x45m ASP</t>
  </si>
  <si>
    <t>02/20 3,600x60m ASP</t>
  </si>
  <si>
    <t>10/28 2,804x45m ASP</t>
  </si>
  <si>
    <t>05/23 2,800x45m ASP</t>
  </si>
  <si>
    <t>03/21 2,500x45m CON</t>
  </si>
  <si>
    <t>04/22 3,001x45m ASP</t>
  </si>
  <si>
    <t>03L/21R 3,700x60m ASP; 03R/21L 3,500x45m ASP</t>
  </si>
  <si>
    <t>01/19 4,000x60m ASP; 02L/20R 4,000x60m ASP; 02R/20L 3,700x60m ASP</t>
  </si>
  <si>
    <t>01/19 3,000x42m ASP</t>
  </si>
  <si>
    <t>08/26 1,849x30m ASP</t>
  </si>
  <si>
    <t>09/27 2,200x45m ASP</t>
  </si>
  <si>
    <t>11L/29R 3,800x45m CON; 11R/29L 3,800x60m CON</t>
  </si>
  <si>
    <t>08/26 3,800x45m CON</t>
  </si>
  <si>
    <t>01/19 3,200x45m ASP; 11/29 2,840x45m ASP</t>
  </si>
  <si>
    <t>11/29 2,681x45m ASP</t>
  </si>
  <si>
    <t>08/26 1,705x30m BIT</t>
  </si>
  <si>
    <t>03L/21R 3,750x45m ASP; 03R/21L 3,750x60m ASP</t>
  </si>
  <si>
    <t>18C/36C 3,400x45m CON; 18L/36R 3,400x45m CON</t>
  </si>
  <si>
    <t>11/29 2,744x48m ASP</t>
  </si>
  <si>
    <t>10/28 3,200x46m ASP</t>
  </si>
  <si>
    <t>09/27 3,150x60m CON</t>
  </si>
  <si>
    <t>18/36 3,658x45m CON</t>
  </si>
  <si>
    <t>05/23 3,000x46m ASP</t>
  </si>
  <si>
    <t>09/27 3,600x45m ASP</t>
  </si>
  <si>
    <t>02/20 2,502x42m CON</t>
  </si>
  <si>
    <t>01L/19R 3,701x60m CON</t>
  </si>
  <si>
    <t>12/30 2,408x46m ASP; 17/35 3,658x46m ASP</t>
  </si>
  <si>
    <t>03/21 3,048x46m CON; 08/26 4,204x46m CON</t>
  </si>
  <si>
    <t>01/19 2,591x46m ASP; 10/28 2,195x46m ASP</t>
  </si>
  <si>
    <t>01/19 2,250x45m PEM; 07/25 3,200x45m PEM</t>
  </si>
  <si>
    <t>10/28 3,261x49m ASP</t>
  </si>
  <si>
    <t>15/33 3,007x45m CON</t>
  </si>
  <si>
    <t>04/22 2,743x45m ASP</t>
  </si>
  <si>
    <t>15/33 3,000x40m ASP</t>
  </si>
  <si>
    <t>09/27 2,850x45m ASP</t>
  </si>
  <si>
    <t>07/25 1,415x27m ASP</t>
  </si>
  <si>
    <t>10/28 2,134x46m ASP</t>
  </si>
  <si>
    <t>07/25 3,050x50m ASP</t>
  </si>
  <si>
    <t>02L/20R 3,048x45m CON; 02R/20L 3,048x46m CON</t>
  </si>
  <si>
    <t>11/29 2,600x45m ASP</t>
  </si>
  <si>
    <t>08/26 2,100x45m ASP</t>
  </si>
  <si>
    <t>08/26 3,000x45m ASP</t>
  </si>
  <si>
    <t>17/35 3,040x45m ASP</t>
  </si>
  <si>
    <t>08/26 3,100x45m ASP</t>
  </si>
  <si>
    <t>06/24 3,000x45m ASP</t>
  </si>
  <si>
    <t>16/34 1,929x28m ASP</t>
  </si>
  <si>
    <t>02/20 2,559x46m ASP</t>
  </si>
  <si>
    <t>01/19 3,201x61m ASP</t>
  </si>
  <si>
    <t>10/28 3,000x46m ASP</t>
  </si>
  <si>
    <t>10/28 3,962x46m ASP</t>
  </si>
  <si>
    <t>12/30 4,000x45m ASP</t>
  </si>
  <si>
    <t>13/31 2,588x45m ASP</t>
  </si>
  <si>
    <t>Document root path</t>
  </si>
  <si>
    <t>C:\Backups\InsiderTechSol\Aviation\Jetelio_v3\.LAYOUT\resources</t>
  </si>
  <si>
    <t>vendor_id</t>
  </si>
  <si>
    <t>company_name</t>
  </si>
  <si>
    <t>legal_name</t>
  </si>
  <si>
    <t>tax_id_vat</t>
  </si>
  <si>
    <t>website</t>
  </si>
  <si>
    <t>account_type</t>
  </si>
  <si>
    <t>credit_rating_status</t>
  </si>
  <si>
    <t>is_active</t>
  </si>
  <si>
    <t>primary_contact</t>
  </si>
  <si>
    <t>email</t>
  </si>
  <si>
    <t>phone_24_7</t>
  </si>
  <si>
    <t>sita_address</t>
  </si>
  <si>
    <t>aftn_address</t>
  </si>
  <si>
    <t>payment_terms</t>
  </si>
  <si>
    <t>currency</t>
  </si>
  <si>
    <t>notes</t>
  </si>
  <si>
    <t>created_at</t>
  </si>
  <si>
    <t>updated_at</t>
  </si>
  <si>
    <t>description</t>
  </si>
  <si>
    <t>lead_time_hours</t>
  </si>
  <si>
    <t>days_to_expiry</t>
  </si>
  <si>
    <t>id</t>
  </si>
  <si>
    <t>icao_code</t>
  </si>
  <si>
    <t>is_primary_handler</t>
  </si>
  <si>
    <t>fbo_facility_name</t>
  </si>
  <si>
    <t>vhf_frequency</t>
  </si>
  <si>
    <t>airport_name_lookup</t>
  </si>
  <si>
    <t>country_iso_code</t>
  </si>
  <si>
    <t>has_caa_direct_account</t>
  </si>
  <si>
    <t>service_scope</t>
  </si>
  <si>
    <t>country_name_lookup</t>
  </si>
  <si>
    <t>country_id</t>
  </si>
  <si>
    <t>country_name</t>
  </si>
  <si>
    <t>iso_alpha2</t>
  </si>
  <si>
    <t>iso_alpha3</t>
  </si>
  <si>
    <t>calling_code</t>
  </si>
  <si>
    <t>civil_aviation_authority</t>
  </si>
  <si>
    <t>overflight_permit_required</t>
  </si>
  <si>
    <t>landing_permit_required</t>
  </si>
  <si>
    <t>standard_lead_time_hours</t>
  </si>
  <si>
    <t>region</t>
  </si>
  <si>
    <t>SVC-01</t>
  </si>
  <si>
    <t>Ground Handling</t>
  </si>
  <si>
    <t>Ramp, passenger and aircraft servicing at the station</t>
  </si>
  <si>
    <t>SVC-02</t>
  </si>
  <si>
    <t>Regulatory clearances filed with the state CAA</t>
  </si>
  <si>
    <t>SVC-03</t>
  </si>
  <si>
    <t>FUL</t>
  </si>
  <si>
    <t>Uplift, release and defueling</t>
  </si>
  <si>
    <t>SVC-04</t>
  </si>
  <si>
    <t>CAT</t>
  </si>
  <si>
    <t>Crew, VIP and bonded stores</t>
  </si>
  <si>
    <t>SVC-05</t>
  </si>
  <si>
    <t>Navigation &amp; Enroute Charges</t>
  </si>
  <si>
    <t>NAV</t>
  </si>
  <si>
    <t>Enroute and terminal navigation charge handling</t>
  </si>
  <si>
    <t>SVC-06</t>
  </si>
  <si>
    <t>Slots, PPR &amp; Parking</t>
  </si>
  <si>
    <t>SLT</t>
  </si>
  <si>
    <t>Airport slot, PPR and stand allocation</t>
  </si>
  <si>
    <t>SVC-07</t>
  </si>
  <si>
    <t>SEC</t>
  </si>
  <si>
    <t>Aircraft guarding, screening and risk assessment</t>
  </si>
  <si>
    <t>SVC-08</t>
  </si>
  <si>
    <t>Crew Services</t>
  </si>
  <si>
    <t>CRW</t>
  </si>
  <si>
    <t>HOTAC, transport, visas and immigration liaison</t>
  </si>
  <si>
    <t>SVC-09</t>
  </si>
  <si>
    <t>Flight Planning &amp; Dispatch</t>
  </si>
  <si>
    <t>FPL</t>
  </si>
  <si>
    <t>OFP, weather, NOTAM and ATC filing</t>
  </si>
  <si>
    <t>SVC-10</t>
  </si>
  <si>
    <t>Maintenance</t>
  </si>
  <si>
    <t>MRO</t>
  </si>
  <si>
    <t>Line maintenance, AOG and parts logistics</t>
  </si>
  <si>
    <t>SVC-11</t>
  </si>
  <si>
    <t>Medical &amp; Medevac</t>
  </si>
  <si>
    <t>MED</t>
  </si>
  <si>
    <t>Medevac coordination and patient transfer</t>
  </si>
  <si>
    <t>SVC-12</t>
  </si>
  <si>
    <t>Customs &amp; Immigration</t>
  </si>
  <si>
    <t>CIQ</t>
  </si>
  <si>
    <t>Clearance, facilitation and health/quarantine</t>
  </si>
  <si>
    <t>SS-001</t>
  </si>
  <si>
    <t>Ramp Handling</t>
  </si>
  <si>
    <t>GH-RMP</t>
  </si>
  <si>
    <t>Marshalling, chocks, GPU, ASU, towing</t>
  </si>
  <si>
    <t>SS-002</t>
  </si>
  <si>
    <t>Passenger &amp; VIP Lounge</t>
  </si>
  <si>
    <t>GH-LNG</t>
  </si>
  <si>
    <t>Terminal or FBO lounge access</t>
  </si>
  <si>
    <t>SS-003</t>
  </si>
  <si>
    <t>Crew &amp; Passenger Transport</t>
  </si>
  <si>
    <t>GH-TRP</t>
  </si>
  <si>
    <t>Airside and landside transfers</t>
  </si>
  <si>
    <t>SS-004</t>
  </si>
  <si>
    <t>Lavatory &amp; Potable Water</t>
  </si>
  <si>
    <t>GH-LAV</t>
  </si>
  <si>
    <t>SS-005</t>
  </si>
  <si>
    <t>De-icing / Anti-icing</t>
  </si>
  <si>
    <t>GH-DIC</t>
  </si>
  <si>
    <t>Seasonal, Type I-IV fluids</t>
  </si>
  <si>
    <t>SS-006</t>
  </si>
  <si>
    <t>Cargo &amp; Baggage Handling</t>
  </si>
  <si>
    <t>GH-CGO</t>
  </si>
  <si>
    <t>SS-007</t>
  </si>
  <si>
    <t>Hangarage &amp; Parking</t>
  </si>
  <si>
    <t>GH-HGR</t>
  </si>
  <si>
    <t>Overnight and long-stay</t>
  </si>
  <si>
    <t>SS-008</t>
  </si>
  <si>
    <t>Overflight Permit</t>
  </si>
  <si>
    <t>PRM-OVF</t>
  </si>
  <si>
    <t>Standard enroute clearance</t>
  </si>
  <si>
    <t>SS-009</t>
  </si>
  <si>
    <t>Landing Permit</t>
  </si>
  <si>
    <t>PRM-LND</t>
  </si>
  <si>
    <t>Standard landing clearance</t>
  </si>
  <si>
    <t>SS-010</t>
  </si>
  <si>
    <t>Short-Notice Landing Permit</t>
  </si>
  <si>
    <t>PRM-LND-EMG</t>
  </si>
  <si>
    <t>Filed inside standard lead time</t>
  </si>
  <si>
    <t>SS-011</t>
  </si>
  <si>
    <t>Diplomatic Clearance</t>
  </si>
  <si>
    <t>PRM-DIP</t>
  </si>
  <si>
    <t>State/VIP and government aircraft</t>
  </si>
  <si>
    <t>SS-012</t>
  </si>
  <si>
    <t>Ambulance / Medevac Permit</t>
  </si>
  <si>
    <t>PRM-AMB</t>
  </si>
  <si>
    <t>Priority handling</t>
  </si>
  <si>
    <t>SS-013</t>
  </si>
  <si>
    <t>Charter / Traffic Right Approval</t>
  </si>
  <si>
    <t>PRM-CHT</t>
  </si>
  <si>
    <t>Commercial charter authorisation</t>
  </si>
  <si>
    <t>SS-014</t>
  </si>
  <si>
    <t>Cabotage Approval</t>
  </si>
  <si>
    <t>PRM-CAB</t>
  </si>
  <si>
    <t>Domestic sector on foreign registration</t>
  </si>
  <si>
    <t>SS-015</t>
  </si>
  <si>
    <t>Dangerous Goods / Special Cargo Permit</t>
  </si>
  <si>
    <t>PRM-DGR</t>
  </si>
  <si>
    <t>SS-016</t>
  </si>
  <si>
    <t>Block / Annual Permit</t>
  </si>
  <si>
    <t>PRM-BLK</t>
  </si>
  <si>
    <t>Multi-movement standing approval</t>
  </si>
  <si>
    <t>SS-017</t>
  </si>
  <si>
    <t>Jet A-1 Uplift</t>
  </si>
  <si>
    <t>FUL-JTA</t>
  </si>
  <si>
    <t>SS-018</t>
  </si>
  <si>
    <t>AVGAS 100LL Uplift</t>
  </si>
  <si>
    <t>FUL-AVG</t>
  </si>
  <si>
    <t>SS-019</t>
  </si>
  <si>
    <t>Fuel Release / Carnet</t>
  </si>
  <si>
    <t>FUL-REL</t>
  </si>
  <si>
    <t>Third-party release against card or contract</t>
  </si>
  <si>
    <t>SS-020</t>
  </si>
  <si>
    <t>Defueling</t>
  </si>
  <si>
    <t>FUL-DEF</t>
  </si>
  <si>
    <t>SS-021</t>
  </si>
  <si>
    <t>Crew Catering</t>
  </si>
  <si>
    <t>CAT-CRW</t>
  </si>
  <si>
    <t>SS-022</t>
  </si>
  <si>
    <t>VIP / Premium Catering</t>
  </si>
  <si>
    <t>CAT-VIP</t>
  </si>
  <si>
    <t>SS-023</t>
  </si>
  <si>
    <t>Special Dietary (Halal/Kosher/Allergen)</t>
  </si>
  <si>
    <t>CAT-SPL</t>
  </si>
  <si>
    <t>SS-024</t>
  </si>
  <si>
    <t>Bonded Stores &amp; Duty-Free</t>
  </si>
  <si>
    <t>CAT-BND</t>
  </si>
  <si>
    <t>SS-025</t>
  </si>
  <si>
    <t>Enroute Navigation Charges</t>
  </si>
  <si>
    <t>NAV-ENR</t>
  </si>
  <si>
    <t>SS-026</t>
  </si>
  <si>
    <t>Terminal Navigation Charges</t>
  </si>
  <si>
    <t>NAV-TRM</t>
  </si>
  <si>
    <t>SS-027</t>
  </si>
  <si>
    <t>Charge Settlement &amp; Reconciliation</t>
  </si>
  <si>
    <t>NAV-STL</t>
  </si>
  <si>
    <t>Payment on behalf of operator</t>
  </si>
  <si>
    <t>SS-028</t>
  </si>
  <si>
    <t>Airport Slot Request</t>
  </si>
  <si>
    <t>SLT-SLT</t>
  </si>
  <si>
    <t>Level 2/3 coordinated airports</t>
  </si>
  <si>
    <t>SS-029</t>
  </si>
  <si>
    <t>PPR Request</t>
  </si>
  <si>
    <t>SLT-PPR</t>
  </si>
  <si>
    <t>Prior permission required</t>
  </si>
  <si>
    <t>SS-030</t>
  </si>
  <si>
    <t>Stand / Parking Allocation</t>
  </si>
  <si>
    <t>SLT-STD</t>
  </si>
  <si>
    <t>SS-031</t>
  </si>
  <si>
    <t>Curfew / Night Dispensation</t>
  </si>
  <si>
    <t>SLT-CUR</t>
  </si>
  <si>
    <t>SS-032</t>
  </si>
  <si>
    <t>Aircraft Guarding</t>
  </si>
  <si>
    <t>SEC-GRD</t>
  </si>
  <si>
    <t>Static guard, 24h or overnight</t>
  </si>
  <si>
    <t>SS-033</t>
  </si>
  <si>
    <t>Executive Protection</t>
  </si>
  <si>
    <t>SEC-EP</t>
  </si>
  <si>
    <t>Close protection for principals</t>
  </si>
  <si>
    <t>SS-034</t>
  </si>
  <si>
    <t>Passenger &amp; Baggage Screening</t>
  </si>
  <si>
    <t>SEC-SCR</t>
  </si>
  <si>
    <t>SS-035</t>
  </si>
  <si>
    <t>Security Risk Assessment</t>
  </si>
  <si>
    <t>SEC-RSK</t>
  </si>
  <si>
    <t>Station threat brief</t>
  </si>
  <si>
    <t>SS-036</t>
  </si>
  <si>
    <t>Hotel Accommodation (HOTAC)</t>
  </si>
  <si>
    <t>CRW-HTL</t>
  </si>
  <si>
    <t>SS-037</t>
  </si>
  <si>
    <t>Crew Visa &amp; Documentation</t>
  </si>
  <si>
    <t>CRW-VIS</t>
  </si>
  <si>
    <t>SS-038</t>
  </si>
  <si>
    <t>Immigration Liaison</t>
  </si>
  <si>
    <t>CRW-IMM</t>
  </si>
  <si>
    <t>SS-039</t>
  </si>
  <si>
    <t>OFP &amp; Flight Plan Filing</t>
  </si>
  <si>
    <t>FPL-OFP</t>
  </si>
  <si>
    <t>SS-040</t>
  </si>
  <si>
    <t>Weather &amp; NOTAM Briefing</t>
  </si>
  <si>
    <t>FPL-WXN</t>
  </si>
  <si>
    <t>SS-041</t>
  </si>
  <si>
    <t>Alternate &amp; Fuel Analysis</t>
  </si>
  <si>
    <t>FPL-ALT</t>
  </si>
  <si>
    <t>SS-042</t>
  </si>
  <si>
    <t>ATC Slot / CTOT Coordination</t>
  </si>
  <si>
    <t>FPL-CTO</t>
  </si>
  <si>
    <t>SS-043</t>
  </si>
  <si>
    <t>Line Maintenance</t>
  </si>
  <si>
    <t>MRO-LIN</t>
  </si>
  <si>
    <t>Transit and daily checks</t>
  </si>
  <si>
    <t>SS-044</t>
  </si>
  <si>
    <t>AOG Support</t>
  </si>
  <si>
    <t>MRO-AOG</t>
  </si>
  <si>
    <t>SS-045</t>
  </si>
  <si>
    <t>Parts Logistics &amp; Customs</t>
  </si>
  <si>
    <t>MRO-PRT</t>
  </si>
  <si>
    <t>SS-046</t>
  </si>
  <si>
    <t>Medevac Coordination</t>
  </si>
  <si>
    <t>MED-CRD</t>
  </si>
  <si>
    <t>SS-047</t>
  </si>
  <si>
    <t>Ambulance Transfer</t>
  </si>
  <si>
    <t>MED-AMB</t>
  </si>
  <si>
    <t>SS-048</t>
  </si>
  <si>
    <t>Medical Escort / Doctor on Board</t>
  </si>
  <si>
    <t>MED-ESC</t>
  </si>
  <si>
    <t>SS-049</t>
  </si>
  <si>
    <t>Customs Clearance</t>
  </si>
  <si>
    <t>CIQ-CUS</t>
  </si>
  <si>
    <t>SS-050</t>
  </si>
  <si>
    <t>Immigration Facilitation</t>
  </si>
  <si>
    <t>CIQ-IMM</t>
  </si>
  <si>
    <t>SS-051</t>
  </si>
  <si>
    <t>Visa on Arrival Support</t>
  </si>
  <si>
    <t>CIQ-VOA</t>
  </si>
  <si>
    <t>SS-052</t>
  </si>
  <si>
    <t>Health / Quarantine Clearance</t>
  </si>
  <si>
    <t>CIQ-HLT</t>
  </si>
  <si>
    <t>CTY-001</t>
  </si>
  <si>
    <t>DZ</t>
  </si>
  <si>
    <t>Africa</t>
  </si>
  <si>
    <t>CTY-002</t>
  </si>
  <si>
    <t>AO</t>
  </si>
  <si>
    <t>AGO</t>
  </si>
  <si>
    <t>CTY-003</t>
  </si>
  <si>
    <t>BJ</t>
  </si>
  <si>
    <t>CTY-004</t>
  </si>
  <si>
    <t>BW</t>
  </si>
  <si>
    <t>CTY-005</t>
  </si>
  <si>
    <t>BF</t>
  </si>
  <si>
    <t>BFA</t>
  </si>
  <si>
    <t>CTY-006</t>
  </si>
  <si>
    <t>BI</t>
  </si>
  <si>
    <t>BDI</t>
  </si>
  <si>
    <t>CTY-007</t>
  </si>
  <si>
    <t>CM</t>
  </si>
  <si>
    <t>CMR</t>
  </si>
  <si>
    <t>CTY-008</t>
  </si>
  <si>
    <t>CV</t>
  </si>
  <si>
    <t>CPV</t>
  </si>
  <si>
    <t>CTY-009</t>
  </si>
  <si>
    <t>CF</t>
  </si>
  <si>
    <t>CAF</t>
  </si>
  <si>
    <t>CTY-010</t>
  </si>
  <si>
    <t>TD</t>
  </si>
  <si>
    <t>TCD</t>
  </si>
  <si>
    <t>CTY-011</t>
  </si>
  <si>
    <t>KM</t>
  </si>
  <si>
    <t>COM</t>
  </si>
  <si>
    <t>CTY-012</t>
  </si>
  <si>
    <t>CI</t>
  </si>
  <si>
    <t>CIV</t>
  </si>
  <si>
    <t>CTY-013</t>
  </si>
  <si>
    <t>CD</t>
  </si>
  <si>
    <t>COD</t>
  </si>
  <si>
    <t>CTY-014</t>
  </si>
  <si>
    <t>DJ</t>
  </si>
  <si>
    <t>DJI</t>
  </si>
  <si>
    <t>CTY-015</t>
  </si>
  <si>
    <t>EG</t>
  </si>
  <si>
    <t>EGY</t>
  </si>
  <si>
    <t>CTY-016</t>
  </si>
  <si>
    <t>GQ</t>
  </si>
  <si>
    <t>GNQ</t>
  </si>
  <si>
    <t>CTY-017</t>
  </si>
  <si>
    <t>ER</t>
  </si>
  <si>
    <t>ERI</t>
  </si>
  <si>
    <t>CTY-018</t>
  </si>
  <si>
    <t>SZ</t>
  </si>
  <si>
    <t>SWZ</t>
  </si>
  <si>
    <t>CTY-019</t>
  </si>
  <si>
    <t>ET</t>
  </si>
  <si>
    <t>ETH</t>
  </si>
  <si>
    <t>CTY-020</t>
  </si>
  <si>
    <t>GA</t>
  </si>
  <si>
    <t>GAB</t>
  </si>
  <si>
    <t>CTY-021</t>
  </si>
  <si>
    <t>GM</t>
  </si>
  <si>
    <t>GMB</t>
  </si>
  <si>
    <t>CTY-022</t>
  </si>
  <si>
    <t>GHA</t>
  </si>
  <si>
    <t>CTY-023</t>
  </si>
  <si>
    <t>GN</t>
  </si>
  <si>
    <t>GIN</t>
  </si>
  <si>
    <t>CTY-024</t>
  </si>
  <si>
    <t>GW</t>
  </si>
  <si>
    <t>GNB</t>
  </si>
  <si>
    <t>CTY-025</t>
  </si>
  <si>
    <t>KE</t>
  </si>
  <si>
    <t>KEN</t>
  </si>
  <si>
    <t>CTY-026</t>
  </si>
  <si>
    <t>LS</t>
  </si>
  <si>
    <t>LSO</t>
  </si>
  <si>
    <t>CTY-027</t>
  </si>
  <si>
    <t>LR</t>
  </si>
  <si>
    <t>LBR</t>
  </si>
  <si>
    <t>CTY-028</t>
  </si>
  <si>
    <t>LY</t>
  </si>
  <si>
    <t>LBY</t>
  </si>
  <si>
    <t>CTY-029</t>
  </si>
  <si>
    <t>MG</t>
  </si>
  <si>
    <t>MDG</t>
  </si>
  <si>
    <t>CTY-030</t>
  </si>
  <si>
    <t>MW</t>
  </si>
  <si>
    <t>MWI</t>
  </si>
  <si>
    <t>CTY-031</t>
  </si>
  <si>
    <t>ML</t>
  </si>
  <si>
    <t>MLI</t>
  </si>
  <si>
    <t>CTY-032</t>
  </si>
  <si>
    <t>MR</t>
  </si>
  <si>
    <t>MRT</t>
  </si>
  <si>
    <t>CTY-033</t>
  </si>
  <si>
    <t>MU</t>
  </si>
  <si>
    <t>MUS</t>
  </si>
  <si>
    <t>CTY-034</t>
  </si>
  <si>
    <t>YT</t>
  </si>
  <si>
    <t>MYT</t>
  </si>
  <si>
    <t>CTY-035</t>
  </si>
  <si>
    <t>MA</t>
  </si>
  <si>
    <t>MAR</t>
  </si>
  <si>
    <t>CTY-036</t>
  </si>
  <si>
    <t>MZ</t>
  </si>
  <si>
    <t>MOZ</t>
  </si>
  <si>
    <t>CTY-037</t>
  </si>
  <si>
    <t>Namibia</t>
  </si>
  <si>
    <t>NA</t>
  </si>
  <si>
    <t>NAM</t>
  </si>
  <si>
    <t>CTY-038</t>
  </si>
  <si>
    <t>NE</t>
  </si>
  <si>
    <t>NER</t>
  </si>
  <si>
    <t>CTY-039</t>
  </si>
  <si>
    <t>NG</t>
  </si>
  <si>
    <t>NGA</t>
  </si>
  <si>
    <t>CTY-040</t>
  </si>
  <si>
    <t>CG</t>
  </si>
  <si>
    <t>COG</t>
  </si>
  <si>
    <t>CTY-041</t>
  </si>
  <si>
    <t>RW</t>
  </si>
  <si>
    <t>RWA</t>
  </si>
  <si>
    <t>CTY-042</t>
  </si>
  <si>
    <t>RE</t>
  </si>
  <si>
    <t>REU</t>
  </si>
  <si>
    <t>CTY-043</t>
  </si>
  <si>
    <t>Saint Helena, Ascension and Tristan da Cunha</t>
  </si>
  <si>
    <t>SH</t>
  </si>
  <si>
    <t>SHN</t>
  </si>
  <si>
    <t>CTY-044</t>
  </si>
  <si>
    <t>São Tomé and Príncipe</t>
  </si>
  <si>
    <t>ST</t>
  </si>
  <si>
    <t>STP</t>
  </si>
  <si>
    <t>CTY-045</t>
  </si>
  <si>
    <t>SN</t>
  </si>
  <si>
    <t>SEN</t>
  </si>
  <si>
    <t>CTY-046</t>
  </si>
  <si>
    <t>SC</t>
  </si>
  <si>
    <t>SYC</t>
  </si>
  <si>
    <t>CTY-047</t>
  </si>
  <si>
    <t>SL</t>
  </si>
  <si>
    <t>SLE</t>
  </si>
  <si>
    <t>CTY-048</t>
  </si>
  <si>
    <t>SO</t>
  </si>
  <si>
    <t>SOM</t>
  </si>
  <si>
    <t>CTY-049</t>
  </si>
  <si>
    <t>ZA</t>
  </si>
  <si>
    <t>ZAF</t>
  </si>
  <si>
    <t>CTY-050</t>
  </si>
  <si>
    <t>SS</t>
  </si>
  <si>
    <t>SSD</t>
  </si>
  <si>
    <t>CTY-051</t>
  </si>
  <si>
    <t>SD</t>
  </si>
  <si>
    <t>SDN</t>
  </si>
  <si>
    <t>CTY-052</t>
  </si>
  <si>
    <t>TZ</t>
  </si>
  <si>
    <t>TZA</t>
  </si>
  <si>
    <t>CTY-053</t>
  </si>
  <si>
    <t>TG</t>
  </si>
  <si>
    <t>TGO</t>
  </si>
  <si>
    <t>CTY-054</t>
  </si>
  <si>
    <t>TN</t>
  </si>
  <si>
    <t>CTY-055</t>
  </si>
  <si>
    <t>UG</t>
  </si>
  <si>
    <t>UGA</t>
  </si>
  <si>
    <t>CTY-056</t>
  </si>
  <si>
    <t>EH</t>
  </si>
  <si>
    <t>ESH</t>
  </si>
  <si>
    <t>CTY-057</t>
  </si>
  <si>
    <t>ZM</t>
  </si>
  <si>
    <t>ZMB</t>
  </si>
  <si>
    <t>ZW</t>
  </si>
  <si>
    <t>ZWE</t>
  </si>
  <si>
    <t>+213</t>
  </si>
  <si>
    <t>+244</t>
  </si>
  <si>
    <t>+229</t>
  </si>
  <si>
    <t>+267</t>
  </si>
  <si>
    <t>+226</t>
  </si>
  <si>
    <t>+257</t>
  </si>
  <si>
    <t>+237</t>
  </si>
  <si>
    <t>+238</t>
  </si>
  <si>
    <t>+236</t>
  </si>
  <si>
    <t>+235</t>
  </si>
  <si>
    <t>+269</t>
  </si>
  <si>
    <t>+225</t>
  </si>
  <si>
    <t>+243</t>
  </si>
  <si>
    <t>+253</t>
  </si>
  <si>
    <t>+20</t>
  </si>
  <si>
    <t>+240</t>
  </si>
  <si>
    <t>+291</t>
  </si>
  <si>
    <t>+268</t>
  </si>
  <si>
    <t>+251</t>
  </si>
  <si>
    <t>+241</t>
  </si>
  <si>
    <t>+220</t>
  </si>
  <si>
    <t>+233</t>
  </si>
  <si>
    <t>+224</t>
  </si>
  <si>
    <t>+245</t>
  </si>
  <si>
    <t>+254</t>
  </si>
  <si>
    <t>+266</t>
  </si>
  <si>
    <t>+231</t>
  </si>
  <si>
    <t>+218</t>
  </si>
  <si>
    <t>+261</t>
  </si>
  <si>
    <t>+265</t>
  </si>
  <si>
    <t>+223</t>
  </si>
  <si>
    <t>+222</t>
  </si>
  <si>
    <t>+230</t>
  </si>
  <si>
    <t>+262</t>
  </si>
  <si>
    <t>+212</t>
  </si>
  <si>
    <t>+258</t>
  </si>
  <si>
    <t>+264</t>
  </si>
  <si>
    <t>+227</t>
  </si>
  <si>
    <t>+234</t>
  </si>
  <si>
    <t>+242</t>
  </si>
  <si>
    <t>+250</t>
  </si>
  <si>
    <t>+290</t>
  </si>
  <si>
    <t>+239</t>
  </si>
  <si>
    <t>+221</t>
  </si>
  <si>
    <t>+248</t>
  </si>
  <si>
    <t>+232</t>
  </si>
  <si>
    <t>+252</t>
  </si>
  <si>
    <t>+27</t>
  </si>
  <si>
    <t>+211</t>
  </si>
  <si>
    <t>+249</t>
  </si>
  <si>
    <t>+255</t>
  </si>
  <si>
    <t>+228</t>
  </si>
  <si>
    <t>+216</t>
  </si>
  <si>
    <t>+256</t>
  </si>
  <si>
    <t>+260</t>
  </si>
  <si>
    <t>+263</t>
  </si>
  <si>
    <t>Crew transport</t>
  </si>
  <si>
    <t>Pax transport</t>
  </si>
  <si>
    <t>Overflight Permits</t>
  </si>
  <si>
    <t>Landing Permits</t>
  </si>
  <si>
    <t>CTY-059</t>
  </si>
  <si>
    <t>SA</t>
  </si>
  <si>
    <t>SAU</t>
  </si>
  <si>
    <t>+966</t>
  </si>
  <si>
    <t>Middle East</t>
  </si>
  <si>
    <t>CTY-060</t>
  </si>
  <si>
    <t>AE</t>
  </si>
  <si>
    <t>ARE</t>
  </si>
  <si>
    <t>CTY-061</t>
  </si>
  <si>
    <t>OM</t>
  </si>
  <si>
    <t>OMN</t>
  </si>
  <si>
    <t>CTY-062</t>
  </si>
  <si>
    <t>IL</t>
  </si>
  <si>
    <t>ISR</t>
  </si>
  <si>
    <t>CTY-063</t>
  </si>
  <si>
    <t>QA</t>
  </si>
  <si>
    <t>QAT</t>
  </si>
  <si>
    <t>CTY-064</t>
  </si>
  <si>
    <t>JO</t>
  </si>
  <si>
    <t>JOR</t>
  </si>
  <si>
    <t>CTY-065</t>
  </si>
  <si>
    <t>KW</t>
  </si>
  <si>
    <t>KWT</t>
  </si>
  <si>
    <t>CTY-066</t>
  </si>
  <si>
    <t>BH</t>
  </si>
  <si>
    <t>BHR</t>
  </si>
  <si>
    <t>CTY-067</t>
  </si>
  <si>
    <t>LB</t>
  </si>
  <si>
    <t>LBN</t>
  </si>
  <si>
    <t>CTY-068</t>
  </si>
  <si>
    <t>IQ</t>
  </si>
  <si>
    <t>IRQ</t>
  </si>
  <si>
    <t>CTY-069</t>
  </si>
  <si>
    <t>YE</t>
  </si>
  <si>
    <t>YEM</t>
  </si>
  <si>
    <t>CTY-070</t>
  </si>
  <si>
    <t>AF</t>
  </si>
  <si>
    <t>AFG</t>
  </si>
  <si>
    <t>South Asia</t>
  </si>
  <si>
    <t>+971</t>
  </si>
  <si>
    <t>+968</t>
  </si>
  <si>
    <t>+972</t>
  </si>
  <si>
    <t>+974</t>
  </si>
  <si>
    <t>+962</t>
  </si>
  <si>
    <t>+965</t>
  </si>
  <si>
    <t>+973</t>
  </si>
  <si>
    <t>+961</t>
  </si>
  <si>
    <t>+964</t>
  </si>
  <si>
    <t>+967</t>
  </si>
  <si>
    <t>+93</t>
  </si>
  <si>
    <t>SVC-13</t>
  </si>
  <si>
    <t>SVC-14</t>
  </si>
  <si>
    <t>SVC-15</t>
  </si>
  <si>
    <t>Crew VIP Transport</t>
  </si>
  <si>
    <t>Crew Hotel</t>
  </si>
  <si>
    <t>Pax Hotel</t>
  </si>
  <si>
    <t>CRT</t>
  </si>
  <si>
    <t>PXH</t>
  </si>
  <si>
    <t>CRH</t>
  </si>
  <si>
    <t>PXT</t>
  </si>
  <si>
    <t>SVC-16</t>
  </si>
  <si>
    <t>SVC-17</t>
  </si>
  <si>
    <t>Pax transportation</t>
  </si>
  <si>
    <t>VND-001</t>
  </si>
  <si>
    <t>ZAS Z AVIATION SERVICES</t>
  </si>
  <si>
    <t>VENDOR_ONLY</t>
  </si>
  <si>
    <t>PENDING_REVIEW</t>
  </si>
  <si>
    <t>Source: client-supplied handler/trip-support list</t>
  </si>
  <si>
    <t>VND-002</t>
  </si>
  <si>
    <t>NILE VALLEY AVIATION</t>
  </si>
  <si>
    <t>VND-003</t>
  </si>
  <si>
    <t>CLEOPATRA AVIATION</t>
  </si>
  <si>
    <t>VND-004</t>
  </si>
  <si>
    <t>NATIONAL AVIATION</t>
  </si>
  <si>
    <t>VND-005</t>
  </si>
  <si>
    <t>EGYPT JET AVIATION</t>
  </si>
  <si>
    <t>VND-006</t>
  </si>
  <si>
    <t>TIGER AVIATION SERVICES</t>
  </si>
  <si>
    <t>VND-007</t>
  </si>
  <si>
    <t>AIR SERVICES TOURISM L.L.C.</t>
  </si>
  <si>
    <t>VND-008</t>
  </si>
  <si>
    <t>JETEX FLIGHT SUPPORT</t>
  </si>
  <si>
    <t>VND-009</t>
  </si>
  <si>
    <t>JET AVIATION (EMEA)</t>
  </si>
  <si>
    <t>VND-010</t>
  </si>
  <si>
    <t>AVIARY</t>
  </si>
  <si>
    <t>VND-011</t>
  </si>
  <si>
    <t>MENZIES</t>
  </si>
  <si>
    <t>VND-012</t>
  </si>
  <si>
    <t>EXECUJET</t>
  </si>
  <si>
    <t>VND-013</t>
  </si>
  <si>
    <t>LANSERIA INTERNATIONAL AIRPORT (PTY) LTD</t>
  </si>
  <si>
    <t>VND-014</t>
  </si>
  <si>
    <t>FIRE BLADE AVIATION PROPRIETARY LIMITED</t>
  </si>
  <si>
    <t>VND-015</t>
  </si>
  <si>
    <t>SIGNATURE FLIGHT SUPPORT (EMEA)</t>
  </si>
  <si>
    <t>VND-016</t>
  </si>
  <si>
    <t>PRIMKOP AIRPORT MANAGEMENT PTY LTD</t>
  </si>
  <si>
    <t>VND-017</t>
  </si>
  <si>
    <t>ABSOLUTE AVIATION</t>
  </si>
  <si>
    <t>VND-018</t>
  </si>
  <si>
    <t>FLIGHT MANAGEMENT LTD</t>
  </si>
  <si>
    <t>VND-019</t>
  </si>
  <si>
    <t>NAS COLOSSAL AVIATION SERVICES PTY LTD</t>
  </si>
  <si>
    <t>VND-020</t>
  </si>
  <si>
    <t>UPINGTON GROUND HANDLING CO (PTY) LTD</t>
  </si>
  <si>
    <t>VND-021</t>
  </si>
  <si>
    <t>DH AVIATION SERVICES</t>
  </si>
  <si>
    <t>VND-022</t>
  </si>
  <si>
    <t>GRAND CENTRAL AIRPORT PTY LTD</t>
  </si>
  <si>
    <t>VND-023</t>
  </si>
  <si>
    <t>VIA AVIATION LTD</t>
  </si>
  <si>
    <t>VND-024</t>
  </si>
  <si>
    <t>EQUITY AVIATION SERVICES (T) LTD</t>
  </si>
  <si>
    <t>VND-025</t>
  </si>
  <si>
    <t>AFRICAN AVIATION SERVICES</t>
  </si>
  <si>
    <t>VND-026</t>
  </si>
  <si>
    <t>LAKE AVIATION COMPANY LIMITED</t>
  </si>
  <si>
    <t>VND-027</t>
  </si>
  <si>
    <t>SWISSPORT (EMEA)</t>
  </si>
  <si>
    <t>VND-028</t>
  </si>
  <si>
    <t>THAMANI AVIATION BV</t>
  </si>
  <si>
    <t>VND-029</t>
  </si>
  <si>
    <t>TRADEWINDS AVIATION SERVICES</t>
  </si>
  <si>
    <t>VND-030</t>
  </si>
  <si>
    <t>STARS AVIATION SERVICES</t>
  </si>
  <si>
    <t>VND-031</t>
  </si>
  <si>
    <t>ASE-AIRLINE SUPERVISORS EXPERTS</t>
  </si>
  <si>
    <t>VND-032</t>
  </si>
  <si>
    <t>STARS AIRLINES SERVICES</t>
  </si>
  <si>
    <t>VND-033</t>
  </si>
  <si>
    <t>S.B. MAN &amp; CO LTD</t>
  </si>
  <si>
    <t>VND-034</t>
  </si>
  <si>
    <t>SAFEPORT CABO VERDE</t>
  </si>
  <si>
    <t>VND-035</t>
  </si>
  <si>
    <t>CABO VERDE HANDLING SA</t>
  </si>
  <si>
    <t>VND-036</t>
  </si>
  <si>
    <t>OMNI HANDLING</t>
  </si>
  <si>
    <t>VND-037</t>
  </si>
  <si>
    <t>LIDER AVIACAO</t>
  </si>
  <si>
    <t>VND-038</t>
  </si>
  <si>
    <t>MOZJET (EXECUTIVE AVIATION SERVICES MOZAMBIQUE)</t>
  </si>
  <si>
    <t>VND-039</t>
  </si>
  <si>
    <t>GENERAL AVIATION SERVICES</t>
  </si>
  <si>
    <t>VND-040</t>
  </si>
  <si>
    <t>MOZAMBIQUE AIRPORT HANDLING SERVICES</t>
  </si>
  <si>
    <t>VND-041</t>
  </si>
  <si>
    <t>ZIM AVIATION SERVICES T/A QUEENSBOROUGH TRADING (PVT) LTDSU</t>
  </si>
  <si>
    <t>VND-042</t>
  </si>
  <si>
    <t>BEACH CONSULTANCY PVT LTD T/A AVIATION GROUND SERVICES</t>
  </si>
  <si>
    <t>VND-043</t>
  </si>
  <si>
    <t>BIG DOT SERVICES (PVT) LTD.</t>
  </si>
  <si>
    <t>VND-044</t>
  </si>
  <si>
    <t>NAC 2000 CORPORATION LIMITED</t>
  </si>
  <si>
    <t>VND-045</t>
  </si>
  <si>
    <t>NATIONAL AIRWAYS CORPORATION PTY LTD</t>
  </si>
  <si>
    <t>VND-046</t>
  </si>
  <si>
    <t>VIPAERO ANGOLA LDA</t>
  </si>
  <si>
    <t>VND-047</t>
  </si>
  <si>
    <t>BESTFLY</t>
  </si>
  <si>
    <t>VND-048</t>
  </si>
  <si>
    <t>MULTIFLIGHT ASSISTANCE LDA</t>
  </si>
  <si>
    <t>VND-049</t>
  </si>
  <si>
    <t>WALVIS BAY AIRPORT SERVICES PTY LTD</t>
  </si>
  <si>
    <t>VND-050</t>
  </si>
  <si>
    <t>NEW RAYDE FLIGHT SUPPORT</t>
  </si>
  <si>
    <t>VND-051</t>
  </si>
  <si>
    <t>AEROGEM AVIATION LTD</t>
  </si>
  <si>
    <t>VND-052</t>
  </si>
  <si>
    <t>AVIATION HANDLING SERVICES SA</t>
  </si>
  <si>
    <t>VND-053</t>
  </si>
  <si>
    <t>MCDAN AVIATION LIMITED</t>
  </si>
  <si>
    <t>VND-054</t>
  </si>
  <si>
    <t>AVIANCE GHANA LTD</t>
  </si>
  <si>
    <t>VND-055</t>
  </si>
  <si>
    <t>SKYROUTING COMPANY LIMITED</t>
  </si>
  <si>
    <t>VND-056</t>
  </si>
  <si>
    <t>HADID INTERNATIONAL SERVICES</t>
  </si>
  <si>
    <t>VND-057</t>
  </si>
  <si>
    <t>SKYFOLK AVIATION</t>
  </si>
  <si>
    <t>VND-058</t>
  </si>
  <si>
    <t>HANDLING PARTNER GABON</t>
  </si>
  <si>
    <t>VND-059</t>
  </si>
  <si>
    <t>CONGO HANDLING S.A.</t>
  </si>
  <si>
    <t>VND-060</t>
  </si>
  <si>
    <t>AKANDA AVIATION</t>
  </si>
  <si>
    <t>VND-061</t>
  </si>
  <si>
    <t>AIRCRAFT GROUND HANDLING (PTY) LTD</t>
  </si>
  <si>
    <t>VND-062</t>
  </si>
  <si>
    <t>AIR CHARTER BOTSWANA (PTY) LTD TRADING AS KALAHARI AIR SERVICES</t>
  </si>
  <si>
    <t>VND-063</t>
  </si>
  <si>
    <t>EAN AVIATION LTD</t>
  </si>
  <si>
    <t>VND-064</t>
  </si>
  <si>
    <t>PARAGON AVIATION SERVICES PTY LTD</t>
  </si>
  <si>
    <t>VND-065</t>
  </si>
  <si>
    <t>WESTAIR AVIATION EROS AIRPORT</t>
  </si>
  <si>
    <t>VND-066</t>
  </si>
  <si>
    <t>WINGS OVER AFRICA</t>
  </si>
  <si>
    <t>VND-067</t>
  </si>
  <si>
    <t>NAMIBIA FLIGHT SUPPORT</t>
  </si>
  <si>
    <t>VND-068</t>
  </si>
  <si>
    <t>MALABAR BUSINESS TRAVEL</t>
  </si>
  <si>
    <t>VND-069</t>
  </si>
  <si>
    <t>AVIAMAN LTD</t>
  </si>
  <si>
    <t>VND-070</t>
  </si>
  <si>
    <t>ENTEBBE HANDLING SERVICES LTD</t>
  </si>
  <si>
    <t>VND-071</t>
  </si>
  <si>
    <t>PECKAIR AVIATION SERVICES</t>
  </si>
  <si>
    <t>VND-072</t>
  </si>
  <si>
    <t>AGSC LTD</t>
  </si>
  <si>
    <t>VND-073</t>
  </si>
  <si>
    <t>SONIC JET AVIATION SERVICES</t>
  </si>
  <si>
    <t>VND-074</t>
  </si>
  <si>
    <t>KRIMSON ACMC PLC</t>
  </si>
  <si>
    <t>VND-075</t>
  </si>
  <si>
    <t>LANDOVER AVIATION</t>
  </si>
  <si>
    <t>VND-076</t>
  </si>
  <si>
    <t>AIR SEYCHELLES LTD</t>
  </si>
  <si>
    <t>VND-077</t>
  </si>
  <si>
    <t>IVOIRE JET CENTER</t>
  </si>
  <si>
    <t>VND-078</t>
  </si>
  <si>
    <t>MULTIFORM SERVICES LDA</t>
  </si>
  <si>
    <t>VND-079</t>
  </si>
  <si>
    <t>MADAGASCAR GROUND HANDLING</t>
  </si>
  <si>
    <t>VND-080</t>
  </si>
  <si>
    <t>OPEN SKIES SERVICES CO. LTD.</t>
  </si>
  <si>
    <t>VND-081</t>
  </si>
  <si>
    <t>LILONGWE HANDLING COMPANY LTD</t>
  </si>
  <si>
    <t>VND-082</t>
  </si>
  <si>
    <t>INTERNATIONAL CARGO AND AVIATION SERVICES P LC</t>
  </si>
  <si>
    <t>VND-083</t>
  </si>
  <si>
    <t>APOGEE OPERATIONS LIMITED</t>
  </si>
  <si>
    <t>VND-084</t>
  </si>
  <si>
    <t>ETHIOPIAN AIRLINES ENTERPRISE</t>
  </si>
  <si>
    <t>VND-085</t>
  </si>
  <si>
    <t>AFRICAN OPEN SKY</t>
  </si>
  <si>
    <t>VND-086</t>
  </si>
  <si>
    <t>UAS INTERNATIONAL TRIP SUPPORT</t>
  </si>
  <si>
    <t>VND-087</t>
  </si>
  <si>
    <t>AIR SERVICE HANDLING</t>
  </si>
  <si>
    <t>VND-088</t>
  </si>
  <si>
    <t>FLIGHT SUPPORT AERO SERVICE-SARL</t>
  </si>
  <si>
    <t>VND-089</t>
  </si>
  <si>
    <t>SERVICE AIR TUNISIA</t>
  </si>
  <si>
    <t>VND-090</t>
  </si>
  <si>
    <t>GLOBE TRAVEL AVIATION</t>
  </si>
  <si>
    <t>VND-091</t>
  </si>
  <si>
    <t>JET PRIME LTD</t>
  </si>
  <si>
    <t>VND-092</t>
  </si>
  <si>
    <t>MWA MULTI-SERVICES SARL</t>
  </si>
  <si>
    <t>VND-093</t>
  </si>
  <si>
    <t>INTER TROPIC HOLDING</t>
  </si>
  <si>
    <t>VND-094</t>
  </si>
  <si>
    <t>CAMPORT PLC</t>
  </si>
  <si>
    <t>VND-095</t>
  </si>
  <si>
    <t>AVIATION FLIGHT SUPPORT BURKINA</t>
  </si>
  <si>
    <t>VND-096</t>
  </si>
  <si>
    <t>ROYAL ESWATINI NATIONAL AIRWAYS CORPORATION</t>
  </si>
  <si>
    <t>VND-097</t>
  </si>
  <si>
    <t>THIAM INTERNATIONAL SERVICES</t>
  </si>
  <si>
    <t>VND-098</t>
  </si>
  <si>
    <t>SAUDIA PRIVATE AVIATION</t>
  </si>
  <si>
    <t>VND-099</t>
  </si>
  <si>
    <t>RED C AVIATION</t>
  </si>
  <si>
    <t>VND-100</t>
  </si>
  <si>
    <t>ALPHA STAR AVIATION SERVICES</t>
  </si>
  <si>
    <t>VND-101</t>
  </si>
  <si>
    <t>ASIA FLIGHT SERVICES CO. LTD.</t>
  </si>
  <si>
    <t>VND-102</t>
  </si>
  <si>
    <t>UNIVERSAL AVIATION SERVICES</t>
  </si>
  <si>
    <t>VND-103</t>
  </si>
  <si>
    <t>ROYAL JET LLC</t>
  </si>
  <si>
    <t>VND-104</t>
  </si>
  <si>
    <t>DC AVIATION</t>
  </si>
  <si>
    <t>VND-105</t>
  </si>
  <si>
    <t>GAMA SUPPORT SERVICES FZE</t>
  </si>
  <si>
    <t>VND-106</t>
  </si>
  <si>
    <t>FALCON AVIATION SERVICES DWC-LLC</t>
  </si>
  <si>
    <t>VND-107</t>
  </si>
  <si>
    <t>MUNAWALA GROUND SERVICES LLC</t>
  </si>
  <si>
    <t>VND-108</t>
  </si>
  <si>
    <t>GRACE JET SERVICES S.P.C.</t>
  </si>
  <si>
    <t>VND-109</t>
  </si>
  <si>
    <t>AN AVIATION SERVICE CO</t>
  </si>
  <si>
    <t>VND-110</t>
  </si>
  <si>
    <t>ASTER AVIATION SERVICES DMCC</t>
  </si>
  <si>
    <t>VND-111</t>
  </si>
  <si>
    <t>CONTINENTAL JET SERVICES</t>
  </si>
  <si>
    <t>VND-112</t>
  </si>
  <si>
    <t>RYAN AVIATION SERVICES LTD</t>
  </si>
  <si>
    <t>VND-113</t>
  </si>
  <si>
    <t>AEROVALET AIRCRAFT SERVICES LLC</t>
  </si>
  <si>
    <t>VND-114</t>
  </si>
  <si>
    <t>ASIA TRIP SUPPORT LTD</t>
  </si>
  <si>
    <t>VND-115</t>
  </si>
  <si>
    <t>ROYAL WINGS AVIATION SERVICES</t>
  </si>
  <si>
    <t>VND-116</t>
  </si>
  <si>
    <t>QUALITY AIRPORT SERVICES</t>
  </si>
  <si>
    <t>VND-117</t>
  </si>
  <si>
    <t>LAUFER AVIATION</t>
  </si>
  <si>
    <t>VND-118</t>
  </si>
  <si>
    <t>RS-LS HANDLING</t>
  </si>
  <si>
    <t>VND-119</t>
  </si>
  <si>
    <t>AEROHANDLING/BEDEK AVIATION GROUND HANDLING</t>
  </si>
  <si>
    <t>VND-120</t>
  </si>
  <si>
    <t>BLUE AVIATION CO</t>
  </si>
  <si>
    <t>VND-121</t>
  </si>
  <si>
    <t>QATAR AVIATION SERVICES</t>
  </si>
  <si>
    <t>VND-122</t>
  </si>
  <si>
    <t>QATAR AIRWAYS QE</t>
  </si>
  <si>
    <t>VND-123</t>
  </si>
  <si>
    <t>MERCURY AIR GROUP AVIATION SERVICE</t>
  </si>
  <si>
    <t>VND-124</t>
  </si>
  <si>
    <t>JORDANIAN PRIVATE JET SERVICES</t>
  </si>
  <si>
    <t>VND-125</t>
  </si>
  <si>
    <t>ARAB WINGS</t>
  </si>
  <si>
    <t>VND-126</t>
  </si>
  <si>
    <t>JORDAN AVIATION</t>
  </si>
  <si>
    <t>VND-127</t>
  </si>
  <si>
    <t>AIR SPACE AVIATION SERVICES</t>
  </si>
  <si>
    <t>VND-128</t>
  </si>
  <si>
    <t>ABS JETS A.S.</t>
  </si>
  <si>
    <t>VND-129</t>
  </si>
  <si>
    <t>GLASGOW PRESTWICK AIRPORT LTD</t>
  </si>
  <si>
    <t>VND-130</t>
  </si>
  <si>
    <t>HALA BAHRAIN HOSPITALITY S.P.C</t>
  </si>
  <si>
    <t>VND-131</t>
  </si>
  <si>
    <t>BAHRAIN AIRPORT SERVICES</t>
  </si>
  <si>
    <t>VND-132</t>
  </si>
  <si>
    <t>MEAG-MIDDLE EAST AIRLINES</t>
  </si>
  <si>
    <t>VND-133</t>
  </si>
  <si>
    <t>CEDAR JET CENTER</t>
  </si>
  <si>
    <t>VND-134</t>
  </si>
  <si>
    <t>SKY LOUNGE SERVICES S.A.L</t>
  </si>
  <si>
    <t>VND-135</t>
  </si>
  <si>
    <t>MACAIR FLIGHT SUPPORT</t>
  </si>
  <si>
    <t>VND-136</t>
  </si>
  <si>
    <t>ASG BUSINESS AVIATION LLC</t>
  </si>
  <si>
    <t>VCC-0001</t>
  </si>
  <si>
    <t>Ground Handling / Trip Support</t>
  </si>
  <si>
    <t>VCC-0002</t>
  </si>
  <si>
    <t>VCC-0003</t>
  </si>
  <si>
    <t>VCC-0004</t>
  </si>
  <si>
    <t>VCC-0005</t>
  </si>
  <si>
    <t>VCC-0006</t>
  </si>
  <si>
    <t>VCC-0007</t>
  </si>
  <si>
    <t>VCC-0008</t>
  </si>
  <si>
    <t>VCC-0009</t>
  </si>
  <si>
    <t>VCC-0010</t>
  </si>
  <si>
    <t>VCC-0011</t>
  </si>
  <si>
    <t>VCC-0012</t>
  </si>
  <si>
    <t>VCC-0013</t>
  </si>
  <si>
    <t>VCC-0014</t>
  </si>
  <si>
    <t>VCC-0015</t>
  </si>
  <si>
    <t>VCC-0016</t>
  </si>
  <si>
    <t>VCC-0017</t>
  </si>
  <si>
    <t>VCC-0018</t>
  </si>
  <si>
    <t>VCC-0019</t>
  </si>
  <si>
    <t>VCC-0020</t>
  </si>
  <si>
    <t>VCC-0021</t>
  </si>
  <si>
    <t>VCC-0022</t>
  </si>
  <si>
    <t>VCC-0023</t>
  </si>
  <si>
    <t>VCC-0024</t>
  </si>
  <si>
    <t>VCC-0025</t>
  </si>
  <si>
    <t>VCC-0026</t>
  </si>
  <si>
    <t>VCC-0027</t>
  </si>
  <si>
    <t>VCC-0028</t>
  </si>
  <si>
    <t>VCC-0029</t>
  </si>
  <si>
    <t>VCC-0030</t>
  </si>
  <si>
    <t>VCC-0031</t>
  </si>
  <si>
    <t>VCC-0032</t>
  </si>
  <si>
    <t>VCC-0033</t>
  </si>
  <si>
    <t>VCC-0034</t>
  </si>
  <si>
    <t>VCC-0035</t>
  </si>
  <si>
    <t>VCC-0036</t>
  </si>
  <si>
    <t>VCC-0037</t>
  </si>
  <si>
    <t>VCC-0038</t>
  </si>
  <si>
    <t>VCC-0039</t>
  </si>
  <si>
    <t>VCC-0040</t>
  </si>
  <si>
    <t>VCC-0041</t>
  </si>
  <si>
    <t>VCC-0042</t>
  </si>
  <si>
    <t>VCC-0043</t>
  </si>
  <si>
    <t>VCC-0044</t>
  </si>
  <si>
    <t>VCC-0045</t>
  </si>
  <si>
    <t>VCC-0046</t>
  </si>
  <si>
    <t>VCC-0047</t>
  </si>
  <si>
    <t>VCC-0048</t>
  </si>
  <si>
    <t>VCC-0049</t>
  </si>
  <si>
    <t>VCC-0050</t>
  </si>
  <si>
    <t>VCC-0051</t>
  </si>
  <si>
    <t>VCC-0052</t>
  </si>
  <si>
    <t>VCC-0053</t>
  </si>
  <si>
    <t>VCC-0054</t>
  </si>
  <si>
    <t>VCC-0055</t>
  </si>
  <si>
    <t>VCC-0056</t>
  </si>
  <si>
    <t>VCC-0057</t>
  </si>
  <si>
    <t>VCC-0058</t>
  </si>
  <si>
    <t>VCC-0059</t>
  </si>
  <si>
    <t>VCC-0060</t>
  </si>
  <si>
    <t>VCC-0061</t>
  </si>
  <si>
    <t>VCC-0062</t>
  </si>
  <si>
    <t>VCC-0063</t>
  </si>
  <si>
    <t>VCC-0064</t>
  </si>
  <si>
    <t>VCC-0065</t>
  </si>
  <si>
    <t>VCC-0066</t>
  </si>
  <si>
    <t>VCC-0067</t>
  </si>
  <si>
    <t>VCC-0068</t>
  </si>
  <si>
    <t>VCC-0069</t>
  </si>
  <si>
    <t>VCC-0070</t>
  </si>
  <si>
    <t>VCC-0071</t>
  </si>
  <si>
    <t>VCC-0072</t>
  </si>
  <si>
    <t>VCC-0073</t>
  </si>
  <si>
    <t>VCC-0074</t>
  </si>
  <si>
    <t>VCC-0075</t>
  </si>
  <si>
    <t>VCC-0076</t>
  </si>
  <si>
    <t>VCC-0077</t>
  </si>
  <si>
    <t>VCC-0078</t>
  </si>
  <si>
    <t>VCC-0079</t>
  </si>
  <si>
    <t>VCC-0080</t>
  </si>
  <si>
    <t>VCC-0081</t>
  </si>
  <si>
    <t>VCC-0082</t>
  </si>
  <si>
    <t>VCC-0083</t>
  </si>
  <si>
    <t>VCC-0084</t>
  </si>
  <si>
    <t>VCC-0085</t>
  </si>
  <si>
    <t>VCC-0086</t>
  </si>
  <si>
    <t>VCC-0087</t>
  </si>
  <si>
    <t>VCC-0088</t>
  </si>
  <si>
    <t>VCC-0089</t>
  </si>
  <si>
    <t>VCC-0090</t>
  </si>
  <si>
    <t>VCC-0091</t>
  </si>
  <si>
    <t>VCC-0092</t>
  </si>
  <si>
    <t>VCC-0093</t>
  </si>
  <si>
    <t>VCC-0094</t>
  </si>
  <si>
    <t>VCC-0095</t>
  </si>
  <si>
    <t>VCC-0096</t>
  </si>
  <si>
    <t>VCC-0097</t>
  </si>
  <si>
    <t>VCC-0098</t>
  </si>
  <si>
    <t>VCC-0099</t>
  </si>
  <si>
    <t>VCC-0100</t>
  </si>
  <si>
    <t>VCC-0101</t>
  </si>
  <si>
    <t>VCC-0102</t>
  </si>
  <si>
    <t>VCC-0103</t>
  </si>
  <si>
    <t>VCC-0104</t>
  </si>
  <si>
    <t>VCC-0105</t>
  </si>
  <si>
    <t>VCC-0106</t>
  </si>
  <si>
    <t>VCC-0107</t>
  </si>
  <si>
    <t>VCC-0108</t>
  </si>
  <si>
    <t>VCC-0109</t>
  </si>
  <si>
    <t>VCC-0110</t>
  </si>
  <si>
    <t>VCC-0111</t>
  </si>
  <si>
    <t>VCC-0112</t>
  </si>
  <si>
    <t>VCC-0113</t>
  </si>
  <si>
    <t>VCC-0114</t>
  </si>
  <si>
    <t>VCC-0115</t>
  </si>
  <si>
    <t>VCC-0116</t>
  </si>
  <si>
    <t>VCC-0117</t>
  </si>
  <si>
    <t>VCC-0118</t>
  </si>
  <si>
    <t>VCC-0119</t>
  </si>
  <si>
    <t>VCC-0120</t>
  </si>
  <si>
    <t>VCC-0121</t>
  </si>
  <si>
    <t>VCC-0122</t>
  </si>
  <si>
    <t>VCC-0123</t>
  </si>
  <si>
    <t>VCC-0124</t>
  </si>
  <si>
    <t>VCC-0125</t>
  </si>
  <si>
    <t>VCC-0126</t>
  </si>
  <si>
    <t>VCC-0127</t>
  </si>
  <si>
    <t>VCC-0128</t>
  </si>
  <si>
    <t>VCC-0129</t>
  </si>
  <si>
    <t>VCC-0130</t>
  </si>
  <si>
    <t>VCC-0131</t>
  </si>
  <si>
    <t>VCC-0132</t>
  </si>
  <si>
    <t>VCC-0133</t>
  </si>
  <si>
    <t>VCC-0134</t>
  </si>
  <si>
    <t>VCC-0135</t>
  </si>
  <si>
    <t>VCC-0136</t>
  </si>
  <si>
    <t>VCC-0137</t>
  </si>
  <si>
    <t>VCC-0138</t>
  </si>
  <si>
    <t>VCC-0139</t>
  </si>
  <si>
    <t>VCC-0140</t>
  </si>
  <si>
    <t>VCC-0141</t>
  </si>
  <si>
    <t>VCC-0142</t>
  </si>
  <si>
    <t>VCC-0143</t>
  </si>
  <si>
    <t>VCC-0144</t>
  </si>
  <si>
    <t>VCC-0145</t>
  </si>
  <si>
    <t>VCC-0146</t>
  </si>
  <si>
    <t>VCC-0147</t>
  </si>
  <si>
    <t>VCC-0148</t>
  </si>
  <si>
    <t>VCC-0149</t>
  </si>
  <si>
    <t>VCC-0150</t>
  </si>
  <si>
    <t>VCC-0151</t>
  </si>
  <si>
    <t>VCC-0152</t>
  </si>
  <si>
    <t>VCC-0153</t>
  </si>
  <si>
    <t>VCC-0154</t>
  </si>
  <si>
    <t>VCC-0155</t>
  </si>
  <si>
    <t>VCC-0156</t>
  </si>
  <si>
    <t>VCC-0157</t>
  </si>
  <si>
    <t>VCC-0158</t>
  </si>
  <si>
    <t>VCC-0159</t>
  </si>
  <si>
    <t>VCC-0160</t>
  </si>
  <si>
    <t>VCC-0161</t>
  </si>
  <si>
    <t>VCC-0162</t>
  </si>
  <si>
    <t>VCC-0163</t>
  </si>
  <si>
    <t>VCC-0164</t>
  </si>
  <si>
    <t>VCC-0165</t>
  </si>
  <si>
    <t>VCC-0166</t>
  </si>
  <si>
    <t>VCC-0167</t>
  </si>
  <si>
    <t>VCC-0168</t>
  </si>
  <si>
    <t>VCC-0169</t>
  </si>
  <si>
    <t>VCC-0170</t>
  </si>
  <si>
    <t>VCC-0171</t>
  </si>
  <si>
    <t>VCC-0172</t>
  </si>
  <si>
    <t>VCC-0173</t>
  </si>
  <si>
    <t>VCC-0174</t>
  </si>
  <si>
    <t>VCC-0175</t>
  </si>
  <si>
    <t>VCC-0176</t>
  </si>
  <si>
    <t>VCC-0177</t>
  </si>
  <si>
    <t>VCC-0178</t>
  </si>
  <si>
    <t>VCC-0179</t>
  </si>
  <si>
    <t>VCC-0180</t>
  </si>
  <si>
    <t>VCC-0181</t>
  </si>
  <si>
    <t>VCC-0182</t>
  </si>
  <si>
    <t>VCC-0183</t>
  </si>
  <si>
    <t>VCC-0184</t>
  </si>
  <si>
    <t>VCC-0185</t>
  </si>
  <si>
    <t>VCC-0186</t>
  </si>
  <si>
    <t>VCC-0187</t>
  </si>
  <si>
    <t>VCC-0188</t>
  </si>
  <si>
    <t>VCC-0189</t>
  </si>
  <si>
    <t>VCC-0190</t>
  </si>
  <si>
    <t>VCC-0191</t>
  </si>
  <si>
    <t>VCC-0192</t>
  </si>
  <si>
    <t>VCC-0193</t>
  </si>
  <si>
    <t>VCC-0194</t>
  </si>
  <si>
    <t>VCC-0195</t>
  </si>
  <si>
    <t>VCC-0196</t>
  </si>
  <si>
    <t>VCC-0197</t>
  </si>
  <si>
    <t>VCC-0198</t>
  </si>
  <si>
    <t>VCC-0199</t>
  </si>
  <si>
    <t>VCC-0200</t>
  </si>
  <si>
    <t>VCC-0201</t>
  </si>
  <si>
    <t>VCC-0202</t>
  </si>
  <si>
    <t>VCC-0203</t>
  </si>
  <si>
    <t>VCC-0204</t>
  </si>
  <si>
    <t>VCC-0205</t>
  </si>
  <si>
    <t>VCC-0206</t>
  </si>
  <si>
    <t>VCC-0207</t>
  </si>
  <si>
    <t>VCC-0208</t>
  </si>
  <si>
    <t>VCC-0209</t>
  </si>
  <si>
    <t>VCC-0210</t>
  </si>
  <si>
    <t>VCC-0211</t>
  </si>
  <si>
    <t>VCC-0212</t>
  </si>
  <si>
    <t>VCC-0213</t>
  </si>
  <si>
    <t>VCC-0214</t>
  </si>
  <si>
    <t>VCC-0215</t>
  </si>
  <si>
    <t>VCC-0216</t>
  </si>
  <si>
    <t>VCC-0217</t>
  </si>
  <si>
    <t>VCC-0218</t>
  </si>
  <si>
    <t>VCC-0219</t>
  </si>
  <si>
    <t>VCC-0220</t>
  </si>
  <si>
    <t>VCC-0221</t>
  </si>
  <si>
    <t>VCC-0222</t>
  </si>
  <si>
    <t>VCC-0223</t>
  </si>
  <si>
    <t>VCC-0224</t>
  </si>
  <si>
    <t>VCC-0225</t>
  </si>
  <si>
    <t>VCC-0226</t>
  </si>
  <si>
    <t>VCC-0227</t>
  </si>
  <si>
    <t>VCC-0228</t>
  </si>
  <si>
    <t>VCC-0229</t>
  </si>
  <si>
    <t>VCC-0230</t>
  </si>
  <si>
    <t>VCC-0231</t>
  </si>
  <si>
    <t>VCC-0232</t>
  </si>
  <si>
    <t>VCC-0233</t>
  </si>
  <si>
    <t>VCC-0234</t>
  </si>
  <si>
    <t>VCC-0235</t>
  </si>
  <si>
    <t>VCC-0236</t>
  </si>
  <si>
    <t>VCC-0237</t>
  </si>
  <si>
    <t>VCC-0238</t>
  </si>
  <si>
    <t>VCC-0239</t>
  </si>
  <si>
    <t>VCC-0240</t>
  </si>
  <si>
    <t>VCC-0241</t>
  </si>
  <si>
    <t>VCC-0242</t>
  </si>
  <si>
    <t>VCC-0243</t>
  </si>
  <si>
    <t>VCC-0244</t>
  </si>
  <si>
    <t>VCC-0245</t>
  </si>
  <si>
    <t>VCC-0246</t>
  </si>
  <si>
    <t>VCC-0247</t>
  </si>
  <si>
    <t>VCC-0248</t>
  </si>
  <si>
    <t>VCC-0249</t>
  </si>
  <si>
    <t>VCC-0250</t>
  </si>
  <si>
    <t>VCC-0251</t>
  </si>
  <si>
    <t>VCC-0252</t>
  </si>
  <si>
    <t>VCC-0253</t>
  </si>
  <si>
    <t>VCC-0254</t>
  </si>
  <si>
    <t>VCC-0255</t>
  </si>
  <si>
    <t>VCC-0256</t>
  </si>
  <si>
    <t>VCC-0257</t>
  </si>
  <si>
    <t>VCC-0258</t>
  </si>
  <si>
    <t>VCC-0259</t>
  </si>
  <si>
    <t>VCC-0260</t>
  </si>
  <si>
    <t>VCC-0261</t>
  </si>
  <si>
    <t>VCC-0262</t>
  </si>
  <si>
    <t>VCC-0263</t>
  </si>
  <si>
    <t>VCC-0264</t>
  </si>
  <si>
    <t>VCC-0265</t>
  </si>
  <si>
    <t>VCC-0266</t>
  </si>
  <si>
    <t>VCC-0267</t>
  </si>
  <si>
    <t>VCC-0268</t>
  </si>
  <si>
    <t>VCC-0269</t>
  </si>
  <si>
    <t>VCC-0270</t>
  </si>
  <si>
    <t>VCC-0271</t>
  </si>
  <si>
    <t>VCC-0272</t>
  </si>
  <si>
    <t>VCC-0273</t>
  </si>
  <si>
    <t>VCC-0274</t>
  </si>
  <si>
    <t>VCC-0275</t>
  </si>
  <si>
    <t>VCC-0276</t>
  </si>
  <si>
    <t>VCC-0277</t>
  </si>
  <si>
    <t>VCC-0278</t>
  </si>
  <si>
    <t>VCC-0279</t>
  </si>
  <si>
    <t>VCC-0280</t>
  </si>
  <si>
    <t>VCC-0281</t>
  </si>
  <si>
    <t>VCC-0282</t>
  </si>
  <si>
    <t>VCC-0283</t>
  </si>
  <si>
    <t>VCC-0284</t>
  </si>
  <si>
    <t>VCC-0285</t>
  </si>
  <si>
    <t>VCC-0286</t>
  </si>
  <si>
    <t>VCC-0287</t>
  </si>
  <si>
    <t>VCC-0288</t>
  </si>
  <si>
    <t>VCC-0289</t>
  </si>
  <si>
    <t>VCC-0290</t>
  </si>
  <si>
    <t>VCC-0291</t>
  </si>
  <si>
    <t>VCC-0292</t>
  </si>
  <si>
    <t>VCC-0293</t>
  </si>
  <si>
    <t>VCC-0294</t>
  </si>
  <si>
    <t>VCC-0295</t>
  </si>
  <si>
    <t>CTY-071</t>
  </si>
  <si>
    <t>countries_covered</t>
  </si>
  <si>
    <t>data_confidence</t>
  </si>
  <si>
    <t>VCA-0001</t>
  </si>
  <si>
    <t>ASSUMED - country primary gateway, verify</t>
  </si>
  <si>
    <t>VCA-0002</t>
  </si>
  <si>
    <t>VCA-0003</t>
  </si>
  <si>
    <t>VCA-0004</t>
  </si>
  <si>
    <t>VCA-0005</t>
  </si>
  <si>
    <t>VCA-0006</t>
  </si>
  <si>
    <t>VCA-0007</t>
  </si>
  <si>
    <t>VCA-0008</t>
  </si>
  <si>
    <t>VCA-0009</t>
  </si>
  <si>
    <t>VCA-0010</t>
  </si>
  <si>
    <t>VCA-0011</t>
  </si>
  <si>
    <t>VCA-0012</t>
  </si>
  <si>
    <t>VCA-0013</t>
  </si>
  <si>
    <t>FALA</t>
  </si>
  <si>
    <t>CONFIRMED - station named in company</t>
  </si>
  <si>
    <t>VCA-0014</t>
  </si>
  <si>
    <t>VCA-0015</t>
  </si>
  <si>
    <t>VCA-0016</t>
  </si>
  <si>
    <t>VCA-0017</t>
  </si>
  <si>
    <t>VCA-0018</t>
  </si>
  <si>
    <t>VCA-0019</t>
  </si>
  <si>
    <t>VCA-0020</t>
  </si>
  <si>
    <t>FAUP</t>
  </si>
  <si>
    <t>VCA-0021</t>
  </si>
  <si>
    <t>VCA-0022</t>
  </si>
  <si>
    <t>FAGC</t>
  </si>
  <si>
    <t>VCA-0023</t>
  </si>
  <si>
    <t>VCA-0024</t>
  </si>
  <si>
    <t>VCA-0025</t>
  </si>
  <si>
    <t>VCA-0026</t>
  </si>
  <si>
    <t>VCA-0027</t>
  </si>
  <si>
    <t>VCA-0028</t>
  </si>
  <si>
    <t>VCA-0029</t>
  </si>
  <si>
    <t>VCA-0030</t>
  </si>
  <si>
    <t>GMMN</t>
  </si>
  <si>
    <t>VCA-0031</t>
  </si>
  <si>
    <t>VCA-0032</t>
  </si>
  <si>
    <t>VCA-0033</t>
  </si>
  <si>
    <t>VCA-0034</t>
  </si>
  <si>
    <t>VCA-0035</t>
  </si>
  <si>
    <t>VCA-0036</t>
  </si>
  <si>
    <t>VCA-0037</t>
  </si>
  <si>
    <t>VCA-0038</t>
  </si>
  <si>
    <t>VCA-0039</t>
  </si>
  <si>
    <t>VCA-0040</t>
  </si>
  <si>
    <t>VCA-0041</t>
  </si>
  <si>
    <t>VCA-0042</t>
  </si>
  <si>
    <t>VCA-0043</t>
  </si>
  <si>
    <t>VCA-0044</t>
  </si>
  <si>
    <t>VCA-0045</t>
  </si>
  <si>
    <t>VCA-0046</t>
  </si>
  <si>
    <t>FVRG</t>
  </si>
  <si>
    <t>VCA-0047</t>
  </si>
  <si>
    <t>VCA-0048</t>
  </si>
  <si>
    <t>VCA-0049</t>
  </si>
  <si>
    <t>VCA-0050</t>
  </si>
  <si>
    <t>VCA-0051</t>
  </si>
  <si>
    <t>VCA-0052</t>
  </si>
  <si>
    <t>VCA-0053</t>
  </si>
  <si>
    <t>VCA-0054</t>
  </si>
  <si>
    <t>VCA-0055</t>
  </si>
  <si>
    <t>VCA-0056</t>
  </si>
  <si>
    <t>VCA-0057</t>
  </si>
  <si>
    <t>VCA-0058</t>
  </si>
  <si>
    <t>VCA-0059</t>
  </si>
  <si>
    <t>VCA-0060</t>
  </si>
  <si>
    <t>VCA-0061</t>
  </si>
  <si>
    <t>VCA-0062</t>
  </si>
  <si>
    <t>VCA-0063</t>
  </si>
  <si>
    <t>VCA-0064</t>
  </si>
  <si>
    <t>VCA-0065</t>
  </si>
  <si>
    <t>VCA-0066</t>
  </si>
  <si>
    <t>VCA-0067</t>
  </si>
  <si>
    <t>VCA-0068</t>
  </si>
  <si>
    <t>VCA-0069</t>
  </si>
  <si>
    <t>VCA-0070</t>
  </si>
  <si>
    <t>VCA-0071</t>
  </si>
  <si>
    <t>VCA-0072</t>
  </si>
  <si>
    <t>VCA-0073</t>
  </si>
  <si>
    <t>VCA-0074</t>
  </si>
  <si>
    <t>VCA-0075</t>
  </si>
  <si>
    <t>VCA-0076</t>
  </si>
  <si>
    <t>VCA-0077</t>
  </si>
  <si>
    <t>VCA-0078</t>
  </si>
  <si>
    <t>VCA-0079</t>
  </si>
  <si>
    <t>VCA-0080</t>
  </si>
  <si>
    <t>FBSK</t>
  </si>
  <si>
    <t>VCA-0081</t>
  </si>
  <si>
    <t>VCA-0082</t>
  </si>
  <si>
    <t>VCA-0083</t>
  </si>
  <si>
    <t>DNMM</t>
  </si>
  <si>
    <t>VCA-0084</t>
  </si>
  <si>
    <t>VCA-0085</t>
  </si>
  <si>
    <t>VCA-0086</t>
  </si>
  <si>
    <t>FYWH</t>
  </si>
  <si>
    <t>VCA-0087</t>
  </si>
  <si>
    <t>FYWE</t>
  </si>
  <si>
    <t>VCA-0088</t>
  </si>
  <si>
    <t>VCA-0089</t>
  </si>
  <si>
    <t>VCA-0090</t>
  </si>
  <si>
    <t>VCA-0091</t>
  </si>
  <si>
    <t>VCA-0092</t>
  </si>
  <si>
    <t>VCA-0093</t>
  </si>
  <si>
    <t>VCA-0094</t>
  </si>
  <si>
    <t>VCA-0095</t>
  </si>
  <si>
    <t>VCA-0096</t>
  </si>
  <si>
    <t>VCA-0097</t>
  </si>
  <si>
    <t>VCA-0098</t>
  </si>
  <si>
    <t>VCA-0099</t>
  </si>
  <si>
    <t>VCA-0100</t>
  </si>
  <si>
    <t>VCA-0101</t>
  </si>
  <si>
    <t>VCA-0102</t>
  </si>
  <si>
    <t>VCA-0103</t>
  </si>
  <si>
    <t>VCA-0104</t>
  </si>
  <si>
    <t>VCA-0105</t>
  </si>
  <si>
    <t>VCA-0106</t>
  </si>
  <si>
    <t>VCA-0107</t>
  </si>
  <si>
    <t>VCA-0108</t>
  </si>
  <si>
    <t>VCA-0109</t>
  </si>
  <si>
    <t>VCA-0110</t>
  </si>
  <si>
    <t>VCA-0111</t>
  </si>
  <si>
    <t>VCA-0112</t>
  </si>
  <si>
    <t>VCA-0113</t>
  </si>
  <si>
    <t>VCA-0114</t>
  </si>
  <si>
    <t>VCA-0115</t>
  </si>
  <si>
    <t>VCA-0116</t>
  </si>
  <si>
    <t>VCA-0117</t>
  </si>
  <si>
    <t>VCA-0118</t>
  </si>
  <si>
    <t>VCA-0119</t>
  </si>
  <si>
    <t>VCA-0120</t>
  </si>
  <si>
    <t>VCA-0121</t>
  </si>
  <si>
    <t>VCA-0122</t>
  </si>
  <si>
    <t>VCA-0123</t>
  </si>
  <si>
    <t>VCA-0124</t>
  </si>
  <si>
    <t>VCA-0125</t>
  </si>
  <si>
    <t>VCA-0126</t>
  </si>
  <si>
    <t>VCA-0127</t>
  </si>
  <si>
    <t>VCA-0128</t>
  </si>
  <si>
    <t>VCA-0129</t>
  </si>
  <si>
    <t>VCA-0130</t>
  </si>
  <si>
    <t>VCA-0131</t>
  </si>
  <si>
    <t>VCA-0132</t>
  </si>
  <si>
    <t>HHAS</t>
  </si>
  <si>
    <t>VCA-0133</t>
  </si>
  <si>
    <t>VCA-0134</t>
  </si>
  <si>
    <t>VCA-0135</t>
  </si>
  <si>
    <t>VCA-0136</t>
  </si>
  <si>
    <t>VCA-0137</t>
  </si>
  <si>
    <t>VCA-0138</t>
  </si>
  <si>
    <t>VCA-0139</t>
  </si>
  <si>
    <t>VCA-0140</t>
  </si>
  <si>
    <t>VCA-0141</t>
  </si>
  <si>
    <t>VCA-0142</t>
  </si>
  <si>
    <t>VCA-0143</t>
  </si>
  <si>
    <t>VCA-0144</t>
  </si>
  <si>
    <t>VCA-0145</t>
  </si>
  <si>
    <t>VCA-0146</t>
  </si>
  <si>
    <t>VCA-0147</t>
  </si>
  <si>
    <t>VCA-0148</t>
  </si>
  <si>
    <t>HCMM</t>
  </si>
  <si>
    <t>VCA-0149</t>
  </si>
  <si>
    <t>VCA-0150</t>
  </si>
  <si>
    <t>VCA-0151</t>
  </si>
  <si>
    <t>VCA-0152</t>
  </si>
  <si>
    <t>VCA-0153</t>
  </si>
  <si>
    <t>VCA-0154</t>
  </si>
  <si>
    <t>VCA-0155</t>
  </si>
  <si>
    <t>VCA-0156</t>
  </si>
  <si>
    <t>VCA-0157</t>
  </si>
  <si>
    <t>VCA-0158</t>
  </si>
  <si>
    <t>VCA-0159</t>
  </si>
  <si>
    <t>VCA-0160</t>
  </si>
  <si>
    <t>VCA-0161</t>
  </si>
  <si>
    <t>VCA-0162</t>
  </si>
  <si>
    <t>VCA-0163</t>
  </si>
  <si>
    <t>VCA-0164</t>
  </si>
  <si>
    <t>VCA-0165</t>
  </si>
  <si>
    <t>VCA-0166</t>
  </si>
  <si>
    <t>VCA-0167</t>
  </si>
  <si>
    <t>VCA-0168</t>
  </si>
  <si>
    <t>VCA-0169</t>
  </si>
  <si>
    <t>VCA-0170</t>
  </si>
  <si>
    <t>VCA-0171</t>
  </si>
  <si>
    <t>VCA-0172</t>
  </si>
  <si>
    <t>VCA-0173</t>
  </si>
  <si>
    <t>VCA-0174</t>
  </si>
  <si>
    <t>VCA-0175</t>
  </si>
  <si>
    <t>VCA-0176</t>
  </si>
  <si>
    <t>VCA-0177</t>
  </si>
  <si>
    <t>VCA-0178</t>
  </si>
  <si>
    <t>VCA-0179</t>
  </si>
  <si>
    <t>VCA-0180</t>
  </si>
  <si>
    <t>VCA-0181</t>
  </si>
  <si>
    <t>VCA-0182</t>
  </si>
  <si>
    <t>VCA-0183</t>
  </si>
  <si>
    <t>VCA-0184</t>
  </si>
  <si>
    <t>VCA-0185</t>
  </si>
  <si>
    <t>VCA-0186</t>
  </si>
  <si>
    <t>VCA-0187</t>
  </si>
  <si>
    <t>VCA-0188</t>
  </si>
  <si>
    <t>VCA-0189</t>
  </si>
  <si>
    <t>VCA-0190</t>
  </si>
  <si>
    <t>VCA-0191</t>
  </si>
  <si>
    <t>VCA-0192</t>
  </si>
  <si>
    <t>VCA-0193</t>
  </si>
  <si>
    <t>VCA-0194</t>
  </si>
  <si>
    <t>VCA-0195</t>
  </si>
  <si>
    <t>VCA-0196</t>
  </si>
  <si>
    <t>VCA-0197</t>
  </si>
  <si>
    <t>VCA-0198</t>
  </si>
  <si>
    <t>VCA-0199</t>
  </si>
  <si>
    <t>FGSL</t>
  </si>
  <si>
    <t>VCA-0200</t>
  </si>
  <si>
    <t>VCA-0201</t>
  </si>
  <si>
    <t>VCA-0202</t>
  </si>
  <si>
    <t>VCA-0203</t>
  </si>
  <si>
    <t>VCA-0204</t>
  </si>
  <si>
    <t>VCA-0205</t>
  </si>
  <si>
    <t>VCA-0206</t>
  </si>
  <si>
    <t>VCA-0207</t>
  </si>
  <si>
    <t>VCA-0208</t>
  </si>
  <si>
    <t>VCA-0209</t>
  </si>
  <si>
    <t>VCA-0210</t>
  </si>
  <si>
    <t>OERK</t>
  </si>
  <si>
    <t>VCA-0211</t>
  </si>
  <si>
    <t>OEJN</t>
  </si>
  <si>
    <t>VCA-0212</t>
  </si>
  <si>
    <t>VCA-0213</t>
  </si>
  <si>
    <t>VCA-0214</t>
  </si>
  <si>
    <t>VCA-0215</t>
  </si>
  <si>
    <t>VCA-0216</t>
  </si>
  <si>
    <t>VCA-0217</t>
  </si>
  <si>
    <t>VCA-0218</t>
  </si>
  <si>
    <t>VCA-0219</t>
  </si>
  <si>
    <t>VCA-0220</t>
  </si>
  <si>
    <t>VCA-0221</t>
  </si>
  <si>
    <t>OMDB</t>
  </si>
  <si>
    <t>VCA-0222</t>
  </si>
  <si>
    <t>VCA-0223</t>
  </si>
  <si>
    <t>VCA-0224</t>
  </si>
  <si>
    <t>VCA-0225</t>
  </si>
  <si>
    <t>VCA-0226</t>
  </si>
  <si>
    <t>VCA-0227</t>
  </si>
  <si>
    <t>VCA-0228</t>
  </si>
  <si>
    <t>VCA-0229</t>
  </si>
  <si>
    <t>VCA-0230</t>
  </si>
  <si>
    <t>VCA-0231</t>
  </si>
  <si>
    <t>VCA-0232</t>
  </si>
  <si>
    <t>VCA-0233</t>
  </si>
  <si>
    <t>VCA-0234</t>
  </si>
  <si>
    <t>VCA-0235</t>
  </si>
  <si>
    <t>VCA-0236</t>
  </si>
  <si>
    <t>VCA-0237</t>
  </si>
  <si>
    <t>VCA-0238</t>
  </si>
  <si>
    <t>VCA-0239</t>
  </si>
  <si>
    <t>VCA-0240</t>
  </si>
  <si>
    <t>VCA-0241</t>
  </si>
  <si>
    <t>VCA-0242</t>
  </si>
  <si>
    <t>VCA-0243</t>
  </si>
  <si>
    <t>VCA-0244</t>
  </si>
  <si>
    <t>VCA-0245</t>
  </si>
  <si>
    <t>VCA-0246</t>
  </si>
  <si>
    <t>VCA-0247</t>
  </si>
  <si>
    <t>VCA-0248</t>
  </si>
  <si>
    <t>VCA-0249</t>
  </si>
  <si>
    <t>VCA-0250</t>
  </si>
  <si>
    <t>VCA-0251</t>
  </si>
  <si>
    <t>VCA-0252</t>
  </si>
  <si>
    <t>VCA-0253</t>
  </si>
  <si>
    <t>VCA-0254</t>
  </si>
  <si>
    <t>VCA-0255</t>
  </si>
  <si>
    <t>VCA-0256</t>
  </si>
  <si>
    <t>VCA-0257</t>
  </si>
  <si>
    <t>VCA-0258</t>
  </si>
  <si>
    <t>VCA-0259</t>
  </si>
  <si>
    <t>VCA-0260</t>
  </si>
  <si>
    <t>VCA-0261</t>
  </si>
  <si>
    <t>VCA-0262</t>
  </si>
  <si>
    <t>VCA-0263</t>
  </si>
  <si>
    <t>VCA-0264</t>
  </si>
  <si>
    <t>VCA-0265</t>
  </si>
  <si>
    <t>VCA-0266</t>
  </si>
  <si>
    <t>VCA-0267</t>
  </si>
  <si>
    <t>VCA-0268</t>
  </si>
  <si>
    <t>VCA-0269</t>
  </si>
  <si>
    <t>VCA-0270</t>
  </si>
  <si>
    <t>VCA-0271</t>
  </si>
  <si>
    <t>VCA-0272</t>
  </si>
  <si>
    <t>VCA-0273</t>
  </si>
  <si>
    <t>VCA-0274</t>
  </si>
  <si>
    <t>VCA-0275</t>
  </si>
  <si>
    <t>VCA-0276</t>
  </si>
  <si>
    <t>VCA-0277</t>
  </si>
  <si>
    <t>EGPK</t>
  </si>
  <si>
    <t>VCA-0278</t>
  </si>
  <si>
    <t>VCA-0279</t>
  </si>
  <si>
    <t>VCA-0280</t>
  </si>
  <si>
    <t>VCA-0281</t>
  </si>
  <si>
    <t>VCA-0282</t>
  </si>
  <si>
    <t>VCA-0283</t>
  </si>
  <si>
    <t>VCA-0284</t>
  </si>
  <si>
    <t>VCA-0285</t>
  </si>
  <si>
    <t>VCA-0286</t>
  </si>
  <si>
    <t>VCA-0287</t>
  </si>
  <si>
    <t>VCA-0288</t>
  </si>
  <si>
    <t>VCA-0289</t>
  </si>
  <si>
    <t>VCA-0290</t>
  </si>
  <si>
    <t>VCA-0291</t>
  </si>
  <si>
    <t>VCA-0292</t>
  </si>
  <si>
    <t>VCA-0293</t>
  </si>
  <si>
    <t>OYSN</t>
  </si>
  <si>
    <t>VCA-0294</t>
  </si>
  <si>
    <t>VCA-0295</t>
  </si>
  <si>
    <t>LOS</t>
  </si>
  <si>
    <t>PIK</t>
  </si>
  <si>
    <t>GCJ</t>
  </si>
  <si>
    <t>HLA</t>
  </si>
  <si>
    <t>JNB</t>
  </si>
  <si>
    <t>UTN</t>
  </si>
  <si>
    <t>GBE</t>
  </si>
  <si>
    <t>SSG</t>
  </si>
  <si>
    <t>HRE</t>
  </si>
  <si>
    <t>ERS</t>
  </si>
  <si>
    <t>WDH</t>
  </si>
  <si>
    <t>CMN</t>
  </si>
  <si>
    <t>MGQ</t>
  </si>
  <si>
    <t>CAI</t>
  </si>
  <si>
    <t>ASM</t>
  </si>
  <si>
    <t>JED</t>
  </si>
  <si>
    <t>RUH</t>
  </si>
  <si>
    <t>DXB</t>
  </si>
  <si>
    <t>SAH</t>
  </si>
  <si>
    <t>Murtala Muhammed International Airport</t>
  </si>
  <si>
    <t>Glasgow Prestwick Airport</t>
  </si>
  <si>
    <t>Grand Central Airport</t>
  </si>
  <si>
    <t>Lanseria International Airport</t>
  </si>
  <si>
    <t>O.R. Tambo International Airport</t>
  </si>
  <si>
    <t>Upington Airport</t>
  </si>
  <si>
    <t>Sir Seretse Khama International Airport</t>
  </si>
  <si>
    <t>Malabo International Airport</t>
  </si>
  <si>
    <t>Robert Gabriel Mugabe International Airport</t>
  </si>
  <si>
    <t>Eros Airport</t>
  </si>
  <si>
    <t>Hosea Kutako International Airport</t>
  </si>
  <si>
    <t>Mohammed V International Airport</t>
  </si>
  <si>
    <t>Aden Adde International Airport</t>
  </si>
  <si>
    <t>Cairo International Airport</t>
  </si>
  <si>
    <t>Asmara International Airport</t>
  </si>
  <si>
    <t>King Abdulaziz International Airport</t>
  </si>
  <si>
    <t>King Khalid International Airport</t>
  </si>
  <si>
    <t>Dubai International Airport</t>
  </si>
  <si>
    <t>Sanaa International Airport</t>
  </si>
  <si>
    <t>Lagos</t>
  </si>
  <si>
    <t>Prestwick</t>
  </si>
  <si>
    <t>Midrand</t>
  </si>
  <si>
    <t>Johannesburg</t>
  </si>
  <si>
    <t>Upington</t>
  </si>
  <si>
    <t>Gaborone</t>
  </si>
  <si>
    <t>Malabo</t>
  </si>
  <si>
    <t>Harare</t>
  </si>
  <si>
    <t>Windhoek</t>
  </si>
  <si>
    <t>Casablanca</t>
  </si>
  <si>
    <t>Mogadishu</t>
  </si>
  <si>
    <t>Cairo</t>
  </si>
  <si>
    <t>Asmara</t>
  </si>
  <si>
    <t>Jeddah</t>
  </si>
  <si>
    <t>Riyadh</t>
  </si>
  <si>
    <t>Dubai</t>
  </si>
  <si>
    <t>Sanaa</t>
  </si>
  <si>
    <t>Africa/Windhoek</t>
  </si>
  <si>
    <t>Africa/Asmera</t>
  </si>
  <si>
    <t>18L/36R 2,742x45m ASP; 18R/36L 3,900x60m ASP</t>
  </si>
  <si>
    <t>02/20 1,906x45m ASP; 12/30 2,987x45m PEM</t>
  </si>
  <si>
    <t>17/35 1,830x23m ASP</t>
  </si>
  <si>
    <t>07/25 3,047x45m ASP</t>
  </si>
  <si>
    <t>03L/21R 4,418x61m ASP; 03R/21L 3,400x60m ASP</t>
  </si>
  <si>
    <t>01/19 2,438x45m ASP; 17/35 4,900x64m ASP</t>
  </si>
  <si>
    <t>08/26 4,000x45m CON</t>
  </si>
  <si>
    <t>04/22 2,940x46m CON</t>
  </si>
  <si>
    <t>05/23 4,725x46m ASP</t>
  </si>
  <si>
    <t>01/19 2,250x30m ASP</t>
  </si>
  <si>
    <t>08/26 4,575x45m ASP; 16/34 1,524x30m ASP</t>
  </si>
  <si>
    <t>17L/35R 3,720x45m ASP; 17R/35L 3,720x45m ASP</t>
  </si>
  <si>
    <t>05/23 3,184x45m ASP</t>
  </si>
  <si>
    <t>05C/23C 4,000x60m ASP; 05L/23R 3,300x60m ASP; 05R/23L 4,000x60m ASP</t>
  </si>
  <si>
    <t>07/25 3,000x45m ASP; 12/30 1,814x45m ASP</t>
  </si>
  <si>
    <t>16C/34C 4,000x60m ASP; 16L/34R 4,000x60m ASP</t>
  </si>
  <si>
    <t>15L/33R 4,205x60m ASP; 15R/33L 4,205x60m ASP</t>
  </si>
  <si>
    <t>12L/30R 4,351x60m ASP; 12R/30L 4,447x60m ASP</t>
  </si>
  <si>
    <t>18/36 3,252x45m ASP</t>
  </si>
  <si>
    <t>countries_covered_list</t>
  </si>
  <si>
    <t>primary_icao</t>
  </si>
  <si>
    <t>airports_covered</t>
  </si>
  <si>
    <t>operator_id</t>
  </si>
  <si>
    <t>operator_name</t>
  </si>
  <si>
    <t>trading_name_dba</t>
  </si>
  <si>
    <t>aoc_number</t>
  </si>
  <si>
    <t>icao_designator</t>
  </si>
  <si>
    <t>iata_designator</t>
  </si>
  <si>
    <t>country_code</t>
  </si>
  <si>
    <t>home_base_icao</t>
  </si>
  <si>
    <t>registered_address</t>
  </si>
  <si>
    <t>postal_address</t>
  </si>
  <si>
    <t>primary_contact_name</t>
  </si>
  <si>
    <t>primary_contact_email</t>
  </si>
  <si>
    <t>primary_contact_phone</t>
  </si>
  <si>
    <t>occ_email</t>
  </si>
  <si>
    <t>billing_email</t>
  </si>
  <si>
    <t>sms_email</t>
  </si>
  <si>
    <t>default_currency</t>
  </si>
  <si>
    <t>tax_id</t>
  </si>
  <si>
    <t>credit_approved</t>
  </si>
  <si>
    <t>status</t>
  </si>
  <si>
    <t>linked_vendor_id</t>
  </si>
  <si>
    <t>OPR-001</t>
  </si>
  <si>
    <t>Fireblade Aviation</t>
  </si>
  <si>
    <t>ACTIVE</t>
  </si>
  <si>
    <t>Operates as both service provider (FBO/handling at FAOR) and client/operator</t>
  </si>
  <si>
    <t>DUAL_VENDOR_CLIENT</t>
  </si>
  <si>
    <t>phone</t>
  </si>
  <si>
    <t>entity_type</t>
  </si>
  <si>
    <t>aircraft_id</t>
  </si>
  <si>
    <t>registration</t>
  </si>
  <si>
    <t>icao_type</t>
  </si>
  <si>
    <t>manufacturer</t>
  </si>
  <si>
    <t>model_series</t>
  </si>
  <si>
    <t>home_base_name</t>
  </si>
  <si>
    <t>mtow_kg</t>
  </si>
  <si>
    <t>max_pax</t>
  </si>
  <si>
    <t>noise_certificate</t>
  </si>
  <si>
    <t>serial_number</t>
  </si>
  <si>
    <t>aircraft_status</t>
  </si>
  <si>
    <t>operator_ref</t>
  </si>
  <si>
    <t>cof_expiry_date</t>
  </si>
  <si>
    <t>insurance_expiry_date</t>
  </si>
  <si>
    <t>total_airframe_hours</t>
  </si>
  <si>
    <t>total_landings</t>
  </si>
  <si>
    <t>ACF-001</t>
  </si>
  <si>
    <t>C208</t>
  </si>
  <si>
    <t>Cessna</t>
  </si>
  <si>
    <t>208 Caravan</t>
  </si>
  <si>
    <t>HTAR</t>
  </si>
  <si>
    <t>208-0678</t>
  </si>
  <si>
    <t>OPV-04</t>
  </si>
  <si>
    <t>ACF-002</t>
  </si>
  <si>
    <t>208B Grand Caravan</t>
  </si>
  <si>
    <t>208B-1045</t>
  </si>
  <si>
    <t>ACF-003</t>
  </si>
  <si>
    <t>E190</t>
  </si>
  <si>
    <t>Embraer</t>
  </si>
  <si>
    <t>E-190</t>
  </si>
  <si>
    <t>OPV-03</t>
  </si>
  <si>
    <t>ACF-004</t>
  </si>
  <si>
    <t>C510</t>
  </si>
  <si>
    <t>Citation Mustang</t>
  </si>
  <si>
    <t>510-0123</t>
  </si>
  <si>
    <t>OPV-01</t>
  </si>
  <si>
    <t>ACF-005</t>
  </si>
  <si>
    <t>DH8D</t>
  </si>
  <si>
    <t>De Havilland</t>
  </si>
  <si>
    <t>Dash 8 Q400</t>
  </si>
  <si>
    <t>MAINTENANCE</t>
  </si>
  <si>
    <t>OPV-02</t>
  </si>
  <si>
    <t>ACF-006</t>
  </si>
  <si>
    <t>B763</t>
  </si>
  <si>
    <t>Boeing</t>
  </si>
  <si>
    <t>767-300ER</t>
  </si>
  <si>
    <t>ACF-007</t>
  </si>
  <si>
    <t>AT72</t>
  </si>
  <si>
    <t>ATR</t>
  </si>
  <si>
    <t>ATR 72-500</t>
  </si>
  <si>
    <t>722-0124</t>
  </si>
  <si>
    <t>ACF-008</t>
  </si>
  <si>
    <t>PC12</t>
  </si>
  <si>
    <t>Pilatus</t>
  </si>
  <si>
    <t>PC-12 NGX</t>
  </si>
  <si>
    <t>ACF-009</t>
  </si>
  <si>
    <t>B738</t>
  </si>
  <si>
    <t>737-800</t>
  </si>
  <si>
    <t>ACF-010</t>
  </si>
  <si>
    <t>ACF-011</t>
  </si>
  <si>
    <t>BN2T</t>
  </si>
  <si>
    <t>Britten-Norman</t>
  </si>
  <si>
    <t>Islander BN-2T</t>
  </si>
  <si>
    <t>ACF-012</t>
  </si>
  <si>
    <t>B732</t>
  </si>
  <si>
    <t>737-200</t>
  </si>
  <si>
    <t>STORAGE</t>
  </si>
  <si>
    <t>ACF-013</t>
  </si>
  <si>
    <t>A320</t>
  </si>
  <si>
    <t>Airbus</t>
  </si>
  <si>
    <t>A320-200</t>
  </si>
  <si>
    <t>ACF-014</t>
  </si>
  <si>
    <t>A332</t>
  </si>
  <si>
    <t>A330-200F</t>
  </si>
  <si>
    <t>OPV-44</t>
  </si>
  <si>
    <t>ACF-015</t>
  </si>
  <si>
    <t>E195</t>
  </si>
  <si>
    <t>E-195</t>
  </si>
  <si>
    <t>OPV-16</t>
  </si>
  <si>
    <t>ACF-016</t>
  </si>
  <si>
    <t>AT76</t>
  </si>
  <si>
    <t>ATR 72-600</t>
  </si>
  <si>
    <t>ACF-017</t>
  </si>
  <si>
    <t>B77W</t>
  </si>
  <si>
    <t>777-300ER</t>
  </si>
  <si>
    <t>OPV-15</t>
  </si>
  <si>
    <t>ACF-018</t>
  </si>
  <si>
    <t>ACF-019</t>
  </si>
  <si>
    <t>ACF-020</t>
  </si>
  <si>
    <t>CRJ9</t>
  </si>
  <si>
    <t>Bombardier</t>
  </si>
  <si>
    <t>CRJ-900</t>
  </si>
  <si>
    <t>OPV-09</t>
  </si>
  <si>
    <t>ACF-021</t>
  </si>
  <si>
    <t>ACF-022</t>
  </si>
  <si>
    <t>ACF-023</t>
  </si>
  <si>
    <t>OPV-06</t>
  </si>
  <si>
    <t>ACF-024</t>
  </si>
  <si>
    <t>PC-12 NG</t>
  </si>
  <si>
    <t>HKMO</t>
  </si>
  <si>
    <t>OPV-07</t>
  </si>
  <si>
    <t>ACF-025</t>
  </si>
  <si>
    <t>B744</t>
  </si>
  <si>
    <t>747-400F</t>
  </si>
  <si>
    <t>OPV-41</t>
  </si>
  <si>
    <t>ACF-026</t>
  </si>
  <si>
    <t>208-0567</t>
  </si>
  <si>
    <t>ACF-027</t>
  </si>
  <si>
    <t>ACF-028</t>
  </si>
  <si>
    <t>OPV-05</t>
  </si>
  <si>
    <t>ACF-029</t>
  </si>
  <si>
    <t>ACF-030</t>
  </si>
  <si>
    <t>B788</t>
  </si>
  <si>
    <t>787-8 Dreamliner</t>
  </si>
  <si>
    <t>ACF-031</t>
  </si>
  <si>
    <t>A359</t>
  </si>
  <si>
    <t>A350-900</t>
  </si>
  <si>
    <t>ACF-032</t>
  </si>
  <si>
    <t>ACF-033</t>
  </si>
  <si>
    <t>F70</t>
  </si>
  <si>
    <t>Fokker</t>
  </si>
  <si>
    <t>Fokker 70</t>
  </si>
  <si>
    <t>RETIRED</t>
  </si>
  <si>
    <t>ACF-034</t>
  </si>
  <si>
    <t>208-0701</t>
  </si>
  <si>
    <t>ACF-035</t>
  </si>
  <si>
    <t>C172</t>
  </si>
  <si>
    <t>172 Skyhawk</t>
  </si>
  <si>
    <t>172S-10456</t>
  </si>
  <si>
    <t>ACF-036</t>
  </si>
  <si>
    <t>OPV-17</t>
  </si>
  <si>
    <t>ACF-037</t>
  </si>
  <si>
    <t>ACF-038</t>
  </si>
  <si>
    <t>ACF-039</t>
  </si>
  <si>
    <t>A330</t>
  </si>
  <si>
    <t>A330-200</t>
  </si>
  <si>
    <t>OPV-10</t>
  </si>
  <si>
    <t>ACF-040</t>
  </si>
  <si>
    <t>ACF-041</t>
  </si>
  <si>
    <t>ACF-042</t>
  </si>
  <si>
    <t>ACF-043</t>
  </si>
  <si>
    <t>ACF-044</t>
  </si>
  <si>
    <t>B733</t>
  </si>
  <si>
    <t>737-300</t>
  </si>
  <si>
    <t>ACF-045</t>
  </si>
  <si>
    <t>GLF5</t>
  </si>
  <si>
    <t>Gulfstream</t>
  </si>
  <si>
    <t>G550</t>
  </si>
  <si>
    <t>OPV-40</t>
  </si>
  <si>
    <t>ACF-046</t>
  </si>
  <si>
    <t>B789</t>
  </si>
  <si>
    <t>787-9</t>
  </si>
  <si>
    <t>OPV-37</t>
  </si>
  <si>
    <t>ACF-047</t>
  </si>
  <si>
    <t>ACF-048</t>
  </si>
  <si>
    <t>B748</t>
  </si>
  <si>
    <t>747-8</t>
  </si>
  <si>
    <t>ACF-049</t>
  </si>
  <si>
    <t>A319</t>
  </si>
  <si>
    <t>ACJ319</t>
  </si>
  <si>
    <t>OPV-38</t>
  </si>
  <si>
    <t>ACF-050</t>
  </si>
  <si>
    <t>GLF6</t>
  </si>
  <si>
    <t>G650ER</t>
  </si>
  <si>
    <t>OPV-39</t>
  </si>
  <si>
    <t>ACF-051</t>
  </si>
  <si>
    <t>OPV-18</t>
  </si>
  <si>
    <t>ACF-052</t>
  </si>
  <si>
    <t>OPV-19</t>
  </si>
  <si>
    <t>ACF-053</t>
  </si>
  <si>
    <t>ACF-054</t>
  </si>
  <si>
    <t>787-8</t>
  </si>
  <si>
    <t>ACF-055</t>
  </si>
  <si>
    <t>B762</t>
  </si>
  <si>
    <t>767-200</t>
  </si>
  <si>
    <t>OPV-08</t>
  </si>
  <si>
    <t>ACF-056</t>
  </si>
  <si>
    <t>ACF-057</t>
  </si>
  <si>
    <t>B77L</t>
  </si>
  <si>
    <t>777-200F</t>
  </si>
  <si>
    <t>OPV-42</t>
  </si>
  <si>
    <t>ACF-058</t>
  </si>
  <si>
    <t>722-0156</t>
  </si>
  <si>
    <t>ACF-059</t>
  </si>
  <si>
    <t>ACF-060</t>
  </si>
  <si>
    <t>ACF-061</t>
  </si>
  <si>
    <t>ACF-062</t>
  </si>
  <si>
    <t>ACF-063</t>
  </si>
  <si>
    <t>ACF-064</t>
  </si>
  <si>
    <t>EGGW</t>
  </si>
  <si>
    <t>OPV-31</t>
  </si>
  <si>
    <t>ACF-065</t>
  </si>
  <si>
    <t>OPV-34</t>
  </si>
  <si>
    <t>ACF-066</t>
  </si>
  <si>
    <t>FA8X</t>
  </si>
  <si>
    <t>Dassault</t>
  </si>
  <si>
    <t>Falcon 8X</t>
  </si>
  <si>
    <t>EGLF</t>
  </si>
  <si>
    <t>OPV-33</t>
  </si>
  <si>
    <t>ACF-067</t>
  </si>
  <si>
    <t>OPV-36</t>
  </si>
  <si>
    <t>ACF-068</t>
  </si>
  <si>
    <t>GLEX</t>
  </si>
  <si>
    <t>Global 7500</t>
  </si>
  <si>
    <t>OPV-32</t>
  </si>
  <si>
    <t>ACF-069</t>
  </si>
  <si>
    <t>747-8 BBJ</t>
  </si>
  <si>
    <t>OPV-35</t>
  </si>
  <si>
    <t>ACF-070</t>
  </si>
  <si>
    <t>N181CL</t>
  </si>
  <si>
    <t>PC24</t>
  </si>
  <si>
    <t>PC-24</t>
  </si>
  <si>
    <t>KTEB</t>
  </si>
  <si>
    <t>OPV-26</t>
  </si>
  <si>
    <t>ACF-071</t>
  </si>
  <si>
    <t>N20ABC</t>
  </si>
  <si>
    <t>G650</t>
  </si>
  <si>
    <t>KHOU</t>
  </si>
  <si>
    <t>ACF-072</t>
  </si>
  <si>
    <t>N20ABD</t>
  </si>
  <si>
    <t>Gulfstream Aerospace</t>
  </si>
  <si>
    <t>ACF-073</t>
  </si>
  <si>
    <t>N280XX</t>
  </si>
  <si>
    <t>OPV-25</t>
  </si>
  <si>
    <t>ACF-074</t>
  </si>
  <si>
    <t>N300VA</t>
  </si>
  <si>
    <t>C56X</t>
  </si>
  <si>
    <t>Citation XLS+</t>
  </si>
  <si>
    <t>560-0789</t>
  </si>
  <si>
    <t>OPV-29</t>
  </si>
  <si>
    <t>ACF-075</t>
  </si>
  <si>
    <t>N350XX</t>
  </si>
  <si>
    <t>FA7X</t>
  </si>
  <si>
    <t>Falcon 7X</t>
  </si>
  <si>
    <t>ACF-076</t>
  </si>
  <si>
    <t>N450GA</t>
  </si>
  <si>
    <t>OPV-21</t>
  </si>
  <si>
    <t>ACF-077</t>
  </si>
  <si>
    <t>N451CS</t>
  </si>
  <si>
    <t>KFXE</t>
  </si>
  <si>
    <t>OPV-22</t>
  </si>
  <si>
    <t>ACF-078</t>
  </si>
  <si>
    <t>N451FX</t>
  </si>
  <si>
    <t>G450</t>
  </si>
  <si>
    <t>OPV-28</t>
  </si>
  <si>
    <t>ACF-079</t>
  </si>
  <si>
    <t>N452FX</t>
  </si>
  <si>
    <t>ACF-080</t>
  </si>
  <si>
    <t>N535MG</t>
  </si>
  <si>
    <t>C700</t>
  </si>
  <si>
    <t>Citation Longitude</t>
  </si>
  <si>
    <t>OPV-30</t>
  </si>
  <si>
    <t>ACF-081</t>
  </si>
  <si>
    <t>N550QS</t>
  </si>
  <si>
    <t>CL35</t>
  </si>
  <si>
    <t>Challenger 350</t>
  </si>
  <si>
    <t>KCMH</t>
  </si>
  <si>
    <t>OPV-27</t>
  </si>
  <si>
    <t>ACF-082</t>
  </si>
  <si>
    <t>N555GA</t>
  </si>
  <si>
    <t>ACF-083</t>
  </si>
  <si>
    <t>N650DV</t>
  </si>
  <si>
    <t>ACF-084</t>
  </si>
  <si>
    <t>N700QS</t>
  </si>
  <si>
    <t>ACF-085</t>
  </si>
  <si>
    <t>N721MM</t>
  </si>
  <si>
    <t>KLAS</t>
  </si>
  <si>
    <t>OPV-24</t>
  </si>
  <si>
    <t>ACF-086</t>
  </si>
  <si>
    <t>N750QS</t>
  </si>
  <si>
    <t>ACF-087</t>
  </si>
  <si>
    <t>FA50</t>
  </si>
  <si>
    <t>Falcon 50EX</t>
  </si>
  <si>
    <t>ACF-088</t>
  </si>
  <si>
    <t>N812QS</t>
  </si>
  <si>
    <t>ACF-089</t>
  </si>
  <si>
    <t>N888ZJ</t>
  </si>
  <si>
    <t>Global 6000</t>
  </si>
  <si>
    <t>OPV-23</t>
  </si>
  <si>
    <t>ACF-090</t>
  </si>
  <si>
    <t>N900KS</t>
  </si>
  <si>
    <t>G280</t>
  </si>
  <si>
    <t>ACF-091</t>
  </si>
  <si>
    <t>N90XL</t>
  </si>
  <si>
    <t>C750</t>
  </si>
  <si>
    <t>Citation X</t>
  </si>
  <si>
    <t>750-0456</t>
  </si>
  <si>
    <t>ACF-092</t>
  </si>
  <si>
    <t>OPV-20</t>
  </si>
  <si>
    <t>ACF-093</t>
  </si>
  <si>
    <t>ACF-094</t>
  </si>
  <si>
    <t>ACF-095</t>
  </si>
  <si>
    <t>ACF-096</t>
  </si>
  <si>
    <t>ACF-097</t>
  </si>
  <si>
    <t>OPV-12</t>
  </si>
  <si>
    <t>ACF-098</t>
  </si>
  <si>
    <t>ACF-099</t>
  </si>
  <si>
    <t>OPV-13</t>
  </si>
  <si>
    <t>ACF-100</t>
  </si>
  <si>
    <t>OPV-11</t>
  </si>
  <si>
    <t>ACF-101</t>
  </si>
  <si>
    <t>OPV-43</t>
  </si>
  <si>
    <t>ACF-102</t>
  </si>
  <si>
    <t>OPV-14</t>
  </si>
  <si>
    <t>ACF-103</t>
  </si>
  <si>
    <t>B350</t>
  </si>
  <si>
    <t>Beechcraft</t>
  </si>
  <si>
    <t>King Air 350</t>
  </si>
  <si>
    <t>FL-567</t>
  </si>
  <si>
    <t>ACF-104</t>
  </si>
  <si>
    <t>ACF-105</t>
  </si>
  <si>
    <t>ACF-106</t>
  </si>
  <si>
    <t>A346</t>
  </si>
  <si>
    <t>A340-600</t>
  </si>
  <si>
    <t>ACF-107</t>
  </si>
  <si>
    <t>ACF-108</t>
  </si>
  <si>
    <t>208B-1102</t>
  </si>
  <si>
    <t>ACF-109</t>
  </si>
  <si>
    <t>747-400</t>
  </si>
  <si>
    <t>ACF-110</t>
  </si>
  <si>
    <t>LTN</t>
  </si>
  <si>
    <t>FAB</t>
  </si>
  <si>
    <t>MBA</t>
  </si>
  <si>
    <t>ARK</t>
  </si>
  <si>
    <t>CMH</t>
  </si>
  <si>
    <t>FXE</t>
  </si>
  <si>
    <t>HOU</t>
  </si>
  <si>
    <t>LAS</t>
  </si>
  <si>
    <t>TEB</t>
  </si>
  <si>
    <t>London Luton Airport</t>
  </si>
  <si>
    <t>Farnborough Airport</t>
  </si>
  <si>
    <t>Moi International Airport</t>
  </si>
  <si>
    <t>Arusha Airport</t>
  </si>
  <si>
    <t>John Glenn Columbus International Airport</t>
  </si>
  <si>
    <t>Fort Lauderdale Executive Airport</t>
  </si>
  <si>
    <t>William P. Hobby Airport</t>
  </si>
  <si>
    <t>Harry Reid International Airport</t>
  </si>
  <si>
    <t>Teterboro Airport</t>
  </si>
  <si>
    <t>Luton</t>
  </si>
  <si>
    <t>Farnborough</t>
  </si>
  <si>
    <t>Mombasa</t>
  </si>
  <si>
    <t>Columbus</t>
  </si>
  <si>
    <t>Fort Lauderdale</t>
  </si>
  <si>
    <t>Houston</t>
  </si>
  <si>
    <t>Las Vegas</t>
  </si>
  <si>
    <t>Teterboro</t>
  </si>
  <si>
    <t>America/Chicago</t>
  </si>
  <si>
    <t>America/Los_Angeles</t>
  </si>
  <si>
    <t>07/25 2,162x45m ASP</t>
  </si>
  <si>
    <t>06/24 2,440x45m ASP</t>
  </si>
  <si>
    <t>03/21 3,350x46m ASP; 15/33 1,363x36m ASP</t>
  </si>
  <si>
    <t>09/27 1,639x32m BIT</t>
  </si>
  <si>
    <t>10L/28R 2,438x46m ASP; 10R/28L 3,083x46m ASP</t>
  </si>
  <si>
    <t>09/27 1,829x30m ASP; 13/31 1,219x30m ASP</t>
  </si>
  <si>
    <t>04/22 2,317x46m CON; 13R/31L 2,317x46m CON</t>
  </si>
  <si>
    <t>01L/19R 2,978x46m CON; 08L/26R 4,424x46m CON</t>
  </si>
  <si>
    <t>01/19 2,133x46m ASP; 06/24 1,833x46m ASP</t>
  </si>
  <si>
    <t>5HAGR</t>
  </si>
  <si>
    <t>5HCLB</t>
  </si>
  <si>
    <t>5HJKT</t>
  </si>
  <si>
    <t>5HLUX</t>
  </si>
  <si>
    <t>5HMBY</t>
  </si>
  <si>
    <t>5HMVI</t>
  </si>
  <si>
    <t>5HMWF</t>
  </si>
  <si>
    <t>5HSGR</t>
  </si>
  <si>
    <t>5HTCA</t>
  </si>
  <si>
    <t>5HTCB</t>
  </si>
  <si>
    <t>5HUVI</t>
  </si>
  <si>
    <t>5HWRK</t>
  </si>
  <si>
    <t>5HZNZ</t>
  </si>
  <si>
    <t>5NBLD</t>
  </si>
  <si>
    <t>5NBQT</t>
  </si>
  <si>
    <t>5NBRN</t>
  </si>
  <si>
    <t>5NBWE</t>
  </si>
  <si>
    <t>5NBWI</t>
  </si>
  <si>
    <t>5NJNB</t>
  </si>
  <si>
    <t>5XEQU</t>
  </si>
  <si>
    <t>5XUBC</t>
  </si>
  <si>
    <t>5XUGH</t>
  </si>
  <si>
    <t>5YBHV</t>
  </si>
  <si>
    <t>5YCDS</t>
  </si>
  <si>
    <t>5YCIL</t>
  </si>
  <si>
    <t>5YCYO</t>
  </si>
  <si>
    <t>5YFDJ</t>
  </si>
  <si>
    <t>5YKQA</t>
  </si>
  <si>
    <t>5YKQB</t>
  </si>
  <si>
    <t>5YKQC</t>
  </si>
  <si>
    <t>5YKYQ</t>
  </si>
  <si>
    <t>5YKZA</t>
  </si>
  <si>
    <t>5YOLD</t>
  </si>
  <si>
    <t>5YSFC</t>
  </si>
  <si>
    <t>5YUVA</t>
  </si>
  <si>
    <t>9GACI</t>
  </si>
  <si>
    <t>9GAGE</t>
  </si>
  <si>
    <t>9GAGF</t>
  </si>
  <si>
    <t>9XRWN</t>
  </si>
  <si>
    <t>9XRWQ</t>
  </si>
  <si>
    <t>9XRWU</t>
  </si>
  <si>
    <t>9XRWV</t>
  </si>
  <si>
    <t>9XRWW</t>
  </si>
  <si>
    <t>9XRWX</t>
  </si>
  <si>
    <t>A6AIN</t>
  </si>
  <si>
    <t>A6EPF</t>
  </si>
  <si>
    <t>A6HMS</t>
  </si>
  <si>
    <t>A6HRS</t>
  </si>
  <si>
    <t>A6PFA</t>
  </si>
  <si>
    <t>A6RJU</t>
  </si>
  <si>
    <t>CNRGB</t>
  </si>
  <si>
    <t>CNROG</t>
  </si>
  <si>
    <t>CNROP</t>
  </si>
  <si>
    <t>CNROQ</t>
  </si>
  <si>
    <t>ETAOA</t>
  </si>
  <si>
    <t>ETAQL</t>
  </si>
  <si>
    <t>ETARH</t>
  </si>
  <si>
    <t>ETASL</t>
  </si>
  <si>
    <t>ETATY</t>
  </si>
  <si>
    <t>ETAUO</t>
  </si>
  <si>
    <t>ETAVE</t>
  </si>
  <si>
    <t>ETAVO</t>
  </si>
  <si>
    <t>ETAWQ</t>
  </si>
  <si>
    <t>MABCD</t>
  </si>
  <si>
    <t>MATTS</t>
  </si>
  <si>
    <t>MCHEM</t>
  </si>
  <si>
    <t>MINTS</t>
  </si>
  <si>
    <t>MISTY</t>
  </si>
  <si>
    <t>MYBBJ</t>
  </si>
  <si>
    <t>SUGDB</t>
  </si>
  <si>
    <t>SUGDM</t>
  </si>
  <si>
    <t>SUGDR</t>
  </si>
  <si>
    <t>SUGFD</t>
  </si>
  <si>
    <t>SUGFZ</t>
  </si>
  <si>
    <t>ZSAKF</t>
  </si>
  <si>
    <t>ZSKNY</t>
  </si>
  <si>
    <t>ZSNJE</t>
  </si>
  <si>
    <t>ZSOER</t>
  </si>
  <si>
    <t>ZSORL</t>
  </si>
  <si>
    <t>ZSRZA</t>
  </si>
  <si>
    <t>ZSSJV</t>
  </si>
  <si>
    <t>ZSSND</t>
  </si>
  <si>
    <t>ZSSXC</t>
  </si>
  <si>
    <t>ZSTFZ</t>
  </si>
  <si>
    <t>ZSTHR</t>
  </si>
  <si>
    <t>ZSWXV</t>
  </si>
  <si>
    <t>ZSZWS</t>
  </si>
  <si>
    <t>client_name</t>
  </si>
  <si>
    <t>total_legs</t>
  </si>
  <si>
    <t>trip_status</t>
  </si>
  <si>
    <t>leg_no</t>
  </si>
  <si>
    <t>dep_icao</t>
  </si>
  <si>
    <t>dep_name</t>
  </si>
  <si>
    <t>arr_icao</t>
  </si>
  <si>
    <t>arr_name</t>
  </si>
  <si>
    <t>dist_nm</t>
  </si>
  <si>
    <t>leg_status</t>
  </si>
  <si>
    <t>PENDING</t>
  </si>
  <si>
    <t>CONFIRMED</t>
  </si>
  <si>
    <t>PLANNED</t>
  </si>
  <si>
    <t>JTL-2608-001</t>
  </si>
  <si>
    <t>DRAFT</t>
  </si>
  <si>
    <t>IN PROGRESS</t>
  </si>
  <si>
    <t>OPERATOR</t>
  </si>
  <si>
    <t>JTL AVIATION, INC</t>
  </si>
  <si>
    <t>REGISTRATION</t>
  </si>
  <si>
    <t>BLOCK SPEED (KTS)</t>
  </si>
  <si>
    <t>TAXI / CLIMB ALLOWANCE (HRS)</t>
  </si>
  <si>
    <t>ETD DATE</t>
  </si>
  <si>
    <t>TRIP DISTANCE (NM)</t>
  </si>
  <si>
    <t>CHARLES WATSON</t>
  </si>
  <si>
    <t>EMAIL</t>
  </si>
  <si>
    <t>PHONE</t>
  </si>
  <si>
    <t>+1 208 134 6478</t>
  </si>
  <si>
    <t>LEG</t>
  </si>
  <si>
    <t>ETD (Z)</t>
  </si>
  <si>
    <t>ETA DATE</t>
  </si>
  <si>
    <t>ETA (Z)</t>
  </si>
  <si>
    <t>DIST (NM)</t>
  </si>
  <si>
    <t>STATUS</t>
  </si>
  <si>
    <t>TOTALS</t>
  </si>
  <si>
    <t>PROVIDER</t>
  </si>
  <si>
    <t>COUNTRY</t>
  </si>
  <si>
    <t>LEGS</t>
  </si>
  <si>
    <t>SOUTH AFRICA</t>
  </si>
  <si>
    <t>HIGH</t>
  </si>
  <si>
    <t>MEDIUM</t>
  </si>
  <si>
    <t>GEO GRID — 0.5 deg country raster. Row 2 = lat band starting -40.0N, each row +0.5. Col B = lon band starting -30.0E, each col +0.5. Value = ISO3 of country at cell centre, blank = sea/outside. Source: Natural Earth 110m (public domain), point-in-polygon at cell centre. NOT certified aeronautical data - verify against AIP.</t>
  </si>
  <si>
    <t>IDN</t>
  </si>
  <si>
    <t>MDV</t>
  </si>
  <si>
    <t>MYS</t>
  </si>
  <si>
    <t>THA</t>
  </si>
  <si>
    <t>LKA</t>
  </si>
  <si>
    <t>SOL</t>
  </si>
  <si>
    <t>IND</t>
  </si>
  <si>
    <t>VNM</t>
  </si>
  <si>
    <t>MMR</t>
  </si>
  <si>
    <t>KHM</t>
  </si>
  <si>
    <t>LAO</t>
  </si>
  <si>
    <t>CHN</t>
  </si>
  <si>
    <t>BGD</t>
  </si>
  <si>
    <t>PAK</t>
  </si>
  <si>
    <t>IRN</t>
  </si>
  <si>
    <t>NPL</t>
  </si>
  <si>
    <t>BTN</t>
  </si>
  <si>
    <t>PSE</t>
  </si>
  <si>
    <t>SYR</t>
  </si>
  <si>
    <t>CYP</t>
  </si>
  <si>
    <t>GRC</t>
  </si>
  <si>
    <t>CYN</t>
  </si>
  <si>
    <t>MLT</t>
  </si>
  <si>
    <t>TKM</t>
  </si>
  <si>
    <t>ESP</t>
  </si>
  <si>
    <t>TUR</t>
  </si>
  <si>
    <t>PRT</t>
  </si>
  <si>
    <t>ITA</t>
  </si>
  <si>
    <t>UZB</t>
  </si>
  <si>
    <t>TJK</t>
  </si>
  <si>
    <t>ARM</t>
  </si>
  <si>
    <t>AZE</t>
  </si>
  <si>
    <t>KGZ</t>
  </si>
  <si>
    <t>KAZ</t>
  </si>
  <si>
    <t>MKD</t>
  </si>
  <si>
    <t>BGR</t>
  </si>
  <si>
    <t>RUS</t>
  </si>
  <si>
    <t>FRA</t>
  </si>
  <si>
    <t>MNG</t>
  </si>
  <si>
    <t>MNE</t>
  </si>
  <si>
    <t>XKX</t>
  </si>
  <si>
    <t>HRV</t>
  </si>
  <si>
    <t>SRB</t>
  </si>
  <si>
    <t>BIH</t>
  </si>
  <si>
    <t>ROU</t>
  </si>
  <si>
    <t>UKR</t>
  </si>
  <si>
    <t>SVN</t>
  </si>
  <si>
    <t>MDA</t>
  </si>
  <si>
    <t>CHE</t>
  </si>
  <si>
    <t>HUN</t>
  </si>
  <si>
    <t>AUT</t>
  </si>
  <si>
    <t>DEU</t>
  </si>
  <si>
    <t>SVK</t>
  </si>
  <si>
    <t>CZE</t>
  </si>
  <si>
    <t>POL</t>
  </si>
  <si>
    <t>GBR</t>
  </si>
  <si>
    <t>NLD</t>
  </si>
  <si>
    <t>IRL</t>
  </si>
  <si>
    <t>BLR</t>
  </si>
  <si>
    <t>LTU</t>
  </si>
  <si>
    <t>DNK</t>
  </si>
  <si>
    <t>SWE</t>
  </si>
  <si>
    <t>LVA</t>
  </si>
  <si>
    <t>EST</t>
  </si>
  <si>
    <t>NOR</t>
  </si>
  <si>
    <t>FIN</t>
  </si>
  <si>
    <t>ISL</t>
  </si>
  <si>
    <t>GRL</t>
  </si>
  <si>
    <t>Europe</t>
  </si>
  <si>
    <t>ADDED BY TRIP MANAGER BUILD</t>
  </si>
  <si>
    <t>CTY-072</t>
  </si>
  <si>
    <t>CTY-073</t>
  </si>
  <si>
    <t>Asia</t>
  </si>
  <si>
    <t>CTY-074</t>
  </si>
  <si>
    <t>CTY-075</t>
  </si>
  <si>
    <t>CTY-076</t>
  </si>
  <si>
    <t>CTY-077</t>
  </si>
  <si>
    <t>CTY-078</t>
  </si>
  <si>
    <t>CTY-079</t>
  </si>
  <si>
    <t>CTY-080</t>
  </si>
  <si>
    <t>CTY-081</t>
  </si>
  <si>
    <t>CTY-082</t>
  </si>
  <si>
    <t>CTY-083</t>
  </si>
  <si>
    <t>CTY-084</t>
  </si>
  <si>
    <t>Northern Cyprus</t>
  </si>
  <si>
    <t>CTY-085</t>
  </si>
  <si>
    <t>CTY-086</t>
  </si>
  <si>
    <t>Czechia</t>
  </si>
  <si>
    <t>CTY-087</t>
  </si>
  <si>
    <t>CTY-088</t>
  </si>
  <si>
    <t>CTY-089</t>
  </si>
  <si>
    <t>CTY-090</t>
  </si>
  <si>
    <t>CTY-091</t>
  </si>
  <si>
    <t>CTY-092</t>
  </si>
  <si>
    <t>CTY-093</t>
  </si>
  <si>
    <t>CTY-094</t>
  </si>
  <si>
    <t>CTY-095</t>
  </si>
  <si>
    <t>CTY-096</t>
  </si>
  <si>
    <t>North America</t>
  </si>
  <si>
    <t>CTY-097</t>
  </si>
  <si>
    <t>CTY-098</t>
  </si>
  <si>
    <t>CTY-099</t>
  </si>
  <si>
    <t>CTY-100</t>
  </si>
  <si>
    <t>CTY-101</t>
  </si>
  <si>
    <t>CTY-102</t>
  </si>
  <si>
    <t>CTY-103</t>
  </si>
  <si>
    <t>CTY-104</t>
  </si>
  <si>
    <t>CTY-105</t>
  </si>
  <si>
    <t>CTY-106</t>
  </si>
  <si>
    <t>CTY-107</t>
  </si>
  <si>
    <t>CTY-108</t>
  </si>
  <si>
    <t>CTY-109</t>
  </si>
  <si>
    <t>CTY-110</t>
  </si>
  <si>
    <t>CTY-111</t>
  </si>
  <si>
    <t>CTY-112</t>
  </si>
  <si>
    <t>CTY-113</t>
  </si>
  <si>
    <t>CTY-114</t>
  </si>
  <si>
    <t>CTY-115</t>
  </si>
  <si>
    <t>CTY-116</t>
  </si>
  <si>
    <t>CTY-117</t>
  </si>
  <si>
    <t>CTY-118</t>
  </si>
  <si>
    <t>CTY-119</t>
  </si>
  <si>
    <t>CTY-120</t>
  </si>
  <si>
    <t>CTY-121</t>
  </si>
  <si>
    <t>CTY-122</t>
  </si>
  <si>
    <t>CTY-123</t>
  </si>
  <si>
    <t>CTY-124</t>
  </si>
  <si>
    <t>CTY-125</t>
  </si>
  <si>
    <t>CTY-126</t>
  </si>
  <si>
    <t>CTY-127</t>
  </si>
  <si>
    <t>Palestine</t>
  </si>
  <si>
    <t>CTY-128</t>
  </si>
  <si>
    <t>CTY-129</t>
  </si>
  <si>
    <t>CTY-130</t>
  </si>
  <si>
    <t>Somaliland</t>
  </si>
  <si>
    <t>CTY-131</t>
  </si>
  <si>
    <t>CTY-132</t>
  </si>
  <si>
    <t>CTY-133</t>
  </si>
  <si>
    <t>CTY-134</t>
  </si>
  <si>
    <t>CTY-135</t>
  </si>
  <si>
    <t>CTY-136</t>
  </si>
  <si>
    <t>CTY-137</t>
  </si>
  <si>
    <t>CTY-138</t>
  </si>
  <si>
    <t>CTY-139</t>
  </si>
  <si>
    <t>CTY-140</t>
  </si>
  <si>
    <t>CTY-141</t>
  </si>
  <si>
    <t>CTY-142</t>
  </si>
  <si>
    <t>REQUIRED</t>
  </si>
  <si>
    <t>TRIP MANAGER — OVERFLIGHT &amp; LANDING PERMIT ENGINE</t>
  </si>
  <si>
    <t>Enter DEP ICAO, ARR ICAO, ETD and REGISTRATION for each leg. Overflown countries and permit lines below recalculate automatically.</t>
  </si>
  <si>
    <t>1 · TRIP &amp; AIRCRAFT</t>
  </si>
  <si>
    <t>TRIP REFERENCE</t>
  </si>
  <si>
    <t>AIRCRAFT TYPE (ICAO)</t>
  </si>
  <si>
    <t>MTOW (KG)</t>
  </si>
  <si>
    <t>DEFAULT PERMIT LEAD TIME (HRS)</t>
  </si>
  <si>
    <t>TRIP EET (HRS)</t>
  </si>
  <si>
    <t>Added to each leg's airborne time</t>
  </si>
  <si>
    <t>Used when a country has no lead time in the countries sheet</t>
  </si>
  <si>
    <t>2 · LEGS   (up to 8 · leg 2+ departure defaults to the previous leg's arrival, overwrite if needed)</t>
  </si>
  <si>
    <t>DEP ICAO</t>
  </si>
  <si>
    <t>DEP AIRPORT</t>
  </si>
  <si>
    <t>DEP COUNTRY</t>
  </si>
  <si>
    <t>ARR ICAO</t>
  </si>
  <si>
    <t>ARR AIRPORT</t>
  </si>
  <si>
    <t>ARR COUNTRY</t>
  </si>
  <si>
    <t>EET (HRS)</t>
  </si>
  <si>
    <t>DEP LAT</t>
  </si>
  <si>
    <t>DEP LON</t>
  </si>
  <si>
    <t>ARR LAT</t>
  </si>
  <si>
    <t>ARR LON</t>
  </si>
  <si>
    <t>GC ANGLE (RAD)</t>
  </si>
  <si>
    <t>L5</t>
  </si>
  <si>
    <t>L6</t>
  </si>
  <si>
    <t>L7</t>
  </si>
  <si>
    <t>L8</t>
  </si>
  <si>
    <t>STEP</t>
  </si>
  <si>
    <t>GC ANGLE</t>
  </si>
  <si>
    <t>FRACTION</t>
  </si>
  <si>
    <t>COEF A</t>
  </si>
  <si>
    <t>COEF B</t>
  </si>
  <si>
    <t>X</t>
  </si>
  <si>
    <t>Y</t>
  </si>
  <si>
    <t>Z</t>
  </si>
  <si>
    <t>SAMPLE LAT</t>
  </si>
  <si>
    <t>SAMPLE LON</t>
  </si>
  <si>
    <t>ISO3</t>
  </si>
  <si>
    <t>ORDER KEY</t>
  </si>
  <si>
    <t>Each leg is sampled at 151 equally spaced points along the great circle between its departure and arrival airport. ISO3 comes from geo_grid (0.5 deg raster). Spacing on a 3,400 NM leg is about 23 NM.</t>
  </si>
  <si>
    <t>FIRST ORDER KEY</t>
  </si>
  <si>
    <t>CROSSED</t>
  </si>
  <si>
    <t>LEGS CROSSED</t>
  </si>
  <si>
    <t>SEQUENCE</t>
  </si>
  <si>
    <t>FIRST LEG</t>
  </si>
  <si>
    <t>OVF PERMIT REQUIRED</t>
  </si>
  <si>
    <t>LEAD TIME (HRS)</t>
  </si>
  <si>
    <t>LEG NO →</t>
  </si>
  <si>
    <t>DEP ISO3</t>
  </si>
  <si>
    <t>ARR ISO3</t>
  </si>
  <si>
    <t>#</t>
  </si>
  <si>
    <t>PERMIT TYPE</t>
  </si>
  <si>
    <t>FILE BY (UTC)</t>
  </si>
  <si>
    <t>DAYS TO DEADLINE</t>
  </si>
  <si>
    <t>AIRPORT</t>
  </si>
  <si>
    <t>PAX &amp; CREW MANIFEST — BIODATA, CREDENTIALS &amp; DOCUMENTS</t>
  </si>
  <si>
    <t>PERSON ID</t>
  </si>
  <si>
    <t>TRIP REF</t>
  </si>
  <si>
    <t>ROLE</t>
  </si>
  <si>
    <t>POSITION / PAX TYPE</t>
  </si>
  <si>
    <t>TITLE</t>
  </si>
  <si>
    <t>SURNAME</t>
  </si>
  <si>
    <t>GIVEN NAMES</t>
  </si>
  <si>
    <t>GENDER</t>
  </si>
  <si>
    <t>DATE OF BIRTH</t>
  </si>
  <si>
    <t>AGE</t>
  </si>
  <si>
    <t>NATIONALITY</t>
  </si>
  <si>
    <t>PASSPORT NO</t>
  </si>
  <si>
    <t>PASSPORT ISSUING STATE</t>
  </si>
  <si>
    <t>PASSPORT ISSUE</t>
  </si>
  <si>
    <t>PASSPORT EXPIRY</t>
  </si>
  <si>
    <t>PASSPORT STATUS</t>
  </si>
  <si>
    <t>VISA REQUIRED</t>
  </si>
  <si>
    <t>VISA NO</t>
  </si>
  <si>
    <t>VISA EXPIRY</t>
  </si>
  <si>
    <t>VISA STATUS</t>
  </si>
  <si>
    <t>LICENCE NO</t>
  </si>
  <si>
    <t>LICENCE EXPIRY</t>
  </si>
  <si>
    <t>MEDICAL EXPIRY</t>
  </si>
  <si>
    <t>CREW ID / ARC NO</t>
  </si>
  <si>
    <t>CREW DOC STATUS</t>
  </si>
  <si>
    <t>EMERGENCY CONTACT</t>
  </si>
  <si>
    <t>DIETARY / MEDICAL NOTES</t>
  </si>
  <si>
    <t>DOCS FOLDER</t>
  </si>
  <si>
    <t>PASSPORT SCAN</t>
  </si>
  <si>
    <t>VISA SCAN</t>
  </si>
  <si>
    <t>LICENCE / MEDICAL SCAN</t>
  </si>
  <si>
    <t>DOCUMENT STATUS</t>
  </si>
  <si>
    <t>SEQ ON TRIP</t>
  </si>
  <si>
    <t>P-001</t>
  </si>
  <si>
    <t>CREW</t>
  </si>
  <si>
    <t>PIC</t>
  </si>
  <si>
    <t>ALL</t>
  </si>
  <si>
    <t>CAPT</t>
  </si>
  <si>
    <t>WATSON</t>
  </si>
  <si>
    <t>CHARLES JAMES</t>
  </si>
  <si>
    <t>M</t>
  </si>
  <si>
    <t>P-002</t>
  </si>
  <si>
    <t>SIC</t>
  </si>
  <si>
    <t>FO</t>
  </si>
  <si>
    <t>MBEKI</t>
  </si>
  <si>
    <t>THANDIWE</t>
  </si>
  <si>
    <t>F</t>
  </si>
  <si>
    <t>P-003</t>
  </si>
  <si>
    <t>PAX</t>
  </si>
  <si>
    <t>AL-FARSI</t>
  </si>
  <si>
    <t>OMAR</t>
  </si>
  <si>
    <t>P-004</t>
  </si>
  <si>
    <t>MS</t>
  </si>
  <si>
    <t>NKOSI</t>
  </si>
  <si>
    <t>LERATO</t>
  </si>
  <si>
    <t>USA</t>
  </si>
  <si>
    <t>A05993811</t>
  </si>
  <si>
    <t>P1204553</t>
  </si>
  <si>
    <t>A07741220</t>
  </si>
  <si>
    <t>NO</t>
  </si>
  <si>
    <t>YES</t>
  </si>
  <si>
    <t>V-778211</t>
  </si>
  <si>
    <t>ATP-4471880</t>
  </si>
  <si>
    <t>ARC-88120</t>
  </si>
  <si>
    <t>ZA-CPL-20114</t>
  </si>
  <si>
    <t>ARC-90455</t>
  </si>
  <si>
    <t>c.watson@jetelio.com</t>
  </si>
  <si>
    <t>J WATSON +1 208 134 0000</t>
  </si>
  <si>
    <t>NIL</t>
  </si>
  <si>
    <t>t.mbeki@jetelio.com</t>
  </si>
  <si>
    <t>+27 82 555 1290</t>
  </si>
  <si>
    <t>P MBEKI +27 82 555 0000</t>
  </si>
  <si>
    <t>VEGETARIAN</t>
  </si>
  <si>
    <t>omar.alfarsi@example.com</t>
  </si>
  <si>
    <t>+968 9123 4455</t>
  </si>
  <si>
    <t>S AL-FARSI +968 9123 0000</t>
  </si>
  <si>
    <t>NUT ALLERGY</t>
  </si>
  <si>
    <t>lerato.nkosi@example.com</t>
  </si>
  <si>
    <t>+27 71 448 3321</t>
  </si>
  <si>
    <t>M NKOSI +27 71 448 0000</t>
  </si>
  <si>
    <t>CREW ON BOARD</t>
  </si>
  <si>
    <t>PAX ON BOARD</t>
  </si>
  <si>
    <t>SOULS ON BOARD</t>
  </si>
  <si>
    <t>MAX PAX (AIRCRAFT)</t>
  </si>
  <si>
    <t>SEAT CHECK</t>
  </si>
  <si>
    <t>DOCUMENT ISSUES — ACTION REQUIRED</t>
  </si>
  <si>
    <t>DOCUMENTS TO CHECK</t>
  </si>
  <si>
    <t>TRIP DOCUMENT FOLDER</t>
  </si>
  <si>
    <t>MANIFEST</t>
  </si>
  <si>
    <t>POSITION</t>
  </si>
  <si>
    <t>NAME</t>
  </si>
  <si>
    <t>CREW DOCS</t>
  </si>
  <si>
    <t>OVF L1</t>
  </si>
  <si>
    <t>OVF L2</t>
  </si>
  <si>
    <t>OVF L3</t>
  </si>
  <si>
    <t>OVF L4</t>
  </si>
  <si>
    <t>OVF L5</t>
  </si>
  <si>
    <t>OVF L6</t>
  </si>
  <si>
    <t>OVF L7</t>
  </si>
  <si>
    <t>OVF L8</t>
  </si>
  <si>
    <t>AUTO-CREATED FROM Aircraft.operator_ref — COMPLETE OPERATOR NAME AND DETAILS</t>
  </si>
  <si>
    <t>operator_trading_name</t>
  </si>
  <si>
    <t>operator_aoc_number</t>
  </si>
  <si>
    <t>operator_icao_designator</t>
  </si>
  <si>
    <t>operator_country</t>
  </si>
  <si>
    <t>operator_home_base</t>
  </si>
  <si>
    <t>operator_status</t>
  </si>
  <si>
    <t>operator_occ_email</t>
  </si>
  <si>
    <t>operator_contact_name</t>
  </si>
  <si>
    <t>operator_contact_phone</t>
  </si>
  <si>
    <t>OPERATOR CHECK</t>
  </si>
  <si>
    <t>AIRCRAFT COUNT</t>
  </si>
  <si>
    <t>RECORD STATUS</t>
  </si>
  <si>
    <t>Operator on file for this tail →</t>
  </si>
  <si>
    <t>CLIENTS / BILL-TO ACCOUNTS — an operator may have many billing entities; a trip or an individual leg can be billed to any of them</t>
  </si>
  <si>
    <t>client_id</t>
  </si>
  <si>
    <t>bill_to_legal_name</t>
  </si>
  <si>
    <t>billing_address_1</t>
  </si>
  <si>
    <t>billing_address_2</t>
  </si>
  <si>
    <t>city</t>
  </si>
  <si>
    <t>country</t>
  </si>
  <si>
    <t>tax_vat_id</t>
  </si>
  <si>
    <t>billing_contact_name</t>
  </si>
  <si>
    <t>billing_phone</t>
  </si>
  <si>
    <t>credit_limit</t>
  </si>
  <si>
    <t>OPERATOR NAME</t>
  </si>
  <si>
    <t>RECORD CHECK</t>
  </si>
  <si>
    <t>CLI-001</t>
  </si>
  <si>
    <t>JTL AVIATION INC</t>
  </si>
  <si>
    <t>12065 PARK VIEW LANE</t>
  </si>
  <si>
    <t>HOUSTON TX</t>
  </si>
  <si>
    <t>US-TAX-000000</t>
  </si>
  <si>
    <t>ops@jetelio.com</t>
  </si>
  <si>
    <t>USD</t>
  </si>
  <si>
    <t>NET 30</t>
  </si>
  <si>
    <t>Default billing entity</t>
  </si>
  <si>
    <t>CLI-002</t>
  </si>
  <si>
    <t>JTL AVIATION EUROPE LTD</t>
  </si>
  <si>
    <t>JTL AVIATION EUROPE LIMITED</t>
  </si>
  <si>
    <t>1 CHARTER HOUSE</t>
  </si>
  <si>
    <t>LUTON</t>
  </si>
  <si>
    <t>BEDFORDSHIRE</t>
  </si>
  <si>
    <t>UNITED KINGDOM</t>
  </si>
  <si>
    <t>GB-VAT-000000</t>
  </si>
  <si>
    <t>A DESK</t>
  </si>
  <si>
    <t>billing.eu@jetelio.com</t>
  </si>
  <si>
    <t>+44 20 0000 0000</t>
  </si>
  <si>
    <t>EUR</t>
  </si>
  <si>
    <t>NET 15</t>
  </si>
  <si>
    <t>Use for European sectors</t>
  </si>
  <si>
    <t>CLI-003</t>
  </si>
  <si>
    <t>FIREBLADE AVIATION</t>
  </si>
  <si>
    <t>FIREBLADE FBO, OR TAMBO</t>
  </si>
  <si>
    <t>JOHANNESBURG</t>
  </si>
  <si>
    <t>ZA-VAT-000000</t>
  </si>
  <si>
    <t>accounts@fireblade.example</t>
  </si>
  <si>
    <t>+27 11 000 0000</t>
  </si>
  <si>
    <t>PREPAY</t>
  </si>
  <si>
    <t>Charter client</t>
  </si>
  <si>
    <t>BILL TO — DEFAULT (CLIENT ID)</t>
  </si>
  <si>
    <t>CLIENT / BILL-TO NAME</t>
  </si>
  <si>
    <t>BILLING ADDRESS</t>
  </si>
  <si>
    <t>BILLING EMAIL</t>
  </si>
  <si>
    <t>CURRENCY</t>
  </si>
  <si>
    <t>PAYMENT TERMS</t>
  </si>
  <si>
    <t>ACCOUNT OWNED BY OPERATOR</t>
  </si>
  <si>
    <t>ACCOUNT CHECK</t>
  </si>
  <si>
    <t>BILL TO (LEG)</t>
  </si>
  <si>
    <t>BILL TO</t>
  </si>
  <si>
    <t>VS TRIP DEFAULT</t>
  </si>
  <si>
    <t>REF DATE (UTC)</t>
  </si>
  <si>
    <t>ROW KIND</t>
  </si>
  <si>
    <t>LEG INDEX</t>
  </si>
  <si>
    <t>GROUND ISO3</t>
  </si>
  <si>
    <t>GROUND AIRPORT</t>
  </si>
  <si>
    <t>GROUND LEG</t>
  </si>
  <si>
    <t>GROUND DATETIME</t>
  </si>
  <si>
    <t>FIRST?</t>
  </si>
  <si>
    <t>GH RANK</t>
  </si>
  <si>
    <t>3 · PERMITS   (overflight for every en-route country except the leg's departure state and its destination; the destination raises a landing permit — ground services are in section 4)</t>
  </si>
  <si>
    <t>4 · GROUND SERVICES BY STOP   (one line per country on the ground · enter the provider in a service column to order it — blank means not required)</t>
  </si>
  <si>
    <t>STOP</t>
  </si>
  <si>
    <t>AIRPORT(S)</t>
  </si>
  <si>
    <t>FIRST ON GROUND (UTC)</t>
  </si>
  <si>
    <t>SERVICES ORDERED</t>
  </si>
  <si>
    <t>NAT RANK</t>
  </si>
  <si>
    <t>5 · VISA &amp; IMMIGRATION   (one line per country on the ground × each nationality on board · headcount shown in the column header)</t>
  </si>
  <si>
    <t>6 · CREW &amp; PAX BY LEG   (a person counts on a leg when their LEGS field on the PAX &amp; CREW sheet is ALL or names that leg)</t>
  </si>
  <si>
    <t>DEP</t>
  </si>
  <si>
    <t>ARR</t>
  </si>
  <si>
    <t>ETD (UTC)</t>
  </si>
  <si>
    <t>MAX PAX</t>
  </si>
  <si>
    <t>7 · CREW &amp; PAX SUMMARY   (trip totals · biodata, credentials and document folders live on the PAX &amp; CREW sheet)</t>
  </si>
  <si>
    <t>CREW ON BOARD (TRIP)</t>
  </si>
  <si>
    <t>PAX ON BOARD (TRIP)</t>
  </si>
  <si>
    <t>SOULS ON BOARD (TRIP)</t>
  </si>
  <si>
    <t>8 · BILLING BY LEG   (each leg can be billed to a different account — set BILL TO (LEG) in the legs table)</t>
  </si>
  <si>
    <t>ROUTE CHECK</t>
  </si>
  <si>
    <t>Enter ISO3 codes separated by commas, e.g. LBY, SDN. FIR boundaries are approximated by state airspace — verify against the AIP. AVOID flags a conflict when the great-circle track crosses an excluded state; INCLUDE flags when a required state is not on track. Re-route by inserting a technical stop or adjusting the leg.</t>
  </si>
  <si>
    <t>FEASIBILITY IQ — TRIP ENQUIRY</t>
  </si>
  <si>
    <t>Complete the blue cells. The sheet returns the route, the states overflown, the permits and services required and whether the trip can still be filed in time. When you are happy, set SUBMIT STATUS to SUBMITTED and send to JTL.</t>
  </si>
  <si>
    <t>1 · FLIGHT ENQUIRY</t>
  </si>
  <si>
    <t>2 · WHO IS ASKING</t>
  </si>
  <si>
    <t>REGISTRATION (if known)</t>
  </si>
  <si>
    <t>DEP DATE</t>
  </si>
  <si>
    <t>DEP TIME (Z)</t>
  </si>
  <si>
    <t>DEP FLEXIBILITY (+/- HRS)</t>
  </si>
  <si>
    <t>ARR DATE (optional)</t>
  </si>
  <si>
    <t>ARR TIME (Z, optional)</t>
  </si>
  <si>
    <t>ARR FLEXIBILITY (+/- HRS)</t>
  </si>
  <si>
    <t>CARGO / SPECIAL REQUIREMENTS</t>
  </si>
  <si>
    <t>COMPANY</t>
  </si>
  <si>
    <t>CONTACT NAME</t>
  </si>
  <si>
    <t>OPERATOR (if known)</t>
  </si>
  <si>
    <t>YOUR REFERENCE</t>
  </si>
  <si>
    <t>EXAMPLE CHARTER LTD</t>
  </si>
  <si>
    <t>A REQUESTER</t>
  </si>
  <si>
    <t>ops@example.com</t>
  </si>
  <si>
    <t>step</t>
  </si>
  <si>
    <t>f</t>
  </si>
  <si>
    <t>lat1</t>
  </si>
  <si>
    <t>lon1</t>
  </si>
  <si>
    <t>lat2</t>
  </si>
  <si>
    <t>lon2</t>
  </si>
  <si>
    <t>d (rad)</t>
  </si>
  <si>
    <t>A</t>
  </si>
  <si>
    <t>B</t>
  </si>
  <si>
    <t>x</t>
  </si>
  <si>
    <t>y</t>
  </si>
  <si>
    <t>z</t>
  </si>
  <si>
    <t>lat</t>
  </si>
  <si>
    <t>lon</t>
  </si>
  <si>
    <t>iso3</t>
  </si>
  <si>
    <t>samples</t>
  </si>
  <si>
    <t>first order</t>
  </si>
  <si>
    <t>rank</t>
  </si>
  <si>
    <t>dep lat</t>
  </si>
  <si>
    <t>dep lon</t>
  </si>
  <si>
    <t>arr lat</t>
  </si>
  <si>
    <t>arr lon</t>
  </si>
  <si>
    <t>gc angle (rad)</t>
  </si>
  <si>
    <t>dep iso3</t>
  </si>
  <si>
    <t>arr iso3</t>
  </si>
  <si>
    <t>3 · ROUTE &amp; FEASIBILITY</t>
  </si>
  <si>
    <t>DEST AIRPORT</t>
  </si>
  <si>
    <t>GREAT-CIRCLE DISTANCE (NM)</t>
  </si>
  <si>
    <t>ESTIMATED EET (HRS)</t>
  </si>
  <si>
    <t>ETA (UTC)</t>
  </si>
  <si>
    <t>STATES OVERFLOWN</t>
  </si>
  <si>
    <t>EARLIEST PERMIT DEADLINE (UTC)</t>
  </si>
  <si>
    <t>FEASIBILITY</t>
  </si>
  <si>
    <t>GROUND SERVICE NOTICE (HRS)</t>
  </si>
  <si>
    <t>4 · PERMITS &amp; SERVICES REQUIRED</t>
  </si>
  <si>
    <t>TYPE</t>
  </si>
  <si>
    <t>HOURS REMAINING</t>
  </si>
  <si>
    <t>trip_ref</t>
  </si>
  <si>
    <t>source</t>
  </si>
  <si>
    <t>request_date</t>
  </si>
  <si>
    <t>requester_company</t>
  </si>
  <si>
    <t>requester_name</t>
  </si>
  <si>
    <t>requester_email</t>
  </si>
  <si>
    <t>requester_phone</t>
  </si>
  <si>
    <t>aircraft_type</t>
  </si>
  <si>
    <t>eta_utc</t>
  </si>
  <si>
    <t>eet_hrs</t>
  </si>
  <si>
    <t>pax</t>
  </si>
  <si>
    <t>crew</t>
  </si>
  <si>
    <t>avoid_fir</t>
  </si>
  <si>
    <t>include_fir</t>
  </si>
  <si>
    <t>owner</t>
  </si>
  <si>
    <t>last_update</t>
  </si>
  <si>
    <t>OPS DESK</t>
  </si>
  <si>
    <t>FEASIBLE</t>
  </si>
  <si>
    <t>Multi-leg trip built in TRIP MANAGER</t>
  </si>
  <si>
    <t>FEASIBILITY IQ</t>
  </si>
  <si>
    <t>SUBMITTED</t>
  </si>
  <si>
    <t>UNASSIGNED</t>
  </si>
  <si>
    <t>Public enquiry awaiting JTL review</t>
  </si>
  <si>
    <t>REGISTER SUMMARY</t>
  </si>
  <si>
    <t>ENQUIRY</t>
  </si>
  <si>
    <t>QUOTED</t>
  </si>
  <si>
    <t>SUSPENDED</t>
  </si>
  <si>
    <t>COMPLETED</t>
  </si>
  <si>
    <t>CLOSED</t>
  </si>
  <si>
    <t>CANCELLED</t>
  </si>
  <si>
    <t>5 · SUBMIT TO JTL</t>
  </si>
  <si>
    <t>REQUEST ID</t>
  </si>
  <si>
    <t>SUBMIT STATUS</t>
  </si>
  <si>
    <t>SUBMITTED ON (UTC)</t>
  </si>
  <si>
    <t>JTL REFERENCE (filled by JTL)</t>
  </si>
  <si>
    <t>JTL STATUS (filled by JTL)</t>
  </si>
  <si>
    <t>MESSAGE TO JTL</t>
  </si>
  <si>
    <t>Register status →</t>
  </si>
  <si>
    <t>SUDAN, SOUTH SUDAN</t>
  </si>
  <si>
    <t>KENYA, TANZANIA, ZAMBIA</t>
  </si>
  <si>
    <t>MAYFLY — MASTER LEG REGISTER   (one row per leg · trip information repeats on every leg of the same trip)</t>
  </si>
  <si>
    <t>TRIP INFORMATION (identical on every leg of the trip)</t>
  </si>
  <si>
    <t>LEG INFORMATION (unique to this leg)</t>
  </si>
  <si>
    <t>bill_to_client_id</t>
  </si>
  <si>
    <t>trip_feasibility</t>
  </si>
  <si>
    <t>trip_notes</t>
  </si>
  <si>
    <t>leg_ref</t>
  </si>
  <si>
    <t>dep_country</t>
  </si>
  <si>
    <t>etd_utc</t>
  </si>
  <si>
    <t>arr_country</t>
  </si>
  <si>
    <t>souls</t>
  </si>
  <si>
    <t>route_check</t>
  </si>
  <si>
    <t>ovf_count</t>
  </si>
  <si>
    <t>ovf_states</t>
  </si>
  <si>
    <t>ldg_permit_state</t>
  </si>
  <si>
    <t>gh_state</t>
  </si>
  <si>
    <t>permit_status</t>
  </si>
  <si>
    <t>bill_to_leg</t>
  </si>
  <si>
    <t>leg_notes</t>
  </si>
  <si>
    <t>JTL-2608-001-L1</t>
  </si>
  <si>
    <t>NO CONSTRAINT</t>
  </si>
  <si>
    <t>JTL-2608-001-L2</t>
  </si>
  <si>
    <t>JTL-2608-001-L3</t>
  </si>
  <si>
    <t>JTL-2608-001-L4</t>
  </si>
  <si>
    <t>FIQ-260814-HECAFALA</t>
  </si>
  <si>
    <t>NOT FEASIBLE AS ROUTED</t>
  </si>
  <si>
    <t>FIQ-260814-HECAFALA-L1</t>
  </si>
  <si>
    <t>AVOID CONFLICT / INCLUDE NOT ON TRACK</t>
  </si>
  <si>
    <t>NOT FILED</t>
  </si>
  <si>
    <t>TOTAL LEG ROWS</t>
  </si>
  <si>
    <t>DISTINCT TRIPS</t>
  </si>
  <si>
    <t>9 · REGISTER RECORDS   (one row per leg in mayfly layout · copy rows 160-167 and paste-special as VALUES into the next free rows on the mayfly sheet)</t>
  </si>
  <si>
    <t>TRIP INFORMATION (repeats on every leg)</t>
  </si>
  <si>
    <t>LEG INFORMATION</t>
  </si>
  <si>
    <t>REGISTER RECORD — when SUBMIT STATUS is SUBMITTED, copy row 92 and paste-special as VALUES into the next free row on the mayfly sheet. An Excel add-in cannot post this automatically.</t>
  </si>
  <si>
    <t>TRIP INFORMATION</t>
  </si>
  <si>
    <t>JTL TRIP &amp; PERMIT PLATFORM — BUILD PROMPT FOR A DOCKER COMPOSE WEB APP</t>
  </si>
  <si>
    <t>Copy everything from row 4 down into your AI coding agent (Claude Code, Cursor, Aider) or hand it to a development team. It is a complete specification derived from this workbook.</t>
  </si>
  <si>
    <t>## ROLE</t>
  </si>
  <si>
    <t>You are a senior full-stack engineer. Build a production-ready, containerised web application that replaces an Excel-based flight-operations trip and permit planning workbook. The whole stack must come up with a single `docker compose up`. Do not ask me to run anything outside Docker.</t>
  </si>
  <si>
    <t>## PRODUCT IN ONE PARAGRAPH</t>
  </si>
  <si>
    <t>JTL is a flight-support company. Operators fly business jets and charters across Africa, the Middle East, Europe and India. For every flight leg, JTL must work out which countries the aircraft overflies, which regulatory permits are needed (overflight per en-route state, landing per destination state), which ground services are needed at each stop, what the filing deadlines are, whether crew and passengers hold valid documents and visas, and who gets billed. Today all of this lives in an Excel workbook. Turn it into a web app with two front doors: a public self-service feasibility checker, and an internal operations console.</t>
  </si>
  <si>
    <t>## DELIVERABLES</t>
  </si>
  <si>
    <t>1. `docker-compose.yml` bringing up every service below with healthchecks, named volumes and a single shared network.</t>
  </si>
  <si>
    <t>2. A `Dockerfile` per service, multi-stage, non-root user, pinned base images.</t>
  </si>
  <si>
    <t>3. `.env.example` with every variable documented. No secrets committed.</t>
  </si>
  <si>
    <t>4. Database migrations (Alembic) and an idempotent seed script that ingests the source .xlsx.</t>
  </si>
  <si>
    <t>5. OpenAPI 3 schema auto-generated, plus a Postman/Bruno collection.</t>
  </si>
  <si>
    <t>6. `README.md`: quickstart, architecture diagram, env vars, how to run tests, how to load seed data.</t>
  </si>
  <si>
    <t>7. Test suite: unit tests for the routing and permit engines, integration tests for the API, one end-to-end happy path.</t>
  </si>
  <si>
    <t>8. `Makefile` with up / down / logs / migrate / seed / test / lint targets.</t>
  </si>
  <si>
    <t>## SERVICES IN docker-compose</t>
  </si>
  <si>
    <t>- `db` — PostgreSQL 16 with the PostGIS extension. Holds all reference and transactional data plus country geometry.</t>
  </si>
  <si>
    <t>- `api` — Python 3.12 + FastAPI + SQLAlchemy 2 + Pydantic v2 + Alembic. Serves REST and the OpenAPI schema.</t>
  </si>
  <si>
    <t>- `worker` — Celery (or arq) worker for deadline recomputation, notification e-mails and scheduled permit-expiry sweeps.</t>
  </si>
  <si>
    <t>- `redis` — broker and cache.</t>
  </si>
  <si>
    <t>- `web` — Next.js 14 (App Router) + TypeScript + TailwindCSS + TanStack Query. Server components for reads, client components for the editors.</t>
  </si>
  <si>
    <t>- `minio` — S3-compatible object storage for crew/passenger documents (passports, visas, licences, medicals) and generated PDFs.</t>
  </si>
  <si>
    <t>- `mailhog` — SMTP catcher in dev; swap for a real SMTP relay via env in production.</t>
  </si>
  <si>
    <t>- `nginx` — reverse proxy, TLS termination, routes `/api` to api and everything else to web.</t>
  </si>
  <si>
    <t>## DOMAIN MODEL (tables mirror the workbook sheets)</t>
  </si>
  <si>
    <t>`airports` — icao (PK), iata, name, city, country_iso2, latitude, longitude, elevation, timezone, airport_type, is_airport_of_entry, ppr_required, curfew, runway data, fuel types, handler notes. ~380 rows today, must scale to a full worldwide set.</t>
  </si>
  <si>
    <t>`countries` — iso3 (PK), iso2, name, calling_code, civil_aviation_authority, overflight_permit_required, landing_permit_required, standard_lead_time_hours, region, notes. 142 rows.</t>
  </si>
  <si>
    <t>`country_geometry` — iso3, PostGIS MULTIPOLYGON, spatial GiST index. Load from Natural Earth 10m (better than the 110m used in the spreadsheet). This replaces the workbook's 0.5-degree raster lookup.</t>
  </si>
  <si>
    <t>`fir_boundaries` — icao_fir_code, name, PostGIS MULTIPOLYGON. The spreadsheet approximates FIRs with state borders; the web app must use real FIR polygons and fall back to state airspace when a FIR is unmapped.</t>
  </si>
  <si>
    <t>`operators` — operator_id (PK), operator_name, trading_name, aoc_number, icao/iata designator, country, home_base_icao, addresses, contacts, occ_email, billing_email, default_currency, tax_id, credit_approved, status. Every aircraft MUST reference a valid operator (enforce with a NOT NULL foreign key).</t>
  </si>
  <si>
    <t>`aircraft` — registration (unique), icao_type, manufacturer, model_series, home_base_icao, mtow_kg, max_pax, serial_number, status, is_active, operator_id FK, cofa_expiry, insurance_expiry, airframe_hours, landings.</t>
  </si>
  <si>
    <t>`clients` — client_id (PK), operator_id FK, client_name, bill_to_legal_name, address lines, city, country, tax_vat_id, billing contact, email, phone, currency, payment_terms, credit_limit, status. An operator has MANY billing entities; a trip and each individual leg can point at a different one.</t>
  </si>
  <si>
    <t>`vendors` — vendor_id, company_name, legal_name, tax_id, website, account_type, credit_status, contacts, sita, aftn, payment_terms, currency. Plus `vendor_coverage_airports` (vendor, icao, is_primary_handler, fbo_name, sita, aftn, vhf) and `vendor_coverage_countries` (vendor, country_iso, has_caa_direct_account, service_scope).</t>
  </si>
  <si>
    <t>`services` and `sub_services` — the service catalogue: GH ground handling, FUL fuel, CAT catering, NAV nav charges, SLT slots/PPR/parking, SEC security, CRW crew services, FPL flight planning, MRO maintenance, MED medical, CIQ customs &amp; immigration, CRT crew transport, PXT pax transport, CRH crew hotel, PXH pax hotel, plus permits OVF and LDG. Sub-services hang off each service (e.g. GH-DIC de-icing, CAT-SPL special dietary).</t>
  </si>
  <si>
    <t>`trips` — trip_ref (unique), source (JTL or FEASIBILITY IQ), status, owner_user_id, request/quote timestamps, requester contact block, operator_id, bill_to_client_id, aircraft_id, feasibility verdict, notes.</t>
  </si>
  <si>
    <t>`legs` — leg_id, trip_id FK, leg_no, dep_icao, etd_utc, arr_icao, eta_utc, distance_nm, eet_hours, block_speed_kts, taxi_allowance_hrs, pax_count, crew_count, avoid_fir[], include_fir[], route_check, bill_to_client_id, leg_status. The register view is one row per leg with the trip block repeated — model it as a join, not duplicated storage.</t>
  </si>
  <si>
    <t>`leg_countries` — leg_id, iso3, sequence, first_sample_index, is_departure_state, is_destination_state, requires_overflight. Materialised by the routing engine.</t>
  </si>
  <si>
    <t>`permits` — permit_id, leg_id (nullable for country-level), trip_id, country_iso3, permit_type (OVF or LDG), provider (JTL / OWN / THIRD PARTY), lead_time_hours, reference_datetime_utc, file_by_utc, filed_at, permit_number, status, cost, currency, vendor_id.</t>
  </si>
  <si>
    <t>`service_orders` — trip_id, country_iso3, airports[], legs[], service_code, sub_service_code, provider, vendor_id, notice_hours, due_utc, status, cost, currency. GROUND HANDLING IS ORDERED ONCE PER COUNTRY even when several airports in that country are used; all other services may be per stop.</t>
  </si>
  <si>
    <t>`people` — person_id, trip_id, role (CREW or PAX), position, applies_to_legs[], title, surname, given_names, gender, date_of_birth, nationality_iso3, passport_number, passport_issuing_state, passport_issue, passport_expiry, visa fields, licence_number, licence_expiry, medical_expiry, crew_id_arc, email, phone, emergency_contact, dietary_medical_notes.</t>
  </si>
  <si>
    <t>`documents` — document_id, person_id FK, doc_type (PASSPORT / VISA / LICENCE / MEDICAL / OTHER), object_key in MinIO, filename, mime, size, uploaded_by, uploaded_at, expires_on, verified_by, verified_at. REAL FILE UPLOAD replaces the workbook's folder-path columns.</t>
  </si>
  <si>
    <t>`visa_rules` — country_iso3, nationality_iso3, visa_type, required (yes/no/on-arrival/eVisa/transit), lead_time_days, max_stay_days, notes.</t>
  </si>
  <si>
    <t>`users`, `roles`, `audit_log` — see Security below.</t>
  </si>
  <si>
    <t>## CORE ALGORITHM 1 — GREAT-CIRCLE ROUTE SAMPLING</t>
  </si>
  <si>
    <t>For every leg, compute the great-circle track between departure and destination coordinates and sample it at a fixed resolution.</t>
  </si>
  <si>
    <t>Angular distance: d = acos( sin(lat1)sin(lat2) + cos(lat1)cos(lat2)cos(lon2-lon1) ). Distance in NM = d * 3440.065.</t>
  </si>
  <si>
    <t>Intermediate point at fraction f in [0,1]: A = sin((1-f)d)/sin(d); B = sin(fd)/sin(d); x = A*cos(lat1)cos(lon1) + B*cos(lat2)cos(lon2); y = A*cos(lat1)sin(lon1) + B*cos(lat2)sin(lon2); z = A*sin(lat1) + B*sin(lat2); lat = atan2(z, sqrt(x^2+y^2)); lon = atan2(y, x).</t>
  </si>
  <si>
    <t>The spreadsheet uses 151 samples per leg (~22 NM spacing on a 3,400 NM leg). In the web app, sample adaptively: every 10 NM, minimum 50 points. Resolve each sample to a country with a PostGIS ST_Contains query against country_geometry, and to a FIR against fir_boundaries. Return the ordered, de-duplicated list of states and FIRs entered, with the sample index of first entry so ordering is chronological.</t>
  </si>
  <si>
    <t>Estimated elapsed time = distance_nm / block_speed_kts + taxi_climb_allowance. Defaults: 470 kts and 0.4 hours, both overridable per aircraft type and per leg. ETA = ETD + EET.</t>
  </si>
  <si>
    <t>## CORE ALGORITHM 2 — PERMIT RULE ENGINE (port these rules exactly)</t>
  </si>
  <si>
    <t>RULE 1 — Overflight. For each leg, every state whose airspace the track enters requires an overflight permit, EXCEPT (a) the leg's departure state, because clearance to depart is already held, and (b) the leg's destination state, which is covered by its landing permit. A state overflown on one leg and landed in on another still needs an overflight permit for the overflight legs only.</t>
  </si>
  <si>
    <t>RULE 2 — Landing. Each leg's destination state requires one landing permit. A state landed in twice on the same trip requires two landing permits (one per arrival).</t>
  </si>
  <si>
    <t>RULE 3 — Ground handling. Ground handling is ONE service per country per trip, not per airport and not per leg. If a trip touches Lanseria and O.R. Tambo, South Africa gets a single ground-handling order listing both airports and both legs. Its due date is the EARLIEST ground event in that country.</t>
  </si>
  <si>
    <t>RULE 4 — Other ground services. Fuel, catering, security, transport, hotels, customs and the rest may be ordered per stop or per country as the user chooses. Each order carries a provider of JTL, OWN (client arranges it) or THIRD PARTY. Orders marked OWN or EXCLUDED drop out of JTL's action list but stay visible on the trip.</t>
  </si>
  <si>
    <t>RULE 5 — Deadlines. file_by = reference_datetime - lead_time_hours. Overflight and landing lead times come from countries.standard_lead_time_hours, falling back to a configurable default (72 hours). Ground services use a separate default notice (24 hours). Status ladder: OVERDUE (&lt; now), URGENT (&lt; 24h), DUE SOON (&lt; 72h), PENDING.</t>
  </si>
  <si>
    <t>RULE 6 — Avoid / include constraints. A leg may carry AVOID and INCLUDE lists of states or FIRs, accepted as ISO3 codes or country names. If the computed track enters an avoided state, flag AVOID CONFLICT. If a required state is not on the track, flag INCLUDE NOT ON TRACK. In the web app go further than the spreadsheet: offer an actual re-route that respects the constraints, by penalising avoided polygons and running a shortest-path search over a great-circle waypoint graph, and report the extra distance and fuel burn.</t>
  </si>
  <si>
    <t>RULE 7 — Feasibility verdict. NOT FEASIBLE if the earliest permit deadline has already passed; NOT FEASIBLE AS ROUTED if any avoid/include constraint is violated; TIGHT if the earliest deadline is inside 24 hours; otherwise FEASIBLE.</t>
  </si>
  <si>
    <t>## CORE ALGORITHM 3 — CREW, PASSENGER AND DOCUMENT VALIDATION</t>
  </si>
  <si>
    <t>A person counts on a leg when their applies_to_legs list is ALL or names that leg. Compute per-leg crew count, pax count and souls on board, and check pax against aircraft.max_pax.</t>
  </si>
  <si>
    <t>Passport status against the trip's last arrival date: MISSING, EXPIRES BEFORE TRIP, UNDER 6 MONTHS (expiry within 180 days of trip end), VALID.</t>
  </si>
  <si>
    <t>Visa status: N/A when not required, else MISSING / EXPIRED / VALID. Cross-reference visa_rules by (destination or overflown country, nationality) and auto-populate the requirement rather than making the user type it.</t>
  </si>
  <si>
    <t>Crew document status: licence and medical must both be present and unexpired at trip end.</t>
  </si>
  <si>
    <t>Overall document status per person: ACTION REQUIRED / CHECK / OK. Surface a trip-level count and block a trip from moving to CONFIRMED while any ACTION REQUIRED remains, unless a supervisor overrides with a logged reason.</t>
  </si>
  <si>
    <t>## THE TWO FRONT DOORS</t>
  </si>
  <si>
    <t>A) FEASIBILITY IQ — public, unauthenticated, single leg. Form: aircraft type, registration (optional), departure ICAO with date, time and flexibility window, destination ICAO with optional date, time and flexibility, pax, crew, avoid FIR/states, include FIR/states, cargo or special requirements, plus requester company, name, e-mail, phone and their own reference. On submit it returns, live: route summary, distance, EET, ETD and ETA, states overflown, every permit and service required with lead time and file-by, and a feasibility verdict. A REQUEST QUOTE button converts the enquiry into a trip in the register with status ENQUIRY and e-mails JTL. Rate-limit by IP, add a captcha, and never expose internal cost or vendor data.</t>
  </si>
  <si>
    <t>B) TRIP MANAGER — authenticated JTL console. Pick an existing trip from the register or create a new one. Edit up to N legs (the workbook caps at 8; the app must not cap). Everything from section 3 to section 9 of the workbook becomes a tab: Permits, Ground services, Visa &amp; immigration, Crew &amp; pax, Billing. Inline editing, optimistic updates, and a right-hand panel showing the live deadline ladder.</t>
  </si>
  <si>
    <t>## THE REGISTER (mayfly)</t>
  </si>
  <si>
    <t>One row per LEG. Every leg of a trip repeats the identical trip block (trip_ref, source, status, owner, request date, requester contact, operator, bill-to, aircraft type, registration, total legs, feasibility, last update, notes) and carries its own leg block (leg no, leg ref, departure and arrival ICAO/name/country, ETD, ETA, distance, EET, pax, crew, souls, avoid, include, route check, overflight count and states, landing permit state, ground handling states, permit status, leg status, bill-to for the leg, notes). A ten-leg trip produces ten rows. Store normalised (trips + legs) and expose this as a flattened view with server-side filtering, sorting, saved views and CSV/XLSX export.</t>
  </si>
  <si>
    <t>Trip statuses: ENQUIRY, SUBMITTED, QUOTED, CONFIRMED, ACTIVE, IN PROGRESS, SUSPENDED, COMPLETED, CLOSED, CANCELLED, DECLINED. Leg statuses: ENQUIRY, PLANNED, PERMITS FILED, CLEARED, FLOWN, SUSPENDED, CANCELLED, CLOSED. Every status change is written to audit_log with actor, timestamp, from, to and reason.</t>
  </si>
  <si>
    <t>## API SURFACE (indicative)</t>
  </si>
  <si>
    <t>POST /api/feasibility — body: leg enquiry. Returns route, countries, permits, services, verdict. No auth, rate-limited.</t>
  </si>
  <si>
    <t>POST /api/trips, GET /api/trips, GET /api/trips/{id}, PATCH /api/trips/{id}, POST /api/trips/{id}/legs, PATCH /api/legs/{id}, POST /api/legs/{id}/recompute</t>
  </si>
  <si>
    <t>GET /api/trips/{id}/permits, PATCH /api/permits/{id} (file, set reference number, attach approval PDF)</t>
  </si>
  <si>
    <t>GET/POST /api/trips/{id}/services, GET/POST /api/trips/{id}/people, POST /api/people/{id}/documents (multipart to MinIO, presigned download)</t>
  </si>
  <si>
    <t>GET /api/register?status=&amp;operator=&amp;from=&amp;to=&amp;q= — the flattened leg register with pagination</t>
  </si>
  <si>
    <t>GET /api/reference/{airports|countries|operators|aircraft|clients|vendors|services}</t>
  </si>
  <si>
    <t>POST /api/trips/{id}/documents/trip-sheet — render a PDF trip sheet and permit pack</t>
  </si>
  <si>
    <t>## SECURITY, ROLES AND AUDIT</t>
  </si>
  <si>
    <t>Roles: PUBLIC (feasibility only), OPS (create and edit trips, file permits), SUPERVISOR (override document blocks, approve credit), FINANCE (billing and cost fields), ADMIN (reference data, users). JWT access tokens with refresh, argon2 password hashing, optional SSO via OIDC.</t>
  </si>
  <si>
    <t>Row-level scoping so an operator portal user only ever sees their own trips. Full audit log on every write: actor, entity, field, old value, new value, timestamp, IP.</t>
  </si>
  <si>
    <t>Personal data (passport numbers, dates of birth, scans) is sensitive: encrypt at rest, presigned time-limited download URLs, configurable retention and a purge job, and never log it.</t>
  </si>
  <si>
    <t>## DATA MIGRATION FROM THE WORKBOOK</t>
  </si>
  <si>
    <t>Write a one-shot importer that reads the .xlsx with openpyxl and loads: airports, countries, operators, aircraft, clients, vendors and their coverage tables, services, sub_services, visa rules, and any existing trips, legs and people. Idempotent, re-runnable, with a written report of rows loaded, rows skipped and why.</t>
  </si>
  <si>
    <t>Do NOT port the spreadsheet's 0.5-degree country raster. Load Natural Earth 10m country polygons and a proper FIR dataset into PostGIS instead; the raster was only a workaround for Excel's lack of spatial functions and is accurate to roughly 30 NM.</t>
  </si>
  <si>
    <t>## KNOWN DATA-QUALITY ISSUES — FIX DURING MIGRATION, DO NOT SILENTLY CARRY THEM OVER</t>
  </si>
  <si>
    <t>2. 44 operator records exist only as IDs (OPV-01 to OPV-44) with no operator_name. They were auto-created from aircraft.operator_ref. Require a name before the operator can be used on a trip.</t>
  </si>
  <si>
    <t>3. Six aircraft have no operator at all (mostly STORAGE or RETIRED airframes). The schema must make operator mandatory; quarantine these rows on import for a human to resolve.</t>
  </si>
  <si>
    <t>4. Duplicate aircraft registrations exist (N750QS twice, ZSRZA twice) flagged 'DUPLICATE REGISTRATION - verify'. Registration must be unique; quarantine and report.</t>
  </si>
  <si>
    <t>5. `countries.standard_lead_time_hours` is empty for all 142 countries and the spreadsheet falls back to a global 72-hour default. Source real per-state lead times from the AIPs before go-live; keep the default as a labelled fallback and mark any permit using it as UNVERIFIED in the UI.</t>
  </si>
  <si>
    <t>6. `overflight_permit_required` and `landing_permit_required` were bulk-seeded to REQUIRED for every country. Verify per state; some states are exempt or have bilateral arrangements.</t>
  </si>
  <si>
    <t>7. The VISA sheet holds a single row. The visa_rules table needs real population by (country, nationality) before the visa module is trustworthy.</t>
  </si>
  <si>
    <t>## NON-FUNCTIONAL REQUIREMENTS</t>
  </si>
  <si>
    <t>Everything in UTC in the database; render local time with the airport timezone alongside. Never store naive datetimes.</t>
  </si>
  <si>
    <t>Money as integer minor units with an explicit currency column. Never floats.</t>
  </si>
  <si>
    <t>Distances in nautical miles, mass in kilograms, times in hours to two decimals — match the workbook's conventions.</t>
  </si>
  <si>
    <t>Structured JSON logging, OpenTelemetry traces, /health and /ready endpoints on every service, Sentry hook via env.</t>
  </si>
  <si>
    <t>Route and permit computation must be pure, deterministic and unit-tested independently of the database, so results can be diffed against the workbook during parallel running.</t>
  </si>
  <si>
    <t>Target: a 10-leg trip fully recomputed in under 500 ms server-side.</t>
  </si>
  <si>
    <t>## ACCEPTANCE TESTS (these must pass)</t>
  </si>
  <si>
    <t>T1. FALA to FTTJ great-circle returns approximately 2,407 NM and enters Botswana, Namibia, Zambia, Angola, DR Congo, Republic of the Congo and Central African Republic; South Africa and Chad are excluded from overflight because they are the departure and destination states.</t>
  </si>
  <si>
    <t>T2. A four-leg trip FALA-FTTJ-HECA-GMAD-FAOR produces exactly four landing permits (Chad, Egypt, Morocco, South Africa) and exactly four ground-handling orders (South Africa, Chad, Egypt, Morocco), with South Africa's single order listing both FALA and FAOR.</t>
  </si>
  <si>
    <t>T3. Setting a ground-handling provider to OWN removes it from JTL's action list but keeps it on the trip with status CLIENT ARRANGING.</t>
  </si>
  <si>
    <t>T4. A leg with AVOID = Sudan, South Sudan on a HECA to FALA track returns AVOID CONFLICT and a trip feasibility of NOT FEASIBLE AS ROUTED, and the re-router returns an alternative with the extra distance quantified.</t>
  </si>
  <si>
    <t>T5. A passenger with no visa recorded for a state that requires one yields document status ACTION REQUIRED and blocks the trip from reaching CONFIRMED.</t>
  </si>
  <si>
    <t>T6. A ten-leg trip renders exactly ten rows in the register, each repeating the identical trip block.</t>
  </si>
  <si>
    <t>T7. Two legs billed to different client accounts under the same operator produce two separate billing lines with the correct currencies and payment terms.</t>
  </si>
  <si>
    <t>## BUILD ORDER</t>
  </si>
  <si>
    <t>Phase 1: compose skeleton, database, migrations, importer, reference-data CRUD and API. Phase 2: routing and permit engines with their unit tests. Phase 3: Feasibility IQ public form. Phase 4: Trip Manager console. Phase 5: documents, visas, billing. Phase 6: PDF trip sheet, notifications, audit and role hardening.</t>
  </si>
  <si>
    <t>Start by printing the file tree you intend to create and the docker-compose service list, then build phase 1 in full before moving on.</t>
  </si>
  <si>
    <t>category</t>
  </si>
  <si>
    <t>ground_grid_order</t>
  </si>
  <si>
    <t>GROUND</t>
  </si>
  <si>
    <t>PERMIT</t>
  </si>
  <si>
    <t>mapping_audit</t>
  </si>
  <si>
    <t>remapped from SVC-02</t>
  </si>
  <si>
    <t>remapped from SVC-03</t>
  </si>
  <si>
    <t>remapped from SVC-04</t>
  </si>
  <si>
    <t>remapped from SVC-05</t>
  </si>
  <si>
    <t>remapped from SVC-06</t>
  </si>
  <si>
    <t>remapped from SVC-07</t>
  </si>
  <si>
    <t>remapped from SVC-08</t>
  </si>
  <si>
    <t>remapped from SVC-09</t>
  </si>
  <si>
    <t>remapped from SVC-10</t>
  </si>
  <si>
    <t>remapped from SVC-11</t>
  </si>
  <si>
    <t>remapped from SVC-12</t>
  </si>
  <si>
    <t>Service columns are driven by the services sheet: set category = GROUND and give a ground_grid_order to add or reorder a service. Enter JTL, OWN or THIRD PARTY in a cell to order it; blank means not required. Ground handling is one service per country even when several airports are involved. For finer detail enter a sub_services code (e.g. GH-DIC for de-icing).</t>
  </si>
  <si>
    <t>Airport ICAO (optional)</t>
  </si>
  <si>
    <t>AVOID STATES / FIR (country name)</t>
  </si>
  <si>
    <t>INCLUDE STATES / FIR (country name)</t>
  </si>
  <si>
    <t>AIRCRAFT TYPE (ICAO type designator)</t>
  </si>
  <si>
    <t>DEP AIRPORT (ICAO)</t>
  </si>
  <si>
    <t>DEST AIRPORT (ICAO)</t>
  </si>
  <si>
    <t>Angola, Botswana, Central African Republic, Democratic Republic of the Congo, Namibia, Republic of the Congo, Zambia</t>
  </si>
  <si>
    <t>South Africa, Chad</t>
  </si>
  <si>
    <t>Chad, Egypt</t>
  </si>
  <si>
    <t>Algeria, Libya, Tunisia</t>
  </si>
  <si>
    <t>Egypt, Morocco</t>
  </si>
  <si>
    <t>Algeria, Angola, Botswana, Cameroon, Democratic Republic of the Congo, Equatorial Guinea, Gabon, Mali, Namibia, Niger, Nigeria, Republic of the Congo</t>
  </si>
  <si>
    <t>Morocco, South Africa</t>
  </si>
  <si>
    <t>Egypt, South Africa</t>
  </si>
  <si>
    <t>DOCUMENT REGISTER — choose type, upload, OCR, compare, verify, assign</t>
  </si>
  <si>
    <t>Workflow: 1) pick the person and DOC TYPE  2) drop the file in the person's folder and record the file name  3) run OCR externally and paste the extracted fields into the OCR block  4) the MATCH block compares OCR against what is on file  5) a human sets REVIEW DECISION  6) the document is then assigned to the person and trip.</t>
  </si>
  <si>
    <t>UPLOAD</t>
  </si>
  <si>
    <t>OCR EXTRACTION (from the scanned file)</t>
  </si>
  <si>
    <t>ON FILE (from PAX &amp; CREW)</t>
  </si>
  <si>
    <t>MATCH CHECK</t>
  </si>
  <si>
    <t>HUMAN REVIEW &amp; ASSIGNMENT</t>
  </si>
  <si>
    <t>doc_id</t>
  </si>
  <si>
    <t>person_id</t>
  </si>
  <si>
    <t>person_name</t>
  </si>
  <si>
    <t>doc_type</t>
  </si>
  <si>
    <t>file_name</t>
  </si>
  <si>
    <t>file_path</t>
  </si>
  <si>
    <t>uploaded_by</t>
  </si>
  <si>
    <t>uploaded_at</t>
  </si>
  <si>
    <t>ocr_status</t>
  </si>
  <si>
    <t>ocr_doc_number</t>
  </si>
  <si>
    <t>ocr_surname</t>
  </si>
  <si>
    <t>ocr_given_names</t>
  </si>
  <si>
    <t>ocr_nationality</t>
  </si>
  <si>
    <t>ocr_date_of_birth</t>
  </si>
  <si>
    <t>ocr_issue_date</t>
  </si>
  <si>
    <t>ocr_expiry_date</t>
  </si>
  <si>
    <t>ocr_issuing_state</t>
  </si>
  <si>
    <t>ocr_confidence_%</t>
  </si>
  <si>
    <t>on_file_doc_number</t>
  </si>
  <si>
    <t>on_file_surname</t>
  </si>
  <si>
    <t>on_file_given_names</t>
  </si>
  <si>
    <t>on_file_nationality</t>
  </si>
  <si>
    <t>on_file_date_of_birth</t>
  </si>
  <si>
    <t>on_file_issue_date</t>
  </si>
  <si>
    <t>on_file_expiry_date</t>
  </si>
  <si>
    <t>on_file_issuing_state</t>
  </si>
  <si>
    <t>match_doc_number</t>
  </si>
  <si>
    <t>match_surname</t>
  </si>
  <si>
    <t>match_given_names</t>
  </si>
  <si>
    <t>match_nationality</t>
  </si>
  <si>
    <t>match_dob</t>
  </si>
  <si>
    <t>match_expiry</t>
  </si>
  <si>
    <t>match_summary</t>
  </si>
  <si>
    <t>review_decision</t>
  </si>
  <si>
    <t>reviewed_by</t>
  </si>
  <si>
    <t>reviewed_at</t>
  </si>
  <si>
    <t>assignment_status</t>
  </si>
  <si>
    <t>PASSPORT</t>
  </si>
  <si>
    <t>passport.pdf</t>
  </si>
  <si>
    <t>DONE</t>
  </si>
  <si>
    <t>VISA</t>
  </si>
  <si>
    <t>visa.pdf</t>
  </si>
  <si>
    <t>V-99881</t>
  </si>
  <si>
    <t>LERATO M</t>
  </si>
  <si>
    <t>DOCS UPLOADED</t>
  </si>
  <si>
    <t>DOCS VERIFIED</t>
  </si>
  <si>
    <t>DOCS AWAITING REVIEW</t>
  </si>
  <si>
    <t>DOC MISMATCHES</t>
  </si>
  <si>
    <t>## DISPLAY AND DATA CONVENTIONS — APPLY THROUGHOUT THE UI AND ALL EXPORTS</t>
  </si>
  <si>
    <t>States and airspace: show the COUNTRY NAME to the user, always. ISO3 is a technical key only — keep it in the API payload and the database, never as the primary thing a human reads. Lists of overflown states render as 'Angola, Botswana, Central African Republic', not 'AGO, BWA, CAF'. Free-text constraint fields must accept either and resolve to the canonical name.</t>
  </si>
  <si>
    <t>Airports: ICAO is the primary identifier everywhere — routing, permits, handling, exports. IATA may be shown as a secondary label in brackets for passenger-facing output only. Never key any record on IATA.</t>
  </si>
  <si>
    <t>Times: everything is UTC and rendered with a Z suffix (14-Aug-2026 09:00Z). Local time may appear as a secondary, greyed value next to it using the airport timezone. Never store or exchange naive local times. All deadlines, lead times and status calculations run in UTC.</t>
  </si>
  <si>
    <t>Aircraft: the ICAO type designator is the primary identifier (GLF6, C510, B738). Manufacturer and model series are descriptive secondary fields shown after the type. Registration is the unique key for a specific airframe; type is the key for performance and permit rules.</t>
  </si>
  <si>
    <t>Dates: dd-mmm-yyyy to remove all day/month ambiguity across regions.</t>
  </si>
  <si>
    <t>## DOCUMENT CAPTURE, OCR AND HUMAN VERIFICATION (this replaces the folder-path approach entirely)</t>
  </si>
  <si>
    <t>The workbook can only point at a file path. The web app must implement the full pipeline below; it is a first-class feature, not an attachment field.</t>
  </si>
  <si>
    <t>STEP 1 — CHOOSE TYPE. Before uploading, the user selects a document type: PASSPORT, VISA, LICENCE, MEDICAL, CREW ID / ARC, INSURANCE, AOC, OTHER. The type determines which fields OCR will look for and which record fields it will be compared against.</t>
  </si>
  <si>
    <t>STEP 2 — UPLOAD. Drag-and-drop or camera capture, accepting PDF, JPG, PNG, HEIC. Store the original immutably in object storage under a content-addressed key. Record uploader, timestamp, mime, size and a SHA-256 hash. Reject duplicates by hash with a pointer to the existing document. Run a virus scan before the file becomes visible.</t>
  </si>
  <si>
    <t>STEP 3 — OCR. Queue an asynchronous extraction job. For passports and many visas, parse the ICAO 9303 Machine Readable Zone first — it is checksum-protected and far more reliable than free-text OCR. Fall back to a general OCR engine (Tesseract self-hosted, or AWS Textract / Google Document AI / Azure Document Intelligence behind a provider interface) for licences, medicals and non-MRZ documents. Extract: document number, surname, given names, nationality, date of birth, sex, issuing state, issue date, expiry date. Return a per-field confidence score and the bounding box of each field so the UI can highlight where each value came from.</t>
  </si>
  <si>
    <t>STEP 4 — HUMAN COMPARISON. Present a side-by-side review screen: the document image with detected fields highlighted on the left, and two columns on the right — OCR EXTRACTED versus ON FILE (what the person record already holds). Compare field by field and mark each MATCH, MISMATCH or NOT COMPARABLE. Show an overall summary such as '3 of 6 compared fields match — 3 MISMATCH'. Any field below a configurable confidence threshold is flagged for attention even when it matches.</t>
  </si>
  <si>
    <t>STEP 5 — DECISION. A human must choose per document: ACCEPT OCR (write the extracted values onto the person record), KEEP ON FILE (ignore OCR, the existing record is correct), CORRECTED MANUALLY (the reviewer types the truth, with the corrected values captured), or REJECT DOCUMENT (illegible, wrong person, expired, suspected forgery — with a mandatory reason). Record reviewer identity and timestamp. NEVER auto-write OCR output onto a person record without this step.</t>
  </si>
  <si>
    <t>STEP 6 — ASSIGN. Only after a decision is the document assigned to the person and, through them, to the trip and the legs they are travelling on. Assignment status must be explicit: AWAITING OCR, AWAITING HUMAN REVIEW, REVIEW INCOMPLETE, ASSIGNED, REJECTED.</t>
  </si>
  <si>
    <t>ONGOING — the document's expiry date drives the credential status engine. A scheduled job re-evaluates every assigned document against every future trip and raises alerts at 180, 90, 30 and 7 days before expiry, and immediately when a new trip is created that ends after a document expires.</t>
  </si>
  <si>
    <t>ACCESS — presigned, short-lived, single-use download URLs. Every view and download written to the audit log. Passport numbers, dates of birth and images are sensitive personal data: encrypt at rest, redact in logs, apply a retention policy with automatic purge, and support a subject erasure request.</t>
  </si>
  <si>
    <t>## REFERENCE DATA MUST DRIVE BEHAVIOUR, NOT BE DECORATION</t>
  </si>
  <si>
    <t>The service catalogue drives the UI. `services` carries a category (PERMIT or GROUND) and a display order; the ground services grid renders its columns from that table. Adding a service is a data change, never a code change. `sub_services` hangs off each service by code prefix and lets an order carry finer detail (GH-DIC de-icing, CAT-SPL special dietary, SEC-EP executive protection).</t>
  </si>
  <si>
    <t>The visa rules table drives visa status. Keyed on (country, nationality) with an optional airport-specific override, returning requirement, visa type, lead time in days, maximum stay and conditions. The trip screen never asks a human to type a visa requirement it could have looked up; it only asks them to confirm or override, and it flags NOT ON FILE when the pair is missing so the reference data gets completed.</t>
  </si>
  <si>
    <t>The countries table drives permits: whether overflight and landing permits are required per state, and the standard lead time in hours. Any permit computed from a fallback default rather than a real per-state value must be visibly marked UNVERIFIED.</t>
  </si>
  <si>
    <t>Vendor coverage drives sourcing. When a service is ordered at a station, auto-suggest vendors from vendor_coverage_airports (primary handler first) and vendor_coverage_countries (states with a direct CAA account first, which matters for permits). Never make the user remember who covers where.</t>
  </si>
  <si>
    <t>## HOW TO IMPROVE ON THE SPREADSHEET WIRING — DO THESE, THEY ARE NOT OPTIONAL EXTRAS</t>
  </si>
  <si>
    <t>1. EVENT-DRIVEN RECOMPUTE. The workbook recalculates everything on every keystroke. The app should emit domain events (LegCreated, LegRouteChanged, AircraftChanged, PersonAdded, DocumentVerified) and recompute only the affected aggregate. Route sampling and country resolution are the expensive part — cache them keyed on (dep_icao, arr_icao, rounded coordinates) because the same city pair recurs constantly across trips.</t>
  </si>
  <si>
    <t>2. MATERIALISE THE REGISTER. Keep trips and legs normalised, and expose the flattened one-row-per-leg register as a materialised view refreshed on write. The spreadsheet duplicates trip data onto every leg row physically; the app must never do that in storage, only in presentation and export.</t>
  </si>
  <si>
    <t>3. AUTO-ASSIGN VENDORS AND PRE-FILL ORDERS. When a leg is added, generate the permit and service orders immediately with vendor, lead time and deadline pre-filled, in a DRAFT state for the ops user to confirm. The spreadsheet computes what is needed but still leaves a human to arrange every line.</t>
  </si>
  <si>
    <t>4. DEADLINE SCHEDULER AND NOTIFICATIONS. A worker sweeps for permits and services approaching their file-by time and sends e-mail/Slack/Teams alerts at configurable thresholds, escalating to a supervisor when overdue. Statuses in the spreadsheet only change when someone opens the file.</t>
  </si>
  <si>
    <t>5. REAL RE-ROUTING, NOT JUST CONFLICT FLAGS. When an avoid constraint is violated, compute an alternative: build a waypoint graph over the great-circle corridor, penalise or forbid excluded polygons, run A*, and return the new track with the extra distance, extra fuel, extra time and the revised permit list. Let the user compare options side by side.</t>
  </si>
  <si>
    <t>6. VERSIONING AND WHAT-IF. Every trip should support named scenarios (different aircraft, different routing, different dates) that can be costed and compared, with one promoted to the live plan. Keep an immutable revision history so you can answer 'what did we file and when'.</t>
  </si>
  <si>
    <t>7. COSTING AND MARGIN. Attach cost and sell price to every permit and service line, roll up per leg, per trip and per billing account, and produce the invoice directly from the same lines. The workbook stops at 'what is required' and never reaches 'what does it cost and what do we charge'.</t>
  </si>
  <si>
    <t>8. INTEGRATIONS. Expose webhooks and build adapters for flight planning and ops systems (Leon, FL3XX, Schedaero), NOTAM and weather feeds, Eurocontrol B2B for European slots and route validation, ADS-B for actual movement times to close legs automatically, and accounting (Xero, QuickBooks, Sage) for invoices.</t>
  </si>
  <si>
    <t>9. OFFLINE AND MOBILE. Crew and ops staff work from airports with poor connectivity. Ship a responsive PWA with an offline-readable trip sheet, cached permit approvals and document images, and queued writes that sync on reconnect.</t>
  </si>
  <si>
    <t>10. IDEMPOTENCY AND CONCURRENCY. Every mutating endpoint takes an Idempotency-Key. Trips and legs carry a version for optimistic locking so two ops users editing the same trip cannot silently overwrite each other — something the shared workbook cannot prevent at all.</t>
  </si>
  <si>
    <t>11. VALIDATION AT THE EDGE. Reject an unknown ICAO, an aircraft without an operator, a bill-to account belonging to a different operator, and a pax count above the aircraft's certified seats — at the API boundary, with clear field-level errors. The workbook can only warn after the fact.</t>
  </si>
  <si>
    <t>12. OBSERVABILITY OF THE ENGINE. Log every route computation with its inputs and outputs and a version number for the rule engine, so a permit list filed six months ago can be reproduced exactly. Regulatory work needs that audit trail.</t>
  </si>
  <si>
    <t>13. PARALLEL-RUN HARNESS. Build a comparison mode that ingests a workbook trip and diffs the app's computed permits, services and deadlines against the spreadsheet's, reporting any divergence. Run it for a month before switching the team over.</t>
  </si>
  <si>
    <t>1. `sub_services.service_id` was shifted by one from SS-017 onward (Jet A-1 Uplift pointed at Landing Permits, Crew Catering at Fuel). THIS HAS NOW BEEN CORRECTED IN THE SOURCE WORKBOOK — 38 rows were remapped from the sub_service_code prefix, with an audit column recording each change. Re-derive the mapping from the code prefix on import anyway and fail loudly on anything that does not resolve.</t>
  </si>
  <si>
    <t>VISA MATRIX — destination state (rows) x nationality of the traveller (columns)</t>
  </si>
  <si>
    <t>DESTINATION STATE \ NATIONALITY</t>
  </si>
  <si>
    <t>Hong Kong SAR</t>
  </si>
  <si>
    <t>Monaco</t>
  </si>
  <si>
    <t>Liechtenstein</t>
  </si>
  <si>
    <t>Andorra</t>
  </si>
  <si>
    <t>San Marino</t>
  </si>
  <si>
    <t>Visa status is read from the VISA MATRIX sheet (destination state x nationality), falling back to the VISA sheet for pair-specific rules with lead time, maximum stay and airport overrides. NOT ON FILE means neither source has an answer yet. Type over a cell to override for this trip only.</t>
  </si>
  <si>
    <t>NOT REQUIRED</t>
  </si>
  <si>
    <t>preferred_channel</t>
  </si>
  <si>
    <t>messaging_to_emails</t>
  </si>
  <si>
    <t>messaging_cc_emails</t>
  </si>
  <si>
    <t>message_format</t>
  </si>
  <si>
    <t>sending_team_signature</t>
  </si>
  <si>
    <t>MESSAGING CHECK</t>
  </si>
  <si>
    <t>3 · WHO IS ON BOARD   (nationalities drive the visa check below)</t>
  </si>
  <si>
    <t>NAME (optional)</t>
  </si>
  <si>
    <t>J THOMPSON</t>
  </si>
  <si>
    <t>T MBEKI</t>
  </si>
  <si>
    <t>O AL-FARSI</t>
  </si>
  <si>
    <t>nationality</t>
  </si>
  <si>
    <t>first?</t>
  </si>
  <si>
    <t>state iso</t>
  </si>
  <si>
    <t>state name</t>
  </si>
  <si>
    <t>4 · VISA &amp; IMMIGRATION</t>
  </si>
  <si>
    <t>STATE</t>
  </si>
  <si>
    <t>PEOPLE</t>
  </si>
  <si>
    <t>VISA REQUIREMENT</t>
  </si>
  <si>
    <t>MESSAGE TEMPLATES — outbound service requests, revisions and permit applications</t>
  </si>
  <si>
    <t>1 · TOKEN DICTIONARY   (tokens are written {{like_this}} and resolved from the trip)</t>
  </si>
  <si>
    <t>token</t>
  </si>
  <si>
    <t>example (live from the current trip)</t>
  </si>
  <si>
    <t>{{vendor_name}}</t>
  </si>
  <si>
    <t>Vendors.company_name</t>
  </si>
  <si>
    <t>Recipient handler, FBO, fueller or CAA</t>
  </si>
  <si>
    <t>{{station_icao}}</t>
  </si>
  <si>
    <t>leg dep/arr ICAO</t>
  </si>
  <si>
    <t>ICAO only, never IATA</t>
  </si>
  <si>
    <t>{{client_ref}}</t>
  </si>
  <si>
    <t>Clients.client_name</t>
  </si>
  <si>
    <t>The account the trip is billed to</t>
  </si>
  <si>
    <t>{{operator_name}}</t>
  </si>
  <si>
    <t>Operators.operator_name</t>
  </si>
  <si>
    <t>Aircraft operator</t>
  </si>
  <si>
    <t>{{registration}}</t>
  </si>
  <si>
    <t>Aircraft.registration</t>
  </si>
  <si>
    <t>Unique airframe key</t>
  </si>
  <si>
    <t>{{icao_type}}</t>
  </si>
  <si>
    <t>Aircraft.icao_type</t>
  </si>
  <si>
    <t>ICAO type designator, e.g. GLF6</t>
  </si>
  <si>
    <t>{{mtow}}</t>
  </si>
  <si>
    <t>Aircraft.mtow_kg</t>
  </si>
  <si>
    <t>Include units; permits often want lb</t>
  </si>
  <si>
    <t>{{pic_name}}</t>
  </si>
  <si>
    <t>PAX &amp; CREW where position = PIC</t>
  </si>
  <si>
    <t>Captain's name</t>
  </si>
  <si>
    <t>{{trip_ref}}</t>
  </si>
  <si>
    <t>trips.trip_ref</t>
  </si>
  <si>
    <t>Quoted as the reference number</t>
  </si>
  <si>
    <t>{{itinerary_block}}</t>
  </si>
  <si>
    <t>legs</t>
  </si>
  <si>
    <t>One DEPART and one ARRIVE line per leg, UTC with local in brackets at stations where the crew is on the ground</t>
  </si>
  <si>
    <t>{{previous_itinerary_block}}</t>
  </si>
  <si>
    <t>legs revision history</t>
  </si>
  <si>
    <t>Revision messages only</t>
  </si>
  <si>
    <t>{{service_list}}</t>
  </si>
  <si>
    <t>service_orders for this stop</t>
  </si>
  <si>
    <t>Numbered PENDING CONFIRMATION list</t>
  </si>
  <si>
    <t>{{change_list}}</t>
  </si>
  <si>
    <t>diff between revisions</t>
  </si>
  <si>
    <t>Numbered CHANGES list</t>
  </si>
  <si>
    <t>{{cancel_list}}</t>
  </si>
  <si>
    <t>cancelled service orders</t>
  </si>
  <si>
    <t>Numbered CANCEL list</t>
  </si>
  <si>
    <t>{{billing_entity}}</t>
  </si>
  <si>
    <t>Clients.bill_to_legal_name</t>
  </si>
  <si>
    <t>Who invoices go to</t>
  </si>
  <si>
    <t>{{billing_email}}</t>
  </si>
  <si>
    <t>Clients.billing_email</t>
  </si>
  <si>
    <t>Invoice destination</t>
  </si>
  <si>
    <t>{{invoice_days}}</t>
  </si>
  <si>
    <t>settings</t>
  </si>
  <si>
    <t>Days after service to submit invoices, default 7</t>
  </si>
  <si>
    <t>{{permit_type}}</t>
  </si>
  <si>
    <t>permits.permit_type</t>
  </si>
  <si>
    <t>OVERFLY or LANDING</t>
  </si>
  <si>
    <t>{{permit_validity_hours}}</t>
  </si>
  <si>
    <t>Validity buffer requested, default 72</t>
  </si>
  <si>
    <t>{{caa_name}}</t>
  </si>
  <si>
    <t>countries.civil_aviation_authority</t>
  </si>
  <si>
    <t>Addressee for permit requests</t>
  </si>
  <si>
    <t>{{flight_purpose}}</t>
  </si>
  <si>
    <t>trips.flight_purpose</t>
  </si>
  <si>
    <t>BUSINESS, PRIVATE NON-REVENUE, CHARTER, MEDEVAC, STATE</t>
  </si>
  <si>
    <t>{{aircraft_classification}}</t>
  </si>
  <si>
    <t>trips.aircraft_classification</t>
  </si>
  <si>
    <t>Private non-revenue, commercial charter, state, cargo</t>
  </si>
  <si>
    <t>{{crew_pax_summary}}</t>
  </si>
  <si>
    <t>e.g. CAPTAIN X PLUS 2 CREW AND 1 PAX</t>
  </si>
  <si>
    <t>{{sender_name}}</t>
  </si>
  <si>
    <t>users.full_name</t>
  </si>
  <si>
    <t>Person sending the message</t>
  </si>
  <si>
    <t>{{sender_team}}</t>
  </si>
  <si>
    <t>users.team</t>
  </si>
  <si>
    <t>Desk or team name</t>
  </si>
  <si>
    <t>{{sender_email}}</t>
  </si>
  <si>
    <t>Reply-to address</t>
  </si>
  <si>
    <t>{{sender_phone}}</t>
  </si>
  <si>
    <t>Voice contact</t>
  </si>
  <si>
    <t>{{sita}} {{aftn}} {{arinc}}</t>
  </si>
  <si>
    <t>Teletype addresses</t>
  </si>
  <si>
    <t>{{recipients_to}} {{recipients_cc}}</t>
  </si>
  <si>
    <t>Vendors / Operators / Clients messaging preference</t>
  </si>
  <si>
    <t>Resolved from the messaging preference columns</t>
  </si>
  <si>
    <t>{{legal_block}}</t>
  </si>
  <si>
    <t>Standing terms and conditions paragraph</t>
  </si>
  <si>
    <t>2 · TEMPLATE LIBRARY   (plain text, upper case, teletype style — the format handlers and CAAs expect)</t>
  </si>
  <si>
    <t>template_id</t>
  </si>
  <si>
    <t>template_name</t>
  </si>
  <si>
    <t>message_type</t>
  </si>
  <si>
    <t>recipient_role</t>
  </si>
  <si>
    <t>channel</t>
  </si>
  <si>
    <t>subject_line</t>
  </si>
  <si>
    <t>body_template</t>
  </si>
  <si>
    <t>footer_block</t>
  </si>
  <si>
    <t>active</t>
  </si>
  <si>
    <t>TPL-001</t>
  </si>
  <si>
    <t>Handling request</t>
  </si>
  <si>
    <t>HANDLING REQUEST</t>
  </si>
  <si>
    <t>HANDLER / FBO</t>
  </si>
  <si>
    <t>EMAIL (SMTP)</t>
  </si>
  <si>
    <t>{{registration}} / {{station_icao}} / {{trip_ref}} - HANDLING REQUEST</t>
  </si>
  <si>
    <t xml:space="preserve">ATTN:      {{vendor_name}}/{{station_icao}}
REF:       {{client_ref}}
           REGISTRY {{registration}} / {{icao_type}}
           CAPTAIN {{pic_name}}
           JTL REFERENCE NBR {{trip_ref}}
ITINERARY:
{{itinerary_block}}
PLEASE SPECIFICALLY CONFIRM THE FOLLOWING:
PENDING CONFIRMATION
{{service_list}}
   {{next_index}}. INVOICE REQUIREMENT:
      PLS CONFIRM ALL INVOICES AND SUPPORTING DOCUMENTATION ARE SENT
      TO {{billing_entity}} WITHIN {{invoice_days}} DAYS AFTER THE DATE(S) OF SERVICE.
      ANY FUEL INVOICES SHOULD BE SENT TO THE FUELLER AS ARRANGED BY THE CUSTOMER.
      TO ENSURE PAYMENT, PLEASE ENSURE CREW SIGNATURES ON ALL 3RD PARTY INVOICES.
      SEND INVOICES TO: {{billing_email}}.
ALL OTHER INFORMATION REMAINS UNCHANGED.
PLEASE ACKNOWLEDGE AND CONFIRM RECEIPT OF THIS MESSAGE CONFIRMING ALL ITEMS CAN BE ARRANGED AS REQUESTED.
</t>
  </si>
  <si>
    <t>ANY WRITTEN AGREEMENT SIGNED BY AND CURRENTLY IN EFFECT BETWEEN JTL AND YOU, AS JTL'S SERVICE PROVIDER TO WHOM THIS CONFIDENTIAL SERVICE REQUEST/NOTIFICATION HAS BEEN SENT, GOVERNS ALL ACTIVITIES PURSUANT TO THIS REQUEST/NOTIFICATION. IF NO SUCH AGREEMENT IS CURRENTLY IN EFFECT, THEN JTL'S GENERAL TERMS AND CONDITIONS SHALL GOVERN ALL ACTIVITIES REQUESTED BY JTL. BY PROVIDING THE SERVICES REQUESTED HEREIN, YOU HAVE AGREED THAT SUCH AGREEMENT OR GENERAL TERMS AND CONDITIONS APPLY.
THANK YOU AND BEST REGARDS - {{sender_name}} / {{sender_team}} / JTL TRIP SUPPORT SERVICES FOR THE OPERATIONS OF {{operator_name}} / {{registration}} / END
                           CONFIDENTIAL
REQUEST SENT TO: {{recipients_to}}
                 {{recipients_cc}}
T/N: {{trip_ref}}
PHONE: {{sender_phone}}   E-MAIL: {{sender_email}}
SITA: {{sita}}  ARINC: {{arinc}}  AFTN: {{aftn}} /END</t>
  </si>
  <si>
    <t>TPL-002</t>
  </si>
  <si>
    <t>Handling revision</t>
  </si>
  <si>
    <t>HANDLING REVISION</t>
  </si>
  <si>
    <t>{{registration}} / {{station_icao}} / {{trip_ref}} - REVISION</t>
  </si>
  <si>
    <t xml:space="preserve">ATTN:      {{vendor_name}}/{{station_icao}}
REF:       {{client_ref}}
           {{registration}} / {{icao_type}} / CAPTAIN {{pic_name}}
           JTL REFERENCE NBR {{trip_ref}}
PREVIOUS ITINERARY:
{{previous_itinerary_block}}
NEW ITINERARY:
{{itinerary_block}}
PLEASE SPECIFICALLY CONFIRM THE FOLLOWING:
CHANGES
{{change_list}}
PENDING CONFIRMATION
{{service_list}}
CANCEL
{{cancel_list}}
ALL OTHER INFORMATION REMAINS UNCHANGED.
PLEASE ACKNOWLEDGE AND CONFIRM RECEIPT OF THIS MESSAGE CONFIRMING ALL ITEMS CAN BE ARRANGED AS REQUESTED.
</t>
  </si>
  <si>
    <t>TPL-003</t>
  </si>
  <si>
    <t>Overflight permit request</t>
  </si>
  <si>
    <t>PERMIT REQUEST</t>
  </si>
  <si>
    <t>CIVIL AVIATION AUTHORITY</t>
  </si>
  <si>
    <t>{{registration}} / {{icao_type}} - OVERFLIGHT PERMIT REQUEST</t>
  </si>
  <si>
    <t xml:space="preserve">ATTN: CIVIL AVIATION AUTHORITY: {{caa_name}}
RESPECTFULLY REQUEST OVERFLY PERMISSION WITH A {{permit_validity_hours}} HOUR VALIDITY IN CASE
OF DELAY BASED ON:
A. OPERATOR: {{operator_name}}
    ADDRESS: {{operator_address}}
             PHN: {{operator_phone}}
             AFTN: {{aftn}}
             SITA/ARINC: {{sita}}
   BILLING ADDRESS: {{billing_email}}
B. REGISTRY: {{registration}}  ACFT TYPE: {{icao_type}}   MTOW: {{mtow}}
C. AIRCRAFT CLASSIFICATION: {{aircraft_classification}}
D. ITINERARY:
{{itinerary_block}}
E. ROUTE: VIA APPROVED ATS ROUTES
F. PURPOSE OF FLIGHT: {{flight_purpose}}
G. CREW: {{crew_pax_summary}}
THANK YOU FOR YOUR CONSIDERATION OF THIS REQUEST AND AWAITING YOUR APPROVAL WE REMAIN VERY TRULY YOURS {{sender_name}} / {{sender_team}} / JTL TRIP SUPPORT FOR THE OPS OF {{operator_name}}/{{registration}}.
</t>
  </si>
  <si>
    <t>TPL-004</t>
  </si>
  <si>
    <t>Landing permit request</t>
  </si>
  <si>
    <t>{{registration}} / {{icao_type}} - LANDING PERMIT REQUEST</t>
  </si>
  <si>
    <t xml:space="preserve">ATTN: CIVIL AVIATION AUTHORITY: {{caa_name}}
RESPECTFULLY REQUEST LANDING PERMISSION WITH A {{permit_validity_hours}} HOUR VALIDITY IN CASE
OF DELAY BASED ON:
A. OPERATOR: {{operator_name}}
    ADDRESS: {{operator_address}}
             PHN: {{operator_phone}}
             AFTN: {{aftn}}
             SITA/ARINC: {{sita}}
   BILLING ADDRESS: {{billing_email}}
B. REGISTRY: {{registration}}  ACFT TYPE: {{icao_type}}   MTOW: {{mtow}}
C. AIRCRAFT CLASSIFICATION: {{aircraft_classification}}
D. ITINERARY:
{{itinerary_block}}
E. ROUTE: VIA APPROVED ATS ROUTES
F. PURPOSE OF FLIGHT: {{flight_purpose}}
G. CREW: {{crew_pax_summary}}
THANK YOU FOR YOUR CONSIDERATION OF THIS REQUEST AND AWAITING YOUR APPROVAL WE REMAIN VERY TRULY YOURS {{sender_name}} / {{sender_team}} / JTL TRIP SUPPORT FOR THE OPS OF {{operator_name}}/{{registration}}.
</t>
  </si>
  <si>
    <t>TPL-005</t>
  </si>
  <si>
    <t>Service cancellation</t>
  </si>
  <si>
    <t>CANCELLATION</t>
  </si>
  <si>
    <t>HANDLER / FBO / VENDOR</t>
  </si>
  <si>
    <t>{{registration}} / {{station_icao}} / {{trip_ref}} - CANCELLATION</t>
  </si>
  <si>
    <t xml:space="preserve">ATTN:      {{vendor_name}}/{{station_icao}}
REF:       {{client_ref}} / {{registration}} / {{trip_ref}}
PLEASE CANCEL THE FOLLOWING SERVICES:
{{cancel_list}}
PLEASE CONFIRM CANCELLATION AND ADVISE ANY CANCELLATION CHARGES.
</t>
  </si>
  <si>
    <t>3 · MESSAGE BUILDER   (renders a live handling request for one stop of the trip open in TRIP MANAGER)</t>
  </si>
  <si>
    <t>STOP # (from section 4 of TRIP MANAGER)</t>
  </si>
  <si>
    <t>VENDOR / RECIPIENT NAME</t>
  </si>
  <si>
    <t>RECIPIENT EMAIL(S) — TO</t>
  </si>
  <si>
    <t>RECIPIENT EMAIL(S) — CC</t>
  </si>
  <si>
    <t>SENDER NAME</t>
  </si>
  <si>
    <t>SENDER TEAM</t>
  </si>
  <si>
    <t>STATION ICAO (auto)</t>
  </si>
  <si>
    <t>SUBJECT LINE (auto)</t>
  </si>
  <si>
    <t>fbo.ops@firebladeaviation.example</t>
  </si>
  <si>
    <t>ECHO TEAM</t>
  </si>
  <si>
    <t>RENDERED MESSAGE — select A57:A110, copy, paste into the e-mail body</t>
  </si>
  <si>
    <t>## MESSAGING AND OUTBOUND COMMUNICATION</t>
  </si>
  <si>
    <t>Every outbound service request, revision, cancellation and permit application is generated from a versioned template, never typed by hand. Start with SMTP e-mail using the library bundled in the app (aiosmtplib behind a provider interface so SES/SendGrid/Postmark can be swapped in later without touching the templates). Design the channel as an interface from day one — SITA, AFTN, fax gateway and a vendor portal all become additional adapters.</t>
  </si>
  <si>
    <t>MESSAGING PREFERENCE lives on every counterparty — operator, client and vendor. Fields: preferred_channel (EMAIL SMTP / SITA / AFTN / FAX / PORTAL), messaging_to (list), messaging_cc (list), sita_address, aftn_address, message_format (PLAIN TEXT UPPERCASE / PLAIN TEXT / HTML) and sending_team_signature. Validate that the chosen channel has an address; block sending and show a clear error if it does not.</t>
  </si>
  <si>
    <t>FORMAT MATTERS. Handlers and civil aviation authorities expect fixed-width, upper-case teletype-style plain text with aligned columns and a strict block order. Do not send HTML to these recipients by default. Preserve the exact block structure: ATTN, REF (registry / type / captain / reference number), ITINERARY, PLEASE SPECIFICALLY CONFIRM THE FOLLOWING, CHANGES, PENDING CONFIRMATION, CANCEL, ALL OTHER INFORMATION REMAINS UNCHANGED, acknowledgement request, legal block, signature, CONFIDENTIAL marker, REQUEST SENT TO, T/N, contact and teletype addresses.</t>
  </si>
  <si>
    <t>ITINERARY LINES render as: DEPART &lt;STATION NAME&gt; / &lt;ICAO&gt;   &lt;DDMMM&gt;/&lt;HHMM&gt; UTC, and ARRIVE likewise, with local time appended only at stations where the aircraft is on the ground. Always ICAO, always UTC first, dates as DDMMM in upper case.</t>
  </si>
  <si>
    <t>TEMPLATE ENGINE. Templates are database rows, not code: template_id, name, message_type, recipient_role, channel, subject_line, body with {{tokens}}, footer/legal block, active flag and a version number. Ship with: handling request, handling revision, service cancellation, overflight permit request, landing permit request. Render with a sandboxed engine (Jinja2 with autoescape off for plain text), and store the fully rendered body against the message record so what was sent can always be reproduced exactly.</t>
  </si>
  <si>
    <t>REVISIONS ARE DIFFS. A revision message must show PREVIOUS ITINERARY and NEW ITINERARY and an explicit numbered CHANGES list, computed automatically by diffing the current trip against the last version actually sent to that recipient. Never make an ops user hand-write what changed — that is where mistakes get made.</t>
  </si>
  <si>
    <t>THREADING AND ACKNOWLEDGEMENT. One conversation thread per trip per counterparty. Set a Message-ID and In-Reply-To, and use a plus-addressed or tagged reply address (ops+&lt;trip_ref&gt;.&lt;vendor_id&gt;@...) so inbound replies match automatically to the trip, the vendor and the service order. Track state per message: DRAFT, QUEUED, SENT, DELIVERED, BOUNCED, ACKNOWLEDGED, CONFIRMED, DECLINED. Chase unacknowledged requests automatically as the service due time approaches.</t>
  </si>
  <si>
    <t>ATTACHMENTS. Permit applications frequently need supporting documents: aircraft registration certificate, airworthiness certificate, insurance certificate, noise certificate, AOC, crew licences and passports, general declaration. Let a template declare its required attachment set, pull them from the document store, and refuse to send when a required document is missing or expired.</t>
  </si>
  <si>
    <t>AUDIT. Store every message: template and version used, resolved token values, recipients, channel, timestamps, provider message id, delivery events and the raw rendered body. This is the evidence trail when a handler claims they were never told.</t>
  </si>
  <si>
    <t>## VISA REFERENCE DATA</t>
  </si>
  <si>
    <t>Maintain a complete destination-state x nationality matrix, not a sparse list of exceptions. The workbook now carries all 142 in-region states down the rows and 174 nationalities across the columns; the app should hold the same as a table of (country_iso3, nationality_iso3, requirement, visa_type, lead_time_days, max_stay_days, conditions, source, verified_by, verified_on, expires_on).</t>
  </si>
  <si>
    <t>Resolution precedence: airport-specific override, then the exact (country, nationality) rule, then the matrix cell, then NOT ON FILE. Never guess and never silently default to NOT REQUIRED — an unanswered pair must surface as NOT ON FILE so the reference data gets completed.</t>
  </si>
  <si>
    <t>Requirement values: NOT REQUIRED, REQUIRED, VISA ON ARRIVAL, eVISA, TRANSIT ONLY, TIWB (transit in without boarding).</t>
  </si>
  <si>
    <t>Every rule carries provenance and an expiry: who verified it, when, and against which source. Visa policy changes constantly; a rule older than a configurable age is shown as STALE and re-verification is queued.</t>
  </si>
  <si>
    <t>The public feasibility form collects role and nationality per person on board, so the visa answer is returned in the enquiry response rather than after a human touches it. Ask only for role and nationality at enquiry stage — never passport numbers from an unauthenticated form.</t>
  </si>
  <si>
    <t>Feed the visa outcome into the trip-level document blocker: a person with a REQUIRED visa and no valid visa document on file prevents the trip reaching CONFIRMED.</t>
  </si>
  <si>
    <t>## FURTHER WIRING IMPROVEMENTS (in addition to the thirteen above)</t>
  </si>
  <si>
    <t>14. MESSAGE PREVIEW AND APPROVAL. Show the rendered message exactly as it will be sent, with token values highlighted, and require an explicit send action. Support a supervisor approval step for permit applications and for any message to a new counterparty.</t>
  </si>
  <si>
    <t>15. BULK DISPATCH. One click should send every pending request for a trip — each handler, each fueller, each CAA — using the correct template and channel per recipient, then track the acknowledgements on a single board.</t>
  </si>
  <si>
    <t>16. VISA AND PERMIT DATA CROWDSOURCING. Every time ops confirms a real lead time or a visa outcome from a CAA response, offer to write it back to the reference tables with provenance. The dataset should improve with use rather than decay.</t>
  </si>
  <si>
    <t>17. INBOUND PARSING. Handler and CAA replies often contain the permit number and validity in a predictable position. Parse inbound e-mail for permit numbers, approval references and refusals, propose the update, and let a human confirm — the same accept/reject pattern used for document OCR.</t>
  </si>
  <si>
    <t>VISA REQUIRED ON THIS TRIP?</t>
  </si>
  <si>
    <t>ground_handling_mandatory</t>
  </si>
  <si>
    <t>self_handling_permitted</t>
  </si>
  <si>
    <t>notes_handling</t>
  </si>
  <si>
    <t>VERIFY</t>
  </si>
  <si>
    <t>STOP TYPE</t>
  </si>
  <si>
    <t>HANDLING MANDATORY</t>
  </si>
  <si>
    <t>SELF-HANDLING</t>
  </si>
  <si>
    <t>PREFERRED VENDOR</t>
  </si>
  <si>
    <t>VENDOR SOURCE</t>
  </si>
  <si>
    <t>stop and handling policy</t>
  </si>
  <si>
    <t>RON (REMAINING OVERNIGHT)</t>
  </si>
  <si>
    <t>TECH STOP</t>
  </si>
  <si>
    <t>TURNAROUND</t>
  </si>
  <si>
    <t>VENDORS AVAILABLE</t>
  </si>
  <si>
    <t>FLEET &amp; OPERATOR DOCUMENT REPOSITORY — expiry and review tracking</t>
  </si>
  <si>
    <t>Aircraft are identified by registration; the ICAO type is shown for reference. One row per document. Multiple insurance policies per airframe are supported — add a row per policy.</t>
  </si>
  <si>
    <t>entity_ref</t>
  </si>
  <si>
    <t>entity_name</t>
  </si>
  <si>
    <t>document_number</t>
  </si>
  <si>
    <t>issuer</t>
  </si>
  <si>
    <t>issue_date</t>
  </si>
  <si>
    <t>expiry_date</t>
  </si>
  <si>
    <t>review_due_date</t>
  </si>
  <si>
    <t>verified_by</t>
  </si>
  <si>
    <t>verified_at</t>
  </si>
  <si>
    <t>AIRCRAFT</t>
  </si>
  <si>
    <t>Certificate of Registration</t>
  </si>
  <si>
    <t>N450GA-REG-2024</t>
  </si>
  <si>
    <t>FAA</t>
  </si>
  <si>
    <t>registration.pdf</t>
  </si>
  <si>
    <t>Insurance - Hull</t>
  </si>
  <si>
    <t>HUL-2026-88120</t>
  </si>
  <si>
    <t>Global Aerospace</t>
  </si>
  <si>
    <t>insurance_hull.pdf</t>
  </si>
  <si>
    <t>Airworthiness Review Certificate (ARC)</t>
  </si>
  <si>
    <t>ARC-2025-4471</t>
  </si>
  <si>
    <t>arc.pdf</t>
  </si>
  <si>
    <t>docs_on_file</t>
  </si>
  <si>
    <t>docs_expired</t>
  </si>
  <si>
    <t>docs_expiring_90d</t>
  </si>
  <si>
    <t>next_expiry</t>
  </si>
  <si>
    <t>USERS, ROLES &amp; APPLICATION SETTINGS</t>
  </si>
  <si>
    <t>1 · ROLE DEFINITIONS</t>
  </si>
  <si>
    <t>role</t>
  </si>
  <si>
    <t>view</t>
  </si>
  <si>
    <t>create</t>
  </si>
  <si>
    <t>modify</t>
  </si>
  <si>
    <t>delete</t>
  </si>
  <si>
    <t>suspend_trip</t>
  </si>
  <si>
    <t>manage_permits</t>
  </si>
  <si>
    <t>manage_reference_data</t>
  </si>
  <si>
    <t>SUPER ADMIN</t>
  </si>
  <si>
    <t>OPERATIONS SPECIALIST</t>
  </si>
  <si>
    <t>AUDITOR</t>
  </si>
  <si>
    <t>CLIENT - MODIFY</t>
  </si>
  <si>
    <t>OWN TRIPS ONLY</t>
  </si>
  <si>
    <t>CLIENT - VIEW ONLY</t>
  </si>
  <si>
    <t>FINANCE</t>
  </si>
  <si>
    <t>BILLING FIELDS ONLY</t>
  </si>
  <si>
    <t>2 · USER REGISTER</t>
  </si>
  <si>
    <t>user_id</t>
  </si>
  <si>
    <t>full_name</t>
  </si>
  <si>
    <t>operator_scope</t>
  </si>
  <si>
    <t>client_scope</t>
  </si>
  <si>
    <t>mfa_enabled</t>
  </si>
  <si>
    <t>last_login_utc</t>
  </si>
  <si>
    <t>created_on</t>
  </si>
  <si>
    <t>USR-001</t>
  </si>
  <si>
    <t>Founder account</t>
  </si>
  <si>
    <t>USR-002</t>
  </si>
  <si>
    <t>OPS SPECIALIST</t>
  </si>
  <si>
    <t>specialist@jetelio.com</t>
  </si>
  <si>
    <t>No delete rights</t>
  </si>
  <si>
    <t>USR-003</t>
  </si>
  <si>
    <t>CLIENT USER</t>
  </si>
  <si>
    <t>External</t>
  </si>
  <si>
    <t>USR-004</t>
  </si>
  <si>
    <t>INTERNAL AUDIT</t>
  </si>
  <si>
    <t>audit@jetelio.com</t>
  </si>
  <si>
    <t>Read-only</t>
  </si>
  <si>
    <t>3 · BRANDING &amp; APPLICATION SETTINGS   (admin-editable, no code change)</t>
  </si>
  <si>
    <t>setting_key</t>
  </si>
  <si>
    <t>value</t>
  </si>
  <si>
    <t>app_name</t>
  </si>
  <si>
    <t>JTL Trip Support</t>
  </si>
  <si>
    <t>Shown in the header, page titles and outbound e-mail</t>
  </si>
  <si>
    <t>app_short_name</t>
  </si>
  <si>
    <t>PWA short name on the home screen</t>
  </si>
  <si>
    <t>logo_light_path</t>
  </si>
  <si>
    <t>/branding/logo-light.svg</t>
  </si>
  <si>
    <t>Used on light backgrounds</t>
  </si>
  <si>
    <t>logo_dark_path</t>
  </si>
  <si>
    <t>/branding/logo-dark.svg</t>
  </si>
  <si>
    <t>Used on dark backgrounds</t>
  </si>
  <si>
    <t>favicon_path</t>
  </si>
  <si>
    <t>/branding/favicon.ico</t>
  </si>
  <si>
    <t>Also generates the PWA icon set</t>
  </si>
  <si>
    <t>pwa_icon_512_path</t>
  </si>
  <si>
    <t>/branding/icon-512.png</t>
  </si>
  <si>
    <t>Maskable icon for Android install</t>
  </si>
  <si>
    <t>theme_default</t>
  </si>
  <si>
    <t>DARK</t>
  </si>
  <si>
    <t>LIGHT or DARK; user preference overrides and is remembered</t>
  </si>
  <si>
    <t>colour_primary</t>
  </si>
  <si>
    <t>#C8102E</t>
  </si>
  <si>
    <t>Red — primary actions, alerts, active nav</t>
  </si>
  <si>
    <t>colour_secondary</t>
  </si>
  <si>
    <t>#D9D9D9</t>
  </si>
  <si>
    <t>Light grey — surfaces, borders, table banding</t>
  </si>
  <si>
    <t>colour_base</t>
  </si>
  <si>
    <t>#111111</t>
  </si>
  <si>
    <t>Black — text on light, background on dark</t>
  </si>
  <si>
    <t>colour_success</t>
  </si>
  <si>
    <t>#2E7D32</t>
  </si>
  <si>
    <t>Confirmations and VALID states</t>
  </si>
  <si>
    <t>colour_warning</t>
  </si>
  <si>
    <t>#ED7D31</t>
  </si>
  <si>
    <t>URGENT and expiring states</t>
  </si>
  <si>
    <t>colour_danger</t>
  </si>
  <si>
    <t>#C00000</t>
  </si>
  <si>
    <t>OVERDUE, EXPIRED and destructive actions</t>
  </si>
  <si>
    <t>font_family</t>
  </si>
  <si>
    <t>Inter, system-ui, sans-serif</t>
  </si>
  <si>
    <t>Interface font</t>
  </si>
  <si>
    <t>font_mono</t>
  </si>
  <si>
    <t>JetBrains Mono, Consolas, monospace</t>
  </si>
  <si>
    <t>Teletype message rendering</t>
  </si>
  <si>
    <t>seo_title</t>
  </si>
  <si>
    <t>JTL Trip Support — Overflight &amp; Landing Permits, Africa and the Middle East</t>
  </si>
  <si>
    <t>Default page title</t>
  </si>
  <si>
    <t>seo_description</t>
  </si>
  <si>
    <t>Plan a trip, see every overflight and landing permit, ground service and visa requirement, and file on time.</t>
  </si>
  <si>
    <t>Meta description</t>
  </si>
  <si>
    <t>seo_keywords</t>
  </si>
  <si>
    <t>overflight permit, landing permit, ground handling, flight support, Africa, Middle East</t>
  </si>
  <si>
    <t>Meta keywords</t>
  </si>
  <si>
    <t>seo_og_image</t>
  </si>
  <si>
    <t>/branding/og-image.png</t>
  </si>
  <si>
    <t>Open Graph / social preview</t>
  </si>
  <si>
    <t>support_email</t>
  </si>
  <si>
    <t>Reply-to on outbound messages</t>
  </si>
  <si>
    <t>support_phone</t>
  </si>
  <si>
    <t>Shown in the message footer</t>
  </si>
  <si>
    <t>Teletype address for outbound messages</t>
  </si>
  <si>
    <t>default_permit_lead_hours</t>
  </si>
  <si>
    <t>Fallback when a state has no lead time on file</t>
  </si>
  <si>
    <t>default_ground_notice_hours</t>
  </si>
  <si>
    <t>Fallback notice for ground services</t>
  </si>
  <si>
    <t>default_block_speed_kts</t>
  </si>
  <si>
    <t>Used when the aircraft type has no cruise figure</t>
  </si>
  <si>
    <t>default_taxi_climb_hrs</t>
  </si>
  <si>
    <t>Added to each leg</t>
  </si>
  <si>
    <t>invoice_submission_days</t>
  </si>
  <si>
    <t>Days after service for vendor invoices</t>
  </si>
  <si>
    <t>permit_validity_buffer_hours</t>
  </si>
  <si>
    <t>Requested validity window on permit applications</t>
  </si>
  <si>
    <t>date_display_format</t>
  </si>
  <si>
    <t>dd-mmm-yyyy</t>
  </si>
  <si>
    <t>Removes day/month ambiguity</t>
  </si>
  <si>
    <t>time_display</t>
  </si>
  <si>
    <t>UTC with Z suffix</t>
  </si>
  <si>
    <t>Local time shown only as a secondary value</t>
  </si>
  <si>
    <t>session_timeout_minutes</t>
  </si>
  <si>
    <t>Idle logout</t>
  </si>
  <si>
    <t>mfa_required_for_roles</t>
  </si>
  <si>
    <t>SUPER ADMIN, OPERATIONS SPECIALIST, FINANCE</t>
  </si>
  <si>
    <t>Enforced at login</t>
  </si>
  <si>
    <t>questionnaire_sent_on</t>
  </si>
  <si>
    <t>questionnaire_returned_on</t>
  </si>
  <si>
    <t>services_offered_codes</t>
  </si>
  <si>
    <t>stations_covered</t>
  </si>
  <si>
    <t>caa_direct_account_states</t>
  </si>
  <si>
    <t>approved_by</t>
  </si>
  <si>
    <t>approved_on</t>
  </si>
  <si>
    <t>capability_status</t>
  </si>
  <si>
    <t>preference_rank</t>
  </si>
  <si>
    <t>## PLATFORM SHAPE — INSTALLABLE PWA, ONE CODEBASE, THREE FORM FACTORS</t>
  </si>
  <si>
    <t>Ship a Progressive Web App, not a desktop site that happens to shrink. Web app manifest with name, short_name, description, theme_color, background_color, display standalone, orientation any, and a full maskable icon set generated from the branding settings. Service worker via Workbox: app shell precached, reference data (airports, countries, services, vendors) cached stale-while-revalidate, trip reads network-first with cache fallback, and writes queued in IndexedDB through Background Sync so an ops user on an airport wifi drop-out does not lose work. Show an explicit offline banner and a pending-changes count; never fail silently.</t>
  </si>
  <si>
    <t>Breakpoints and layout: MOBILE (under 640px) — single column, bottom tab bar (Trips, Permits, Services, Crew, More), cards instead of tables, sticky action bar, thumb-reachable primary buttons, and a trip sheet that reads well on a phone at an FBO desk. TABLET (640-1024px) — two-pane master/detail, collapsible left rail, tables with the three most important columns plus an expand row. DESKTOP (1024px and up) — full data grid with frozen first column, multi-pane trip workspace, keyboard shortcuts, and a right-hand deadline rail always visible.</t>
  </si>
  <si>
    <t>Tables are the hard part on small screens. Use a column-priority system: every column declares a priority (1 always visible, 2 tablet and up, 3 desktop only) and the grid hides by priority as width shrinks, with a per-row expander revealing the rest. Never horizontally scroll a permit list on a phone.</t>
  </si>
  <si>
    <t>Accessibility and field conditions: WCAG 2.2 AA, minimum 44px touch targets, contrast that survives direct sunlight on a ramp, full keyboard navigation, screen-reader labels on every status chip, and respect for prefers-reduced-motion and prefers-color-scheme.</t>
  </si>
  <si>
    <t>Also install-ready: add-to-home-screen prompt after the second session, push notifications for permit deadlines and vendor replies (Web Push with VAPID), and share-target support so a crew member can share a PDF straight into the document uploader.</t>
  </si>
  <si>
    <t>## DYNAMIC BRANDING AND SETTINGS PANEL</t>
  </si>
  <si>
    <t>An admin settings screen edits application identity without a deploy: app_name, app_short_name, logo (light and dark variants), favicon and PWA icon upload, SEO title/description/keywords/Open Graph image, default theme, and the colour tokens. Settings are database rows read at runtime; the front end consumes them as CSS custom properties so a change takes effect on next paint.</t>
  </si>
  <si>
    <t>Design language: red as primary (#C8102E), light grey as surface (#D9D9D9), black as base (#111111), with semantic tokens layered on top — success green, warning amber, danger red. Both LIGHT and DARK themes must be first-class, not an afterthought; DARK is the default because most ops work happens at night. Respect the OS preference on first visit, remember the user's explicit choice afterwards.</t>
  </si>
  <si>
    <t>Uploaded logos are validated (SVG or PNG, size and dimension limits, SVG sanitised against embedded script), stored in object storage, and served through a CDN path. Generate the full PWA icon set and favicon variants automatically from a single upload.</t>
  </si>
  <si>
    <t>Settings are versioned and audited — who changed the brand colour and when — and a preview mode lets an admin see changes before publishing.</t>
  </si>
  <si>
    <t>## ROLE-BASED ACCESS CONTROL</t>
  </si>
  <si>
    <t>Roles: SUPER ADMIN (full access including delete and reference data), OPERATIONS SPECIALIST (create, modify, permit management, trip suspension — explicitly NO delete), AUDITOR (read-only across everything, including the audit log), CLIENT - MODIFY (own trips only: create and edit, no delete, no cost visibility), CLIENT - VIEW ONLY (own trips only, read-only), FINANCE (read-all, edit billing fields only).</t>
  </si>
  <si>
    <t>Enforce at three layers: route guards in the UI so forbidden actions are not rendered, a permission decorator on every API endpoint, and row-level security in the database so a client token can never read another operator's trip even if the API is bypassed. Scope every client user to an operator_id and/or client_id.</t>
  </si>
  <si>
    <t>Deletion is a soft delete with a retention window and an audit entry; only SUPER ADMIN sees the restore and purge actions. Trip suspension is a status change available to OPERATIONS SPECIALIST and is fully reversible — it is deliberately not a delete.</t>
  </si>
  <si>
    <t>MFA mandatory for SUPER ADMIN, OPERATIONS SPECIALIST and FINANCE. Session timeout configurable, refresh-token rotation, and immediate revocation when a user is disabled. Every permission denial is logged, not silently swallowed.</t>
  </si>
  <si>
    <t>## FLEET AND DOCUMENT MANAGEMENT MODULE</t>
  </si>
  <si>
    <t>Both client and admin views manage fleets. Aircraft are identified by registration and always displayed with the ICAO type designator first (N450GA / GLF6); manufacturer and model series are secondary. Every aircraft must belong to an operator.</t>
  </si>
  <si>
    <t>The document repository accepts single and multiple file upload, classified by preset type: Certificate of Registration, Certificate of Airworthiness, Airworthiness Review Certificate (ARC), Insurance (hull, liability and war risk as separate policies — an airframe may carry several concurrently), Noise Certificate, Weight and Balance Report, Radio Station Licence, AOC, Operations Specifications, MEL, RVSM and RNP/PBN approvals, Maintenance Programme, Other.</t>
  </si>
  <si>
    <t>Every document carries issue date, expiry date and a separate review-due date (ARC reviews and W&amp;B revisions are reviewed before they expire). Status is derived: VALID, EXPIRES WITHIN 90 DAYS, EXPIRES WITHIN 30 DAYS, REVIEW OVERDUE, EXPIRED, NO EXPIRY RECORDED. Roll up to the aircraft: documents on file, expired count, expiring count and next expiry date.</t>
  </si>
  <si>
    <t>Fleet documents feed the trip engine. A trip may not be confirmed if a required aircraft document expires before the last arrival. Permit applications pull their attachment set from this repository automatically.</t>
  </si>
  <si>
    <t>Aircraft documents use the same OCR and human-verification flow as crew documents where the document type has machine-readable fields; where it does not, the reviewer simply confirms the key dates.</t>
  </si>
  <si>
    <t>## TRIP AND PERMIT ROUTING ENGINE — STOP TYPES AND AIRCRAFT CAPABILITY</t>
  </si>
  <si>
    <t>Trip creation maps legs by ICAO airport code. The engine derives overflight versus landing permits from the route (every en-route state except the leg's departure and destination), and both are influenced by aircraft type.</t>
  </si>
  <si>
    <t>AIRCRAFT CAPABILITY DRIVES THE ROUTE. Hold range, cruise speed, service ceiling and fuel burn per ICAO type. A short-range type such as a C208 cannot fly FALA to FTTJ non-stop; the engine must detect that leg distance exceeds practical range (with reserves and a configurable safety margin), refuse to plan it silently, and propose technical stops at suitable en-route airports — filtered by runway length, fuel availability, customs status and airport of entry flag. This changes the permit picture entirely: each tech stop adds a landing permit and possibly a new overflight state.</t>
  </si>
  <si>
    <t>STOP TYPES on every ground stop: TURNAROUND, TECH STOP (fuel or crew only, often no customs), RON (remaining overnight), CREW REST STOP, MAINTENANCE STOP, DIVERSION. Stop type drives what is ordered: a tech stop typically needs fuel and minimal handling; a RON adds parking, hotel, transport and security; a crew rest stop adds duty-time implications. Stop type also drives which permits are needed — some states treat a technical stop differently from a commercial landing.</t>
  </si>
  <si>
    <t>GROUND HANDLING POLICY per state: mandatory, not mandatory, or self-handling permitted. Many African and Middle Eastern states mandate an approved handler; others allow self-handling for private non-revenue flights. Hold this on the country record with an airport-level override, default to VERIFY when unknown, and never assume handling can be skipped.</t>
  </si>
  <si>
    <t>VENDOR PREFERENCE. When a service is required, rank candidate vendors: preferred vendor for that operator or client first, then the primary handler at that airport, then vendors with a direct CAA account in that state (which matters for permits), then by past performance and price. Show the ranking and let ops override with a logged reason.</t>
  </si>
  <si>
    <t>## VENDOR MANAGEMENT AND CONSOLIDATED INVOICING</t>
  </si>
  <si>
    <t>A vendor directory where one vendor may supply many service types across many stations and states. Coverage is held at both airport level (with FBO name, SITA, AFTN, VHF, primary-handler flag) and country level (with a has-CAA-direct-account flag and service scope).</t>
  </si>
  <si>
    <t>CAPABILITY QUESTIONNAIRE. Send a vendor a structured questionnaire — services offered, stations covered, states with direct CAA accounts, hours of operation, payment terms, currencies, insurance and certifications, escalation contacts. The vendor completes it through a tokenised link. Their answers stay in a pending state until an admin approves them; only on approval do they update system availability and become assignable. Track questionnaire sent, returned and approved dates, and re-send annually.</t>
  </si>
  <si>
    <t>CONSOLIDATED INVOICING. JTL bills the client once per trip while paying many third parties. Model disbursements explicitly: CAA permit fees, navigation and enroute charges, landing and parking fees, handling, fuel, catering, transport, hotels, utilities and airport charges. Each line carries cost, currency, FX rate and date, mark-up or handling fee, sell price, the vendor invoice reference and the supporting document. Roll up into a single client invoice grouped by leg and by service, with disbursements shown at cost and JTL's fee shown separately.</t>
  </si>
  <si>
    <t>Support multi-currency (cost in vendor currency, billed in the client's currency with the FX rate recorded), part-billing, credit notes, and per-leg billing to different client accounts on the same trip. Reconcile vendor invoices against the ordered services and flag anything charged that was never ordered.</t>
  </si>
  <si>
    <t>## OPERATIONAL REQUEST FLOWS</t>
  </si>
  <si>
    <t>Dedicated request flows per airport location for: overflight permit, landing permit, ground handling, fuel, crew ground transportation, passenger transportation, catering, security, slots and PPR, customs and immigration. Each flow knows its own required fields, lead time, template and recipient type.</t>
  </si>
  <si>
    <t>Behind them sits a country requirements database: what each state demands for each request type — forms, supporting documents, lead time, working hours of the authority, accepted channels, fee structure, whether a local agent or CAA direct account is required, and known quirks. This is the institutional knowledge that currently lives in people's heads; make it a first-class, versioned, sourced dataset.</t>
  </si>
  <si>
    <t>Crew ground transportation deserves its own flow because it carries specific data: pick-up point, commercial flight number and ETA for positioning crew, destination hotel, driver name, driver mobile, vehicle make, model and plate number, and confirmation back to the crew member. Require the driver and vehicle details before the request can be marked confirmed.</t>
  </si>
  <si>
    <t>## SIMPLIFY WITHOUT LOSING FUNCTION OR PRECISION</t>
  </si>
  <si>
    <t>The spreadsheet's complexity is accidental, not essential. The domain needs precision; the interface does not need to expose it all at once. Apply these:</t>
  </si>
  <si>
    <t>1. ONE OBJECT, NOT NINE SECTIONS. The workbook has nine numbered sections because a sheet is flat. The app should present a single Trip object with progressive disclosure: a summary header, then tabs (Route, Permits, Services, Crew &amp; Pax, Documents, Billing, Messages). Nothing is removed — it is revealed when relevant.</t>
  </si>
  <si>
    <t>2. DELETE THE SCRATCH LAYER ENTIRELY. geo_grid, route_calc, permit_calc and fiq_calc exist only because Excel cannot do spatial queries or hold intermediate state. In the app they become three pure functions and one PostGIS query. That is roughly 1,700 rows of formulas and four tabs gone with zero loss of precision — in fact precision improves.</t>
  </si>
  <si>
    <t>3. COMPUTE, DO NOT ASK. Every field the system can derive should be derived: visa requirement from the matrix, lead time from the state, handler from coverage, permit type from the route, souls on board from the manifest, deadlines from lead times. The user should only be asked for what is genuinely unknowable: the route, the dates, the aircraft, the people and the commercial decisions.</t>
  </si>
  <si>
    <t>4. DEFAULT AGGRESSIVELY, OVERRIDE EASILY. Pre-generate every permit and service order in DRAFT with vendor, lead time and deadline filled. The common case becomes a review-and-confirm rather than a build-from-scratch. Every default is visibly a default and one click from being changed.</t>
  </si>
  <si>
    <t>5. ONE STATUS LANGUAGE. The workbook uses several overlapping status vocabularies. Standardise on a single ladder with consistent colour: OK / PENDING / DUE SOON / URGENT / OVERDUE / BLOCKED, and one blocked-reason list. Learn it once, read it everywhere.</t>
  </si>
  <si>
    <t>6. ACTION-FIRST HOME SCREEN. Not a list of trips, but a list of things that need doing today, ordered by deadline: permits to file, documents expiring, vendors who have not acknowledged, visas not on file. The register is available but is not the front door.</t>
  </si>
  <si>
    <t>7. REFERENCE DATA BEHIND ONE ADMIN AREA. Airports, countries, services, vendors, visa rules, templates and settings all share one CRUD pattern with search, import, export, validation and audit. One component, many tables — far less code and one thing for admins to learn.</t>
  </si>
  <si>
    <t>8. TWO ENTRY POINTS ONLY. Public Feasibility IQ and the internal console. Everything else is a view within them. Resist building a third surface.</t>
  </si>
  <si>
    <t>9. FEWER, RICHER RECORDS. Ground handling is one order per country, not per airport. Trip information lives once and is joined to legs, never duplicated. One document record with a verification state rather than parallel path columns.</t>
  </si>
  <si>
    <t>10. PRECISION LIVES IN THE ENGINE, NOT THE FORM. Keep the routing and permit logic exhaustive and unit-tested; keep the form short. The user types six things and gets twenty-five correct outputs — that is the whole product.</t>
  </si>
  <si>
    <t>## CODE ARCHITECTURE AND QUALITY BAR</t>
  </si>
  <si>
    <t>Layered and testable: api routers → service layer (use cases) → domain (pure functions: routing, permits, deadlines, credentials) → repositories → database. The domain layer imports nothing from FastAPI or SQLAlchemy and is tested in isolation. No business logic in route handlers, no SQL in the domain.</t>
  </si>
  <si>
    <t>Validation twice: Pydantic v2 schemas at the API boundary and matching Zod schemas on the client, generated from the same OpenAPI document so they cannot drift. Field-level errors, inline and specific. Never a generic 'invalid input'.</t>
  </si>
  <si>
    <t>Seed and mock data: a deterministic seed script producing a realistic mock database — the full airport and country tables, a sample fleet with documents, several operators each with multiple billing accounts, a vendor directory with coverage, and three trips in different states (enquiry, active, closed). Every screen must be demonstrable without a human typing anything first.</t>
  </si>
  <si>
    <t>Interface quality: aviation-grade means dense but calm — monospace for identifiers and teletype messages, tabular figures for times and distances, no decorative animation, status conveyed by colour AND text (never colour alone), instant optimistic feedback, and destructive actions behind an explicit confirm naming what will be affected.</t>
  </si>
  <si>
    <t>Testing: pytest with coverage gates on the domain layer, Playwright for the critical end-to-end paths (enquiry to trip, permit filing, document verification), visual regression on the three breakpoints, and Lighthouse thresholds enforced in CI for performance, accessibility and PWA installability.</t>
  </si>
  <si>
    <t>GROUND HANDLER / AGENT COVERAGE BY STATION — imported from UAA_Coordinator_v5JTL</t>
  </si>
  <si>
    <t>One row per station and handler with the primary contact. 'other_contacts' counts additional named contacts held in the source file for the same station and handler.</t>
  </si>
  <si>
    <t>handler</t>
  </si>
  <si>
    <t>icao</t>
  </si>
  <si>
    <t>other_contacts</t>
  </si>
  <si>
    <t>GAS</t>
  </si>
  <si>
    <t>Smail Yahia</t>
  </si>
  <si>
    <t>algeria@gasaviation.com</t>
  </si>
  <si>
    <t>+213 770 63 27 09</t>
  </si>
  <si>
    <t>Swissport</t>
  </si>
  <si>
    <t>Guemmar Yacine</t>
  </si>
  <si>
    <t>ALG.SEA@swissportexecutive.com</t>
  </si>
  <si>
    <t>DAOO</t>
  </si>
  <si>
    <t>Tarik</t>
  </si>
  <si>
    <t>Thomas Laourou</t>
  </si>
  <si>
    <t>laourouthomas@gmail.com</t>
  </si>
  <si>
    <t>AFSB</t>
  </si>
  <si>
    <t>Jean Claude</t>
  </si>
  <si>
    <t>claudebelembaogo2@gmail.com</t>
  </si>
  <si>
    <t>+226 71 68 75 99</t>
  </si>
  <si>
    <t>Av Flt Support</t>
  </si>
  <si>
    <t>Mariam Zabda</t>
  </si>
  <si>
    <t>z.mariam@aviationflightsupport.net</t>
  </si>
  <si>
    <t>+226-71-001-221</t>
  </si>
  <si>
    <t>Aerogem</t>
  </si>
  <si>
    <t>Margaret Agblevor</t>
  </si>
  <si>
    <t>ops@aerogemaviation.com</t>
  </si>
  <si>
    <t>+233-543334430</t>
  </si>
  <si>
    <t>Aviance</t>
  </si>
  <si>
    <t>Eric</t>
  </si>
  <si>
    <t>odm@avianceghana.com</t>
  </si>
  <si>
    <t>Aviance Ghana</t>
  </si>
  <si>
    <t>Emma Ellis Godfred Foli &amp; Bernard Quartey</t>
  </si>
  <si>
    <t>Ahmed B Adam</t>
  </si>
  <si>
    <t>adam@gasaviation.com</t>
  </si>
  <si>
    <t>+233 59 147 1084</t>
  </si>
  <si>
    <t>DGSI</t>
  </si>
  <si>
    <t>Military Officer</t>
  </si>
  <si>
    <t>DGTK</t>
  </si>
  <si>
    <t>Nana Kwasi Nyarko</t>
  </si>
  <si>
    <t>ghana@gasaviation.com</t>
  </si>
  <si>
    <t>Cote D'Ivoire</t>
  </si>
  <si>
    <t>Aminata Kone</t>
  </si>
  <si>
    <t>akone@nas.aero</t>
  </si>
  <si>
    <t>+225 05 44 066 060</t>
  </si>
  <si>
    <t>225 05 44 066 060</t>
  </si>
  <si>
    <t>ExecuJet</t>
  </si>
  <si>
    <t>Felix Ukueberuwa</t>
  </si>
  <si>
    <t>felixsalt77@gmail.com</t>
  </si>
  <si>
    <t>+234 7060404499</t>
  </si>
  <si>
    <t>Landover</t>
  </si>
  <si>
    <t>Solomon Zamani</t>
  </si>
  <si>
    <t>aviation@landover.aero</t>
  </si>
  <si>
    <t>+23470 3822 5499</t>
  </si>
  <si>
    <t>Execujet</t>
  </si>
  <si>
    <t>DNAK</t>
  </si>
  <si>
    <t>Thompson Adejumo</t>
  </si>
  <si>
    <t>Thompson.Adejumo@execujet.com.ng</t>
  </si>
  <si>
    <t>+234 704 608 4450</t>
  </si>
  <si>
    <t>DNBE</t>
  </si>
  <si>
    <t>DNIB</t>
  </si>
  <si>
    <t>DNKA</t>
  </si>
  <si>
    <t>DNKN</t>
  </si>
  <si>
    <t>DNMA</t>
  </si>
  <si>
    <t>ExecuJet Nigeria</t>
  </si>
  <si>
    <t>Fidelia Agbaegbu</t>
  </si>
  <si>
    <t>fbo.dnmm@execujet.com.ng</t>
  </si>
  <si>
    <t>+234 7046084450</t>
  </si>
  <si>
    <t>DNPO</t>
  </si>
  <si>
    <t>Niger Rep</t>
  </si>
  <si>
    <t>Abdou Rekia</t>
  </si>
  <si>
    <t>abdou.rekia@nshandling.com</t>
  </si>
  <si>
    <t>+227 97 52 34 88</t>
  </si>
  <si>
    <t>DRZA</t>
  </si>
  <si>
    <t>DRZR</t>
  </si>
  <si>
    <t>Service Air Tunisia</t>
  </si>
  <si>
    <t>DTMB</t>
  </si>
  <si>
    <t>Karim Ben Abdellatif</t>
  </si>
  <si>
    <t>sat-mir@gnet.tn</t>
  </si>
  <si>
    <t>+216 22 336 179</t>
  </si>
  <si>
    <t>DTNH</t>
  </si>
  <si>
    <t>Chedly Khefifi</t>
  </si>
  <si>
    <t>sat.tun@gnet.tn</t>
  </si>
  <si>
    <t>+216 21 000 900</t>
  </si>
  <si>
    <t>Noureddine Nagga</t>
  </si>
  <si>
    <t>sat-dje@gnet.tn</t>
  </si>
  <si>
    <t>+216 22 336 180</t>
  </si>
  <si>
    <t>Yves Wembou</t>
  </si>
  <si>
    <t>preciousnots@gmail.com</t>
  </si>
  <si>
    <t>+268 7692 7667</t>
  </si>
  <si>
    <t>Luthando Mqingwane</t>
  </si>
  <si>
    <t>fact.africa@execujet.com</t>
  </si>
  <si>
    <t>+27 82 902 3719</t>
  </si>
  <si>
    <t>Execujet South Africa</t>
  </si>
  <si>
    <t>Ridha Ryan</t>
  </si>
  <si>
    <t>fbo.fact.africa@execujet.com</t>
  </si>
  <si>
    <t>Signature Aviation</t>
  </si>
  <si>
    <t>Peter De Wee</t>
  </si>
  <si>
    <t>cpt@signatureflight.co.za</t>
  </si>
  <si>
    <t>+2778 352 6537</t>
  </si>
  <si>
    <t>FAKN</t>
  </si>
  <si>
    <t>Khulile Mudau</t>
  </si>
  <si>
    <t>khulile.mudau@execujet.com</t>
  </si>
  <si>
    <t>+27 821 3194</t>
  </si>
  <si>
    <t>Wilson Thabetha</t>
  </si>
  <si>
    <t>wilson.thabetha@execujet.com</t>
  </si>
  <si>
    <t>Elizann Swanepoel</t>
  </si>
  <si>
    <t>fbo.fala.africa@execujet.com</t>
  </si>
  <si>
    <t>+27 833 269 395</t>
  </si>
  <si>
    <t>Fireblade</t>
  </si>
  <si>
    <t>Alexander Gerhardt &amp; George Van Greunen</t>
  </si>
  <si>
    <t>fbo.ops@firebladeaviation.com</t>
  </si>
  <si>
    <t>Karabo Makgokolo</t>
  </si>
  <si>
    <t>fbo.ops@Firebladeaviation.com</t>
  </si>
  <si>
    <t>+27 10 595 3922</t>
  </si>
  <si>
    <t>FAPE</t>
  </si>
  <si>
    <t>Asenathi Soetland</t>
  </si>
  <si>
    <t>ASoetland@colossalaviapartner.co.za</t>
  </si>
  <si>
    <t>FBFT</t>
  </si>
  <si>
    <t>Uneni Mogoma</t>
  </si>
  <si>
    <t>info@agh.co.bw</t>
  </si>
  <si>
    <t>+267 7517 9401</t>
  </si>
  <si>
    <t>Kabo Bagopi</t>
  </si>
  <si>
    <t>botswana@gasaviation.com</t>
  </si>
  <si>
    <t>FBSP</t>
  </si>
  <si>
    <t>Congo Rep</t>
  </si>
  <si>
    <t>Herman NGOYO</t>
  </si>
  <si>
    <t>hermannngoyo1@gmail.com</t>
  </si>
  <si>
    <t>+242 06 511 71 41</t>
  </si>
  <si>
    <t>Herman</t>
  </si>
  <si>
    <t>republicofcongo@gasaviation.com</t>
  </si>
  <si>
    <t>+242 06 951 0807</t>
  </si>
  <si>
    <t>FCOD</t>
  </si>
  <si>
    <t>FDMS</t>
  </si>
  <si>
    <t>Nothando Precious Ncongwane</t>
  </si>
  <si>
    <t>Central Africa</t>
  </si>
  <si>
    <t>KOUALET MBOYO Urbain</t>
  </si>
  <si>
    <t>u_fabrice@yahoo.fr</t>
  </si>
  <si>
    <t>+236 72 11 85 24</t>
  </si>
  <si>
    <t>JET Prime</t>
  </si>
  <si>
    <t>Reetish Ackloo &amp; Sitam Bulloo</t>
  </si>
  <si>
    <t>rackloo@jetprime.mu</t>
  </si>
  <si>
    <t>+230 59408132</t>
  </si>
  <si>
    <t>Fanga Ermann</t>
  </si>
  <si>
    <t>cameroonhandling@yahoo.fr</t>
  </si>
  <si>
    <t>+237 694 28 92 86</t>
  </si>
  <si>
    <t>FKKL</t>
  </si>
  <si>
    <t>FKYS</t>
  </si>
  <si>
    <t>Eric Chifundo Banda</t>
  </si>
  <si>
    <t>er02ch@gmail.com</t>
  </si>
  <si>
    <t>+260 97 7576276</t>
  </si>
  <si>
    <t>NAC2000</t>
  </si>
  <si>
    <t>Dennis Makuya</t>
  </si>
  <si>
    <t>operations@nac2000.com.zm</t>
  </si>
  <si>
    <t>+260 973 230 605</t>
  </si>
  <si>
    <t>FLKS</t>
  </si>
  <si>
    <t>FLMF</t>
  </si>
  <si>
    <t>FLSK</t>
  </si>
  <si>
    <t>Bradley Mwape</t>
  </si>
  <si>
    <t>zambia@gasaviation.com</t>
  </si>
  <si>
    <t>+260 967838067</t>
  </si>
  <si>
    <t>Comoros Islands</t>
  </si>
  <si>
    <t>Hussein Qubah</t>
  </si>
  <si>
    <t>hqubah@gasaviation.com</t>
  </si>
  <si>
    <t>+255 743 775 439</t>
  </si>
  <si>
    <t>Mayotte Islands</t>
  </si>
  <si>
    <t>Reunion Islands</t>
  </si>
  <si>
    <t>Solofo Ralamboarisoa</t>
  </si>
  <si>
    <t>occ@madajet.aero</t>
  </si>
  <si>
    <t>Madajet</t>
  </si>
  <si>
    <t>Dova</t>
  </si>
  <si>
    <t>FMMN</t>
  </si>
  <si>
    <t>madagascar@gasaviation.com</t>
  </si>
  <si>
    <t>+261 34 05 039 41</t>
  </si>
  <si>
    <t>FMNA</t>
  </si>
  <si>
    <t>FMNM</t>
  </si>
  <si>
    <t>FMNN</t>
  </si>
  <si>
    <t>Rija Randriamasy</t>
  </si>
  <si>
    <t>+261 340 981 400</t>
  </si>
  <si>
    <t>FMSD</t>
  </si>
  <si>
    <t>FMST</t>
  </si>
  <si>
    <t>Best Fly</t>
  </si>
  <si>
    <t>FNCT</t>
  </si>
  <si>
    <t>Marco Santos</t>
  </si>
  <si>
    <t>msantos@bestfly.aero</t>
  </si>
  <si>
    <t>VIPAERO</t>
  </si>
  <si>
    <t>FNHU</t>
  </si>
  <si>
    <t>Vergete Sawily Kalembe</t>
  </si>
  <si>
    <t>Vkalembe22@gmail.com</t>
  </si>
  <si>
    <t>+244 923564450</t>
  </si>
  <si>
    <t>Bestfly Flight Support</t>
  </si>
  <si>
    <t>Inocencio Canhanga</t>
  </si>
  <si>
    <t>ops@bestfly.aero</t>
  </si>
  <si>
    <t>Tomas Silva</t>
  </si>
  <si>
    <t>ops@ops-vipaero.com</t>
  </si>
  <si>
    <t>FNSO</t>
  </si>
  <si>
    <t>FNUB</t>
  </si>
  <si>
    <t>Maganga Kassa</t>
  </si>
  <si>
    <t>gabon@gasaviation.com</t>
  </si>
  <si>
    <t>+241 0758 4670</t>
  </si>
  <si>
    <t>FOON</t>
  </si>
  <si>
    <t>Sao Tome and Principe</t>
  </si>
  <si>
    <t>FPPR</t>
  </si>
  <si>
    <t>Helcio Viegas</t>
  </si>
  <si>
    <t>hviegas78@gmail.com</t>
  </si>
  <si>
    <t>239 990 3282</t>
  </si>
  <si>
    <t>Lucia Kupela</t>
  </si>
  <si>
    <t>mozambique@gasaviation.com</t>
  </si>
  <si>
    <t>+258 85 52 46 165</t>
  </si>
  <si>
    <t>FQNC</t>
  </si>
  <si>
    <t>FQNP</t>
  </si>
  <si>
    <t>FQPB</t>
  </si>
  <si>
    <t>FQVL</t>
  </si>
  <si>
    <t>Air Seychelles</t>
  </si>
  <si>
    <t>Courtney Jackson</t>
  </si>
  <si>
    <t>fbo@airseychelles.com</t>
  </si>
  <si>
    <t>+248 2649172</t>
  </si>
  <si>
    <t>Chad Rep</t>
  </si>
  <si>
    <t>FTTC</t>
  </si>
  <si>
    <t>Youssouf Alkhali</t>
  </si>
  <si>
    <t>alkhaliservice@gmail.com</t>
  </si>
  <si>
    <t>+235 66454586</t>
  </si>
  <si>
    <t>Zim Aviation</t>
  </si>
  <si>
    <t>FVBU</t>
  </si>
  <si>
    <t>Donald M. Sibindi</t>
  </si>
  <si>
    <t>dmsibindi@icloud.com</t>
  </si>
  <si>
    <t>+263 78 211 1111</t>
  </si>
  <si>
    <t>FVCZ</t>
  </si>
  <si>
    <t>Stanley Mbughi</t>
  </si>
  <si>
    <t>smbughie@gmail.com</t>
  </si>
  <si>
    <t>+265 884 74 68 01</t>
  </si>
  <si>
    <t>FWKA</t>
  </si>
  <si>
    <t>FWUU</t>
  </si>
  <si>
    <t>Wings Over Africa</t>
  </si>
  <si>
    <t>FYOA</t>
  </si>
  <si>
    <t>Tania E. Beukes</t>
  </si>
  <si>
    <t>taniab984@gmail.com</t>
  </si>
  <si>
    <t>+264 81 358 5264</t>
  </si>
  <si>
    <t>FYWB</t>
  </si>
  <si>
    <t>Henrich Schoemans Hauwanga</t>
  </si>
  <si>
    <t>namibia@gasaviation.com</t>
  </si>
  <si>
    <t>+264 81 222 2707</t>
  </si>
  <si>
    <t>Congo D. R</t>
  </si>
  <si>
    <t>Vircain Galis</t>
  </si>
  <si>
    <t>vircainbhas@gmail.com</t>
  </si>
  <si>
    <t>+243 825 290 912</t>
  </si>
  <si>
    <t>FZFD</t>
  </si>
  <si>
    <t>FZNA</t>
  </si>
  <si>
    <t>FZQA</t>
  </si>
  <si>
    <t>FZWA</t>
  </si>
  <si>
    <t>Moctar Thiam</t>
  </si>
  <si>
    <t>ops@westafricaviation.com</t>
  </si>
  <si>
    <t>+223 76 62 28 28</t>
  </si>
  <si>
    <t>GAGO</t>
  </si>
  <si>
    <t>GAMB</t>
  </si>
  <si>
    <t>Omar B. Ceesay</t>
  </si>
  <si>
    <t>gambia@gasaviation.com</t>
  </si>
  <si>
    <t>+220 705 6044</t>
  </si>
  <si>
    <t>Franklyn Samuel Atarrah</t>
  </si>
  <si>
    <t>sierraleone@gasaviation.com</t>
  </si>
  <si>
    <t>+232 76 489 060</t>
  </si>
  <si>
    <t>Guinea Bissau</t>
  </si>
  <si>
    <t>Umaro Demba Balde</t>
  </si>
  <si>
    <t>guinea@gasaviation.com</t>
  </si>
  <si>
    <t>+245 955 928 588</t>
  </si>
  <si>
    <t>Eggbert Franklyn Hamilton</t>
  </si>
  <si>
    <t>eggberthamilton@yahoo.com</t>
  </si>
  <si>
    <t>+231 88 070 2117</t>
  </si>
  <si>
    <t>Abdellah Maaroufi</t>
  </si>
  <si>
    <t>Abdellah.Maaroufi@swissportexecutive.com</t>
  </si>
  <si>
    <t>+212 625 572 014</t>
  </si>
  <si>
    <t>GMFF</t>
  </si>
  <si>
    <t>Mouhieddine</t>
  </si>
  <si>
    <t>MA.OCC-SEA@swissportexecutive.com</t>
  </si>
  <si>
    <t>+212 610 452 304</t>
  </si>
  <si>
    <t>GMFK</t>
  </si>
  <si>
    <t>Frederic Perez</t>
  </si>
  <si>
    <t>frederic.perez@swissportexecutive.com</t>
  </si>
  <si>
    <t>+212 625 57 2049</t>
  </si>
  <si>
    <t>GMME</t>
  </si>
  <si>
    <t>Mohammed AIT Elbacha</t>
  </si>
  <si>
    <t>mohamed.ait-elbacha@swissportexecutive.com</t>
  </si>
  <si>
    <t>+212 625 57 2051</t>
  </si>
  <si>
    <t>Ahmed Amine El Bacha</t>
  </si>
  <si>
    <t>ahmed-amine.elbacha@swissportexecutive.com</t>
  </si>
  <si>
    <t>Stars Aviation Services</t>
  </si>
  <si>
    <t>Karima</t>
  </si>
  <si>
    <t>starsrak@starsaviationservices.com</t>
  </si>
  <si>
    <t>+212 661 143 469</t>
  </si>
  <si>
    <t>Amine Ezzabour</t>
  </si>
  <si>
    <t>amine.ezzabour@swissportexecutive.com</t>
  </si>
  <si>
    <t>GMMZ</t>
  </si>
  <si>
    <t>Ait Mbark Said</t>
  </si>
  <si>
    <t>Said.Aitmbarek@swissport.com</t>
  </si>
  <si>
    <t>+212 704443937</t>
  </si>
  <si>
    <t>Stars Aviation</t>
  </si>
  <si>
    <t>GMTT</t>
  </si>
  <si>
    <t>Nafea Harraj</t>
  </si>
  <si>
    <t>starstng@starsaviationservices.ma</t>
  </si>
  <si>
    <t>+212 661 801 497</t>
  </si>
  <si>
    <t>Narjice Chokairi</t>
  </si>
  <si>
    <t>narjice.chokairi@swissportexecutive.com</t>
  </si>
  <si>
    <t>+212 660 071 676</t>
  </si>
  <si>
    <t>Francois Antoine Diouf</t>
  </si>
  <si>
    <t>senegal@gasaviation.com</t>
  </si>
  <si>
    <t>+221 77 658 00 37</t>
  </si>
  <si>
    <t>GOGG</t>
  </si>
  <si>
    <t>GOGS</t>
  </si>
  <si>
    <t>Senegal Handling Service</t>
  </si>
  <si>
    <t>Moustapha Diop</t>
  </si>
  <si>
    <t>shs@shs.aero</t>
  </si>
  <si>
    <t>GOSS</t>
  </si>
  <si>
    <t>GOTT</t>
  </si>
  <si>
    <t>Air Service</t>
  </si>
  <si>
    <t>GQNK</t>
  </si>
  <si>
    <t>Cheikh Ahmed</t>
  </si>
  <si>
    <t>airsvh@yahoo.fr</t>
  </si>
  <si>
    <t>Abdoulaye Kouyate</t>
  </si>
  <si>
    <t>abdkouyate@yahoo.fr</t>
  </si>
  <si>
    <t>+224 655 25 04 26</t>
  </si>
  <si>
    <t>Safeport</t>
  </si>
  <si>
    <t>Marlice Centeio</t>
  </si>
  <si>
    <t>safeport.cv@sapo.cv</t>
  </si>
  <si>
    <t>+238 9978914</t>
  </si>
  <si>
    <t>GVNP</t>
  </si>
  <si>
    <t>Kevyn Ramos</t>
  </si>
  <si>
    <t>SAFEPORT.GVNP@SAPO.CV</t>
  </si>
  <si>
    <t>Omni Handling</t>
  </si>
  <si>
    <t>GVSV</t>
  </si>
  <si>
    <t>Jean Marie De Faria</t>
  </si>
  <si>
    <t>caboverde@omnihandling.com</t>
  </si>
  <si>
    <t>+238 954 46 62</t>
  </si>
  <si>
    <t>Tigist Aberra</t>
  </si>
  <si>
    <t>operations@ytavia.com</t>
  </si>
  <si>
    <t>+251 91 179 6399</t>
  </si>
  <si>
    <t>HAAM</t>
  </si>
  <si>
    <t>HABD</t>
  </si>
  <si>
    <t>HALL</t>
  </si>
  <si>
    <t>HAMK</t>
  </si>
  <si>
    <t>John Rutakamize</t>
  </si>
  <si>
    <t>johnrutakamize@gmail.com</t>
  </si>
  <si>
    <t>+257 79 25 34 95</t>
  </si>
  <si>
    <t>Hussien Qubah</t>
  </si>
  <si>
    <t>HCMK</t>
  </si>
  <si>
    <t>Daud Adawe</t>
  </si>
  <si>
    <t>somalia@gasaviation.com</t>
  </si>
  <si>
    <t>+252 610 111 111</t>
  </si>
  <si>
    <t>Okieh Nour</t>
  </si>
  <si>
    <t>djibouti@gasaviation.com</t>
  </si>
  <si>
    <t>+253 77 82 33 78</t>
  </si>
  <si>
    <t>National Aviation</t>
  </si>
  <si>
    <t>Hossam Mohy</t>
  </si>
  <si>
    <t>operation@nationalaviationeg.com</t>
  </si>
  <si>
    <t>+20100 381 6044</t>
  </si>
  <si>
    <t>Nile Valley</t>
  </si>
  <si>
    <t>Mohamed Adel</t>
  </si>
  <si>
    <t>ops@niva.aero</t>
  </si>
  <si>
    <t>Tiger Aviation</t>
  </si>
  <si>
    <t>Mohamed Elsayed</t>
  </si>
  <si>
    <t>hbe@tigeraviation.aero</t>
  </si>
  <si>
    <t>+20 1002 2229 67</t>
  </si>
  <si>
    <t>Mahmoud Shoukry</t>
  </si>
  <si>
    <t>HEAT</t>
  </si>
  <si>
    <t>Mahmoud Fouad</t>
  </si>
  <si>
    <t>HEAX</t>
  </si>
  <si>
    <t>HEBA</t>
  </si>
  <si>
    <t>HEBL</t>
  </si>
  <si>
    <t>Egypt Jet Aviation</t>
  </si>
  <si>
    <t>Ahmed Hamdy</t>
  </si>
  <si>
    <t>ops@eja.com.eg</t>
  </si>
  <si>
    <t>+2 0100 6484 989</t>
  </si>
  <si>
    <t>Hossam Mohamed</t>
  </si>
  <si>
    <t>+20122 787 9784</t>
  </si>
  <si>
    <t>Mahmoud Essam</t>
  </si>
  <si>
    <t>Sameh Tolba</t>
  </si>
  <si>
    <t>cairo@tigeraviation.aero</t>
  </si>
  <si>
    <t>+2 0122 39 50 491</t>
  </si>
  <si>
    <t>Ahmed Amin</t>
  </si>
  <si>
    <t>executive.flights@zasair.com</t>
  </si>
  <si>
    <t>HECP</t>
  </si>
  <si>
    <t>HEGN</t>
  </si>
  <si>
    <t>Mohamed Fouad</t>
  </si>
  <si>
    <t>HEGO</t>
  </si>
  <si>
    <t>Hisham Seddik</t>
  </si>
  <si>
    <t>hurghada@tigeraviation.aero</t>
  </si>
  <si>
    <t>HELX</t>
  </si>
  <si>
    <t>Emad Salah</t>
  </si>
  <si>
    <t>lxr.manager@zasair.com</t>
  </si>
  <si>
    <t>HEMA</t>
  </si>
  <si>
    <t>HEMM</t>
  </si>
  <si>
    <t>HEPS</t>
  </si>
  <si>
    <t>HESG</t>
  </si>
  <si>
    <t>HESH</t>
  </si>
  <si>
    <t>Ahmed El-Gendy</t>
  </si>
  <si>
    <t>ssh@zasair.com</t>
  </si>
  <si>
    <t>HESN</t>
  </si>
  <si>
    <t>Khaled Al-Khateeb</t>
  </si>
  <si>
    <t>asw@zasair.com</t>
  </si>
  <si>
    <t>HESX</t>
  </si>
  <si>
    <t>Mohammed Fouad</t>
  </si>
  <si>
    <t>Mohammed Daleel</t>
  </si>
  <si>
    <t>eritrea@gasaviation.com</t>
  </si>
  <si>
    <t>+291 7455008</t>
  </si>
  <si>
    <t>HHMS</t>
  </si>
  <si>
    <t>asm.station@tarcoaviation.com</t>
  </si>
  <si>
    <t>HHSB</t>
  </si>
  <si>
    <t>AGSC</t>
  </si>
  <si>
    <t>HKIS</t>
  </si>
  <si>
    <t>Maurice Adipo</t>
  </si>
  <si>
    <t>madipo@agsc-africa.com</t>
  </si>
  <si>
    <t>AGSC Africa</t>
  </si>
  <si>
    <t>John Macharia</t>
  </si>
  <si>
    <t>john.m@agsc-africa.com</t>
  </si>
  <si>
    <t>+254 770 220578</t>
  </si>
  <si>
    <t>Mike Nkwande</t>
  </si>
  <si>
    <t>kenya@gasaviation.com</t>
  </si>
  <si>
    <t>+254 785 887 766</t>
  </si>
  <si>
    <t>Trade Winds</t>
  </si>
  <si>
    <t>Collins</t>
  </si>
  <si>
    <t>operations@tradewindskenya.com</t>
  </si>
  <si>
    <t>HKKI</t>
  </si>
  <si>
    <t>Tradewinds</t>
  </si>
  <si>
    <t>Peter Amukoa</t>
  </si>
  <si>
    <t>mbaops@tradewindskenya.com</t>
  </si>
  <si>
    <t>HKNL</t>
  </si>
  <si>
    <t>HKNW</t>
  </si>
  <si>
    <t>Sam Manzi</t>
  </si>
  <si>
    <t>rwanda@gasaviation.com</t>
  </si>
  <si>
    <t>+250 789 491 820</t>
  </si>
  <si>
    <t>HSSJ</t>
  </si>
  <si>
    <t>Ceasar Gubang Michaya</t>
  </si>
  <si>
    <t>ontimeaviationservices@gmail.com</t>
  </si>
  <si>
    <t>+211 911 622 802</t>
  </si>
  <si>
    <t>Fatah Hadi</t>
  </si>
  <si>
    <t>ops24@gasaviation.com</t>
  </si>
  <si>
    <t>+249 91 236 9548</t>
  </si>
  <si>
    <t>VIA Aviation</t>
  </si>
  <si>
    <t>Patian Abdul Ally</t>
  </si>
  <si>
    <t>dar@viaaviation.com</t>
  </si>
  <si>
    <t>+255 745 333 666</t>
  </si>
  <si>
    <t>Pauline Kimollo</t>
  </si>
  <si>
    <t>kilimanjaro@viaaviation.com</t>
  </si>
  <si>
    <t>+255 745 333 222</t>
  </si>
  <si>
    <t>VIA</t>
  </si>
  <si>
    <t>HTMW</t>
  </si>
  <si>
    <t>Collen Muguyo</t>
  </si>
  <si>
    <t>mwanza@viaaviation.com</t>
  </si>
  <si>
    <t>+255 745 333 444</t>
  </si>
  <si>
    <t>Ironi Tom</t>
  </si>
  <si>
    <t>ironi@dashandling.com</t>
  </si>
  <si>
    <t>HUGU</t>
  </si>
  <si>
    <t>QAS</t>
  </si>
  <si>
    <t>Mark Kaufman</t>
  </si>
  <si>
    <t>pvt-uaa@qasisrael.co.il</t>
  </si>
  <si>
    <t>Blue Aviation</t>
  </si>
  <si>
    <t>Hajer Al-Qaed</t>
  </si>
  <si>
    <t>Hajer@blue-aviation.com</t>
  </si>
  <si>
    <t>+973 38000224</t>
  </si>
  <si>
    <t>Jet Aviation</t>
  </si>
  <si>
    <t>OEAO</t>
  </si>
  <si>
    <t>Naser Kurdi</t>
  </si>
  <si>
    <t>jedfbo@jetaviation.com</t>
  </si>
  <si>
    <t>Saudi Private Aviation</t>
  </si>
  <si>
    <t>Majed Alqhtani</t>
  </si>
  <si>
    <t>majalqhtani@spa.sa</t>
  </si>
  <si>
    <t>+966 532529836</t>
  </si>
  <si>
    <t>OEDF</t>
  </si>
  <si>
    <t>jdmm@jetaviation.com.sa</t>
  </si>
  <si>
    <t>+966 53 906 7032</t>
  </si>
  <si>
    <t>Rasheed Alsomali</t>
  </si>
  <si>
    <t>+966 505146276</t>
  </si>
  <si>
    <t>Universal Aviation</t>
  </si>
  <si>
    <t>Mohammed Albehery</t>
  </si>
  <si>
    <t>malbehery@univ-wea.com</t>
  </si>
  <si>
    <t>OEMA</t>
  </si>
  <si>
    <t>Masood Khan</t>
  </si>
  <si>
    <t>medfbo@jetaviation.com</t>
  </si>
  <si>
    <t>+966 500 169 446</t>
  </si>
  <si>
    <t>Abdulmajeed Mustafa</t>
  </si>
  <si>
    <t>ruhfbo@jetaviation.com</t>
  </si>
  <si>
    <t>+966 53 040 5336</t>
  </si>
  <si>
    <t>Hayel A. Altashkandi</t>
  </si>
  <si>
    <t>haltashkandi@univ-wea.com</t>
  </si>
  <si>
    <t>+966 57 357 9945</t>
  </si>
  <si>
    <t>Arab Wings</t>
  </si>
  <si>
    <t>Anas Shomaf</t>
  </si>
  <si>
    <t>handling@arabwings.com.jo</t>
  </si>
  <si>
    <t>+962 797 54 53 04</t>
  </si>
  <si>
    <t>Ashraf Jaser</t>
  </si>
  <si>
    <t>Enrico Bautista</t>
  </si>
  <si>
    <t>ops@blue-aviation.com</t>
  </si>
  <si>
    <t>+965 98063013</t>
  </si>
  <si>
    <t>UAE</t>
  </si>
  <si>
    <t>Royal Jet</t>
  </si>
  <si>
    <t>Niraj Thapa</t>
  </si>
  <si>
    <t>fboauh@royaljetgroup.com</t>
  </si>
  <si>
    <t>Jetex</t>
  </si>
  <si>
    <t>Mahesh Kumar</t>
  </si>
  <si>
    <t>fbo-azi@jetex.com</t>
  </si>
  <si>
    <t>+971 56 804 7233</t>
  </si>
  <si>
    <t>Arsalan Salam</t>
  </si>
  <si>
    <t>Mohan Kathet</t>
  </si>
  <si>
    <t>mohan.kathet@execujet-me.com</t>
  </si>
  <si>
    <t>+971 56 418 7275</t>
  </si>
  <si>
    <t>Execujet Middle East</t>
  </si>
  <si>
    <t>Shakeer Hassan</t>
  </si>
  <si>
    <t>fbo.omdb@execujet-me.com</t>
  </si>
  <si>
    <t>+971 56 418 5636</t>
  </si>
  <si>
    <t>Thoufeeque</t>
  </si>
  <si>
    <t>dxbfbo@jetaviation.com</t>
  </si>
  <si>
    <t>OMDW</t>
  </si>
  <si>
    <t>Savio Dsouza</t>
  </si>
  <si>
    <t>Tristan Bautista</t>
  </si>
  <si>
    <t>Tristan.Bautista@execujet-me.com</t>
  </si>
  <si>
    <t>Ibrahim Al Balushi</t>
  </si>
  <si>
    <t>missionplanning@jetex.com</t>
  </si>
  <si>
    <t>+968 9130 0323</t>
  </si>
  <si>
    <t>OOSA</t>
  </si>
  <si>
    <t>Balaqis Labkheet Alamri</t>
  </si>
  <si>
    <t>fbo-sll@jetex.com</t>
  </si>
  <si>
    <t>+968 7159 6161</t>
  </si>
  <si>
    <t>Princely Jets</t>
  </si>
  <si>
    <t>OPRN</t>
  </si>
  <si>
    <t>Noman Amir</t>
  </si>
  <si>
    <t>ops@princelyjets.com</t>
  </si>
  <si>
    <t>Jet Business Solutions</t>
  </si>
  <si>
    <t>ORER</t>
  </si>
  <si>
    <t>Elie Freijy</t>
  </si>
  <si>
    <t>ops@jbs.aero</t>
  </si>
  <si>
    <t>+964 750 386 2363</t>
  </si>
  <si>
    <t>Maria Cristina Regencia</t>
  </si>
  <si>
    <t>Maria@blue-aviation.com</t>
  </si>
  <si>
    <t>+974 5137-0222</t>
  </si>
  <si>
    <t>Bazara Corporation</t>
  </si>
  <si>
    <t>Wasfi Bazara</t>
  </si>
  <si>
    <t>BAZGRP@GMAIL.COM</t>
  </si>
  <si>
    <t>+967 711 730 800</t>
  </si>
  <si>
    <t>Continuum</t>
  </si>
  <si>
    <t>Mohammad Mubin Shaikh</t>
  </si>
  <si>
    <t>mubin.shaikh@continuum-aviation.com</t>
  </si>
  <si>
    <t>+91-9773005944</t>
  </si>
  <si>
    <t>Kalpesh Talekar</t>
  </si>
  <si>
    <t>Kalpesh.talekar@continuum-aviation.com</t>
  </si>
  <si>
    <t>+91 9819749740</t>
  </si>
  <si>
    <t>VEGY</t>
  </si>
  <si>
    <t>VIJO</t>
  </si>
  <si>
    <t>Sachin Kumar</t>
  </si>
  <si>
    <t>sachin.kumar@continuum-aviation.com</t>
  </si>
  <si>
    <t>+91 9650033359</t>
  </si>
  <si>
    <t>VOCI</t>
  </si>
  <si>
    <t>VRMM</t>
  </si>
  <si>
    <t>Mohamed Agleem</t>
  </si>
  <si>
    <t>mohamed.agleem@aviationzc.com</t>
  </si>
  <si>
    <t>+960 776667</t>
  </si>
  <si>
    <t>Mjets Limited</t>
  </si>
  <si>
    <t>Miss Jah</t>
  </si>
  <si>
    <t>ground@mjets.com</t>
  </si>
  <si>
    <t>+66 85 485 6623</t>
  </si>
  <si>
    <t>STATION CONTACT</t>
  </si>
  <si>
    <t>STATION EMAIL</t>
  </si>
  <si>
    <t>4 · TEAMS / SENDING DESKS   (imported from UAA_Coordinator_v5JTL)</t>
  </si>
  <si>
    <t>team</t>
  </si>
  <si>
    <t>rmp_email</t>
  </si>
  <si>
    <t>team_email</t>
  </si>
  <si>
    <t>common_email</t>
  </si>
  <si>
    <t>Bravo</t>
  </si>
  <si>
    <t>bravoteam@univ-wea.com</t>
  </si>
  <si>
    <t>bravoteam@common.univ-wea.com</t>
  </si>
  <si>
    <t>Cavok</t>
  </si>
  <si>
    <t>cavok@univ-wea.com</t>
  </si>
  <si>
    <t>cavok@common.univ-wea.com</t>
  </si>
  <si>
    <t>cmblue@univ-wea.com</t>
  </si>
  <si>
    <t>cmblue@common.univ-wea.com</t>
  </si>
  <si>
    <t>CMO</t>
  </si>
  <si>
    <t>cmorange@univ-wea.com</t>
  </si>
  <si>
    <t>cmorange@common.univ-wea.com</t>
  </si>
  <si>
    <t>Echo</t>
  </si>
  <si>
    <t>echo@univ-wea.com</t>
  </si>
  <si>
    <t>echo@common.univ-wea.com</t>
  </si>
  <si>
    <t>EJM</t>
  </si>
  <si>
    <t>ejm@univ-wea.com</t>
  </si>
  <si>
    <t>ejm@common.univ-wea.com</t>
  </si>
  <si>
    <t>EOC</t>
  </si>
  <si>
    <t>eoc@univ-wea.com</t>
  </si>
  <si>
    <t>eoc@common.univ-wea.com</t>
  </si>
  <si>
    <t>Foxtrot</t>
  </si>
  <si>
    <t>foxtrotteam@univ-wea.com</t>
  </si>
  <si>
    <t>foxtrotteam@common.univ-wea.com</t>
  </si>
  <si>
    <t>JET EDGE</t>
  </si>
  <si>
    <t>jetedge@univ-wea.com</t>
  </si>
  <si>
    <t>jetedge@common.univ-wea.com</t>
  </si>
  <si>
    <t>LRG</t>
  </si>
  <si>
    <t>tssbigjets@univ-wea.com</t>
  </si>
  <si>
    <t>tssbigjets@common.univ-wea.com</t>
  </si>
  <si>
    <t>Solairus</t>
  </si>
  <si>
    <t>solairusuv@univ-wea.com</t>
  </si>
  <si>
    <t>solairusuv@common.univ-wea.com</t>
  </si>
  <si>
    <t>Tango</t>
  </si>
  <si>
    <t>tangoteam@univ-wea.com</t>
  </si>
  <si>
    <t>tangoteam@common.univ-wea.com</t>
  </si>
  <si>
    <t>TEU</t>
  </si>
  <si>
    <t>teameurope@univ-wea.com</t>
  </si>
  <si>
    <t>teameurope@common.univ-wea.com</t>
  </si>
  <si>
    <t>TSS Asia</t>
  </si>
  <si>
    <t>tssasia@univ-wea.com</t>
  </si>
  <si>
    <t>tssasia@common.univ-wea.com</t>
  </si>
  <si>
    <t>Victor</t>
  </si>
  <si>
    <t>victorteam@univ-wea.com</t>
  </si>
  <si>
    <t>victorteam@common.univ-wea.com</t>
  </si>
  <si>
    <t>X-RAY</t>
  </si>
  <si>
    <t>xrayteam@univ-wea.com</t>
  </si>
  <si>
    <t>xrayteam@common.univ-wea.com</t>
  </si>
  <si>
    <t>Zulu</t>
  </si>
  <si>
    <t>zuluteam@univ-wea.com</t>
  </si>
  <si>
    <t>zuluteam@common.univ-wea.com</t>
  </si>
  <si>
    <t>CLY</t>
  </si>
  <si>
    <t>uvclaylacy@univ-wea.com</t>
  </si>
  <si>
    <t>uvclaylacy@common.univ-wea.com</t>
  </si>
  <si>
    <t>ORION</t>
  </si>
  <si>
    <t>orionteam@univ-wea.com</t>
  </si>
  <si>
    <t>orionteam@common.univ-wea.com</t>
  </si>
  <si>
    <t>COUNTRY REQUIREMENTS &amp; STATION INTEL — what each state demands, per request type</t>
  </si>
  <si>
    <t>This is the institutional knowledge that normally lives in people's heads. One row per country (and optionally per station) per request type. Seeded from the INTEL sheet of the uploaded workbook — the rest needs sourcing from the AIP and from your own filing experience.</t>
  </si>
  <si>
    <t>req_id</t>
  </si>
  <si>
    <t>icao_scope</t>
  </si>
  <si>
    <t>request_type</t>
  </si>
  <si>
    <t>forms_required</t>
  </si>
  <si>
    <t>documents_required</t>
  </si>
  <si>
    <t>authority_working_hours</t>
  </si>
  <si>
    <t>accepted_channels</t>
  </si>
  <si>
    <t>fee_structure</t>
  </si>
  <si>
    <t>local_agent_required</t>
  </si>
  <si>
    <t>caa_direct_account_required</t>
  </si>
  <si>
    <t>known_quirks_intel</t>
  </si>
  <si>
    <t>verified_on</t>
  </si>
  <si>
    <t>review_due</t>
  </si>
  <si>
    <t>GROUND HANDLING</t>
  </si>
  <si>
    <t>SECURITY</t>
  </si>
  <si>
    <t>All arrivals require supervisor meet and greet at terminal entrance.</t>
  </si>
  <si>
    <t>UAA INTEL sheet</t>
  </si>
  <si>
    <t>Security clearance must be requested 48h prior. No photography on ramp.</t>
  </si>
  <si>
    <t>AIRCRAFT PERFORMANCE BY ICAO TYPE — drives range checks and technical-stop planning</t>
  </si>
  <si>
    <t>INDICATIVE manufacturer published figures for planning only. They are NOT a substitute for the AFM or an operator's own performance data, and they ignore payload, temperature, altitude and wind. Verify every figure before using it to plan a real sector. verified = NO on every row until an engineer signs it off.</t>
  </si>
  <si>
    <t>RESERVE / SAFETY MARGIN ON RANGE</t>
  </si>
  <si>
    <t>max_range_nm</t>
  </si>
  <si>
    <t>cruise_tas_kts</t>
  </si>
  <si>
    <t>fuel_burn_kg_hr</t>
  </si>
  <si>
    <t>practical_range_nm</t>
  </si>
  <si>
    <t>verified</t>
  </si>
  <si>
    <t>G650 / G650ER</t>
  </si>
  <si>
    <t>Manufacturer published - INDICATIVE</t>
  </si>
  <si>
    <t>Global 6000 / 7500</t>
  </si>
  <si>
    <t>208 / 208B Caravan</t>
  </si>
  <si>
    <t>PC-12 NG / NGX</t>
  </si>
  <si>
    <t>D228</t>
  </si>
  <si>
    <t>Dornier</t>
  </si>
  <si>
    <t>B737</t>
  </si>
  <si>
    <t>737-700</t>
  </si>
  <si>
    <t>A319 / ACJ319</t>
  </si>
  <si>
    <t>ATR 72-500 / 600</t>
  </si>
  <si>
    <t>E290</t>
  </si>
  <si>
    <t>E190-E2</t>
  </si>
  <si>
    <t>RANGE CHECK</t>
  </si>
  <si>
    <t>DATA READINESS — how much of the reference data is actually populated</t>
  </si>
  <si>
    <t>Every figure below is a live formula over the source sheets. The app is only as good as these percentages. Anything under 100% on a BLOCKER row means that part of the product is scaffolding, not function.</t>
  </si>
  <si>
    <t>dataset / field</t>
  </si>
  <si>
    <t>populated</t>
  </si>
  <si>
    <t>total</t>
  </si>
  <si>
    <t>% complete</t>
  </si>
  <si>
    <t>criticality</t>
  </si>
  <si>
    <t>what it blocks</t>
  </si>
  <si>
    <t>Country permit lead times</t>
  </si>
  <si>
    <t>BLOCKER</t>
  </si>
  <si>
    <t>Country ground-handling policy</t>
  </si>
  <si>
    <t>Mandatory vs self-handling decision at every stop.</t>
  </si>
  <si>
    <t>Visa matrix cells answered</t>
  </si>
  <si>
    <t>The whole visa module. Blank fails safe as NOT ON FILE.</t>
  </si>
  <si>
    <t>Country requirements / intel records</t>
  </si>
  <si>
    <t>Request flows: forms, documents, channels, quirks.</t>
  </si>
  <si>
    <t>Operators with a name</t>
  </si>
  <si>
    <t>Aircraft with an operator</t>
  </si>
  <si>
    <t>Every trip. An aircraft must belong to an operator.</t>
  </si>
  <si>
    <t>Aircraft types with performance data</t>
  </si>
  <si>
    <t>Range checks and technical-stop insertion.</t>
  </si>
  <si>
    <t>Performance figures engineer-verified</t>
  </si>
  <si>
    <t>Airports with coordinates</t>
  </si>
  <si>
    <t>OK</t>
  </si>
  <si>
    <t>Routing. Only airports with coordinates can be flown to.</t>
  </si>
  <si>
    <t>Airports flagged airport of entry</t>
  </si>
  <si>
    <t>Choosing a technical stop that can clear customs.</t>
  </si>
  <si>
    <t>Airports with fuel availability</t>
  </si>
  <si>
    <t>Choosing a fuel stop.</t>
  </si>
  <si>
    <t>Airports with operating hours</t>
  </si>
  <si>
    <t>Validating an arrival time is even possible.</t>
  </si>
  <si>
    <t>Handler coverage by station</t>
  </si>
  <si>
    <t>Assigning a handler with a named contact.</t>
  </si>
  <si>
    <t>Vendors with an approved questionnaire</t>
  </si>
  <si>
    <t>Legitimately assignable vendors.</t>
  </si>
  <si>
    <t>Clients with billing details complete</t>
  </si>
  <si>
    <t>Invoicing.</t>
  </si>
  <si>
    <t>Crew/pax with a valid passport record</t>
  </si>
  <si>
    <t>Document blocker on trip confirmation.</t>
  </si>
  <si>
    <t>Fleet documents on file</t>
  </si>
  <si>
    <t>Permit application attachments.</t>
  </si>
  <si>
    <t>Message templates active</t>
  </si>
  <si>
    <t>Outbound requests.</t>
  </si>
  <si>
    <t>Users with a role assigned</t>
  </si>
  <si>
    <t>Access control.</t>
  </si>
  <si>
    <t>permit_flags_verified_on</t>
  </si>
  <si>
    <t>permit_flags_source</t>
  </si>
  <si>
    <t>Country permit flags VERIFIED against a source</t>
  </si>
  <si>
    <t>Whether a permit is raised at all. All 142 are bulk-seeded REQUIRED; none has a verification date or source yet.</t>
  </si>
  <si>
    <t>Blank = not yet determined; the trip sheets show NOT ON FILE and fail safe. Enter one of: NOT REQUIRED, REQUIRED, VISA ON ARRIVAL, eVISA, TRANSIT ONLY, TIWB. Lead time, maximum stay, conditions and airport-specific overrides live on the VISA sheet. This is a CREW AND PASSENGER OPERATIONAL reference — tourist visa policy is not a substitute; verify with the state before filing.</t>
  </si>
  <si>
    <t>## REFERENCE DATA SHIPPED WITH THIS BLUEPRINT — AND WHAT IS STILL MISSING</t>
  </si>
  <si>
    <t>The workbook now carries a DATA READINESS sheet that computes, live, how much of each reference dataset is actually populated. Read it before quoting a delivery date. At the time of writing roughly 45% of tracked reference data is populated and five blocker datasets are incomplete. The importer must surface the same percentages after every load, and the app should refuse to leave pilot until the blockers clear.</t>
  </si>
  <si>
    <t>SHIPPED AND USABLE: 380 airports with coordinates; 245 ground-handler station records covering 204 ICAOs and 59 handlers, each with a named contact, e-mail and phone; 46 ICAO aircraft types with indicative performance; a service catalogue of 17 services and 52 sub-services with the historic mapping defect corrected; 20 sending desks with team mailboxes; 5 message templates; 6 roles and 33 branding/application settings; a 172 x 174 visa matrix structure.</t>
  </si>
  <si>
    <t>STILL MISSING AND BLOCKING: per-state permit lead times (0 of 142); verification of the overflight and landing flags, which are bulk-seeded REQUIRED with no source (0 of 142 verified); operator names (1 of 45); engineer sign-off on the aircraft performance figures (0 of 46). Also thin: airport of entry, fuel availability and operating hours (each 1 of 380), country requirement records (2 of 142), and the visa matrix itself (1 cell answered).</t>
  </si>
  <si>
    <t>## AIRCRAFT PERFORMANCE AND TECHNICAL STOPS</t>
  </si>
  <si>
    <t>Hold per ICAO type: maximum range, cruise TAS, fuel burn, maximum passengers, MTOW, and a derived practical range = maximum range less a configurable reserve and safety margin (default 15%). Every leg is checked against the practical range of the assigned type and flagged EXCEEDS PRACTICAL RANGE - TECHNICAL STOP REQUIRED when it does not fit.</t>
  </si>
  <si>
    <t>CRITICAL SAFETY BOUNDARY. Published manufacturer range and cruise figures ignore payload, temperature, altitude, wind and operator procedure. They are adequate to say 'a C208 cannot cross the Sahara' and inadequate to say 'this specific sector is legal today'. The app must therefore: label every unverified figure clearly in the UI, require an engineer or operations manager to mark a type verified before it can be used for planning, and always present the range check as advisory with a link to the AFM figures. Never let a green tick from this table be mistaken for a performance calculation.</t>
  </si>
  <si>
    <t>The technical-stop suggester filters candidate airports by: within practical range of both the origin and the destination, runway length adequate for the type, fuel of the correct grade available, airport of entry status if customs is needed, operating hours covering the planned arrival, and political acceptability. Each inserted stop then regenerates the permit and service picture for the whole trip.</t>
  </si>
  <si>
    <t>## VISA DATA — A DELIBERATE DESIGN DECISION</t>
  </si>
  <si>
    <t>The matrix is structured for every destination state against every nationality and is deliberately shipped EMPTY rather than pre-filled from a public tourist-visa dataset. Open datasets such as the Passport Index are community-maintained tourist policy; crew visas, operational visas, transit-without-visa and airport-transit rules differ materially, and a wrong 'NOT REQUIRED' in a flight-support system is an operational failure, not a cosmetic one. Blank therefore resolves to NOT ON FILE, which is visible and safe.</t>
  </si>
  <si>
    <t>If you later license an authoritative feed (IATA Timatic is the industry standard), import it into a REFERENCE layer with its own provenance and effective date, and keep the verified layer above it in the precedence chain. Show the user which layer answered. Never overwrite a human-verified rule with a feed value.</t>
  </si>
  <si>
    <t>## GROUND HANDLER COVERAGE</t>
  </si>
  <si>
    <t>Handler coverage is held per station, not only per country: ICAO, handler, primary contact name, e-mail, phone, and a count of additional contacts. Assignment resolves station-first, then falls back to country coverage, then reports NO VENDOR ON FILE. The trip sheet shows which layer answered so an ops user can see whether they are getting the named FBO contact at that airport or a generic country agent.</t>
  </si>
  <si>
    <t>Import the full contact lists rather than one primary per station — the source data holds several named contacts per FBO and ops will want all of them, with a per-contact role (duty manager, ramp, billing) and hours of availability.</t>
  </si>
  <si>
    <t>+213770632721</t>
  </si>
  <si>
    <t>+213770633101</t>
  </si>
  <si>
    <t>+22995450104</t>
  </si>
  <si>
    <t>+233544334077</t>
  </si>
  <si>
    <t>+233552769616</t>
  </si>
  <si>
    <t>+233242247705</t>
  </si>
  <si>
    <t>+27829749946</t>
  </si>
  <si>
    <t>+27105953922</t>
  </si>
  <si>
    <t>+27611037151</t>
  </si>
  <si>
    <t>+26775982250</t>
  </si>
  <si>
    <t>+261324434569</t>
  </si>
  <si>
    <t>+261349526263</t>
  </si>
  <si>
    <t>+244928449450</t>
  </si>
  <si>
    <t>+244931299129</t>
  </si>
  <si>
    <t>+244938791604</t>
  </si>
  <si>
    <t>+212620572078</t>
  </si>
  <si>
    <t>+212660572016</t>
  </si>
  <si>
    <t>+221781533447</t>
  </si>
  <si>
    <t>+22236301900</t>
  </si>
  <si>
    <t>+2389921632</t>
  </si>
  <si>
    <t>+201062913984</t>
  </si>
  <si>
    <t>+201008666812</t>
  </si>
  <si>
    <t>+201555551855</t>
  </si>
  <si>
    <t>+201010003637</t>
  </si>
  <si>
    <t>+201000401800</t>
  </si>
  <si>
    <t>+201008982186</t>
  </si>
  <si>
    <t>+201223190288</t>
  </si>
  <si>
    <t>+201068828370</t>
  </si>
  <si>
    <t>+201068828364</t>
  </si>
  <si>
    <t>+201007911100</t>
  </si>
  <si>
    <t>+25419172556</t>
  </si>
  <si>
    <t>+25722853784</t>
  </si>
  <si>
    <t>+254786311549</t>
  </si>
  <si>
    <t>+256705310206</t>
  </si>
  <si>
    <t>+972524475700</t>
  </si>
  <si>
    <t>+966505146276</t>
  </si>
  <si>
    <t>+966573578815</t>
  </si>
  <si>
    <t>+962791554765</t>
  </si>
  <si>
    <t>+971504469730</t>
  </si>
  <si>
    <t>+971505506122</t>
  </si>
  <si>
    <t>+971569919740</t>
  </si>
  <si>
    <t>+3028117437</t>
  </si>
  <si>
    <t/>
  </si>
  <si>
    <t>UAA-001</t>
  </si>
  <si>
    <t>GENERAL ATOMICS AEROTEC SYSTEMS GMBH</t>
  </si>
  <si>
    <t>Imported from UAA_Coordinator_v5JTL TAILS sheet</t>
  </si>
  <si>
    <t>UAA-002</t>
  </si>
  <si>
    <t>EMBRAER - EMPRESA BRASILEIRA DE AERONAUTICA SA</t>
  </si>
  <si>
    <t>UAA-003</t>
  </si>
  <si>
    <t>ALPHA GOLF AVIATION MONACO</t>
  </si>
  <si>
    <t>UAA-004</t>
  </si>
  <si>
    <t>FEDERAL GOVT. OF NIGERIA</t>
  </si>
  <si>
    <t>UAA-005</t>
  </si>
  <si>
    <t>PRINCELY JETS PVT LTD</t>
  </si>
  <si>
    <t>UAA-006</t>
  </si>
  <si>
    <t>FIRST MANDARIN BUSINESS AVIATION CO LTD</t>
  </si>
  <si>
    <t>UAA-007</t>
  </si>
  <si>
    <t>NANSHAN JET CO LTD</t>
  </si>
  <si>
    <t>UAA-008</t>
  </si>
  <si>
    <t>METROJET PRIVATE LTD</t>
  </si>
  <si>
    <t>UAA-009</t>
  </si>
  <si>
    <t>ANDERSON AIR LTD</t>
  </si>
  <si>
    <t>UAA-010</t>
  </si>
  <si>
    <t>WIDEWORLD SERVICES LTD.</t>
  </si>
  <si>
    <t>UAA-011</t>
  </si>
  <si>
    <t>VIPAIR SA</t>
  </si>
  <si>
    <t>UAA-012</t>
  </si>
  <si>
    <t>BMW AG</t>
  </si>
  <si>
    <t>UAA-013</t>
  </si>
  <si>
    <t>BERTELSMANN AVIATION GMBH</t>
  </si>
  <si>
    <t>UAA-014</t>
  </si>
  <si>
    <t>COMANDO DA AERONAUTICA</t>
  </si>
  <si>
    <t>UAA-015</t>
  </si>
  <si>
    <t>EMBRAER - EMPRESA BRASILEIRA DE AERONAUT</t>
  </si>
  <si>
    <t>UAA-016</t>
  </si>
  <si>
    <t>REGOURD AVIATION</t>
  </si>
  <si>
    <t>UAA-017</t>
  </si>
  <si>
    <t>DASSAULT AVIATION</t>
  </si>
  <si>
    <t>UAA-018</t>
  </si>
  <si>
    <t>TITAN AIRWAYS LTD</t>
  </si>
  <si>
    <t>UAA-019</t>
  </si>
  <si>
    <t>AIR KING JET SA</t>
  </si>
  <si>
    <t>UAA-020</t>
  </si>
  <si>
    <t>HANWHA SOLUTIONS CORPORATION</t>
  </si>
  <si>
    <t>UAA-021</t>
  </si>
  <si>
    <t>SK TELECOM CO LTD</t>
  </si>
  <si>
    <t>UAA-022</t>
  </si>
  <si>
    <t>BANGKOK AIRWAYS PUBLIC COMPANY LIMITED</t>
  </si>
  <si>
    <t>UAA-023</t>
  </si>
  <si>
    <t>AL ATHEER AVIATION COMPANY</t>
  </si>
  <si>
    <t>UAA-024</t>
  </si>
  <si>
    <t>KINGDOM HOLDING COMPANY</t>
  </si>
  <si>
    <t>UAA-025</t>
  </si>
  <si>
    <t>SIRIO S.P.A.</t>
  </si>
  <si>
    <t>UAA-026</t>
  </si>
  <si>
    <t>IRISH AIR CORPS</t>
  </si>
  <si>
    <t>UAA-027</t>
  </si>
  <si>
    <t>ALBA SERVIZI AEROTRASPORTI SPA</t>
  </si>
  <si>
    <t>UAA-028</t>
  </si>
  <si>
    <t>CHEYENNE SA</t>
  </si>
  <si>
    <t>UAA-029</t>
  </si>
  <si>
    <t>FALCON OPERATION LIMITED</t>
  </si>
  <si>
    <t>UAA-030</t>
  </si>
  <si>
    <t>THE WORLD IS YOURS LTD</t>
  </si>
  <si>
    <t>UAA-031</t>
  </si>
  <si>
    <t>KING POWER INTERNATIONAL COMPANY LTD</t>
  </si>
  <si>
    <t>UAA-032</t>
  </si>
  <si>
    <t>AUBURN OAK NIGERIA</t>
  </si>
  <si>
    <t>UAA-033</t>
  </si>
  <si>
    <t>AVIONCO CANADA LTD</t>
  </si>
  <si>
    <t>UAA-034</t>
  </si>
  <si>
    <t>STARLING AVIATION LTD.</t>
  </si>
  <si>
    <t>UAA-035</t>
  </si>
  <si>
    <t>EXXONMOBIL CORPORATION</t>
  </si>
  <si>
    <t>UAA-036</t>
  </si>
  <si>
    <t>EXECUTIVE JET MANAGEMENT INC.</t>
  </si>
  <si>
    <t>UAA-037</t>
  </si>
  <si>
    <t>SUNSET AVIATION LLC DBA SOLAIRUS AVIATIO</t>
  </si>
  <si>
    <t>UAA-038</t>
  </si>
  <si>
    <t>ROCKY MOUNTAIN TRANSPORT LLC</t>
  </si>
  <si>
    <t>UAA-039</t>
  </si>
  <si>
    <t>OPTIMUS LOGISTICS GROUP, INC.</t>
  </si>
  <si>
    <t>UAA-040</t>
  </si>
  <si>
    <t>MAYO AVIATION, INC.</t>
  </si>
  <si>
    <t>UAA-041</t>
  </si>
  <si>
    <t>CLAY LACY AVIATION, INC.</t>
  </si>
  <si>
    <t>UAA-042</t>
  </si>
  <si>
    <t>TASCO, LLC</t>
  </si>
  <si>
    <t>UAA-043</t>
  </si>
  <si>
    <t>GULFSTREAM AEROSPACE</t>
  </si>
  <si>
    <t>UAA-044</t>
  </si>
  <si>
    <t>AMERICAN EQUITY INVESTMENT LIFE HOLDING</t>
  </si>
  <si>
    <t>UAA-045</t>
  </si>
  <si>
    <t>AIRMAX LLC</t>
  </si>
  <si>
    <t>UAA-046</t>
  </si>
  <si>
    <t>SEDGWICK INC</t>
  </si>
  <si>
    <t>UAA-047</t>
  </si>
  <si>
    <t>HONEYWELL INTERNATIONAL INC</t>
  </si>
  <si>
    <t>UAA-048</t>
  </si>
  <si>
    <t>WINGTIP CORPORATION</t>
  </si>
  <si>
    <t>UAA-049</t>
  </si>
  <si>
    <t>BRC TRANSIT LLC</t>
  </si>
  <si>
    <t>UAA-050</t>
  </si>
  <si>
    <t>GLASS AVIATION</t>
  </si>
  <si>
    <t>UAA-051</t>
  </si>
  <si>
    <t>GAMA AVIATION LLC</t>
  </si>
  <si>
    <t>UAA-052</t>
  </si>
  <si>
    <t>CIGNA CORPORATION</t>
  </si>
  <si>
    <t>UAA-053</t>
  </si>
  <si>
    <t>WINGS JET FLIGHT TRAINING LLC</t>
  </si>
  <si>
    <t>UAA-054</t>
  </si>
  <si>
    <t>IQVIA TRANSPORTATION SERVICES CORP.</t>
  </si>
  <si>
    <t>UAA-055</t>
  </si>
  <si>
    <t>JET AVIATION FLIGHT SERVICES INC</t>
  </si>
  <si>
    <t>UAA-056</t>
  </si>
  <si>
    <t>CITIGROUP CORPORATE AVIATION</t>
  </si>
  <si>
    <t>UAA-057</t>
  </si>
  <si>
    <t>SP GENERAL SERVICES, LLC</t>
  </si>
  <si>
    <t>UAA-058</t>
  </si>
  <si>
    <t>CHEVRON U.S.A. INC</t>
  </si>
  <si>
    <t>UAA-059</t>
  </si>
  <si>
    <t>META SPECIAL AEROSPACE, AIR OPERATIONS</t>
  </si>
  <si>
    <t>UAA-060</t>
  </si>
  <si>
    <t>MENTE LLC</t>
  </si>
  <si>
    <t>UAA-061</t>
  </si>
  <si>
    <t>MCDONALD'S CORPORATION</t>
  </si>
  <si>
    <t>UAA-062</t>
  </si>
  <si>
    <t>EAGLE MOUNTAIN INTERNATIONAL CHURCH INC</t>
  </si>
  <si>
    <t>UAA-063</t>
  </si>
  <si>
    <t>FRIEDKIN AVIATION, INC.</t>
  </si>
  <si>
    <t>UAA-064</t>
  </si>
  <si>
    <t>HENDRICK MOTORSPORTS, INC.</t>
  </si>
  <si>
    <t>UAA-065</t>
  </si>
  <si>
    <t>HCC SERVICE COMPANY LTD</t>
  </si>
  <si>
    <t>UAA-066</t>
  </si>
  <si>
    <t>DAYLO HOLDINGS INC</t>
  </si>
  <si>
    <t>UAA-067</t>
  </si>
  <si>
    <t>AKWA IBOM STATE FLIGHT DEPARTMENT</t>
  </si>
  <si>
    <t>UAA-068</t>
  </si>
  <si>
    <t>AIR BONGO UNIT TRUST</t>
  </si>
  <si>
    <t>UAA-069</t>
  </si>
  <si>
    <t>WESTERN AIR CHARTER DBA JET EDGE INT'L</t>
  </si>
  <si>
    <t>UAA-070</t>
  </si>
  <si>
    <t>GOOGLE LLC</t>
  </si>
  <si>
    <t>UAA-071</t>
  </si>
  <si>
    <t>HAMILTON AVIATION INC</t>
  </si>
  <si>
    <t>UAA-072</t>
  </si>
  <si>
    <t>DAVID E. SIMON</t>
  </si>
  <si>
    <t>UAA-073</t>
  </si>
  <si>
    <t>BS FARMS AVIATION, LLC</t>
  </si>
  <si>
    <t>UAA-074</t>
  </si>
  <si>
    <t>ALTICOR INC.</t>
  </si>
  <si>
    <t>UAA-075</t>
  </si>
  <si>
    <t>CANYON PARTNERS LLC</t>
  </si>
  <si>
    <t>UAA-076</t>
  </si>
  <si>
    <t>AVIATION CONSULTANTS INC.</t>
  </si>
  <si>
    <t>UAA-077</t>
  </si>
  <si>
    <t>GULF AIR GROUP INC</t>
  </si>
  <si>
    <t>UAA-078</t>
  </si>
  <si>
    <t>L.J. ASSOCIATES, INC.</t>
  </si>
  <si>
    <t>UAA-079</t>
  </si>
  <si>
    <t>BISSELL INC</t>
  </si>
  <si>
    <t>UAA-080</t>
  </si>
  <si>
    <t>EMBRAER EXECUTIVE AIRCRAFT INC.</t>
  </si>
  <si>
    <t>UAA-081</t>
  </si>
  <si>
    <t>GLOBAL AIR CHARTERS INC</t>
  </si>
  <si>
    <t>UAA-082</t>
  </si>
  <si>
    <t>SNAP INC</t>
  </si>
  <si>
    <t>UAA-083</t>
  </si>
  <si>
    <t>PROCTER &amp; GAMBLE CO.</t>
  </si>
  <si>
    <t>UAA-084</t>
  </si>
  <si>
    <t>MAD SCIENCE CHAMBER LLC</t>
  </si>
  <si>
    <t>UAA-085</t>
  </si>
  <si>
    <t>EAGLE ACFT &amp; TRANSPORTATION MANAGEMENT,</t>
  </si>
  <si>
    <t>UAA-086</t>
  </si>
  <si>
    <t>SC AVIATION LLC</t>
  </si>
  <si>
    <t>UAA-087</t>
  </si>
  <si>
    <t>BB ONE LLC</t>
  </si>
  <si>
    <t>UAA-088</t>
  </si>
  <si>
    <t>LIVING WORD CHRISTIAN CENTER</t>
  </si>
  <si>
    <t>UAA-089</t>
  </si>
  <si>
    <t>DASSAULT FALCON JET CORP.</t>
  </si>
  <si>
    <t>UAA-090</t>
  </si>
  <si>
    <t>PROJECT ORBIS INTERNATIONAL, INC.</t>
  </si>
  <si>
    <t>UAA-091</t>
  </si>
  <si>
    <t>VISA USA INC</t>
  </si>
  <si>
    <t>UAA-092</t>
  </si>
  <si>
    <t>LUFT AVIATION CHARTER PTY LTD</t>
  </si>
  <si>
    <t>UAA-093</t>
  </si>
  <si>
    <t>LUFT AVIATION</t>
  </si>
  <si>
    <t>UAA-094</t>
  </si>
  <si>
    <t>LFG AVIATION LIMITED</t>
  </si>
  <si>
    <t>UAA-095</t>
  </si>
  <si>
    <t>HOLYPEAK PROPRIETARY LIMITED</t>
  </si>
  <si>
    <t>UAA-096</t>
  </si>
  <si>
    <t>KALAHARI MANAGEMENT CO</t>
  </si>
  <si>
    <t>UAA-097</t>
  </si>
  <si>
    <t>SERVICIOS AEREOS SUDAMERICANOS</t>
  </si>
  <si>
    <t>UAA-098</t>
  </si>
  <si>
    <t>HARRINFORD LIMITED</t>
  </si>
  <si>
    <t>UAA-099</t>
  </si>
  <si>
    <t>SKYLINE GROUP MC LLC</t>
  </si>
  <si>
    <t>UAA-100</t>
  </si>
  <si>
    <t>INCOBRASA INDUSTRIES LTD</t>
  </si>
  <si>
    <t>UAA-101</t>
  </si>
  <si>
    <t>AVALON CAPITAL GROUP II LLC</t>
  </si>
  <si>
    <t>UAA-102</t>
  </si>
  <si>
    <t>COLUMBIA PACIFIC MANAGMENT</t>
  </si>
  <si>
    <t>UAA-103</t>
  </si>
  <si>
    <t>BLUE VISTA LLC</t>
  </si>
  <si>
    <t>UAA-104</t>
  </si>
  <si>
    <t>WORLDWIDE JET CHARTER INC</t>
  </si>
  <si>
    <t>UAA-105</t>
  </si>
  <si>
    <t>WHEELS UP PRIVATE JETS LLC</t>
  </si>
  <si>
    <t>UAA-106</t>
  </si>
  <si>
    <t>TEXAS INSTRUMENTS, INC.</t>
  </si>
  <si>
    <t>UAA-107</t>
  </si>
  <si>
    <t>STRATTON PARK ENGINEERING COMPANY, INC.</t>
  </si>
  <si>
    <t>UAA-108</t>
  </si>
  <si>
    <t>TRAXXAS LP</t>
  </si>
  <si>
    <t>UAA-109</t>
  </si>
  <si>
    <t>CENTURION AVIATION SERVICES, INC.</t>
  </si>
  <si>
    <t>UAA-110</t>
  </si>
  <si>
    <t>BLOOMBERG SERVICES, LLC</t>
  </si>
  <si>
    <t>UAA-111</t>
  </si>
  <si>
    <t>PEGASUS ELITE AVIATION INC.</t>
  </si>
  <si>
    <t>UAA-112</t>
  </si>
  <si>
    <t>NEW CENTURY AIR SERVICE INC</t>
  </si>
  <si>
    <t>UAA-113</t>
  </si>
  <si>
    <t>EDF LLC</t>
  </si>
  <si>
    <t>UAA-114</t>
  </si>
  <si>
    <t>NPM MANAGEMENT LLC</t>
  </si>
  <si>
    <t>UAA-115</t>
  </si>
  <si>
    <t>HUNT AVIATION SERVICES LLC</t>
  </si>
  <si>
    <t>UAA-116</t>
  </si>
  <si>
    <t>THE RICHARDS GROUP INC</t>
  </si>
  <si>
    <t>UAA-117</t>
  </si>
  <si>
    <t>EXECUTIVE AIR CHARTER OF BOCA RATON INC</t>
  </si>
  <si>
    <t>UAA-118</t>
  </si>
  <si>
    <t>APACHE CORPORATION</t>
  </si>
  <si>
    <t>UAA-119</t>
  </si>
  <si>
    <t>SIERRA PACIFIC INDUSTRIES</t>
  </si>
  <si>
    <t>UAA-120</t>
  </si>
  <si>
    <t>SIAM LAND FLYING CO LTD</t>
  </si>
  <si>
    <t>UAA-121</t>
  </si>
  <si>
    <t>STEIN'S AIRCRAFT SERVICES, LLC</t>
  </si>
  <si>
    <t>UAA-122</t>
  </si>
  <si>
    <t>EMMANUEL GROUP</t>
  </si>
  <si>
    <t>UAA-123</t>
  </si>
  <si>
    <t>MORGRAN COMPANY</t>
  </si>
  <si>
    <t>UAA-124</t>
  </si>
  <si>
    <t>AERO CHARTER, INC.</t>
  </si>
  <si>
    <t>UAA-125</t>
  </si>
  <si>
    <t>AMERICAN CREDIT ACCEPTANCE LLC</t>
  </si>
  <si>
    <t>UAA-126</t>
  </si>
  <si>
    <t>HARPO, INC.</t>
  </si>
  <si>
    <t>UAA-127</t>
  </si>
  <si>
    <t>GENERAL AVILEASING INC</t>
  </si>
  <si>
    <t>UAA-128</t>
  </si>
  <si>
    <t>ORIENTAL ENERGY RESOURCES LIMITED</t>
  </si>
  <si>
    <t>UAA-129</t>
  </si>
  <si>
    <t>VICTORIAN GROUP LLC</t>
  </si>
  <si>
    <t>UAA-130</t>
  </si>
  <si>
    <t>STARFLITE MANAGEMENT GROUP, INC</t>
  </si>
  <si>
    <t>UAA-131</t>
  </si>
  <si>
    <t>SUNSET AVIATION LLC DBA SOLAIRUS AVIATION</t>
  </si>
  <si>
    <t>UAA-132</t>
  </si>
  <si>
    <t>SKY QUEST LLC</t>
  </si>
  <si>
    <t>UAA-133</t>
  </si>
  <si>
    <t>HILL AIR CORP.</t>
  </si>
  <si>
    <t>UAA-134</t>
  </si>
  <si>
    <t>HILLCOUR HOLDING LLC</t>
  </si>
  <si>
    <t>UAA-135</t>
  </si>
  <si>
    <t>EXCELAIRE SERVICE, INC.</t>
  </si>
  <si>
    <t>UAA-136</t>
  </si>
  <si>
    <t>FEDERAL EXPRESS CORPORATION</t>
  </si>
  <si>
    <t>UAA-137</t>
  </si>
  <si>
    <t>GENERAL DYNAMICS CORPORATION</t>
  </si>
  <si>
    <t>UAA-138</t>
  </si>
  <si>
    <t>FIREBLADE INVESTMENTS (PTY) LIMITED</t>
  </si>
  <si>
    <t>UAA-139</t>
  </si>
  <si>
    <t>ROBUST MANAGEMENT SERVICES PTE. LTD.</t>
  </si>
  <si>
    <t>UAA-140</t>
  </si>
  <si>
    <t>NORTHERN ILLINOIS FLIGHT CENTER</t>
  </si>
  <si>
    <t>UAA-141</t>
  </si>
  <si>
    <t>GAYA AVIATION LLC</t>
  </si>
  <si>
    <t>UAA-142</t>
  </si>
  <si>
    <t>ELMET AVIATION</t>
  </si>
  <si>
    <t>UAA-143</t>
  </si>
  <si>
    <t>JPMORGAN CHASE &amp; CO.</t>
  </si>
  <si>
    <t>UAA-144</t>
  </si>
  <si>
    <t>M AVIATION, LLC</t>
  </si>
  <si>
    <t>UAA-145</t>
  </si>
  <si>
    <t>MACHJET INTERNATIONAL PTY LTD</t>
  </si>
  <si>
    <t>UAA-146</t>
  </si>
  <si>
    <t>CHIMULAY CORP</t>
  </si>
  <si>
    <t>UAA-147</t>
  </si>
  <si>
    <t>MARCONI, LLC</t>
  </si>
  <si>
    <t>UAA-148</t>
  </si>
  <si>
    <t>CATHEXIS HOLDINGS LP</t>
  </si>
  <si>
    <t>UAA-149</t>
  </si>
  <si>
    <t>TRAVEL RETAIL SHOPS TRS</t>
  </si>
  <si>
    <t>UAA-150</t>
  </si>
  <si>
    <t>ZERO SIX AIR LLC</t>
  </si>
  <si>
    <t>UAA-151</t>
  </si>
  <si>
    <t>PELIKANO CORP.</t>
  </si>
  <si>
    <t>UAA-152</t>
  </si>
  <si>
    <t>AVIATION LEASING INC.</t>
  </si>
  <si>
    <t>UAA-153</t>
  </si>
  <si>
    <t>BANK OF AMERICA/CLT</t>
  </si>
  <si>
    <t>UAA-154</t>
  </si>
  <si>
    <t>AMERICAN FLYING JET, INC.</t>
  </si>
  <si>
    <t>UAA-155</t>
  </si>
  <si>
    <t>BLUE CITY HOLDINGS LLC</t>
  </si>
  <si>
    <t>UAA-156</t>
  </si>
  <si>
    <t>WILLIS LEASE FINANCE CORP</t>
  </si>
  <si>
    <t>UAA-157</t>
  </si>
  <si>
    <t>WASTE MANAGEMENT, INC.</t>
  </si>
  <si>
    <t>UAA-158</t>
  </si>
  <si>
    <t>MARTIN COHEN</t>
  </si>
  <si>
    <t>UAA-159</t>
  </si>
  <si>
    <t>BOMBARDIER AEROSPACE CORPORATION</t>
  </si>
  <si>
    <t>UAA-160</t>
  </si>
  <si>
    <t>AT&amp;T SERVICES, INC</t>
  </si>
  <si>
    <t>UAA-161</t>
  </si>
  <si>
    <t>AUTONOMY AIR CORPORATION</t>
  </si>
  <si>
    <t>UAA-162</t>
  </si>
  <si>
    <t>LEE R ANDERSON SR</t>
  </si>
  <si>
    <t>UAA-163</t>
  </si>
  <si>
    <t>NEXGEN FLIGHT SOLUTIONS LLC</t>
  </si>
  <si>
    <t>UAA-164</t>
  </si>
  <si>
    <t>GCTPA LLC</t>
  </si>
  <si>
    <t>UAA-165</t>
  </si>
  <si>
    <t>MCA-ATS INC.</t>
  </si>
  <si>
    <t>UAA-166</t>
  </si>
  <si>
    <t>AVIATION CHARTERS INC</t>
  </si>
  <si>
    <t>UAA-167</t>
  </si>
  <si>
    <t>24/7 JET</t>
  </si>
  <si>
    <t>UAA-168</t>
  </si>
  <si>
    <t>JOELLE JET LLC</t>
  </si>
  <si>
    <t>UAA-169</t>
  </si>
  <si>
    <t>STARBUCKS CORP.</t>
  </si>
  <si>
    <t>UAA-170</t>
  </si>
  <si>
    <t>AJH 1 LLC</t>
  </si>
  <si>
    <t>UAA-171</t>
  </si>
  <si>
    <t>FUNAIR CORPORATION</t>
  </si>
  <si>
    <t>UAA-172</t>
  </si>
  <si>
    <t>DAROCO HOLDINGS, LLC</t>
  </si>
  <si>
    <t>UAA-173</t>
  </si>
  <si>
    <t>WALMART INC.</t>
  </si>
  <si>
    <t>UAA-174</t>
  </si>
  <si>
    <t>VERIZON CORPORATE SERVICES GROUP INC.</t>
  </si>
  <si>
    <t>UAA-175</t>
  </si>
  <si>
    <t>YUCAIPA COMPANIES LLC, THE</t>
  </si>
  <si>
    <t>UAA-176</t>
  </si>
  <si>
    <t>STREAM LINE CIRCLE LLC</t>
  </si>
  <si>
    <t>UAA-177</t>
  </si>
  <si>
    <t>IBM CORPORATION</t>
  </si>
  <si>
    <t>UAA-178</t>
  </si>
  <si>
    <t>DOBBS BARON II, LLC</t>
  </si>
  <si>
    <t>UAA-179</t>
  </si>
  <si>
    <t>CATERPILLAR, INC.</t>
  </si>
  <si>
    <t>UAA-180</t>
  </si>
  <si>
    <t>KOHLER COMPANY</t>
  </si>
  <si>
    <t>UAA-181</t>
  </si>
  <si>
    <t>PENSKE MEDIA CORPORATION</t>
  </si>
  <si>
    <t>UAA-182</t>
  </si>
  <si>
    <t>FAITH LIFE INTERNATIONAL, INC.</t>
  </si>
  <si>
    <t>UAA-183</t>
  </si>
  <si>
    <t>SUN AIR JETS, LLC</t>
  </si>
  <si>
    <t>UAA-184</t>
  </si>
  <si>
    <t>CANYON GATE FLIGHT SERVICES INC</t>
  </si>
  <si>
    <t>UAA-185</t>
  </si>
  <si>
    <t>ALTRIA CLIENT SERVICES LLC</t>
  </si>
  <si>
    <t>UAA-186</t>
  </si>
  <si>
    <t>ALERION AVIATION INC</t>
  </si>
  <si>
    <t>UAA-187</t>
  </si>
  <si>
    <t>AIRFLITE, INC.</t>
  </si>
  <si>
    <t>UAA-188</t>
  </si>
  <si>
    <t>ROUTE 66 LLC</t>
  </si>
  <si>
    <t>UAA-189</t>
  </si>
  <si>
    <t>PRUDENTIAL INS. CO. OF AMERICA</t>
  </si>
  <si>
    <t>UAA-190</t>
  </si>
  <si>
    <t>26 NORTH AVIATION INC</t>
  </si>
  <si>
    <t>UAA-191</t>
  </si>
  <si>
    <t>YCM TRANSPORTATION LLC</t>
  </si>
  <si>
    <t>UAA-192</t>
  </si>
  <si>
    <t>LIAUTAUD DEVELOPMENT GROUP LLC</t>
  </si>
  <si>
    <t>UAA-193</t>
  </si>
  <si>
    <t>DIAMOND CREEK LOGISTICS LLC</t>
  </si>
  <si>
    <t>UAA-194</t>
  </si>
  <si>
    <t>ICTSI</t>
  </si>
  <si>
    <t>UAA-195</t>
  </si>
  <si>
    <t>BIGLARI ENTERPRISES LLC</t>
  </si>
  <si>
    <t>UAA-196</t>
  </si>
  <si>
    <t>WILLIAMS-SONOMA, INC.</t>
  </si>
  <si>
    <t>UAA-197</t>
  </si>
  <si>
    <t>THE GHK COMPANY, LLC</t>
  </si>
  <si>
    <t>UAA-198</t>
  </si>
  <si>
    <t>AVIONCO US LTD</t>
  </si>
  <si>
    <t>UAA-199</t>
  </si>
  <si>
    <t>THE COCA-COLA COMPANY</t>
  </si>
  <si>
    <t>UAA-200</t>
  </si>
  <si>
    <t>PAT FLY (PTY) LTD</t>
  </si>
  <si>
    <t>UAA-201</t>
  </si>
  <si>
    <t>EVA AIRWAYS CORPORATION</t>
  </si>
  <si>
    <t>UAA-202</t>
  </si>
  <si>
    <t>FORINDO PRIVATE LIMITED</t>
  </si>
  <si>
    <t>UAA-203</t>
  </si>
  <si>
    <t>DESERT JET LLC</t>
  </si>
  <si>
    <t>UAA-204</t>
  </si>
  <si>
    <t>PRIESTER AVIATION</t>
  </si>
  <si>
    <t>UAA-205</t>
  </si>
  <si>
    <t>L BRANDS SERVICE COMPANY, LLC</t>
  </si>
  <si>
    <t>UAA-206</t>
  </si>
  <si>
    <t>MILLION AIR DALLAS</t>
  </si>
  <si>
    <t>UAA-207</t>
  </si>
  <si>
    <t>TULCO LLC</t>
  </si>
  <si>
    <t>UAA-208</t>
  </si>
  <si>
    <t>PAE-CCJJ AIR LLC</t>
  </si>
  <si>
    <t>UAA-209</t>
  </si>
  <si>
    <t>FLIGHT OPERATIONS PTY LTD</t>
  </si>
  <si>
    <t>UAA-210</t>
  </si>
  <si>
    <t>HERITAGE OF FAITH CHRISTIAN CENTER</t>
  </si>
  <si>
    <t>UAA-211</t>
  </si>
  <si>
    <t>CAMBRIDGE FLIGHT SUPPORT LLC</t>
  </si>
  <si>
    <t>UAA-212</t>
  </si>
  <si>
    <t>US HOME CORP</t>
  </si>
  <si>
    <t>UAA-213</t>
  </si>
  <si>
    <t>ZURU TRAVEL HONG KONG LIMITED</t>
  </si>
  <si>
    <t>UAA-214</t>
  </si>
  <si>
    <t>PALLAS AVIATION, LLC.</t>
  </si>
  <si>
    <t>UAA-215</t>
  </si>
  <si>
    <t>VOICE OF THE COVENANT CHURCH, INC.</t>
  </si>
  <si>
    <t>UAA-216</t>
  </si>
  <si>
    <t>DUQUENSE GLOBAL LLC</t>
  </si>
  <si>
    <t>UAA-217</t>
  </si>
  <si>
    <t>YPF SA</t>
  </si>
  <si>
    <t>UAA-218</t>
  </si>
  <si>
    <t>JAI AVIATION SERVICES LLC</t>
  </si>
  <si>
    <t>UAA-219</t>
  </si>
  <si>
    <t>FOXCORP HOLDINGS, LLC</t>
  </si>
  <si>
    <t>UAA-220</t>
  </si>
  <si>
    <t>SHOPEE SINGAPORE PRIVATE LIMITED</t>
  </si>
  <si>
    <t>UAA-221</t>
  </si>
  <si>
    <t>S.C. JOHNSON &amp; SON, INC.</t>
  </si>
  <si>
    <t>UAA-222</t>
  </si>
  <si>
    <t>RODIN AVIATION LIMITED</t>
  </si>
  <si>
    <t>UAA-223</t>
  </si>
  <si>
    <t>ABELAG AVIATION NV</t>
  </si>
  <si>
    <t>UAA-224</t>
  </si>
  <si>
    <t>MAERSK AIR CARGO A/S</t>
  </si>
  <si>
    <t>UAA-225</t>
  </si>
  <si>
    <t>CARTIER EUROPE B.V.</t>
  </si>
  <si>
    <t>UAA-226</t>
  </si>
  <si>
    <t>GRANDE MOINHO CEARENSE SA</t>
  </si>
  <si>
    <t>UAA-227</t>
  </si>
  <si>
    <t>AERO RIO TAXI AEREO LTDA</t>
  </si>
  <si>
    <t>UAA-228</t>
  </si>
  <si>
    <t>CONFORTO EMPREENDIMENTOS E PART SA</t>
  </si>
  <si>
    <t>UAA-229</t>
  </si>
  <si>
    <t>J P ADMINISTRACAO E PARTICIPACOES LTDA</t>
  </si>
  <si>
    <t>UAA-230</t>
  </si>
  <si>
    <t>OCEAN EXPLORER DO BRASIL LTDA.</t>
  </si>
  <si>
    <t>UAA-231</t>
  </si>
  <si>
    <t>SOTAN - SOCIEDADE DE TAXI AEREO</t>
  </si>
  <si>
    <t>UAA-232</t>
  </si>
  <si>
    <t>BOAT &amp; PLANE TIME SHARING DO BRASIL LTDA</t>
  </si>
  <si>
    <t>UAA-233</t>
  </si>
  <si>
    <t>PLACAR LINHAS AEREAS S/A</t>
  </si>
  <si>
    <t>UAA-234</t>
  </si>
  <si>
    <t>FORCE ONE PARTICIPACAO LTDA</t>
  </si>
  <si>
    <t>UAA-235</t>
  </si>
  <si>
    <t>MUNDIVOX COMUNICACOES LTDA</t>
  </si>
  <si>
    <t>UAA-236</t>
  </si>
  <si>
    <t>MONACO NEGOCIOS E PARTICIPACOES LTDA</t>
  </si>
  <si>
    <t>UAA-237</t>
  </si>
  <si>
    <t>EFS EUROPEAN FLIGHT SERVICE AB</t>
  </si>
  <si>
    <t>UAA-238</t>
  </si>
  <si>
    <t>EGYPTIAN AIR FORCE</t>
  </si>
  <si>
    <t>UAA-239</t>
  </si>
  <si>
    <t>OPENSKY INC.</t>
  </si>
  <si>
    <t>UAA-240</t>
  </si>
  <si>
    <t>LILY JET SAN MARINO S.R.L.</t>
  </si>
  <si>
    <t>UAA-241</t>
  </si>
  <si>
    <t>ROYAL NETHERLANDS AIR FORCE</t>
  </si>
  <si>
    <t>UAA-242</t>
  </si>
  <si>
    <t>GOVERNMENT , REPUBLIC OF NAMIBIA</t>
  </si>
  <si>
    <t>UAA-243</t>
  </si>
  <si>
    <t>PILATUS AUSTRALIA PTY LTD</t>
  </si>
  <si>
    <t>UAA-244</t>
  </si>
  <si>
    <t>AIR AUSTRALIA PTY, LTD</t>
  </si>
  <si>
    <t>UAA-245</t>
  </si>
  <si>
    <t>PACIFIC FLIGHT SERVICES PTE LTD</t>
  </si>
  <si>
    <t>UAA-246</t>
  </si>
  <si>
    <t>PRATT HOLDINGS PTY LTD.</t>
  </si>
  <si>
    <t>UAA-247</t>
  </si>
  <si>
    <t>SQUADRON AVIATION SERVICES LIMITED</t>
  </si>
  <si>
    <t>UAA-248</t>
  </si>
  <si>
    <t>FLYING LION LTD</t>
  </si>
  <si>
    <t>UAA-249</t>
  </si>
  <si>
    <t>ACASS CANADA LTD</t>
  </si>
  <si>
    <t>UAA-250</t>
  </si>
  <si>
    <t>SUNAIR SA</t>
  </si>
  <si>
    <t>UAA-251</t>
  </si>
  <si>
    <t>SIOUX COMPANY LTD</t>
  </si>
  <si>
    <t>UAA-252</t>
  </si>
  <si>
    <t>TAXIS AEREOS DEL VALLE DE TOLUCA SA DE CV</t>
  </si>
  <si>
    <t>UAA-253</t>
  </si>
  <si>
    <t>AEROVICS S.A. DE C.V.</t>
  </si>
  <si>
    <t>UAA-254</t>
  </si>
  <si>
    <t>SERVICIOS AERONAUTICOS Z S.A. DE C.V.</t>
  </si>
  <si>
    <t>UAA-255</t>
  </si>
  <si>
    <t>H.A.C. INC.</t>
  </si>
  <si>
    <t>UAA-256</t>
  </si>
  <si>
    <t>MORGAN STANLEY SERVICES GROUP INC.</t>
  </si>
  <si>
    <t>UAA-257</t>
  </si>
  <si>
    <t>PRINCESS GATE LLC</t>
  </si>
  <si>
    <t>UAA-258</t>
  </si>
  <si>
    <t>X AVIATION GROUP LLC</t>
  </si>
  <si>
    <t>UAA-259</t>
  </si>
  <si>
    <t>FORÇA AÉREA BRASILEIRA</t>
  </si>
  <si>
    <t>UAA-260</t>
  </si>
  <si>
    <t>ROOT HOLDINGS LLC</t>
  </si>
  <si>
    <t>UAA-261</t>
  </si>
  <si>
    <t>INDEPENDENT AVIATION SDN BHD</t>
  </si>
  <si>
    <t>UAA-262</t>
  </si>
  <si>
    <t>CANADIAN UTILITIES LIMITED</t>
  </si>
  <si>
    <t>UAA-263</t>
  </si>
  <si>
    <t>NASA/JOHNSON SPACE CENTER</t>
  </si>
  <si>
    <t>UAA-264</t>
  </si>
  <si>
    <t>JOHNSON &amp; JOHNSON</t>
  </si>
  <si>
    <t>UAA-265</t>
  </si>
  <si>
    <t>SANDS AVIATION, LLC.</t>
  </si>
  <si>
    <t>UAA-266</t>
  </si>
  <si>
    <t>WARNER MEDIA, LLC</t>
  </si>
  <si>
    <t>UAA-267</t>
  </si>
  <si>
    <t>SKYSERVICE BUSINESS AVIATION INC</t>
  </si>
  <si>
    <t>UAA-268</t>
  </si>
  <si>
    <t>NETFLIX INC</t>
  </si>
  <si>
    <t>UAA-269</t>
  </si>
  <si>
    <t>YAGEO HOLDING (BERMUDA) LIMITED</t>
  </si>
  <si>
    <t>UAA-270</t>
  </si>
  <si>
    <t>SKECHERS USA INC</t>
  </si>
  <si>
    <t>UAA-271</t>
  </si>
  <si>
    <t>MP AIR INC</t>
  </si>
  <si>
    <t>UAA-272</t>
  </si>
  <si>
    <t>DRAPER MANAGEMENT COMPANY LLC</t>
  </si>
  <si>
    <t>UAA-273</t>
  </si>
  <si>
    <t>DOW CHEMICAL CO. INC., THE</t>
  </si>
  <si>
    <t>UAA-274</t>
  </si>
  <si>
    <t>SAMANA SPECIAL MISSION CO LTD</t>
  </si>
  <si>
    <t>UAA-275</t>
  </si>
  <si>
    <t>AIR NIUGINI LIMITED</t>
  </si>
  <si>
    <t>UAA-276</t>
  </si>
  <si>
    <t>CLOUDSPEED LLC</t>
  </si>
  <si>
    <t>UAA-277</t>
  </si>
  <si>
    <t>HAINAN LILY JET CO.,LTD</t>
  </si>
  <si>
    <t>UAA-278</t>
  </si>
  <si>
    <t>PMC GLOBAL INC.</t>
  </si>
  <si>
    <t>UAA-279</t>
  </si>
  <si>
    <t>PT WIRA ADIAJASA DIRGANTARA</t>
  </si>
  <si>
    <t>UAA-280</t>
  </si>
  <si>
    <t>GILEAD SCIENCES, INC.</t>
  </si>
  <si>
    <t>UAA-281</t>
  </si>
  <si>
    <t>KEMMUNETT LTD</t>
  </si>
  <si>
    <t>UAA-282</t>
  </si>
  <si>
    <t>HESS CORPORATION</t>
  </si>
  <si>
    <t>UAA-283</t>
  </si>
  <si>
    <t>CONSTRUCTION HELICOPTERS</t>
  </si>
  <si>
    <t>UAA-284</t>
  </si>
  <si>
    <t>COX ENTERPRISES, INC.</t>
  </si>
  <si>
    <t>UAA-285</t>
  </si>
  <si>
    <t>ASIA INVESTMENT FINANCIAL SERVICES</t>
  </si>
  <si>
    <t>UAA-286</t>
  </si>
  <si>
    <t>TIENDAS INDUSTRIALES ASOCIADAS S.A.</t>
  </si>
  <si>
    <t>UAA-287</t>
  </si>
  <si>
    <t>LIQWD.INC</t>
  </si>
  <si>
    <t>UAA-288</t>
  </si>
  <si>
    <t>EUROJET HOLDINGS LTD</t>
  </si>
  <si>
    <t>UAA-289</t>
  </si>
  <si>
    <t>STANDARD INDUSTRIES MANAGEMENT LLC</t>
  </si>
  <si>
    <t>UAA-290</t>
  </si>
  <si>
    <t>ZEECO INC</t>
  </si>
  <si>
    <t>UAA-291</t>
  </si>
  <si>
    <t>SCANNELL CITATION L.L.C.</t>
  </si>
  <si>
    <t>UAA-292</t>
  </si>
  <si>
    <t>WESTERN UNION</t>
  </si>
  <si>
    <t>UAA-293</t>
  </si>
  <si>
    <t>LOCKHEED MARTIN CORPORATION</t>
  </si>
  <si>
    <t>UAA-294</t>
  </si>
  <si>
    <t>C DOT AVIATION LLC</t>
  </si>
  <si>
    <t>UAA-295</t>
  </si>
  <si>
    <t>SPACE EXPLORATION TECHNOLOGIES CORP</t>
  </si>
  <si>
    <t>UAA-296</t>
  </si>
  <si>
    <t>QUALCOMM INCORPORATED</t>
  </si>
  <si>
    <t>UAA-297</t>
  </si>
  <si>
    <t>GENERAL DYNAMICS LAND SYSTEMS</t>
  </si>
  <si>
    <t>UAA-298</t>
  </si>
  <si>
    <t>WESTSTAR  AVIATION SERVICES SDN BHD</t>
  </si>
  <si>
    <t>UAA-299</t>
  </si>
  <si>
    <t>STRYKER CORPORATION</t>
  </si>
  <si>
    <t>UAA-300</t>
  </si>
  <si>
    <t>NORTHWEST FLYERS INC.</t>
  </si>
  <si>
    <t>UAA-301</t>
  </si>
  <si>
    <t>HYUNDAI MOTOR COMPANY</t>
  </si>
  <si>
    <t>UAA-302</t>
  </si>
  <si>
    <t>AERO TAXIS METROPOLITANOS S.A. DE C.V.</t>
  </si>
  <si>
    <t>UAA-303</t>
  </si>
  <si>
    <t>LEONARD GREEN &amp; PARTNERS, L.P.</t>
  </si>
  <si>
    <t>UAA-304</t>
  </si>
  <si>
    <t>FLIGHTSTAR CORPORATION</t>
  </si>
  <si>
    <t>UAA-305</t>
  </si>
  <si>
    <t>DEPARTAMENTO DE POLICIA FEDERAL</t>
  </si>
  <si>
    <t>UAA-306</t>
  </si>
  <si>
    <t>EP10XT, LLC</t>
  </si>
  <si>
    <t>UAA-307</t>
  </si>
  <si>
    <t>OXY USA</t>
  </si>
  <si>
    <t>UAA-308</t>
  </si>
  <si>
    <t>PENSKE JET, INC.</t>
  </si>
  <si>
    <t>UAA-309</t>
  </si>
  <si>
    <t>MADOS'S HOLDINGS SDN BHD</t>
  </si>
  <si>
    <t>UAA-310</t>
  </si>
  <si>
    <t>HIS MAJESTY SULTAN IBRAHIM OF JOHOR</t>
  </si>
  <si>
    <t>UAA-311</t>
  </si>
  <si>
    <t>AVCAIR PTY LTD</t>
  </si>
  <si>
    <t>UAA-312</t>
  </si>
  <si>
    <t>ALTICOR INC</t>
  </si>
  <si>
    <t>UAA-313</t>
  </si>
  <si>
    <t>PHILLIPS 66</t>
  </si>
  <si>
    <t>UAA-314</t>
  </si>
  <si>
    <t>PEPSICO, INC.</t>
  </si>
  <si>
    <t>UAA-315</t>
  </si>
  <si>
    <t>PPG INDUSTRIES</t>
  </si>
  <si>
    <t>UAA-316</t>
  </si>
  <si>
    <t>GULF AVIATION COMPANY LIMITED</t>
  </si>
  <si>
    <t>UAA-317</t>
  </si>
  <si>
    <t>FALSTAFF PARTNERS LLC</t>
  </si>
  <si>
    <t>UAA-318</t>
  </si>
  <si>
    <t>AIR CENTER HELICOPTERS INC</t>
  </si>
  <si>
    <t>UAA-319</t>
  </si>
  <si>
    <t>1010 AVIATION LLC</t>
  </si>
  <si>
    <t>UAA-320</t>
  </si>
  <si>
    <t>CHOUEST AIR INC</t>
  </si>
  <si>
    <t>UAA-321</t>
  </si>
  <si>
    <t>WHIRLPOOL CORPORATION</t>
  </si>
  <si>
    <t>UAA-322</t>
  </si>
  <si>
    <t>FALCONAIR PTY LTD</t>
  </si>
  <si>
    <t>UAA-323</t>
  </si>
  <si>
    <t>AEGLE AVIATION LTD.</t>
  </si>
  <si>
    <t>UAA-324</t>
  </si>
  <si>
    <t>RICHALIHAN LLC</t>
  </si>
  <si>
    <t>UAA-325</t>
  </si>
  <si>
    <t>30 WEST INC.</t>
  </si>
  <si>
    <t>UAA-326</t>
  </si>
  <si>
    <t>TAXIS AEREOS DEL VALLE DE TOLUCA SA DE C</t>
  </si>
  <si>
    <t>UAA-327</t>
  </si>
  <si>
    <t>SIRIO S.P.A</t>
  </si>
  <si>
    <t>UAA-328</t>
  </si>
  <si>
    <t>TERRA DULCE LLC</t>
  </si>
  <si>
    <t>UAA-329</t>
  </si>
  <si>
    <t>SHIRAZ BALOLIA</t>
  </si>
  <si>
    <t>UAA-330</t>
  </si>
  <si>
    <t>LIMITLESS AVIATION SM SRL</t>
  </si>
  <si>
    <t>UAA-331</t>
  </si>
  <si>
    <t>UAA-332</t>
  </si>
  <si>
    <t>SAUDI ROYAL AVIATION</t>
  </si>
  <si>
    <t>UAA-333</t>
  </si>
  <si>
    <t>PRIME JET</t>
  </si>
  <si>
    <t>UAA-334</t>
  </si>
  <si>
    <t>MAINBASE LIMITED</t>
  </si>
  <si>
    <t>UAA-335</t>
  </si>
  <si>
    <t>WYNN RESORTS LIMITED</t>
  </si>
  <si>
    <t>UAA-336</t>
  </si>
  <si>
    <t>TISMA, INC.</t>
  </si>
  <si>
    <t>UAA-337</t>
  </si>
  <si>
    <t>TRINITY BROADCASTING OF FLORIDA, INC.</t>
  </si>
  <si>
    <t>UAA-338</t>
  </si>
  <si>
    <t>LINK SNACKS INC</t>
  </si>
  <si>
    <t>UAA-339</t>
  </si>
  <si>
    <t>AIRBY</t>
  </si>
  <si>
    <t>UAA-340</t>
  </si>
  <si>
    <t>FALCON HOLDINGS II / T-18 HOLDINGS.</t>
  </si>
  <si>
    <t>UAA-341</t>
  </si>
  <si>
    <t>LORD MAK LTD</t>
  </si>
  <si>
    <t>UAA-342</t>
  </si>
  <si>
    <t>ONEX PARTNERS ADVISOR GP INC.</t>
  </si>
  <si>
    <t>UAA-343</t>
  </si>
  <si>
    <t>PRINCIPAL LIFE INSURANCE COMPANY</t>
  </si>
  <si>
    <t>UAA-344</t>
  </si>
  <si>
    <t>REAL HOTELS AND RESORTS INC</t>
  </si>
  <si>
    <t>UAA-345</t>
  </si>
  <si>
    <t>LIND AVIATION LLC</t>
  </si>
  <si>
    <t>UAA-346</t>
  </si>
  <si>
    <t>BLOOMBERRY RESORTS AND HOTELS INC</t>
  </si>
  <si>
    <t>UAA-347</t>
  </si>
  <si>
    <t>WALKER AIR SERVICES PTY LTD</t>
  </si>
  <si>
    <t>UAA-348</t>
  </si>
  <si>
    <t>CHINA AIR FORCE</t>
  </si>
  <si>
    <t>UAA-349</t>
  </si>
  <si>
    <t>GSA GLOBAL PTY LTD</t>
  </si>
  <si>
    <t>UAA-350</t>
  </si>
  <si>
    <t>QATAR AMIRI FLIGHT</t>
  </si>
  <si>
    <t>UAA-351</t>
  </si>
  <si>
    <t>LILY JET HONG KONG LIMITED</t>
  </si>
  <si>
    <t>UAA-352</t>
  </si>
  <si>
    <t>GREEN TREE AVIATION TECHNOLOGY CO., LTD.</t>
  </si>
  <si>
    <t>UAA-353</t>
  </si>
  <si>
    <t>TOMZAJET S A DE C V</t>
  </si>
  <si>
    <t>UAA-354</t>
  </si>
  <si>
    <t>CAPSTONE HOLDINGS INC</t>
  </si>
  <si>
    <t>UAA-355</t>
  </si>
  <si>
    <t>ROLLINS, INC.</t>
  </si>
  <si>
    <t>UAA-356</t>
  </si>
  <si>
    <t>EXECUTIVE FLIGHT SERVICES LLC</t>
  </si>
  <si>
    <t>UAA-357</t>
  </si>
  <si>
    <t>WING AVIATION, INC.</t>
  </si>
  <si>
    <t>UAA-358</t>
  </si>
  <si>
    <t>LEUCADIA AVIATION, INC.</t>
  </si>
  <si>
    <t>UAA-359</t>
  </si>
  <si>
    <t>UNITED HEALTHCARE SERVICES, INC</t>
  </si>
  <si>
    <t>UAA-360</t>
  </si>
  <si>
    <t>SKYEMOTION GMBH</t>
  </si>
  <si>
    <t>UAA-361</t>
  </si>
  <si>
    <t>TANGO AIR</t>
  </si>
  <si>
    <t>UAA-362</t>
  </si>
  <si>
    <t>OWENS ILLINOIS- GENERAL, INC.</t>
  </si>
  <si>
    <t>UAA-363</t>
  </si>
  <si>
    <t>BERWIND CORPORATION</t>
  </si>
  <si>
    <t>UAA-364</t>
  </si>
  <si>
    <t>REVESCO AVIATION PTY LTD</t>
  </si>
  <si>
    <t>UAA-365</t>
  </si>
  <si>
    <t>SMOOTH ROUTE SDN BHD</t>
  </si>
  <si>
    <t>UAA-366</t>
  </si>
  <si>
    <t>TELUS</t>
  </si>
  <si>
    <t>UAA-367</t>
  </si>
  <si>
    <t>L-3 COMMUNICATIONS INTEGRATED SYSTEMS LP</t>
  </si>
  <si>
    <t>UAA-368</t>
  </si>
  <si>
    <t>PT ERSA EASTERN AVIATION</t>
  </si>
  <si>
    <t>UAA-369</t>
  </si>
  <si>
    <t>PACIFIC OCEAN SA</t>
  </si>
  <si>
    <t>UAA-370</t>
  </si>
  <si>
    <t>LYON AVIATION, INC.</t>
  </si>
  <si>
    <t>UAA-371</t>
  </si>
  <si>
    <t>EXECUJET AVIATION (PTY) LTD</t>
  </si>
  <si>
    <t>UAA-372</t>
  </si>
  <si>
    <t>AIR 7 LLC</t>
  </si>
  <si>
    <t>UAA-373</t>
  </si>
  <si>
    <t>HONG KONG JET</t>
  </si>
  <si>
    <t>UAA-374</t>
  </si>
  <si>
    <t>BEUTLIN LLC</t>
  </si>
  <si>
    <t>UAA-375</t>
  </si>
  <si>
    <t>INTERLAKEN CAPITAL AVIA SVCS INC</t>
  </si>
  <si>
    <t>UAA-376</t>
  </si>
  <si>
    <t>FREDEX LLC</t>
  </si>
  <si>
    <t>UAA-377</t>
  </si>
  <si>
    <t>ALASKA FINANCE HOLDINGS LLC</t>
  </si>
  <si>
    <t>UAA-378</t>
  </si>
  <si>
    <t>AEGEAN EXECUTIVE SA</t>
  </si>
  <si>
    <t>UAA-379</t>
  </si>
  <si>
    <t>AGENCY 7SEAS INC</t>
  </si>
  <si>
    <t>UAA-380</t>
  </si>
  <si>
    <t>TARGET CORPORATION</t>
  </si>
  <si>
    <t>UAA-381</t>
  </si>
  <si>
    <t>SINO JET MANAGEMENT LIMITED</t>
  </si>
  <si>
    <t>UAA-382</t>
  </si>
  <si>
    <t>GANDEL INVESTMENTS PTY LTD</t>
  </si>
  <si>
    <t>UAA-383</t>
  </si>
  <si>
    <t>GOLD STAR AVIATION PTE LTD</t>
  </si>
  <si>
    <t>UAA-384</t>
  </si>
  <si>
    <t>RESOLVE AIRCRAFT MANAGEMENT, LLC</t>
  </si>
  <si>
    <t>UAA-385</t>
  </si>
  <si>
    <t>AH FLEET SERVICES</t>
  </si>
  <si>
    <t>UAA-386</t>
  </si>
  <si>
    <t>PACIFIC EAGLE AVIATION LIMITED</t>
  </si>
  <si>
    <t>UAA-387</t>
  </si>
  <si>
    <t>AERO WAYS INC.</t>
  </si>
  <si>
    <t>UAA-388</t>
  </si>
  <si>
    <t>LEADER SRL</t>
  </si>
  <si>
    <t>UAA-389</t>
  </si>
  <si>
    <t>PATAGONIA FLY SA</t>
  </si>
  <si>
    <t>UAA-390</t>
  </si>
  <si>
    <t>HILL AIR CORP</t>
  </si>
  <si>
    <t>UAA-391</t>
  </si>
  <si>
    <t>CHIM CHIM AVIATION LLC</t>
  </si>
  <si>
    <t>UAA-392</t>
  </si>
  <si>
    <t>ASCP SERVICES LLC</t>
  </si>
  <si>
    <t>UAA-393</t>
  </si>
  <si>
    <t>NEWAGE AVIATION I LLC</t>
  </si>
  <si>
    <t>UAA-394</t>
  </si>
  <si>
    <t>WHITEWIND COMPANY, THE</t>
  </si>
  <si>
    <t>UAA-395</t>
  </si>
  <si>
    <t>TENCH COXE</t>
  </si>
  <si>
    <t>UAA-396</t>
  </si>
  <si>
    <t>ALN BERMUDA LTD</t>
  </si>
  <si>
    <t>UAA-397</t>
  </si>
  <si>
    <t>LORETO AVIATION SERVICES LIMITED</t>
  </si>
  <si>
    <t>UAA-398</t>
  </si>
  <si>
    <t>PIVOTAL VENTURES, LLC</t>
  </si>
  <si>
    <t>UAA-399</t>
  </si>
  <si>
    <t>AMIRI FLIGHT</t>
  </si>
  <si>
    <t>UAA-400</t>
  </si>
  <si>
    <t>ROYAL FLIGHT OMAN</t>
  </si>
  <si>
    <t>UAA-401</t>
  </si>
  <si>
    <t>DAR JANA</t>
  </si>
  <si>
    <t>UAA-402</t>
  </si>
  <si>
    <t>ASCEND AIRWAYS LIMITED</t>
  </si>
  <si>
    <t>UAA-403</t>
  </si>
  <si>
    <t>SEVEN VALLEYS VENTURES, LLC</t>
  </si>
  <si>
    <t>UAA-404</t>
  </si>
  <si>
    <t>DEERJET (HK) BUSINESS JET MANAGEMENT LTD</t>
  </si>
  <si>
    <t>UAA-405</t>
  </si>
  <si>
    <t>NORTHROP GRUMMAN SYSTEMS CORPORATION</t>
  </si>
  <si>
    <t>UAA-406</t>
  </si>
  <si>
    <t>AEROLINEAS EJECUTIVAS, S.A. DE C.V.</t>
  </si>
  <si>
    <t>UAA-407</t>
  </si>
  <si>
    <t>TUDOR INVESTMENT CORP</t>
  </si>
  <si>
    <t>UAA-408</t>
  </si>
  <si>
    <t>AERIUS MANAGEMENT LLC</t>
  </si>
  <si>
    <t>UAA-409</t>
  </si>
  <si>
    <t>SUMMER WIND EQUINE LLC</t>
  </si>
  <si>
    <t>UAA-410</t>
  </si>
  <si>
    <t>M.B. AVIATION, LLC</t>
  </si>
  <si>
    <t>UAA-411</t>
  </si>
  <si>
    <t>DOUBLE EAGLE EQUITY LP</t>
  </si>
  <si>
    <t>UAA-412</t>
  </si>
  <si>
    <t>CRESCENT HEIGHTS OF AMERICA, INC.</t>
  </si>
  <si>
    <t>UAA-413</t>
  </si>
  <si>
    <t>JETTIME A/S</t>
  </si>
  <si>
    <t>UAA-414</t>
  </si>
  <si>
    <t>JBS USA LLC</t>
  </si>
  <si>
    <t>UAA-415</t>
  </si>
  <si>
    <t>PETERSON HOLDING COMPANY</t>
  </si>
  <si>
    <t>UAA-416</t>
  </si>
  <si>
    <t>WING AVIATION CHARTER SERVICES LLC</t>
  </si>
  <si>
    <t>UAA-417</t>
  </si>
  <si>
    <t>ROBSON COMMUNITIES, INC.</t>
  </si>
  <si>
    <t>UAA-418</t>
  </si>
  <si>
    <t>THE GOODYEAR TIRE &amp; RUBBER CO.</t>
  </si>
  <si>
    <t>UAA-419</t>
  </si>
  <si>
    <t>ALKO 250, LLC</t>
  </si>
  <si>
    <t>UAA-420</t>
  </si>
  <si>
    <t>BRADLEYVILLE LTD</t>
  </si>
  <si>
    <t>UAA-421</t>
  </si>
  <si>
    <t>IHC HEALTH SERVICES, INC.</t>
  </si>
  <si>
    <t>UAA-422</t>
  </si>
  <si>
    <t>TSTC, LLC</t>
  </si>
  <si>
    <t>UAA-423</t>
  </si>
  <si>
    <t>PRESCOTT SUPPORT COMPANY</t>
  </si>
  <si>
    <t>UAA-424</t>
  </si>
  <si>
    <t>AUBURN OAK</t>
  </si>
  <si>
    <t>UAA-425</t>
  </si>
  <si>
    <t>LEVY BRANDS HOLDING LLC</t>
  </si>
  <si>
    <t>UAA-426</t>
  </si>
  <si>
    <t>TJ CAPITAL INVESTMENTS</t>
  </si>
  <si>
    <t>UAA-427</t>
  </si>
  <si>
    <t>BASE AVIATION LLC</t>
  </si>
  <si>
    <t>UAA-428</t>
  </si>
  <si>
    <t>FOREIGN MANUFACTURES FINANCE CORPORATION</t>
  </si>
  <si>
    <t>UAA-429</t>
  </si>
  <si>
    <t>AERO WAYS INC</t>
  </si>
  <si>
    <t>UAA-430</t>
  </si>
  <si>
    <t>DUBIN &amp; CO</t>
  </si>
  <si>
    <t>UAA-431</t>
  </si>
  <si>
    <t>INLINE AVIATION GROUP</t>
  </si>
  <si>
    <t>UAA-432</t>
  </si>
  <si>
    <t>STEEL SERVICES LTD.</t>
  </si>
  <si>
    <t>UAA-433</t>
  </si>
  <si>
    <t>THE SPANOS CORPORATION</t>
  </si>
  <si>
    <t>UAA-434</t>
  </si>
  <si>
    <t>CLOUDFLARE</t>
  </si>
  <si>
    <t>UAA-435</t>
  </si>
  <si>
    <t>TUTOR-SALIBA CORPORATION</t>
  </si>
  <si>
    <t>UAA-436</t>
  </si>
  <si>
    <t>THE TRAVELERS INDEMNITY CO.</t>
  </si>
  <si>
    <t>UAA-437</t>
  </si>
  <si>
    <t>REVOLUTION FLIGHT, LLC</t>
  </si>
  <si>
    <t>UAA-438</t>
  </si>
  <si>
    <t>BOMBARDIER INC</t>
  </si>
  <si>
    <t>UAA-439</t>
  </si>
  <si>
    <t>MOORE CAPITAL MANAGEMENT LP</t>
  </si>
  <si>
    <t>UAA-440</t>
  </si>
  <si>
    <t>LABORATORY CORP OF AMERICA HOLDINGS</t>
  </si>
  <si>
    <t>UAA-441</t>
  </si>
  <si>
    <t>BERJAYA AIR SDN BHD</t>
  </si>
  <si>
    <t>UAA-442</t>
  </si>
  <si>
    <t>SUPERIOR TRANSPORTATION ASSOC INC DBA STAJETS</t>
  </si>
  <si>
    <t>UAA-443</t>
  </si>
  <si>
    <t>AEGLE AVIATION LIMITED</t>
  </si>
  <si>
    <t>UAA-444</t>
  </si>
  <si>
    <t>ML AVIATION PTY LTD</t>
  </si>
  <si>
    <t>UAA-445</t>
  </si>
  <si>
    <t>RHYS VINEYARDS, LLC</t>
  </si>
  <si>
    <t>UAA-ACF-001</t>
  </si>
  <si>
    <t>UAA-ACF-002</t>
  </si>
  <si>
    <t>UAA-ACF-003</t>
  </si>
  <si>
    <t>UAA-ACF-004</t>
  </si>
  <si>
    <t>UAA-ACF-005</t>
  </si>
  <si>
    <t>UAA-ACF-006</t>
  </si>
  <si>
    <t>UAA-ACF-007</t>
  </si>
  <si>
    <t>UAA-ACF-008</t>
  </si>
  <si>
    <t>UAA-ACF-009</t>
  </si>
  <si>
    <t>UAA-ACF-010</t>
  </si>
  <si>
    <t>UAA-ACF-011</t>
  </si>
  <si>
    <t>UAA-ACF-012</t>
  </si>
  <si>
    <t>UAA-ACF-013</t>
  </si>
  <si>
    <t>UAA-ACF-014</t>
  </si>
  <si>
    <t>UAA-ACF-015</t>
  </si>
  <si>
    <t>UAA-ACF-016</t>
  </si>
  <si>
    <t>UAA-ACF-017</t>
  </si>
  <si>
    <t>UAA-ACF-018</t>
  </si>
  <si>
    <t>UAA-ACF-019</t>
  </si>
  <si>
    <t>UAA-ACF-020</t>
  </si>
  <si>
    <t>UAA-ACF-021</t>
  </si>
  <si>
    <t>UAA-ACF-022</t>
  </si>
  <si>
    <t>UAA-ACF-023</t>
  </si>
  <si>
    <t>UAA-ACF-024</t>
  </si>
  <si>
    <t>UAA-ACF-025</t>
  </si>
  <si>
    <t>UAA-ACF-026</t>
  </si>
  <si>
    <t>UAA-ACF-027</t>
  </si>
  <si>
    <t>UAA-ACF-028</t>
  </si>
  <si>
    <t>UAA-ACF-029</t>
  </si>
  <si>
    <t>UAA-ACF-030</t>
  </si>
  <si>
    <t>UAA-ACF-031</t>
  </si>
  <si>
    <t>UAA-ACF-032</t>
  </si>
  <si>
    <t>UAA-ACF-033</t>
  </si>
  <si>
    <t>UAA-ACF-034</t>
  </si>
  <si>
    <t>UAA-ACF-035</t>
  </si>
  <si>
    <t>UAA-ACF-036</t>
  </si>
  <si>
    <t>UAA-ACF-037</t>
  </si>
  <si>
    <t>UAA-ACF-038</t>
  </si>
  <si>
    <t>UAA-ACF-039</t>
  </si>
  <si>
    <t>UAA-ACF-040</t>
  </si>
  <si>
    <t>UAA-ACF-041</t>
  </si>
  <si>
    <t>UAA-ACF-042</t>
  </si>
  <si>
    <t>UAA-ACF-043</t>
  </si>
  <si>
    <t>UAA-ACF-044</t>
  </si>
  <si>
    <t>UAA-ACF-045</t>
  </si>
  <si>
    <t>UAA-ACF-046</t>
  </si>
  <si>
    <t>UAA-ACF-047</t>
  </si>
  <si>
    <t>UAA-ACF-048</t>
  </si>
  <si>
    <t>UAA-ACF-049</t>
  </si>
  <si>
    <t>UAA-ACF-050</t>
  </si>
  <si>
    <t>UAA-ACF-051</t>
  </si>
  <si>
    <t>UAA-ACF-052</t>
  </si>
  <si>
    <t>UAA-ACF-053</t>
  </si>
  <si>
    <t>UAA-ACF-054</t>
  </si>
  <si>
    <t>UAA-ACF-055</t>
  </si>
  <si>
    <t>UAA-ACF-056</t>
  </si>
  <si>
    <t>UAA-ACF-057</t>
  </si>
  <si>
    <t>UAA-ACF-058</t>
  </si>
  <si>
    <t>UAA-ACF-059</t>
  </si>
  <si>
    <t>UAA-ACF-060</t>
  </si>
  <si>
    <t>UAA-ACF-061</t>
  </si>
  <si>
    <t>UAA-ACF-062</t>
  </si>
  <si>
    <t>UAA-ACF-063</t>
  </si>
  <si>
    <t>UAA-ACF-064</t>
  </si>
  <si>
    <t>UAA-ACF-065</t>
  </si>
  <si>
    <t>UAA-ACF-066</t>
  </si>
  <si>
    <t>UAA-ACF-067</t>
  </si>
  <si>
    <t>UAA-ACF-068</t>
  </si>
  <si>
    <t>UAA-ACF-069</t>
  </si>
  <si>
    <t>UAA-ACF-070</t>
  </si>
  <si>
    <t>UAA-ACF-071</t>
  </si>
  <si>
    <t>UAA-ACF-072</t>
  </si>
  <si>
    <t>UAA-ACF-073</t>
  </si>
  <si>
    <t>UAA-ACF-074</t>
  </si>
  <si>
    <t>UAA-ACF-075</t>
  </si>
  <si>
    <t>UAA-ACF-076</t>
  </si>
  <si>
    <t>UAA-ACF-077</t>
  </si>
  <si>
    <t>UAA-ACF-078</t>
  </si>
  <si>
    <t>UAA-ACF-079</t>
  </si>
  <si>
    <t>UAA-ACF-080</t>
  </si>
  <si>
    <t>UAA-ACF-081</t>
  </si>
  <si>
    <t>UAA-ACF-082</t>
  </si>
  <si>
    <t>UAA-ACF-083</t>
  </si>
  <si>
    <t>UAA-ACF-084</t>
  </si>
  <si>
    <t>UAA-ACF-085</t>
  </si>
  <si>
    <t>UAA-ACF-086</t>
  </si>
  <si>
    <t>UAA-ACF-087</t>
  </si>
  <si>
    <t>UAA-ACF-088</t>
  </si>
  <si>
    <t>UAA-ACF-089</t>
  </si>
  <si>
    <t>UAA-ACF-090</t>
  </si>
  <si>
    <t>UAA-ACF-091</t>
  </si>
  <si>
    <t>UAA-ACF-092</t>
  </si>
  <si>
    <t>UAA-ACF-093</t>
  </si>
  <si>
    <t>UAA-ACF-094</t>
  </si>
  <si>
    <t>UAA-ACF-095</t>
  </si>
  <si>
    <t>UAA-ACF-096</t>
  </si>
  <si>
    <t>UAA-ACF-097</t>
  </si>
  <si>
    <t>UAA-ACF-098</t>
  </si>
  <si>
    <t>UAA-ACF-099</t>
  </si>
  <si>
    <t>UAA-ACF-100</t>
  </si>
  <si>
    <t>UAA-ACF-101</t>
  </si>
  <si>
    <t>UAA-ACF-102</t>
  </si>
  <si>
    <t>UAA-ACF-103</t>
  </si>
  <si>
    <t>UAA-ACF-104</t>
  </si>
  <si>
    <t>UAA-ACF-105</t>
  </si>
  <si>
    <t>UAA-ACF-106</t>
  </si>
  <si>
    <t>UAA-ACF-107</t>
  </si>
  <si>
    <t>UAA-ACF-108</t>
  </si>
  <si>
    <t>UAA-ACF-109</t>
  </si>
  <si>
    <t>UAA-ACF-110</t>
  </si>
  <si>
    <t>UAA-ACF-111</t>
  </si>
  <si>
    <t>UAA-ACF-112</t>
  </si>
  <si>
    <t>UAA-ACF-113</t>
  </si>
  <si>
    <t>UAA-ACF-114</t>
  </si>
  <si>
    <t>UAA-ACF-115</t>
  </si>
  <si>
    <t>UAA-ACF-116</t>
  </si>
  <si>
    <t>UAA-ACF-117</t>
  </si>
  <si>
    <t>UAA-ACF-118</t>
  </si>
  <si>
    <t>UAA-ACF-119</t>
  </si>
  <si>
    <t>UAA-ACF-120</t>
  </si>
  <si>
    <t>UAA-ACF-121</t>
  </si>
  <si>
    <t>UAA-ACF-122</t>
  </si>
  <si>
    <t>UAA-ACF-123</t>
  </si>
  <si>
    <t>UAA-ACF-124</t>
  </si>
  <si>
    <t>UAA-ACF-125</t>
  </si>
  <si>
    <t>UAA-ACF-126</t>
  </si>
  <si>
    <t>UAA-ACF-127</t>
  </si>
  <si>
    <t>UAA-ACF-128</t>
  </si>
  <si>
    <t>UAA-ACF-129</t>
  </si>
  <si>
    <t>UAA-ACF-130</t>
  </si>
  <si>
    <t>UAA-ACF-131</t>
  </si>
  <si>
    <t>UAA-ACF-132</t>
  </si>
  <si>
    <t>UAA-ACF-133</t>
  </si>
  <si>
    <t>UAA-ACF-134</t>
  </si>
  <si>
    <t>UAA-ACF-135</t>
  </si>
  <si>
    <t>UAA-ACF-136</t>
  </si>
  <si>
    <t>UAA-ACF-137</t>
  </si>
  <si>
    <t>UAA-ACF-138</t>
  </si>
  <si>
    <t>UAA-ACF-139</t>
  </si>
  <si>
    <t>UAA-ACF-140</t>
  </si>
  <si>
    <t>UAA-ACF-141</t>
  </si>
  <si>
    <t>UAA-ACF-142</t>
  </si>
  <si>
    <t>UAA-ACF-143</t>
  </si>
  <si>
    <t>UAA-ACF-144</t>
  </si>
  <si>
    <t>UAA-ACF-145</t>
  </si>
  <si>
    <t>UAA-ACF-146</t>
  </si>
  <si>
    <t>UAA-ACF-147</t>
  </si>
  <si>
    <t>UAA-ACF-148</t>
  </si>
  <si>
    <t>UAA-ACF-149</t>
  </si>
  <si>
    <t>UAA-ACF-150</t>
  </si>
  <si>
    <t>UAA-ACF-151</t>
  </si>
  <si>
    <t>UAA-ACF-152</t>
  </si>
  <si>
    <t>UAA-ACF-153</t>
  </si>
  <si>
    <t>UAA-ACF-154</t>
  </si>
  <si>
    <t>UAA-ACF-155</t>
  </si>
  <si>
    <t>UAA-ACF-156</t>
  </si>
  <si>
    <t>UAA-ACF-157</t>
  </si>
  <si>
    <t>UAA-ACF-158</t>
  </si>
  <si>
    <t>UAA-ACF-159</t>
  </si>
  <si>
    <t>UAA-ACF-160</t>
  </si>
  <si>
    <t>UAA-ACF-161</t>
  </si>
  <si>
    <t>UAA-ACF-162</t>
  </si>
  <si>
    <t>UAA-ACF-163</t>
  </si>
  <si>
    <t>UAA-ACF-164</t>
  </si>
  <si>
    <t>UAA-ACF-165</t>
  </si>
  <si>
    <t>UAA-ACF-166</t>
  </si>
  <si>
    <t>UAA-ACF-167</t>
  </si>
  <si>
    <t>UAA-ACF-168</t>
  </si>
  <si>
    <t>UAA-ACF-169</t>
  </si>
  <si>
    <t>UAA-ACF-170</t>
  </si>
  <si>
    <t>UAA-ACF-171</t>
  </si>
  <si>
    <t>UAA-ACF-172</t>
  </si>
  <si>
    <t>UAA-ACF-173</t>
  </si>
  <si>
    <t>UAA-ACF-174</t>
  </si>
  <si>
    <t>UAA-ACF-175</t>
  </si>
  <si>
    <t>UAA-ACF-176</t>
  </si>
  <si>
    <t>UAA-ACF-177</t>
  </si>
  <si>
    <t>UAA-ACF-178</t>
  </si>
  <si>
    <t>UAA-ACF-179</t>
  </si>
  <si>
    <t>UAA-ACF-180</t>
  </si>
  <si>
    <t>UAA-ACF-181</t>
  </si>
  <si>
    <t>UAA-ACF-182</t>
  </si>
  <si>
    <t>UAA-ACF-183</t>
  </si>
  <si>
    <t>UAA-ACF-184</t>
  </si>
  <si>
    <t>UAA-ACF-185</t>
  </si>
  <si>
    <t>UAA-ACF-186</t>
  </si>
  <si>
    <t>UAA-ACF-187</t>
  </si>
  <si>
    <t>UAA-ACF-188</t>
  </si>
  <si>
    <t>UAA-ACF-189</t>
  </si>
  <si>
    <t>UAA-ACF-190</t>
  </si>
  <si>
    <t>UAA-ACF-191</t>
  </si>
  <si>
    <t>UAA-ACF-192</t>
  </si>
  <si>
    <t>UAA-ACF-193</t>
  </si>
  <si>
    <t>UAA-ACF-194</t>
  </si>
  <si>
    <t>UAA-ACF-195</t>
  </si>
  <si>
    <t>UAA-ACF-196</t>
  </si>
  <si>
    <t>UAA-ACF-197</t>
  </si>
  <si>
    <t>UAA-ACF-198</t>
  </si>
  <si>
    <t>UAA-ACF-199</t>
  </si>
  <si>
    <t>UAA-ACF-200</t>
  </si>
  <si>
    <t>UAA-ACF-201</t>
  </si>
  <si>
    <t>UAA-ACF-202</t>
  </si>
  <si>
    <t>UAA-ACF-203</t>
  </si>
  <si>
    <t>UAA-ACF-204</t>
  </si>
  <si>
    <t>UAA-ACF-205</t>
  </si>
  <si>
    <t>UAA-ACF-206</t>
  </si>
  <si>
    <t>UAA-ACF-207</t>
  </si>
  <si>
    <t>UAA-ACF-208</t>
  </si>
  <si>
    <t>UAA-ACF-209</t>
  </si>
  <si>
    <t>UAA-ACF-210</t>
  </si>
  <si>
    <t>UAA-ACF-211</t>
  </si>
  <si>
    <t>UAA-ACF-212</t>
  </si>
  <si>
    <t>UAA-ACF-213</t>
  </si>
  <si>
    <t>UAA-ACF-214</t>
  </si>
  <si>
    <t>UAA-ACF-215</t>
  </si>
  <si>
    <t>UAA-ACF-216</t>
  </si>
  <si>
    <t>UAA-ACF-217</t>
  </si>
  <si>
    <t>UAA-ACF-218</t>
  </si>
  <si>
    <t>UAA-ACF-219</t>
  </si>
  <si>
    <t>UAA-ACF-220</t>
  </si>
  <si>
    <t>UAA-ACF-221</t>
  </si>
  <si>
    <t>UAA-ACF-222</t>
  </si>
  <si>
    <t>UAA-ACF-223</t>
  </si>
  <si>
    <t>UAA-ACF-224</t>
  </si>
  <si>
    <t>UAA-ACF-225</t>
  </si>
  <si>
    <t>UAA-ACF-226</t>
  </si>
  <si>
    <t>UAA-ACF-227</t>
  </si>
  <si>
    <t>UAA-ACF-228</t>
  </si>
  <si>
    <t>UAA-ACF-229</t>
  </si>
  <si>
    <t>UAA-ACF-230</t>
  </si>
  <si>
    <t>UAA-ACF-231</t>
  </si>
  <si>
    <t>UAA-ACF-232</t>
  </si>
  <si>
    <t>UAA-ACF-233</t>
  </si>
  <si>
    <t>UAA-ACF-234</t>
  </si>
  <si>
    <t>UAA-ACF-235</t>
  </si>
  <si>
    <t>UAA-ACF-236</t>
  </si>
  <si>
    <t>UAA-ACF-237</t>
  </si>
  <si>
    <t>UAA-ACF-238</t>
  </si>
  <si>
    <t>UAA-ACF-239</t>
  </si>
  <si>
    <t>UAA-ACF-240</t>
  </si>
  <si>
    <t>UAA-ACF-241</t>
  </si>
  <si>
    <t>UAA-ACF-242</t>
  </si>
  <si>
    <t>UAA-ACF-243</t>
  </si>
  <si>
    <t>UAA-ACF-244</t>
  </si>
  <si>
    <t>UAA-ACF-245</t>
  </si>
  <si>
    <t>UAA-ACF-246</t>
  </si>
  <si>
    <t>UAA-ACF-247</t>
  </si>
  <si>
    <t>UAA-ACF-248</t>
  </si>
  <si>
    <t>UAA-ACF-249</t>
  </si>
  <si>
    <t>UAA-ACF-250</t>
  </si>
  <si>
    <t>UAA-ACF-251</t>
  </si>
  <si>
    <t>UAA-ACF-252</t>
  </si>
  <si>
    <t>UAA-ACF-253</t>
  </si>
  <si>
    <t>UAA-ACF-254</t>
  </si>
  <si>
    <t>UAA-ACF-255</t>
  </si>
  <si>
    <t>UAA-ACF-256</t>
  </si>
  <si>
    <t>UAA-ACF-257</t>
  </si>
  <si>
    <t>UAA-ACF-258</t>
  </si>
  <si>
    <t>UAA-ACF-259</t>
  </si>
  <si>
    <t>UAA-ACF-260</t>
  </si>
  <si>
    <t>UAA-ACF-261</t>
  </si>
  <si>
    <t>UAA-ACF-262</t>
  </si>
  <si>
    <t>UAA-ACF-263</t>
  </si>
  <si>
    <t>UAA-ACF-264</t>
  </si>
  <si>
    <t>UAA-ACF-265</t>
  </si>
  <si>
    <t>UAA-ACF-266</t>
  </si>
  <si>
    <t>UAA-ACF-267</t>
  </si>
  <si>
    <t>UAA-ACF-268</t>
  </si>
  <si>
    <t>UAA-ACF-269</t>
  </si>
  <si>
    <t>UAA-ACF-270</t>
  </si>
  <si>
    <t>UAA-ACF-271</t>
  </si>
  <si>
    <t>UAA-ACF-272</t>
  </si>
  <si>
    <t>UAA-ACF-273</t>
  </si>
  <si>
    <t>UAA-ACF-274</t>
  </si>
  <si>
    <t>UAA-ACF-275</t>
  </si>
  <si>
    <t>UAA-ACF-276</t>
  </si>
  <si>
    <t>UAA-ACF-277</t>
  </si>
  <si>
    <t>UAA-ACF-278</t>
  </si>
  <si>
    <t>UAA-ACF-279</t>
  </si>
  <si>
    <t>UAA-ACF-280</t>
  </si>
  <si>
    <t>UAA-ACF-281</t>
  </si>
  <si>
    <t>UAA-ACF-282</t>
  </si>
  <si>
    <t>UAA-ACF-283</t>
  </si>
  <si>
    <t>UAA-ACF-284</t>
  </si>
  <si>
    <t>UAA-ACF-285</t>
  </si>
  <si>
    <t>UAA-ACF-286</t>
  </si>
  <si>
    <t>UAA-ACF-287</t>
  </si>
  <si>
    <t>UAA-ACF-288</t>
  </si>
  <si>
    <t>UAA-ACF-289</t>
  </si>
  <si>
    <t>UAA-ACF-290</t>
  </si>
  <si>
    <t>2RLET</t>
  </si>
  <si>
    <t>3AMGA</t>
  </si>
  <si>
    <t>5NFGS</t>
  </si>
  <si>
    <t>5NFGT</t>
  </si>
  <si>
    <t>5NFGU</t>
  </si>
  <si>
    <t>5NFGZ</t>
  </si>
  <si>
    <t>APGAK</t>
  </si>
  <si>
    <t>B652E</t>
  </si>
  <si>
    <t>B8196</t>
  </si>
  <si>
    <t>B8260</t>
  </si>
  <si>
    <t>BKVC</t>
  </si>
  <si>
    <t>CFABH</t>
  </si>
  <si>
    <t>CFXDB</t>
  </si>
  <si>
    <t>D2ANH</t>
  </si>
  <si>
    <t>D2ANT</t>
  </si>
  <si>
    <t>DABMW</t>
  </si>
  <si>
    <t>DAUTO</t>
  </si>
  <si>
    <t>DBOOK</t>
  </si>
  <si>
    <t>DCNEU</t>
  </si>
  <si>
    <t>FAB2853</t>
  </si>
  <si>
    <t>FAB2857</t>
  </si>
  <si>
    <t>FGIPH</t>
  </si>
  <si>
    <t>FHITX</t>
  </si>
  <si>
    <t>FWAVE</t>
  </si>
  <si>
    <t>FWZOA</t>
  </si>
  <si>
    <t>GPOWM</t>
  </si>
  <si>
    <t>GOATW</t>
  </si>
  <si>
    <t>GXATW</t>
  </si>
  <si>
    <t>GZAPX</t>
  </si>
  <si>
    <t>HBJLF</t>
  </si>
  <si>
    <t>HL7227</t>
  </si>
  <si>
    <t>HL8372</t>
  </si>
  <si>
    <t>HSPGZ</t>
  </si>
  <si>
    <t>HZATH</t>
  </si>
  <si>
    <t>HZATR</t>
  </si>
  <si>
    <t>HZNSA</t>
  </si>
  <si>
    <t>HZWBT7</t>
  </si>
  <si>
    <t>ILUXO</t>
  </si>
  <si>
    <t>IRL283</t>
  </si>
  <si>
    <t>IXPRA</t>
  </si>
  <si>
    <t>LVBSS</t>
  </si>
  <si>
    <t>MAERO</t>
  </si>
  <si>
    <t>MCVGL</t>
  </si>
  <si>
    <t>MLCFC</t>
  </si>
  <si>
    <t>MOEPL</t>
  </si>
  <si>
    <t>MSFPL</t>
  </si>
  <si>
    <t>MSTAR</t>
  </si>
  <si>
    <t>N100AY</t>
  </si>
  <si>
    <t>N100HG</t>
  </si>
  <si>
    <t>N100XS</t>
  </si>
  <si>
    <t>N100XV</t>
  </si>
  <si>
    <t>N102GN</t>
  </si>
  <si>
    <t>N103GA</t>
  </si>
  <si>
    <t>N1088</t>
  </si>
  <si>
    <t>N113CS</t>
  </si>
  <si>
    <t>N115TR</t>
  </si>
  <si>
    <t>N117AL</t>
  </si>
  <si>
    <t>N125GA</t>
  </si>
  <si>
    <t>N1307X</t>
  </si>
  <si>
    <t>N137ZM</t>
  </si>
  <si>
    <t>N144S</t>
  </si>
  <si>
    <t>N148B</t>
  </si>
  <si>
    <t>N148L</t>
  </si>
  <si>
    <t>N150BC</t>
  </si>
  <si>
    <t>N151B</t>
  </si>
  <si>
    <t>N15GX</t>
  </si>
  <si>
    <t>N161B</t>
  </si>
  <si>
    <t>N16XY</t>
  </si>
  <si>
    <t>N173CN</t>
  </si>
  <si>
    <t>N178AS</t>
  </si>
  <si>
    <t>N17RX</t>
  </si>
  <si>
    <t>N180LD</t>
  </si>
  <si>
    <t>N1812C</t>
  </si>
  <si>
    <t>N1872N</t>
  </si>
  <si>
    <t>N18MZ</t>
  </si>
  <si>
    <t>N1901G</t>
  </si>
  <si>
    <t>N193LA</t>
  </si>
  <si>
    <t>N193RA</t>
  </si>
  <si>
    <t>N194W</t>
  </si>
  <si>
    <t>N194WM</t>
  </si>
  <si>
    <t>N1955M</t>
  </si>
  <si>
    <t>N1967J</t>
  </si>
  <si>
    <t>N1F</t>
  </si>
  <si>
    <t>N1RH</t>
  </si>
  <si>
    <t>N1WW</t>
  </si>
  <si>
    <t>N200A</t>
  </si>
  <si>
    <t>N215TM</t>
  </si>
  <si>
    <t>N219BY</t>
  </si>
  <si>
    <t>N223A</t>
  </si>
  <si>
    <t>N224BH</t>
  </si>
  <si>
    <t>N227SJ</t>
  </si>
  <si>
    <t>N228SS</t>
  </si>
  <si>
    <t>N232G</t>
  </si>
  <si>
    <t>N235BH</t>
  </si>
  <si>
    <t>N236MJ</t>
  </si>
  <si>
    <t>N244DS</t>
  </si>
  <si>
    <t>N245BD</t>
  </si>
  <si>
    <t>N248LX</t>
  </si>
  <si>
    <t>N252DV</t>
  </si>
  <si>
    <t>N254DV</t>
  </si>
  <si>
    <t>N25CP</t>
  </si>
  <si>
    <t>N265HT</t>
  </si>
  <si>
    <t>N2679C</t>
  </si>
  <si>
    <t>N267BW</t>
  </si>
  <si>
    <t>N271DV</t>
  </si>
  <si>
    <t>N272BC</t>
  </si>
  <si>
    <t>N2731G</t>
  </si>
  <si>
    <t>N278EE</t>
  </si>
  <si>
    <t>N278L</t>
  </si>
  <si>
    <t>N280PH</t>
  </si>
  <si>
    <t>N298AL</t>
  </si>
  <si>
    <t>N2E</t>
  </si>
  <si>
    <t>N2PG</t>
  </si>
  <si>
    <t>N2T</t>
  </si>
  <si>
    <t>N300A</t>
  </si>
  <si>
    <t>N302AK</t>
  </si>
  <si>
    <t>N3030Z</t>
  </si>
  <si>
    <t>N303HM</t>
  </si>
  <si>
    <t>N306MA</t>
  </si>
  <si>
    <t>N307LC</t>
  </si>
  <si>
    <t>N312AT</t>
  </si>
  <si>
    <t>N316VB</t>
  </si>
  <si>
    <t>N321AK</t>
  </si>
  <si>
    <t>N326K</t>
  </si>
  <si>
    <t>N328FJ</t>
  </si>
  <si>
    <t>N330AU</t>
  </si>
  <si>
    <t>N350KV</t>
  </si>
  <si>
    <t>N358EE</t>
  </si>
  <si>
    <t>N358V</t>
  </si>
  <si>
    <t>N360HP</t>
  </si>
  <si>
    <t>N360LA</t>
  </si>
  <si>
    <t>N360LF</t>
  </si>
  <si>
    <t>N360SL</t>
  </si>
  <si>
    <t>N375KR</t>
  </si>
  <si>
    <t>N380SE</t>
  </si>
  <si>
    <t>N388GC</t>
  </si>
  <si>
    <t>N3ED</t>
  </si>
  <si>
    <t>N404NA</t>
  </si>
  <si>
    <t>N405QS</t>
  </si>
  <si>
    <t>N413PH</t>
  </si>
  <si>
    <t>N415FT</t>
  </si>
  <si>
    <t>N415P</t>
  </si>
  <si>
    <t>N4444X</t>
  </si>
  <si>
    <t>N444R</t>
  </si>
  <si>
    <t>N444WT</t>
  </si>
  <si>
    <t>N445DB</t>
  </si>
  <si>
    <t>N450AB</t>
  </si>
  <si>
    <t>N451KR</t>
  </si>
  <si>
    <t>N454AJ</t>
  </si>
  <si>
    <t>N45GX</t>
  </si>
  <si>
    <t>N474KA</t>
  </si>
  <si>
    <t>N474MJ</t>
  </si>
  <si>
    <t>N475LC</t>
  </si>
  <si>
    <t>N476V</t>
  </si>
  <si>
    <t>N477RH</t>
  </si>
  <si>
    <t>N478GS</t>
  </si>
  <si>
    <t>N47EG</t>
  </si>
  <si>
    <t>N480VR</t>
  </si>
  <si>
    <t>N485FW</t>
  </si>
  <si>
    <t>N489VR</t>
  </si>
  <si>
    <t>N48EN</t>
  </si>
  <si>
    <t>N497EC</t>
  </si>
  <si>
    <t>N5000X</t>
  </si>
  <si>
    <t>N500H</t>
  </si>
  <si>
    <t>N500RG</t>
  </si>
  <si>
    <t>N501HM</t>
  </si>
  <si>
    <t>N504AC</t>
  </si>
  <si>
    <t>N505GD</t>
  </si>
  <si>
    <t>N50NU</t>
  </si>
  <si>
    <t>N519CP</t>
  </si>
  <si>
    <t>N520EM</t>
  </si>
  <si>
    <t>N521GV</t>
  </si>
  <si>
    <t>N523AC</t>
  </si>
  <si>
    <t>N525L</t>
  </si>
  <si>
    <t>N533SF</t>
  </si>
  <si>
    <t>N5346M</t>
  </si>
  <si>
    <t>N535V</t>
  </si>
  <si>
    <t>N537GS</t>
  </si>
  <si>
    <t>N539JS</t>
  </si>
  <si>
    <t>N540W</t>
  </si>
  <si>
    <t>N545C</t>
  </si>
  <si>
    <t>N550DR</t>
  </si>
  <si>
    <t>N550GA</t>
  </si>
  <si>
    <t>N550RP</t>
  </si>
  <si>
    <t>N550SN</t>
  </si>
  <si>
    <t>N551CB</t>
  </si>
  <si>
    <t>N551SN</t>
  </si>
  <si>
    <t>N552SN</t>
  </si>
  <si>
    <t>N552YM</t>
  </si>
  <si>
    <t>N555AD</t>
  </si>
  <si>
    <t>N556CH</t>
  </si>
  <si>
    <t>N55PJ</t>
  </si>
  <si>
    <t>N565JT</t>
  </si>
  <si>
    <t>N584FE</t>
  </si>
  <si>
    <t>N585G</t>
  </si>
  <si>
    <t>N587G</t>
  </si>
  <si>
    <t>N588GA</t>
  </si>
  <si>
    <t>N588PX</t>
  </si>
  <si>
    <t>N588SE</t>
  </si>
  <si>
    <t>N592CL</t>
  </si>
  <si>
    <t>N595MP</t>
  </si>
  <si>
    <t>N599CH</t>
  </si>
  <si>
    <t>N5GG</t>
  </si>
  <si>
    <t>N600AR</t>
  </si>
  <si>
    <t>N600RG</t>
  </si>
  <si>
    <t>N601CH</t>
  </si>
  <si>
    <t>N602EE</t>
  </si>
  <si>
    <t>N605JL</t>
  </si>
  <si>
    <t>N605LC</t>
  </si>
  <si>
    <t>N605RB</t>
  </si>
  <si>
    <t>N60TE</t>
  </si>
  <si>
    <t>N610AW</t>
  </si>
  <si>
    <t>N610CX</t>
  </si>
  <si>
    <t>N611PL</t>
  </si>
  <si>
    <t>N611TX</t>
  </si>
  <si>
    <t>N61318</t>
  </si>
  <si>
    <t>N613AQ</t>
  </si>
  <si>
    <t>N614GA</t>
  </si>
  <si>
    <t>N616MP</t>
  </si>
  <si>
    <t>N617GA</t>
  </si>
  <si>
    <t>N622JD</t>
  </si>
  <si>
    <t>N626JE</t>
  </si>
  <si>
    <t>N650AD</t>
  </si>
  <si>
    <t>N650AF</t>
  </si>
  <si>
    <t>N650BA</t>
  </si>
  <si>
    <t>N650MT</t>
  </si>
  <si>
    <t>N651BA</t>
  </si>
  <si>
    <t>N652WE</t>
  </si>
  <si>
    <t>N65KL</t>
  </si>
  <si>
    <t>N65WL</t>
  </si>
  <si>
    <t>N661CH</t>
  </si>
  <si>
    <t>N672WM</t>
  </si>
  <si>
    <t>N673MC</t>
  </si>
  <si>
    <t>N673MM</t>
  </si>
  <si>
    <t>N673WM</t>
  </si>
  <si>
    <t>N674WM</t>
  </si>
  <si>
    <t>N677GX</t>
  </si>
  <si>
    <t>N68KJ</t>
  </si>
  <si>
    <t>N68KP</t>
  </si>
  <si>
    <t>N696GA</t>
  </si>
  <si>
    <t>N69JU</t>
  </si>
  <si>
    <t>N6FE</t>
  </si>
  <si>
    <t>N702GD</t>
  </si>
  <si>
    <t>N703LA</t>
  </si>
  <si>
    <t>N705LT</t>
  </si>
  <si>
    <t>N70LF</t>
  </si>
  <si>
    <t>N711AL</t>
  </si>
  <si>
    <t>N711MC</t>
  </si>
  <si>
    <t>N711RH</t>
  </si>
  <si>
    <t>N711TQ</t>
  </si>
  <si>
    <t>N713TS</t>
  </si>
  <si>
    <t>N715TS</t>
  </si>
  <si>
    <t>N716CG</t>
  </si>
  <si>
    <t>N717GL</t>
  </si>
  <si>
    <t>N717KD</t>
  </si>
  <si>
    <t>N719SA</t>
  </si>
  <si>
    <t>N71BD</t>
  </si>
  <si>
    <t>N721KJ</t>
  </si>
  <si>
    <t>N721L</t>
  </si>
  <si>
    <t>N721V</t>
  </si>
  <si>
    <t>N724JJ</t>
  </si>
  <si>
    <t>N7325</t>
  </si>
  <si>
    <t>N737AG</t>
  </si>
  <si>
    <t>N73RP</t>
  </si>
  <si>
    <t>N744C</t>
  </si>
  <si>
    <t>N758PB</t>
  </si>
  <si>
    <t>N75KE</t>
  </si>
  <si>
    <t>N762MS</t>
  </si>
  <si>
    <t>N76VZ</t>
  </si>
  <si>
    <t>N770BB</t>
  </si>
  <si>
    <t>N774GT</t>
  </si>
  <si>
    <t>N776BT</t>
  </si>
  <si>
    <t>N777SJ</t>
  </si>
  <si>
    <t>N780RW</t>
  </si>
  <si>
    <t>N787LP</t>
  </si>
  <si>
    <t>N792MP</t>
  </si>
  <si>
    <t>N797CT</t>
  </si>
  <si>
    <t>N797CX</t>
  </si>
  <si>
    <t>N797KK</t>
  </si>
  <si>
    <t>N7JP</t>
  </si>
  <si>
    <t>N7KM</t>
  </si>
  <si>
    <t>N7RX</t>
  </si>
  <si>
    <t>N800JH</t>
  </si>
  <si>
    <t>N801KF</t>
  </si>
  <si>
    <t>N805FT</t>
  </si>
  <si>
    <t>N806AG</t>
  </si>
  <si>
    <t>N808LG</t>
  </si>
  <si>
    <t>N808ME</t>
  </si>
  <si>
    <t>CL60</t>
  </si>
  <si>
    <t>F2TH</t>
  </si>
  <si>
    <t>F900</t>
  </si>
  <si>
    <t>GA6C</t>
  </si>
  <si>
    <t>KC39</t>
  </si>
  <si>
    <t>E390</t>
  </si>
  <si>
    <t>FA10</t>
  </si>
  <si>
    <t>FA6X</t>
  </si>
  <si>
    <t>A21N</t>
  </si>
  <si>
    <t>B752</t>
  </si>
  <si>
    <t>GL7T</t>
  </si>
  <si>
    <t>B739</t>
  </si>
  <si>
    <t>A310</t>
  </si>
  <si>
    <t>GLF4</t>
  </si>
  <si>
    <t>CL30</t>
  </si>
  <si>
    <t>GL5T</t>
  </si>
  <si>
    <t>B722</t>
  </si>
  <si>
    <t>GA5C</t>
  </si>
  <si>
    <t>GALX</t>
  </si>
  <si>
    <t>E55P</t>
  </si>
  <si>
    <t>E550</t>
  </si>
  <si>
    <t>C130</t>
  </si>
  <si>
    <t>E545</t>
  </si>
  <si>
    <t>DC10</t>
  </si>
  <si>
    <t>LJ35</t>
  </si>
  <si>
    <t>FA20</t>
  </si>
  <si>
    <t>C25B</t>
  </si>
  <si>
    <t>C680</t>
  </si>
  <si>
    <t>MD11</t>
  </si>
  <si>
    <t>GA7C</t>
  </si>
  <si>
    <t>NIGERIA</t>
  </si>
  <si>
    <t>Team TEU | A2G YES</t>
  </si>
  <si>
    <t>Team CAVOK | A2G NO SERVICE</t>
  </si>
  <si>
    <t>Team EOC | A2G YES</t>
  </si>
  <si>
    <t>Team ECHO | A2G YES</t>
  </si>
  <si>
    <t>Team CMO | A2G YES</t>
  </si>
  <si>
    <t>Team TSS Asia | A2G YES</t>
  </si>
  <si>
    <t>Team TSS ASIA | A2G YES</t>
  </si>
  <si>
    <t>Team CAVOK | A2G YES</t>
  </si>
  <si>
    <t>Team EOC | A2G NO SERVICE</t>
  </si>
  <si>
    <t>Team LRG | A2G WITH PRIOR APPROVAL</t>
  </si>
  <si>
    <t>Team LRG | A2G YES</t>
  </si>
  <si>
    <t>Team BRAVO | A2G YES</t>
  </si>
  <si>
    <t>Team ZULU | A2G YES</t>
  </si>
  <si>
    <t>Team EJM | A2G YES</t>
  </si>
  <si>
    <t>Team Solairus | A2G YES</t>
  </si>
  <si>
    <t>Team X-Ray | A2G YES</t>
  </si>
  <si>
    <t>Team VICTOR | A2G YES</t>
  </si>
  <si>
    <t>Team CMO | A2G WITH PRIOR PERMISSION</t>
  </si>
  <si>
    <t>Team FOXTROT | A2G YES</t>
  </si>
  <si>
    <t>Team ZULU | A2G WITH PRIOR APPROVAL NO FOR AFRICA</t>
  </si>
  <si>
    <t>Team JET EDGE | A2G YES</t>
  </si>
  <si>
    <t>Team BRAVO | A2G NO SERVICE</t>
  </si>
  <si>
    <t>Team CLY | A2G YES</t>
  </si>
  <si>
    <t>Team VICTOR | A2G WITH PRIOR PERMISSION</t>
  </si>
  <si>
    <t>Team FOXTROT | A2G NO SERVICE</t>
  </si>
  <si>
    <t>Team Solairus | A2G NO SERVICE</t>
  </si>
  <si>
    <t>Team ECHO | A2G NO SERVICE</t>
  </si>
  <si>
    <t>Team X-Ray | A2G NO SERVICE</t>
  </si>
  <si>
    <t>Team TEU | A2G NO SERVICE</t>
  </si>
  <si>
    <t>Team X-Ray | A2G WITH PRIOR APPROVAL</t>
  </si>
  <si>
    <t>UAA-ACF-291</t>
  </si>
  <si>
    <t>UAA-ACF-292</t>
  </si>
  <si>
    <t>UAA-ACF-293</t>
  </si>
  <si>
    <t>UAA-ACF-294</t>
  </si>
  <si>
    <t>UAA-ACF-295</t>
  </si>
  <si>
    <t>UAA-ACF-296</t>
  </si>
  <si>
    <t>UAA-ACF-297</t>
  </si>
  <si>
    <t>UAA-ACF-298</t>
  </si>
  <si>
    <t>UAA-ACF-299</t>
  </si>
  <si>
    <t>UAA-ACF-300</t>
  </si>
  <si>
    <t>UAA-ACF-301</t>
  </si>
  <si>
    <t>UAA-ACF-302</t>
  </si>
  <si>
    <t>UAA-ACF-303</t>
  </si>
  <si>
    <t>UAA-ACF-304</t>
  </si>
  <si>
    <t>UAA-ACF-305</t>
  </si>
  <si>
    <t>UAA-ACF-306</t>
  </si>
  <si>
    <t>UAA-ACF-307</t>
  </si>
  <si>
    <t>UAA-ACF-308</t>
  </si>
  <si>
    <t>UAA-ACF-309</t>
  </si>
  <si>
    <t>UAA-ACF-310</t>
  </si>
  <si>
    <t>UAA-ACF-311</t>
  </si>
  <si>
    <t>UAA-ACF-312</t>
  </si>
  <si>
    <t>UAA-ACF-313</t>
  </si>
  <si>
    <t>UAA-ACF-314</t>
  </si>
  <si>
    <t>UAA-ACF-315</t>
  </si>
  <si>
    <t>UAA-ACF-316</t>
  </si>
  <si>
    <t>UAA-ACF-317</t>
  </si>
  <si>
    <t>UAA-ACF-318</t>
  </si>
  <si>
    <t>UAA-ACF-319</t>
  </si>
  <si>
    <t>UAA-ACF-320</t>
  </si>
  <si>
    <t>UAA-ACF-321</t>
  </si>
  <si>
    <t>UAA-ACF-322</t>
  </si>
  <si>
    <t>UAA-ACF-323</t>
  </si>
  <si>
    <t>UAA-ACF-324</t>
  </si>
  <si>
    <t>UAA-ACF-325</t>
  </si>
  <si>
    <t>UAA-ACF-326</t>
  </si>
  <si>
    <t>UAA-ACF-327</t>
  </si>
  <si>
    <t>UAA-ACF-328</t>
  </si>
  <si>
    <t>UAA-ACF-329</t>
  </si>
  <si>
    <t>UAA-ACF-330</t>
  </si>
  <si>
    <t>UAA-ACF-331</t>
  </si>
  <si>
    <t>UAA-ACF-332</t>
  </si>
  <si>
    <t>UAA-ACF-333</t>
  </si>
  <si>
    <t>UAA-ACF-334</t>
  </si>
  <si>
    <t>UAA-ACF-335</t>
  </si>
  <si>
    <t>UAA-ACF-336</t>
  </si>
  <si>
    <t>UAA-ACF-337</t>
  </si>
  <si>
    <t>UAA-ACF-338</t>
  </si>
  <si>
    <t>UAA-ACF-339</t>
  </si>
  <si>
    <t>UAA-ACF-340</t>
  </si>
  <si>
    <t>UAA-ACF-341</t>
  </si>
  <si>
    <t>UAA-ACF-342</t>
  </si>
  <si>
    <t>UAA-ACF-343</t>
  </si>
  <si>
    <t>UAA-ACF-344</t>
  </si>
  <si>
    <t>UAA-ACF-345</t>
  </si>
  <si>
    <t>UAA-ACF-346</t>
  </si>
  <si>
    <t>UAA-ACF-347</t>
  </si>
  <si>
    <t>UAA-ACF-348</t>
  </si>
  <si>
    <t>UAA-ACF-349</t>
  </si>
  <si>
    <t>UAA-ACF-350</t>
  </si>
  <si>
    <t>UAA-ACF-351</t>
  </si>
  <si>
    <t>UAA-ACF-352</t>
  </si>
  <si>
    <t>UAA-ACF-353</t>
  </si>
  <si>
    <t>UAA-ACF-354</t>
  </si>
  <si>
    <t>UAA-ACF-355</t>
  </si>
  <si>
    <t>UAA-ACF-356</t>
  </si>
  <si>
    <t>UAA-ACF-357</t>
  </si>
  <si>
    <t>UAA-ACF-358</t>
  </si>
  <si>
    <t>UAA-ACF-359</t>
  </si>
  <si>
    <t>UAA-ACF-360</t>
  </si>
  <si>
    <t>UAA-ACF-361</t>
  </si>
  <si>
    <t>UAA-ACF-362</t>
  </si>
  <si>
    <t>UAA-ACF-363</t>
  </si>
  <si>
    <t>UAA-ACF-364</t>
  </si>
  <si>
    <t>UAA-ACF-365</t>
  </si>
  <si>
    <t>UAA-ACF-366</t>
  </si>
  <si>
    <t>UAA-ACF-367</t>
  </si>
  <si>
    <t>UAA-ACF-368</t>
  </si>
  <si>
    <t>UAA-ACF-369</t>
  </si>
  <si>
    <t>UAA-ACF-370</t>
  </si>
  <si>
    <t>UAA-ACF-371</t>
  </si>
  <si>
    <t>UAA-ACF-372</t>
  </si>
  <si>
    <t>UAA-ACF-373</t>
  </si>
  <si>
    <t>UAA-ACF-374</t>
  </si>
  <si>
    <t>UAA-ACF-375</t>
  </si>
  <si>
    <t>UAA-ACF-376</t>
  </si>
  <si>
    <t>UAA-ACF-377</t>
  </si>
  <si>
    <t>UAA-ACF-378</t>
  </si>
  <si>
    <t>UAA-ACF-379</t>
  </si>
  <si>
    <t>UAA-ACF-380</t>
  </si>
  <si>
    <t>UAA-ACF-381</t>
  </si>
  <si>
    <t>UAA-ACF-382</t>
  </si>
  <si>
    <t>UAA-ACF-383</t>
  </si>
  <si>
    <t>UAA-ACF-384</t>
  </si>
  <si>
    <t>UAA-ACF-385</t>
  </si>
  <si>
    <t>UAA-ACF-386</t>
  </si>
  <si>
    <t>UAA-ACF-387</t>
  </si>
  <si>
    <t>UAA-ACF-388</t>
  </si>
  <si>
    <t>UAA-ACF-389</t>
  </si>
  <si>
    <t>UAA-ACF-390</t>
  </si>
  <si>
    <t>UAA-ACF-391</t>
  </si>
  <si>
    <t>UAA-ACF-392</t>
  </si>
  <si>
    <t>UAA-ACF-393</t>
  </si>
  <si>
    <t>UAA-ACF-394</t>
  </si>
  <si>
    <t>UAA-ACF-395</t>
  </si>
  <si>
    <t>UAA-ACF-396</t>
  </si>
  <si>
    <t>UAA-ACF-397</t>
  </si>
  <si>
    <t>UAA-ACF-398</t>
  </si>
  <si>
    <t>UAA-ACF-399</t>
  </si>
  <si>
    <t>UAA-ACF-400</t>
  </si>
  <si>
    <t>UAA-ACF-401</t>
  </si>
  <si>
    <t>UAA-ACF-402</t>
  </si>
  <si>
    <t>UAA-ACF-403</t>
  </si>
  <si>
    <t>UAA-ACF-404</t>
  </si>
  <si>
    <t>UAA-ACF-405</t>
  </si>
  <si>
    <t>UAA-ACF-406</t>
  </si>
  <si>
    <t>UAA-ACF-407</t>
  </si>
  <si>
    <t>UAA-ACF-408</t>
  </si>
  <si>
    <t>UAA-ACF-409</t>
  </si>
  <si>
    <t>UAA-ACF-410</t>
  </si>
  <si>
    <t>UAA-ACF-411</t>
  </si>
  <si>
    <t>UAA-ACF-412</t>
  </si>
  <si>
    <t>UAA-ACF-413</t>
  </si>
  <si>
    <t>UAA-ACF-414</t>
  </si>
  <si>
    <t>UAA-ACF-415</t>
  </si>
  <si>
    <t>UAA-ACF-416</t>
  </si>
  <si>
    <t>UAA-ACF-417</t>
  </si>
  <si>
    <t>UAA-ACF-418</t>
  </si>
  <si>
    <t>UAA-ACF-419</t>
  </si>
  <si>
    <t>UAA-ACF-420</t>
  </si>
  <si>
    <t>UAA-ACF-421</t>
  </si>
  <si>
    <t>UAA-ACF-422</t>
  </si>
  <si>
    <t>UAA-ACF-423</t>
  </si>
  <si>
    <t>UAA-ACF-424</t>
  </si>
  <si>
    <t>UAA-ACF-425</t>
  </si>
  <si>
    <t>UAA-ACF-426</t>
  </si>
  <si>
    <t>UAA-ACF-427</t>
  </si>
  <si>
    <t>UAA-ACF-428</t>
  </si>
  <si>
    <t>UAA-ACF-429</t>
  </si>
  <si>
    <t>UAA-ACF-430</t>
  </si>
  <si>
    <t>UAA-ACF-431</t>
  </si>
  <si>
    <t>UAA-ACF-432</t>
  </si>
  <si>
    <t>UAA-ACF-433</t>
  </si>
  <si>
    <t>UAA-ACF-434</t>
  </si>
  <si>
    <t>UAA-ACF-435</t>
  </si>
  <si>
    <t>UAA-ACF-436</t>
  </si>
  <si>
    <t>UAA-ACF-437</t>
  </si>
  <si>
    <t>UAA-ACF-438</t>
  </si>
  <si>
    <t>UAA-ACF-439</t>
  </si>
  <si>
    <t>UAA-ACF-440</t>
  </si>
  <si>
    <t>UAA-ACF-441</t>
  </si>
  <si>
    <t>UAA-ACF-442</t>
  </si>
  <si>
    <t>UAA-ACF-443</t>
  </si>
  <si>
    <t>UAA-ACF-444</t>
  </si>
  <si>
    <t>UAA-ACF-445</t>
  </si>
  <si>
    <t>UAA-ACF-446</t>
  </si>
  <si>
    <t>UAA-ACF-447</t>
  </si>
  <si>
    <t>UAA-ACF-448</t>
  </si>
  <si>
    <t>UAA-ACF-449</t>
  </si>
  <si>
    <t>UAA-ACF-450</t>
  </si>
  <si>
    <t>UAA-ACF-451</t>
  </si>
  <si>
    <t>UAA-ACF-452</t>
  </si>
  <si>
    <t>UAA-ACF-453</t>
  </si>
  <si>
    <t>UAA-ACF-454</t>
  </si>
  <si>
    <t>UAA-ACF-455</t>
  </si>
  <si>
    <t>UAA-ACF-456</t>
  </si>
  <si>
    <t>UAA-ACF-457</t>
  </si>
  <si>
    <t>UAA-ACF-458</t>
  </si>
  <si>
    <t>UAA-ACF-459</t>
  </si>
  <si>
    <t>UAA-ACF-460</t>
  </si>
  <si>
    <t>UAA-ACF-461</t>
  </si>
  <si>
    <t>UAA-ACF-462</t>
  </si>
  <si>
    <t>UAA-ACF-463</t>
  </si>
  <si>
    <t>UAA-ACF-464</t>
  </si>
  <si>
    <t>UAA-ACF-465</t>
  </si>
  <si>
    <t>UAA-ACF-466</t>
  </si>
  <si>
    <t>UAA-ACF-467</t>
  </si>
  <si>
    <t>UAA-ACF-468</t>
  </si>
  <si>
    <t>UAA-ACF-469</t>
  </si>
  <si>
    <t>UAA-ACF-470</t>
  </si>
  <si>
    <t>UAA-ACF-471</t>
  </si>
  <si>
    <t>UAA-ACF-472</t>
  </si>
  <si>
    <t>UAA-ACF-473</t>
  </si>
  <si>
    <t>UAA-ACF-474</t>
  </si>
  <si>
    <t>UAA-ACF-475</t>
  </si>
  <si>
    <t>UAA-ACF-476</t>
  </si>
  <si>
    <t>UAA-ACF-477</t>
  </si>
  <si>
    <t>UAA-ACF-478</t>
  </si>
  <si>
    <t>UAA-ACF-479</t>
  </si>
  <si>
    <t>UAA-ACF-480</t>
  </si>
  <si>
    <t>UAA-ACF-481</t>
  </si>
  <si>
    <t>UAA-ACF-482</t>
  </si>
  <si>
    <t>UAA-ACF-483</t>
  </si>
  <si>
    <t>UAA-ACF-484</t>
  </si>
  <si>
    <t>UAA-ACF-485</t>
  </si>
  <si>
    <t>UAA-ACF-486</t>
  </si>
  <si>
    <t>UAA-ACF-487</t>
  </si>
  <si>
    <t>UAA-ACF-488</t>
  </si>
  <si>
    <t>UAA-ACF-489</t>
  </si>
  <si>
    <t>UAA-ACF-490</t>
  </si>
  <si>
    <t>UAA-ACF-491</t>
  </si>
  <si>
    <t>UAA-ACF-492</t>
  </si>
  <si>
    <t>UAA-ACF-493</t>
  </si>
  <si>
    <t>UAA-ACF-494</t>
  </si>
  <si>
    <t>UAA-ACF-495</t>
  </si>
  <si>
    <t>UAA-ACF-496</t>
  </si>
  <si>
    <t>UAA-ACF-497</t>
  </si>
  <si>
    <t>UAA-ACF-498</t>
  </si>
  <si>
    <t>UAA-ACF-499</t>
  </si>
  <si>
    <t>UAA-ACF-500</t>
  </si>
  <si>
    <t>UAA-ACF-501</t>
  </si>
  <si>
    <t>UAA-ACF-502</t>
  </si>
  <si>
    <t>UAA-ACF-503</t>
  </si>
  <si>
    <t>UAA-ACF-504</t>
  </si>
  <si>
    <t>UAA-ACF-505</t>
  </si>
  <si>
    <t>UAA-ACF-506</t>
  </si>
  <si>
    <t>UAA-ACF-507</t>
  </si>
  <si>
    <t>UAA-ACF-508</t>
  </si>
  <si>
    <t>UAA-ACF-509</t>
  </si>
  <si>
    <t>UAA-ACF-510</t>
  </si>
  <si>
    <t>UAA-ACF-511</t>
  </si>
  <si>
    <t>UAA-ACF-512</t>
  </si>
  <si>
    <t>UAA-ACF-513</t>
  </si>
  <si>
    <t>UAA-ACF-514</t>
  </si>
  <si>
    <t>UAA-ACF-515</t>
  </si>
  <si>
    <t>UAA-ACF-516</t>
  </si>
  <si>
    <t>UAA-ACF-517</t>
  </si>
  <si>
    <t>UAA-ACF-518</t>
  </si>
  <si>
    <t>UAA-ACF-519</t>
  </si>
  <si>
    <t>UAA-ACF-520</t>
  </si>
  <si>
    <t>UAA-ACF-521</t>
  </si>
  <si>
    <t>UAA-ACF-522</t>
  </si>
  <si>
    <t>UAA-ACF-523</t>
  </si>
  <si>
    <t>UAA-ACF-524</t>
  </si>
  <si>
    <t>UAA-ACF-525</t>
  </si>
  <si>
    <t>UAA-ACF-526</t>
  </si>
  <si>
    <t>UAA-ACF-527</t>
  </si>
  <si>
    <t>UAA-ACF-528</t>
  </si>
  <si>
    <t>UAA-ACF-529</t>
  </si>
  <si>
    <t>UAA-ACF-530</t>
  </si>
  <si>
    <t>UAA-ACF-531</t>
  </si>
  <si>
    <t>UAA-ACF-532</t>
  </si>
  <si>
    <t>UAA-ACF-533</t>
  </si>
  <si>
    <t>UAA-ACF-534</t>
  </si>
  <si>
    <t>UAA-ACF-535</t>
  </si>
  <si>
    <t>UAA-ACF-536</t>
  </si>
  <si>
    <t>UAA-ACF-537</t>
  </si>
  <si>
    <t>UAA-ACF-538</t>
  </si>
  <si>
    <t>UAA-ACF-539</t>
  </si>
  <si>
    <t>UAA-ACF-540</t>
  </si>
  <si>
    <t>UAA-ACF-541</t>
  </si>
  <si>
    <t>UAA-ACF-542</t>
  </si>
  <si>
    <t>UAA-ACF-543</t>
  </si>
  <si>
    <t>UAA-ACF-544</t>
  </si>
  <si>
    <t>UAA-ACF-545</t>
  </si>
  <si>
    <t>UAA-ACF-546</t>
  </si>
  <si>
    <t>UAA-ACF-547</t>
  </si>
  <si>
    <t>UAA-ACF-548</t>
  </si>
  <si>
    <t>UAA-ACF-549</t>
  </si>
  <si>
    <t>UAA-ACF-550</t>
  </si>
  <si>
    <t>UAA-ACF-551</t>
  </si>
  <si>
    <t>UAA-ACF-552</t>
  </si>
  <si>
    <t>UAA-ACF-553</t>
  </si>
  <si>
    <t>UAA-ACF-554</t>
  </si>
  <si>
    <t>UAA-ACF-555</t>
  </si>
  <si>
    <t>UAA-ACF-556</t>
  </si>
  <si>
    <t>UAA-ACF-557</t>
  </si>
  <si>
    <t>UAA-ACF-558</t>
  </si>
  <si>
    <t>UAA-ACF-559</t>
  </si>
  <si>
    <t>UAA-ACF-560</t>
  </si>
  <si>
    <t>UAA-ACF-561</t>
  </si>
  <si>
    <t>UAA-ACF-562</t>
  </si>
  <si>
    <t>UAA-ACF-563</t>
  </si>
  <si>
    <t>UAA-ACF-564</t>
  </si>
  <si>
    <t>UAA-ACF-565</t>
  </si>
  <si>
    <t>UAA-ACF-566</t>
  </si>
  <si>
    <t>UAA-ACF-567</t>
  </si>
  <si>
    <t>UAA-ACF-568</t>
  </si>
  <si>
    <t>UAA-ACF-569</t>
  </si>
  <si>
    <t>UAA-ACF-570</t>
  </si>
  <si>
    <t>UAA-ACF-571</t>
  </si>
  <si>
    <t>UAA-ACF-572</t>
  </si>
  <si>
    <t>UAA-ACF-573</t>
  </si>
  <si>
    <t>UAA-ACF-574</t>
  </si>
  <si>
    <t>UAA-ACF-575</t>
  </si>
  <si>
    <t>UAA-ACF-576</t>
  </si>
  <si>
    <t>UAA-ACF-577</t>
  </si>
  <si>
    <t>UAA-ACF-578</t>
  </si>
  <si>
    <t>UAA-ACF-579</t>
  </si>
  <si>
    <t>UAA-ACF-580</t>
  </si>
  <si>
    <t>N80AD</t>
  </si>
  <si>
    <t>N80AK</t>
  </si>
  <si>
    <t>N811TM</t>
  </si>
  <si>
    <t>N814RR</t>
  </si>
  <si>
    <t>N829AR</t>
  </si>
  <si>
    <t>N82A</t>
  </si>
  <si>
    <t>N82EM</t>
  </si>
  <si>
    <t>N838KE</t>
  </si>
  <si>
    <t>N83JJ</t>
  </si>
  <si>
    <t>N848JA</t>
  </si>
  <si>
    <t>N861GL</t>
  </si>
  <si>
    <t>N868KE</t>
  </si>
  <si>
    <t>N877SB</t>
  </si>
  <si>
    <t>N878HL</t>
  </si>
  <si>
    <t>N882DL</t>
  </si>
  <si>
    <t>N883A</t>
  </si>
  <si>
    <t>N883RA</t>
  </si>
  <si>
    <t>N885AQ</t>
  </si>
  <si>
    <t>N886RW</t>
  </si>
  <si>
    <t>N887TM</t>
  </si>
  <si>
    <t>N887WM</t>
  </si>
  <si>
    <t>N888FR</t>
  </si>
  <si>
    <t>N888KZ</t>
  </si>
  <si>
    <t>N888ZF</t>
  </si>
  <si>
    <t>N88999</t>
  </si>
  <si>
    <t>N889CH</t>
  </si>
  <si>
    <t>N889DE</t>
  </si>
  <si>
    <t>N889HH</t>
  </si>
  <si>
    <t>N889ST</t>
  </si>
  <si>
    <t>N88JJ</t>
  </si>
  <si>
    <t>N898MJ</t>
  </si>
  <si>
    <t>N899ST</t>
  </si>
  <si>
    <t>N8SW</t>
  </si>
  <si>
    <t>N900GX</t>
  </si>
  <si>
    <t>N900LS</t>
  </si>
  <si>
    <t>N900SN</t>
  </si>
  <si>
    <t>N90EW</t>
  </si>
  <si>
    <t>N913TK</t>
  </si>
  <si>
    <t>N917C</t>
  </si>
  <si>
    <t>N918TA</t>
  </si>
  <si>
    <t>N919PE</t>
  </si>
  <si>
    <t>N91JS</t>
  </si>
  <si>
    <t>N920BM</t>
  </si>
  <si>
    <t>N920JS</t>
  </si>
  <si>
    <t>N928SZ</t>
  </si>
  <si>
    <t>N930EN</t>
  </si>
  <si>
    <t>N934JM</t>
  </si>
  <si>
    <t>N938JM</t>
  </si>
  <si>
    <t>N93VP</t>
  </si>
  <si>
    <t>N954L</t>
  </si>
  <si>
    <t>N959RW</t>
  </si>
  <si>
    <t>N966H</t>
  </si>
  <si>
    <t>N968FA</t>
  </si>
  <si>
    <t>N96MG</t>
  </si>
  <si>
    <t>N970JD</t>
  </si>
  <si>
    <t>N97AK</t>
  </si>
  <si>
    <t>N97DQ</t>
  </si>
  <si>
    <t>N982RW</t>
  </si>
  <si>
    <t>N982SC</t>
  </si>
  <si>
    <t>N983CR</t>
  </si>
  <si>
    <t>N988H</t>
  </si>
  <si>
    <t>N988NC</t>
  </si>
  <si>
    <t>N988SE</t>
  </si>
  <si>
    <t>N989JW</t>
  </si>
  <si>
    <t>N993XZ</t>
  </si>
  <si>
    <t>N998R</t>
  </si>
  <si>
    <t>N999V</t>
  </si>
  <si>
    <t>OOHHO</t>
  </si>
  <si>
    <t>OYAPM</t>
  </si>
  <si>
    <t>P4WWS</t>
  </si>
  <si>
    <t>PHCBV</t>
  </si>
  <si>
    <t>PHCFR</t>
  </si>
  <si>
    <t>PPCFJ</t>
  </si>
  <si>
    <t>PPWSR</t>
  </si>
  <si>
    <t>PRBPT</t>
  </si>
  <si>
    <t>PRPGT</t>
  </si>
  <si>
    <t>PRVZR</t>
  </si>
  <si>
    <t>PRZIQ</t>
  </si>
  <si>
    <t>PSBFD</t>
  </si>
  <si>
    <t>PSCMP</t>
  </si>
  <si>
    <t>PSFGT</t>
  </si>
  <si>
    <t>PSLMP</t>
  </si>
  <si>
    <t>PSMAM</t>
  </si>
  <si>
    <t>PSMVX</t>
  </si>
  <si>
    <t>PSRDR</t>
  </si>
  <si>
    <t>PTWYC</t>
  </si>
  <si>
    <t>PTZDK</t>
  </si>
  <si>
    <t>PTZNG</t>
  </si>
  <si>
    <t>SERKL</t>
  </si>
  <si>
    <t>SUBNO</t>
  </si>
  <si>
    <t>T712DW</t>
  </si>
  <si>
    <t>T7JUE</t>
  </si>
  <si>
    <t>V11</t>
  </si>
  <si>
    <t>V5GON</t>
  </si>
  <si>
    <t>V5NAM</t>
  </si>
  <si>
    <t>V5RON</t>
  </si>
  <si>
    <t>VH88M</t>
  </si>
  <si>
    <t>VH8HP</t>
  </si>
  <si>
    <t>VH8LA</t>
  </si>
  <si>
    <t>VH8ML</t>
  </si>
  <si>
    <t>VHAMD</t>
  </si>
  <si>
    <t>VHAMM</t>
  </si>
  <si>
    <t>VHLEF</t>
  </si>
  <si>
    <t>VHPFL</t>
  </si>
  <si>
    <t>VHVGX</t>
  </si>
  <si>
    <t>VHX56</t>
  </si>
  <si>
    <t>VPBAS</t>
  </si>
  <si>
    <t>VPBZE</t>
  </si>
  <si>
    <t>VPCFO</t>
  </si>
  <si>
    <t>VPCNR</t>
  </si>
  <si>
    <t>VPCTO</t>
  </si>
  <si>
    <t>VQBIJ</t>
  </si>
  <si>
    <t>XAAYL</t>
  </si>
  <si>
    <t>XABAL</t>
  </si>
  <si>
    <t>XAMKI</t>
  </si>
  <si>
    <t>ZSEKA</t>
  </si>
  <si>
    <t>N733K</t>
  </si>
  <si>
    <t>FWWGZ</t>
  </si>
  <si>
    <t>N80TE</t>
  </si>
  <si>
    <t>N805TL</t>
  </si>
  <si>
    <t>N626RA</t>
  </si>
  <si>
    <t>N502P</t>
  </si>
  <si>
    <t>N128GV</t>
  </si>
  <si>
    <t>N121RS</t>
  </si>
  <si>
    <t>N115JS</t>
  </si>
  <si>
    <t>N111RE</t>
  </si>
  <si>
    <t>FAB2858</t>
  </si>
  <si>
    <t>APPLE</t>
  </si>
  <si>
    <t>SUBRF</t>
  </si>
  <si>
    <t>N18CZ</t>
  </si>
  <si>
    <t>N898NC</t>
  </si>
  <si>
    <t>N683GD</t>
  </si>
  <si>
    <t>N506GS</t>
  </si>
  <si>
    <t>N228Y</t>
  </si>
  <si>
    <t>PRWRO</t>
  </si>
  <si>
    <t>N518KA</t>
  </si>
  <si>
    <t>N313RG</t>
  </si>
  <si>
    <t>N2702</t>
  </si>
  <si>
    <t>N600G</t>
  </si>
  <si>
    <t>N336ML</t>
  </si>
  <si>
    <t>N26RX</t>
  </si>
  <si>
    <t>CGCUL</t>
  </si>
  <si>
    <t>N95NA</t>
  </si>
  <si>
    <t>N800J</t>
  </si>
  <si>
    <t>N255DV</t>
  </si>
  <si>
    <t>N889LS</t>
  </si>
  <si>
    <t>N775E</t>
  </si>
  <si>
    <t>N421SZ</t>
  </si>
  <si>
    <t>CGXNU</t>
  </si>
  <si>
    <t>N71KM</t>
  </si>
  <si>
    <t>N411XT</t>
  </si>
  <si>
    <t>N251DV</t>
  </si>
  <si>
    <t>N512GV</t>
  </si>
  <si>
    <t>N1973Y</t>
  </si>
  <si>
    <t>N88T</t>
  </si>
  <si>
    <t>N729VS</t>
  </si>
  <si>
    <t>N88L</t>
  </si>
  <si>
    <t>N74VZ</t>
  </si>
  <si>
    <t>N178L</t>
  </si>
  <si>
    <t>VQBHK</t>
  </si>
  <si>
    <t>N550DA</t>
  </si>
  <si>
    <t>N780TW</t>
  </si>
  <si>
    <t>N142RM</t>
  </si>
  <si>
    <t>V5NPC</t>
  </si>
  <si>
    <t>N650D</t>
  </si>
  <si>
    <t>N139RB</t>
  </si>
  <si>
    <t>SUSMG</t>
  </si>
  <si>
    <t>P2PXV</t>
  </si>
  <si>
    <t>N695LC</t>
  </si>
  <si>
    <t>B651H</t>
  </si>
  <si>
    <t>N168PK</t>
  </si>
  <si>
    <t>N321VC</t>
  </si>
  <si>
    <t>VPCTC</t>
  </si>
  <si>
    <t>N585GS</t>
  </si>
  <si>
    <t>9HSKI</t>
  </si>
  <si>
    <t>N1428N</t>
  </si>
  <si>
    <t>N1454H</t>
  </si>
  <si>
    <t>N761HG</t>
  </si>
  <si>
    <t>N1040</t>
  </si>
  <si>
    <t>N312FU</t>
  </si>
  <si>
    <t>N1878E</t>
  </si>
  <si>
    <t>N1CC</t>
  </si>
  <si>
    <t>N922DN</t>
  </si>
  <si>
    <t>N979JW</t>
  </si>
  <si>
    <t>N421AL</t>
  </si>
  <si>
    <t>VHFGM</t>
  </si>
  <si>
    <t>N92ZZ</t>
  </si>
  <si>
    <t>N599CE</t>
  </si>
  <si>
    <t>N22805</t>
  </si>
  <si>
    <t>N2618K</t>
  </si>
  <si>
    <t>N67WV</t>
  </si>
  <si>
    <t>N510AN</t>
  </si>
  <si>
    <t>T7BPJ</t>
  </si>
  <si>
    <t>N212WQ</t>
  </si>
  <si>
    <t>N1886G</t>
  </si>
  <si>
    <t>N588DZ</t>
  </si>
  <si>
    <t>N108MS</t>
  </si>
  <si>
    <t>VQBMS</t>
  </si>
  <si>
    <t>N709SP</t>
  </si>
  <si>
    <t>N342FF</t>
  </si>
  <si>
    <t>N650VC</t>
  </si>
  <si>
    <t>N89NC</t>
  </si>
  <si>
    <t>N163EG</t>
  </si>
  <si>
    <t>N450GG</t>
  </si>
  <si>
    <t>N692GD</t>
  </si>
  <si>
    <t>N887WT</t>
  </si>
  <si>
    <t>N201AC</t>
  </si>
  <si>
    <t>N750PB</t>
  </si>
  <si>
    <t>N280LS</t>
  </si>
  <si>
    <t>N28UD</t>
  </si>
  <si>
    <t>2YAYA</t>
  </si>
  <si>
    <t>N100A</t>
  </si>
  <si>
    <t>N785KJ</t>
  </si>
  <si>
    <t>N625SC</t>
  </si>
  <si>
    <t>N568VA</t>
  </si>
  <si>
    <t>N650RV</t>
  </si>
  <si>
    <t>HL8550</t>
  </si>
  <si>
    <t>XARBS</t>
  </si>
  <si>
    <t>N750LG</t>
  </si>
  <si>
    <t>N919FG</t>
  </si>
  <si>
    <t>PSCAV</t>
  </si>
  <si>
    <t>N10XT</t>
  </si>
  <si>
    <t>N46GX</t>
  </si>
  <si>
    <t>N68885</t>
  </si>
  <si>
    <t>N650XY</t>
  </si>
  <si>
    <t>D2EEA</t>
  </si>
  <si>
    <t>N1RP</t>
  </si>
  <si>
    <t>N510QS</t>
  </si>
  <si>
    <t>9MTMJ</t>
  </si>
  <si>
    <t>9MIII</t>
  </si>
  <si>
    <t>N117MS</t>
  </si>
  <si>
    <t>VHILJ</t>
  </si>
  <si>
    <t>N703HG</t>
  </si>
  <si>
    <t>N827HG</t>
  </si>
  <si>
    <t>N527AC</t>
  </si>
  <si>
    <t>N35GR</t>
  </si>
  <si>
    <t>N665P</t>
  </si>
  <si>
    <t>N814BU</t>
  </si>
  <si>
    <t>N805WM</t>
  </si>
  <si>
    <t>N11AF</t>
  </si>
  <si>
    <t>VHNJR</t>
  </si>
  <si>
    <t>N798BD</t>
  </si>
  <si>
    <t>N857GA</t>
  </si>
  <si>
    <t>N40NS</t>
  </si>
  <si>
    <t>N898S</t>
  </si>
  <si>
    <t>N524EA</t>
  </si>
  <si>
    <t>N576AC</t>
  </si>
  <si>
    <t>N11GW</t>
  </si>
  <si>
    <t>N728EC</t>
  </si>
  <si>
    <t>N614FE</t>
  </si>
  <si>
    <t>N942JT</t>
  </si>
  <si>
    <t>N1911W</t>
  </si>
  <si>
    <t>N551AC</t>
  </si>
  <si>
    <t>VHCAD</t>
  </si>
  <si>
    <t>N526EM</t>
  </si>
  <si>
    <t>VPCRF</t>
  </si>
  <si>
    <t>N322LL</t>
  </si>
  <si>
    <t>N1989</t>
  </si>
  <si>
    <t>N1900W</t>
  </si>
  <si>
    <t>N900FJ</t>
  </si>
  <si>
    <t>VPCFE</t>
  </si>
  <si>
    <t>N785QS</t>
  </si>
  <si>
    <t>N319ST</t>
  </si>
  <si>
    <t>XALYA</t>
  </si>
  <si>
    <t>N4096Q</t>
  </si>
  <si>
    <t>N650WS</t>
  </si>
  <si>
    <t>IWLFZ</t>
  </si>
  <si>
    <t>N750KD</t>
  </si>
  <si>
    <t>N995CB</t>
  </si>
  <si>
    <t>N5577X</t>
  </si>
  <si>
    <t>T7VBS</t>
  </si>
  <si>
    <t>N400J</t>
  </si>
  <si>
    <t>MIIII</t>
  </si>
  <si>
    <t>HZHM5</t>
  </si>
  <si>
    <t>HZHM4</t>
  </si>
  <si>
    <t>HZHM3</t>
  </si>
  <si>
    <t>HZHM65</t>
  </si>
  <si>
    <t>HZHM94</t>
  </si>
  <si>
    <t>HZHM1</t>
  </si>
  <si>
    <t>N788SL</t>
  </si>
  <si>
    <t>HZATS</t>
  </si>
  <si>
    <t>N988HK</t>
  </si>
  <si>
    <t>N887MM</t>
  </si>
  <si>
    <t>N188WR</t>
  </si>
  <si>
    <t>N247WE</t>
  </si>
  <si>
    <t>N3PC</t>
  </si>
  <si>
    <t>DBERT</t>
  </si>
  <si>
    <t>N361JL</t>
  </si>
  <si>
    <t>FHTEL</t>
  </si>
  <si>
    <t>N393BZ</t>
  </si>
  <si>
    <t>C30J</t>
  </si>
  <si>
    <t>E295</t>
  </si>
  <si>
    <t>G150</t>
  </si>
  <si>
    <t>LJ75</t>
  </si>
  <si>
    <t>MD87</t>
  </si>
  <si>
    <t>BE20</t>
  </si>
  <si>
    <t>LJ31</t>
  </si>
  <si>
    <t>P180</t>
  </si>
  <si>
    <t>S61</t>
  </si>
  <si>
    <t>N25B</t>
  </si>
  <si>
    <t>C68A</t>
  </si>
  <si>
    <t>E75S</t>
  </si>
  <si>
    <t>LJ60</t>
  </si>
  <si>
    <t>EC25</t>
  </si>
  <si>
    <t>C25C</t>
  </si>
  <si>
    <t>B773</t>
  </si>
  <si>
    <t>A2G YES</t>
  </si>
  <si>
    <t>A2G NO SERVICE</t>
  </si>
  <si>
    <t>A2G WITH PRIOR APPROVAL</t>
  </si>
  <si>
    <t>A2G NOT STATED</t>
  </si>
  <si>
    <t>JETELIO V3 — MASTER REBUILD PROMPT</t>
  </si>
  <si>
    <t>Copy everything from row 4 down and hand it to a coding agent (Claude Code, Cursor, Codex) or a development team. It is self-contained: it does not require the workbook, only the exported reference data. Source of truth for detail: the WEBAPP BRIEF sheet. Source of truth for what is actually populated: the DATA READINESS sheet.</t>
  </si>
  <si>
    <t>You are a senior full-stack engineer building JETELIO V3 from scratch. Jetelio is a flight-support trip and permit planning platform for business-jet and charter operations across Africa, the Middle East, Europe and India. V1 was an Excel workbook. V2 was a first web port. V3 is the production system: one codebase, containerised, deterministic engines, real spatial data, real documents, real outbound messaging. The entire stack must come up with a single `docker compose up`. Do not ask me to run anything outside Docker.</t>
  </si>
  <si>
    <t>For every flight leg Jetelio must work out which states the aircraft overflies, which permits are required (overflight per en-route state, landing per destination state), which ground services are needed at each stop, what the filing deadlines are, whether crew and passengers hold valid documents and visas, whether the aircraft can physically fly the sector, who to send each request to and in what format, and who gets billed. The user types six things and gets twenty-five correct outputs. That is the whole product.</t>
  </si>
  <si>
    <t>## WHAT MAKES V3 DIFFERENT FROM WHAT CAME BEFORE — NON-NEGOTIABLE</t>
  </si>
  <si>
    <t>1. NO SCRATCH LAYER. The workbook's geo_grid, route_calc, permit_calc and fiq_calc tabs (~1,700 rows of formulas) become three pure functions and one PostGIS query. Do not port the 0.5-degree country raster; it is accurate to roughly 30 NM and was only a workaround for Excel's lack of spatial functions.</t>
  </si>
  <si>
    <t>2. COMPUTE, DO NOT ASK. Visa requirement from the matrix, lead time from the state, handler from vendor coverage, permit type from the route, souls on board from the manifest, deadlines from lead times, technical stops from aircraft performance. Ask the human only for the route, the dates, the aircraft, the people and the commercial decisions.</t>
  </si>
  <si>
    <t>3. DEFAULT AGGRESSIVELY, OVERRIDE EASILY. Every permit and service order is pre-generated in DRAFT with vendor, lead time and deadline filled. The common case is review-and-confirm, never build-from-scratch. Every default is visibly a default and one click from being changed.</t>
  </si>
  <si>
    <t>4. ONE STATUS LANGUAGE everywhere: OK / PENDING / DUE SOON / URGENT / OVERDUE / BLOCKED, one blocked-reason list, colour AND text always.</t>
  </si>
  <si>
    <t>5. ACTION-FIRST HOME SCREEN. Not a list of trips — a list of what needs doing today ordered by deadline: permits to file, documents expiring, vendors who have not acknowledged, visas not on file.</t>
  </si>
  <si>
    <t>6. TWO ENTRY POINTS ONLY. Public Feasibility IQ and the internal console. Everything else is a view inside them. Resist a third surface.</t>
  </si>
  <si>
    <t>7. NOTHING SILENTLY DEFAULTS. Any value derived from a fallback rather than verified reference data is rendered UNVERIFIED in the UI and carried as such in the API.</t>
  </si>
  <si>
    <t>docker-compose.yml with healthchecks, named volumes and one shared network. A multi-stage non-root Dockerfile per service with pinned bases. .env.example documenting every variable, no secrets committed. Alembic migrations plus an idempotent seed/import script. Auto-generated OpenAPI 3 schema and a Bruno/Postman collection. README with quickstart, architecture diagram, env vars, tests and seed loading. Test suite: unit tests for the routing, permit, credential and performance engines; integration tests for the API; Playwright end-to-end for enquiry-to-trip, permit filing and document verification. Makefile: up / down / logs / migrate / seed / test / lint.</t>
  </si>
  <si>
    <t>## SERVICES</t>
  </si>
  <si>
    <t>db — PostgreSQL 16 + PostGIS. api — Python 3.12, FastAPI, SQLAlchemy 2, Pydantic v2, Alembic. worker — Celery or arq for deadline sweeps, OCR jobs, notifications, expiry alerts. redis — broker and cache. web — Next.js 14 App Router, TypeScript, Tailwind, TanStack Query. minio — S3-compatible object storage for documents and generated PDFs. mailhog in dev, SMTP relay by env in production. nginx — reverse proxy and TLS, /api to api, everything else to web.</t>
  </si>
  <si>
    <t>## DOMAIN MODEL</t>
  </si>
  <si>
    <t>airports (icao PK, iata, name, city, country_iso2, lat, lon, elevation, timezone, type, is_airport_of_entry, ppr_required, curfew, runway data, fuel grades, operating hours, handler notes). countries (iso3 PK, iso2, name, calling code, CAA, overflight_permit_required, landing_permit_required, standard_lead_time_hours, ground_handling_policy, region, verification source and date). country_geometry (iso3, MULTIPOLYGON, GiST index, Natural Earth 10m). fir_boundaries (icao_fir_code, name, MULTIPOLYGON) with fallback to state airspace where unmapped.</t>
  </si>
  <si>
    <t>operators (name mandatory before use, AOC, designators, home base, contacts, occ and billing e-mail, currency, tax id, credit, status). aircraft (registration UNIQUE, icao_type, manufacturer, model_series, home base, mtow_kg, max_pax, serial, status, operator_id NOT NULL FK, cofa/insurance expiry, hours, landings). aircraft_performance (icao_type PK, max range, cruise TAS, fuel burn, max pax, MTOW, service ceiling, reserve and safety margin, verified_by, verified_on).</t>
  </si>
  <si>
    <t>clients (operator_id FK, bill-to legal name, address, tax/VAT, billing contact, currency, payment terms, credit limit). An operator has MANY billing entities; a trip and each individual leg may point at a different one.</t>
  </si>
  <si>
    <t>trips (trip_ref UNIQUE, source JETELIO or FEASIBILITY IQ, status, owner, requester block, operator_id, bill_to_client_id, aircraft_id, feasibility verdict, version). legs (trip_id FK, leg_no, dep_icao, etd_utc, arr_icao, eta_utc, distance_nm, eet_hours, block_speed_kts, taxi_allowance, pax, crew, stop_type, avoid[], include[], route_check, bill_to_client_id, status, version). leg_countries materialised by the routing engine. permits. service_orders. people (CREW or PAX, applies_to_legs[], identity and document fields). documents (object key, hash, type, OCR payload, verification state). visa_rules. messages and message_templates. users, roles, audit_log, settings.</t>
  </si>
  <si>
    <t>No leg cap. The workbook stopped at 8; V3 must not cap.</t>
  </si>
  <si>
    <t>## ENGINE 1 — GREAT-CIRCLE ROUTE SAMPLING</t>
  </si>
  <si>
    <t>Angular distance d = acos(sin(lat1)sin(lat2) + cos(lat1)cos(lat2)cos(lon2-lon1)); distance_nm = d * 3440.065. Intermediate point at fraction f: A = sin((1-f)d)/sin(d), B = sin(fd)/sin(d), x = A cos(lat1)cos(lon1) + B cos(lat2)cos(lon2), y = A cos(lat1)sin(lon1) + B cos(lat2)sin(lon2), z = A sin(lat1) + B sin(lat2), lat = atan2(z, sqrt(x^2+y^2)), lon = atan2(y, x).</t>
  </si>
  <si>
    <t>Sample adaptively every 10 NM with a minimum of 50 points. Resolve each sample to a state with ST_Contains against country_geometry and to a FIR against fir_boundaries. Return the ordered de-duplicated list of states and FIRs with the sample index of first entry so ordering is chronological. EET = distance_nm / block_speed_kts + taxi and climb allowance; defaults 470 kts and 0.4 h, overridable per type and per leg. ETA = ETD + EET. Cache route results keyed on (dep_icao, arr_icao) — the same city pairs recur constantly.</t>
  </si>
  <si>
    <t>## ENGINE 2 — PERMIT RULES (port exactly)</t>
  </si>
  <si>
    <t>R1 OVERFLIGHT. Every state whose airspace the track enters needs an overflight permit EXCEPT the leg's departure state (clearance to depart already held) and the leg's destination state (covered by its landing permit). A state overflown on one leg and landed in on another still needs overflight permits for the overflight legs.</t>
  </si>
  <si>
    <t>R2 LANDING. Each leg's destination state requires one landing permit. Landing in the same state twice on one trip requires two.</t>
  </si>
  <si>
    <t>R3 GROUND HANDLING is ONE order per country per trip — not per airport, not per leg. A trip touching FALA and FAOR yields a single South Africa order listing both airports and both legs, due at the EARLIEST ground event in that country.</t>
  </si>
  <si>
    <t>R4 OTHER SERVICES may be per stop or per country. Each carries a provider of JETELIO, OWN (client arranges) or THIRD PARTY. OWN and EXCLUDED drop out of the action list but stay visible on the trip as CLIENT ARRANGING.</t>
  </si>
  <si>
    <t>R5 DEADLINES. file_by = reference_datetime - lead_time_hours, all UTC. Permit lead times from countries.standard_lead_time_hours with a configurable 72 h fallback (mark UNVERIFIED). Ground services default 24 h notice. Ladder: OVERDUE (&lt; now), URGENT (&lt; 24 h), DUE SOON (&lt; 72 h), PENDING.</t>
  </si>
  <si>
    <t>R6 AVOID / INCLUDE. Accept ISO3 or country names. Track enters an avoided state -&gt; AVOID CONFLICT. Required state not on track -&gt; INCLUDE NOT ON TRACK. Then actually re-route: build a waypoint graph over the great-circle corridor, penalise or forbid excluded polygons, run A*, and return the alternative track with extra distance, extra time, extra fuel and the revised permit list for side-by-side comparison.</t>
  </si>
  <si>
    <t>R7 VERDICT. NOT FEASIBLE if the earliest permit deadline has passed; NOT FEASIBLE AS ROUTED if any constraint is violated; TIGHT if the earliest deadline is inside 24 h; otherwise FEASIBLE.</t>
  </si>
  <si>
    <t>## ENGINE 3 — AIRCRAFT CAPABILITY AND TECHNICAL STOPS</t>
  </si>
  <si>
    <t>practical_range = max_range less reserve and safety margin (default 15%). Check every leg against the assigned type and flag EXCEEDS PRACTICAL RANGE — TECHNICAL STOP REQUIRED rather than planning it silently. Suggest tech stops filtered by: within practical range of both ends, runway length adequate, correct fuel grade available, airport-of-entry status where customs is needed, operating hours covering the planned arrival, political acceptability. Each inserted stop regenerates the permit and service picture for the whole trip.</t>
  </si>
  <si>
    <t>SAFETY BOUNDARY. Published range and cruise figures ignore payload, temperature, altitude, wind and operator procedure. They are adequate to say a C208 cannot cross the Sahara and inadequate to say this sector is legal today. Label every unverified figure in the UI, require engineer or ops-manager sign-off before a type may be used for planning, and always present the range check as ADVISORY with a link to the AFM figures. A green tick here must never read as a performance calculation.</t>
  </si>
  <si>
    <t>STOP TYPES on every ground stop: TURNAROUND, TECH STOP, RON, CREW REST, MAINTENANCE, DIVERSION. Stop type drives what is ordered and can change which permits apply — several states treat a technical stop differently from a commercial landing.</t>
  </si>
  <si>
    <t>## ENGINE 4 — CREW, PAX AND CREDENTIALS</t>
  </si>
  <si>
    <t>A person counts on a leg when applies_to_legs is ALL or names that leg. Compute per-leg crew, pax and souls on board and validate pax against aircraft.max_pax. Passport status against the trip's last arrival: MISSING / EXPIRES BEFORE TRIP / UNDER 6 MONTHS (within 180 days of trip end) / VALID. Visa status: N/A, MISSING, EXPIRED, VALID — resolved from visa_rules, never typed by a human. Crew licence and medical must both be present and unexpired at trip end. Person status rolls up to ACTION REQUIRED / CHECK / OK, and any ACTION REQUIRED blocks the trip reaching CONFIRMED unless a supervisor overrides with a logged reason.</t>
  </si>
  <si>
    <t>## SURFACE A — FEASIBILITY IQ (public, unauthenticated, single leg)</t>
  </si>
  <si>
    <t>Form: aircraft type, optional registration, departure ICAO with date/time and flexibility window, destination ICAO with optional date/time and flexibility, pax, crew, avoid and include states or FIRs, cargo or special requirements, plus requester company, name, e-mail, phone and their own reference. Collect role and nationality per person on board — never passport numbers from an unauthenticated form — so the visa answer comes back in the response. Returns live: route summary, distance, EET, ETD and ETA, states overflown by NAME, every permit and service with lead time and file-by, range check, and the verdict. REQUEST QUOTE converts it into a trip with status ENQUIRY and notifies ops. Rate-limit by IP, captcha, and never expose cost or vendor data.</t>
  </si>
  <si>
    <t>## SURFACE B — TRIP MANAGER (authenticated console)</t>
  </si>
  <si>
    <t>One Trip object with progressive disclosure, not nine flat sections: summary header then tabs — Route, Permits, Services, Crew &amp; Pax, Documents, Billing, Messages. Inline editing, optimistic updates, and a right-hand live deadline rail. THE REGISTER is one row per LEG, each repeating the identical trip block and carrying its own leg block; a ten-leg trip renders ten rows. Store normalised, expose flattened as a materialised view refreshed on write, with server-side filter, sort, saved views and CSV/XLSX export. Never duplicate trip data in storage.</t>
  </si>
  <si>
    <t>Trip statuses: ENQUIRY, SUBMITTED, QUOTED, CONFIRMED, ACTIVE, IN PROGRESS, SUSPENDED, COMPLETED, CLOSED, CANCELLED, DECLINED. Leg statuses: ENQUIRY, PLANNED, PERMITS FILED, CLEARED, FLOWN, SUSPENDED, CANCELLED, CLOSED. Every change is audited with actor, timestamp, from, to and reason.</t>
  </si>
  <si>
    <t>## DOCUMENTS — CAPTURE, OCR, HUMAN VERIFICATION</t>
  </si>
  <si>
    <t>This replaces file-path columns entirely and is a first-class feature. STEP 1 choose type (PASSPORT, VISA, LICENCE, MEDICAL, CREW ID/ARC, INSURANCE, AOC, OTHER) — the type drives which fields are extracted and compared. STEP 2 upload by drag-drop or camera (PDF, JPG, PNG, HEIC); store the original immutably under a content-addressed key with uploader, timestamp, mime, size and SHA-256; reject duplicates by hash; virus-scan before it becomes visible. STEP 3 async OCR: parse the ICAO 9303 MRZ first because it is checksum-protected, fall back to a general engine (Tesseract self-hosted, or Textract / Document AI / Azure DI behind a provider interface); extract document number, surname, given names, nationality, DOB, sex, issuing state, issue and expiry dates with per-field confidence and bounding boxes.</t>
  </si>
  <si>
    <t>STEP 4 human comparison: document image with detected fields highlighted on the left, OCR EXTRACTED versus ON FILE side by side on the right, each field marked MATCH / MISMATCH / NOT COMPARABLE with a summary line, and anything below the confidence threshold flagged even when it matches. STEP 5 decision, mandatory: ACCEPT OCR, KEEP ON FILE, CORRECTED MANUALLY, or REJECT DOCUMENT with a reason. Record reviewer and timestamp. NEVER auto-write OCR onto a person record. STEP 6 assign to the person and through them to the trip and legs; assignment state is explicit: AWAITING OCR, AWAITING HUMAN REVIEW, REVIEW INCOMPLETE, ASSIGNED, REJECTED.</t>
  </si>
  <si>
    <t>Expiry drives the credential engine: a scheduled job re-evaluates every assigned document against every future trip and alerts at 180, 90, 30 and 7 days, and immediately when a new trip is created that ends after a document expires. Access is by presigned, short-lived, single-use URL, every view and download audited. Passport numbers, dates of birth and images are sensitive: encrypt at rest, redact in logs, retention policy with automatic purge, support subject erasure.</t>
  </si>
  <si>
    <t>## FLEET DOCUMENTS</t>
  </si>
  <si>
    <t>Preset types: Certificate of Registration, Certificate of Airworthiness, ARC, Insurance (hull, liability and war risk as separate concurrent policies), Noise Certificate, Weight and Balance, Radio Station Licence, AOC, Ops Specs, MEL, RVSM, RNP/PBN, Maintenance Programme, Other. Each carries issue date, expiry date and a separate review-due date. Derived status: VALID / EXPIRES WITHIN 90 DAYS / EXPIRES WITHIN 30 DAYS / REVIEW OVERDUE / EXPIRED / NO EXPIRY RECORDED, rolled up to the aircraft. A trip may not be confirmed if a required aircraft document expires before the last arrival, and permit applications pull their attachment set from this repository automatically.</t>
  </si>
  <si>
    <t>A complete destination-state x nationality matrix, not a sparse exception list — 142 in-region states by 174 nationalities. Row shape: (country_iso3, nationality_iso3, requirement, visa_type, lead_time_days, max_stay_days, conditions, source, verified_by, verified_on, expires_on). Requirement values: NOT REQUIRED, REQUIRED, VISA ON ARRIVAL, eVISA, TRANSIT ONLY, TIWB. Resolution precedence: airport-specific override, then the exact (country, nationality) rule, then the matrix cell, then NOT ON FILE. Never guess and never silently default to NOT REQUIRED.</t>
  </si>
  <si>
    <t>The matrix ships DELIBERATELY EMPTY rather than pre-filled from a public tourist-visa dataset. Crew, operational, transit-without-visa and airport-transit rules differ materially from tourist policy, and a wrong NOT REQUIRED in a flight-support system is an operational failure. Blank resolves to NOT ON FILE, which is visible and safe. If an authoritative feed is later licensed (Timatic is the industry standard) import it into a REFERENCE layer with its own provenance and effective date, keep the human-verified layer above it in precedence, show the user which layer answered, and never overwrite a verified rule with a feed value. Rules older than a configurable age render STALE and queue re-verification.</t>
  </si>
  <si>
    <t>Every service request, revision, cancellation and permit application is generated from a versioned template, never typed by hand. Start with SMTP (aiosmtplib behind a provider interface so SES/SendGrid/Postmark swap in without touching templates) and design the channel as an interface from day one so SITA, AFTN, fax gateway and vendor portals become adapters.</t>
  </si>
  <si>
    <t>MESSAGING PREFERENCE lives on every counterparty — operator, client, vendor: preferred_channel (EMAIL / SITA / AFTN / FAX / PORTAL), messaging_to[], messaging_cc[], sita_address, aftn_address, message_format (PLAIN TEXT UPPERCASE / PLAIN TEXT / HTML) and sending_team_signature. Block sending with a clear error when the chosen channel has no address.</t>
  </si>
  <si>
    <t>FORMAT MATTERS. Handlers and civil aviation authorities expect fixed-width, upper-case, teletype-style plain text with aligned columns and a strict block order: ATTN, REF (registry / type / captain / reference), ITINERARY, PLEASE SPECIFICALLY CONFIRM THE FOLLOWING, CHANGES, PENDING CONFIRMATION, CANCEL, ALL OTHER INFORMATION REMAINS UNCHANGED, acknowledgement request, legal block, signature, CONFIDENTIAL marker, REQUEST SENT TO, T/N, contact and teletype addresses. Do not send HTML to these recipients by default.</t>
  </si>
  <si>
    <t>ITINERARY LINES render as DEPART &lt;STATION NAME&gt; / &lt;ICAO&gt;   &lt;DDMMM&gt;/&lt;HHMM&gt; UTC and ARRIVE likewise, local time appended only where the aircraft is on the ground. Always ICAO, always UTC first, dates DDMMM upper case.</t>
  </si>
  <si>
    <t>TEMPLATES ARE DATABASE ROWS, not code: template_id, name, message_type, recipient_role, channel, subject_line, body with {{tokens}}, footer/legal block, active flag, version. Ship with handling request, handling revision, service cancellation, overflight permit request, landing permit request. Render with Jinja2 (autoescape off for plain text) and store the fully rendered body against the message record so what was sent is always reproducible.</t>
  </si>
  <si>
    <t>REVISIONS ARE DIFFS: show PREVIOUS ITINERARY, NEW ITINERARY and a numbered CHANGES list computed automatically against the last version actually sent to that recipient. Never make an ops user hand-write what changed.</t>
  </si>
  <si>
    <t>THREADING: one conversation thread per trip per counterparty, Message-ID and In-Reply-To set, plus-addressed reply address (ops+&lt;trip_ref&gt;.&lt;vendor_id&gt;@...) so inbound replies match to trip, vendor and service order automatically. Message state: DRAFT, QUEUED, SENT, DELIVERED, BOUNCED, ACKNOWLEDGED, CONFIRMED, DECLINED, with automatic chasing as the due time approaches. A template declares its required attachment set, pulls documents from the store, and refuses to send when one is missing or expired. Audit template and version, resolved tokens, recipients, channel, timestamps, provider message id, delivery events and the raw body.</t>
  </si>
  <si>
    <t>PREVIEW AND APPROVAL: render exactly as it will be sent with token values highlighted and require an explicit send; supervisor approval for permit applications and for any first message to a new counterparty. BULK DISPATCH: one click sends every pending request for a trip using the correct template and channel per recipient, tracked on one acknowledgement board. INBOUND PARSING: extract permit numbers, approval references and refusals from replies, propose the update, and let a human confirm — the same accept/reject pattern as document OCR.</t>
  </si>
  <si>
    <t>## OPERATIONAL REQUEST FLOWS AND COUNTRY REQUIREMENTS</t>
  </si>
  <si>
    <t>Dedicated flows per airport location for overflight permit, landing permit, ground handling, fuel, crew ground transport, passenger transport, catering, security, slots and PPR, customs and immigration — each knowing its own required fields, lead time, template and recipient type. Behind them, a country requirements database: what each state demands per request type — forms, supporting documents, lead time, authority working hours, accepted channels, fee structure, whether a local agent or direct CAA account is required, and known quirks. Versioned and sourced; this is the institutional knowledge currently in people's heads.</t>
  </si>
  <si>
    <t>Crew ground transport carries its own data: pick-up point, positioning commercial flight number and ETA, destination hotel, driver name, driver mobile, vehicle make, model and plate, and confirmation back to the crew member. Driver and vehicle details are required before the request can be marked confirmed.</t>
  </si>
  <si>
    <t>GROUND HANDLING POLICY per state: MANDATORY / NOT MANDATORY / SELF-HANDLING PERMITTED, with an airport-level override, defaulting to VERIFY when unknown. Never assume handling can be skipped.</t>
  </si>
  <si>
    <t>## VENDORS, SOURCING AND CONSOLIDATED INVOICING</t>
  </si>
  <si>
    <t>Coverage at airport level (FBO name, SITA, AFTN, VHF, primary-handler flag, multiple named contacts each with role and hours) and country level (direct CAA account flag, service scope). Assignment resolves station-first, then country, then reports NO VENDOR ON FILE, and the trip sheet shows which layer answered. Rank candidates: preferred vendor for that operator or client, then primary handler at that airport, then direct CAA account in that state, then past performance and price — ranking shown, override logged.</t>
  </si>
  <si>
    <t>CAPABILITY QUESTIONNAIRE: send a structured questionnaire by tokenised link covering services, stations, states with direct CAA accounts, hours, payment terms, currencies, insurance and certifications, escalation contacts. Answers stay pending until an admin approves; only then does the vendor become assignable. Track sent, returned and approved dates and re-send annually.</t>
  </si>
  <si>
    <t>CONSOLIDATED INVOICING: Jetelio bills the client once per trip while paying many third parties. Model disbursements explicitly — CAA permit fees, nav and en-route charges, landing and parking, handling, fuel, catering, transport, hotels, airport charges. Every line carries cost, currency, FX rate and date, mark-up or handling fee, sell price, vendor invoice reference and supporting document. Roll up into one client invoice grouped by leg and service with disbursements at cost and the Jetelio fee shown separately. Support multi-currency, part-billing, credit notes, per-leg billing to different client accounts, and reconciliation flagging anything charged that was never ordered.</t>
  </si>
  <si>
    <t>## ROLE-BASED ACCESS CONTROL AND SECURITY</t>
  </si>
  <si>
    <t>Roles: SUPER ADMIN (full access including delete and reference data), OPERATIONS SPECIALIST (create, modify, permit management, trip suspension — explicitly NO delete), AUDITOR (read-only across everything including the audit log), CLIENT - MODIFY (own trips only, no delete, no cost visibility), CLIENT - VIEW ONLY, FINANCE (read all, edit billing fields only). Public feasibility is unauthenticated and sees no cost or vendor data.</t>
  </si>
  <si>
    <t>Enforce at three layers: route guards so forbidden actions are not rendered, a permission decorator on every endpoint, and row-level security in the database so a client token cannot read another operator's trip even if the API is bypassed. Scope every client user to an operator_id and/or client_id. Deletion is soft with a retention window and an audit entry; only SUPER ADMIN sees restore and purge. Suspension is a reversible status change, deliberately not a delete. MFA mandatory for SUPER ADMIN, OPERATIONS SPECIALIST and FINANCE. Configurable session timeout, refresh-token rotation, immediate revocation on disable. Every permission denial is logged, never silently swallowed.</t>
  </si>
  <si>
    <t>## PLATFORM SHAPE — INSTALLABLE PWA</t>
  </si>
  <si>
    <t>Ship a PWA, not a desktop site that shrinks. Manifest with name, short_name, description, theme_color, background_color, display standalone, and a maskable icon set generated from the branding settings. Workbox service worker: app shell precached, reference data stale-while-revalidate, trip reads network-first with cache fallback, writes queued in IndexedDB via Background Sync. Explicit offline banner and pending-changes count; never fail silently.</t>
  </si>
  <si>
    <t>MOBILE under 640px: single column, bottom tab bar (Trips, Permits, Services, Crew, More), cards not tables, sticky action bar, a trip sheet that reads well on a phone at an FBO desk. TABLET 640-1024: two-pane master/detail, collapsible rail, three key columns plus an expander. DESKTOP 1024+: full grid with frozen first column, multi-pane workspace, keyboard shortcuts, permanent deadline rail. Tables use a column-priority system (1 always, 2 tablet+, 3 desktop only) with a per-row expander — never horizontally scroll a permit list on a phone.</t>
  </si>
  <si>
    <t>WCAG 2.2 AA, 44px minimum touch targets, contrast that survives sunlight on a ramp, full keyboard navigation, screen-reader labels on every status chip, respect prefers-reduced-motion and prefers-color-scheme. Add-to-home-screen prompt after the second session, Web Push (VAPID) for permit deadlines and vendor replies, and share-target support so crew can share a PDF straight into the uploader.</t>
  </si>
  <si>
    <t>## BRANDING AND SETTINGS</t>
  </si>
  <si>
    <t>An admin settings screen edits app_name, app_short_name, light and dark logos, favicon and PWA icons, SEO title/description/keywords/OG image, default theme and colour tokens — no deploy required. Settings are database rows read at runtime and consumed by the front end as CSS custom properties. Design language: red primary #C8102E, light grey surface #D9D9D9, black base #111111, with semantic success/warning/danger tokens layered on top. LIGHT and DARK are both first-class; DARK is the default because most ops work happens at night — respect the OS preference on first visit, remember an explicit choice afterwards. Validate and sanitise uploaded logos (SVG or PNG, size and dimension limits, SVG stripped of script), generate the full icon set from one upload, version and audit every settings change, and provide a preview-before-publish mode.</t>
  </si>
  <si>
    <t>## DATA MIGRATION AND READINESS GATES</t>
  </si>
  <si>
    <t>Write a one-shot idempotent importer that loads airports, countries, operators, aircraft, aircraft performance, clients, vendors and coverage, services and sub_services, handlers, visa rules, message templates, users, settings and any existing trips, legs and people, producing a written report of rows loaded, rows skipped and why. Load Natural Earth 10m polygons and a proper FIR dataset into PostGIS; do not port the raster.</t>
  </si>
  <si>
    <t>## DISPLAY AND DATA CONVENTIONS</t>
  </si>
  <si>
    <t>States: show the COUNTRY NAME always — 'Angola, Botswana, Central African Republic', never 'AGO, BWA, CAF'. ISO3 is a technical key in the API and database only. Free-text constraint fields accept either and resolve to the canonical name. Airports: ICAO is the primary identifier everywhere; IATA may appear as a bracketed secondary label in passenger-facing output only, and never keys a record. Times: everything UTC, rendered with a Z suffix (14-Aug-2026 09:00Z), local time optional as a greyed secondary using the airport timezone; never store naive datetimes. Aircraft: ICAO type designator first (GLF6, C510, B738), manufacturer and model series secondary, registration the unique airframe key. Dates dd-mmm-yyyy. Distances in NM, mass in kg, times in hours to two decimals. Money as integer minor units with an explicit currency column — never floats.</t>
  </si>
  <si>
    <t>## ARCHITECTURE AND QUALITY BAR</t>
  </si>
  <si>
    <t>Layered and testable: api routers -&gt; service layer (use cases) -&gt; domain (pure functions: routing, permits, deadlines, credentials, performance) -&gt; repositories -&gt; database. The domain layer imports nothing from FastAPI or SQLAlchemy and is unit-tested in isolation so results can be diffed against the workbook during parallel running. No business logic in route handlers, no SQL in the domain. Validate twice — Pydantic v2 at the boundary and Zod on the client, both generated from the same OpenAPI document so they cannot drift. Field-level errors, never a generic 'invalid input'.</t>
  </si>
  <si>
    <t>Reject at the edge: unknown ICAO, aircraft without an operator, a bill-to account belonging to a different operator, pax above certified seats. Every mutating endpoint takes an Idempotency-Key; trips and legs carry a version for optimistic locking. Recompute is event-driven (LegCreated, LegRouteChanged, AircraftChanged, PersonAdded, DocumentVerified) touching only the affected aggregate. Log every route computation with inputs, outputs and a rule-engine version number so a permit list filed six months ago can be reproduced exactly.</t>
  </si>
  <si>
    <t>Deterministic seed data: full airport and country tables, a sample fleet with documents, several operators each with multiple billing accounts, a vendor directory with coverage, and three trips in different states. Every screen demonstrable without a human typing anything first. Interface quality is aviation-grade: dense but calm, monospace for identifiers and teletype messages, tabular figures for times and distances, no decorative animation, status by colour AND text, optimistic feedback, destructive actions behind a confirm that names what will be affected. Structured JSON logs, OpenTelemetry traces, /health and /ready on every service, Sentry by env. Target: a ten-leg trip fully recomputed server-side in under 500 ms. Coverage gates on the domain layer, visual regression at three breakpoints, Lighthouse thresholds enforced in CI.</t>
  </si>
  <si>
    <t>## ROADMAP ITEMS TO DESIGN FOR, EVEN IF BUILT LATER</t>
  </si>
  <si>
    <t>Named what-if scenarios per trip (different aircraft, routing or dates) costed and compared with one promoted to live, plus an immutable revision history answering 'what did we file and when'. Webhooks and adapters for Leon, FL3XX and Schedaero, NOTAM and weather feeds, Eurocontrol B2B for European slots and route validation, ADS-B for actual movement times to close legs automatically, and Xero/QuickBooks/Sage for invoices. Crowdsourcing: whenever ops confirms a real lead time or visa outcome from a CAA response, offer to write it back to the reference tables with provenance so the dataset improves with use. A parallel-run harness that ingests a workbook trip and diffs computed permits, services and deadlines against the spreadsheet, run for a month before switchover.</t>
  </si>
  <si>
    <t>## ACCEPTANCE TESTS — THESE MUST PASS</t>
  </si>
  <si>
    <t>T1 FALA to FTTJ returns approximately 2,407 NM and enters Botswana, Namibia, Zambia, Angola, DR Congo, Republic of the Congo and Central African Republic; South Africa and Chad are excluded from overflight as departure and destination states.</t>
  </si>
  <si>
    <t>T2 A four-leg trip FALA-FTTJ-HECA-GMAD-FAOR produces exactly four landing permits (Chad, Egypt, Morocco, South Africa) and exactly four ground-handling orders (South Africa, Chad, Egypt, Morocco), with South Africa's single order listing both FALA and FAOR.</t>
  </si>
  <si>
    <t>T3 Setting a ground-handling provider to OWN removes it from the Jetelio action list but keeps it on the trip with status CLIENT ARRANGING.</t>
  </si>
  <si>
    <t>T4 A leg with AVOID = Sudan, South Sudan on a HECA to FALA track returns AVOID CONFLICT and a verdict of NOT FEASIBLE AS ROUTED, and the re-router returns an alternative with the extra distance quantified.</t>
  </si>
  <si>
    <t>T5 A passenger with no visa recorded for a state that requires one yields ACTION REQUIRED and blocks the trip from reaching CONFIRMED.</t>
  </si>
  <si>
    <t>T6 A ten-leg trip renders exactly ten register rows, each repeating the identical trip block.</t>
  </si>
  <si>
    <t>T7 Two legs billed to different client accounts under the same operator produce two separate billing lines with correct currencies and payment terms.</t>
  </si>
  <si>
    <t>T8 A C208 assigned to FALA-FTTJ is flagged EXCEEDS PRACTICAL RANGE and the suggester returns at least one technical stop that is within range of both ends, has adequate runway and the correct fuel grade — and the permit list regenerates to include the new landing state.</t>
  </si>
  <si>
    <t>T9 A permit computed from the 72-hour fallback rather than a per-state value is rendered UNVERIFIED in the UI and carries that flag in the API response.</t>
  </si>
  <si>
    <t>T10 An uploaded passport with an MRZ that disagrees with the person record surfaces a MISMATCH in the side-by-side review and cannot write to the record without an explicit human decision.</t>
  </si>
  <si>
    <t>T11 A handling request rendered for a SITA-preferred vendor with no SITA address on file is blocked before sending with a field-level error naming the missing address.</t>
  </si>
  <si>
    <t>Phase 1 — compose skeleton, database, PostGIS geometry, migrations, importer with the readiness report, reference-data CRUD and API. Phase 2 — routing, permit, deadline and performance engines as pure functions with full unit tests. Phase 3 — Feasibility IQ public form. Phase 4 — Trip Manager console and the register. Phase 5 — documents with OCR and verification, visas, vendors and billing. Phase 6 — messaging engine, templates, bulk dispatch and inbound parsing. Phase 7 — PDF trip sheet and permit pack, notifications, audit, RBAC hardening, PWA and branding panel.</t>
  </si>
  <si>
    <t>Begin by printing the file tree you intend to create and the docker-compose service list. Then build Phase 1 in full before moving on. Do not scaffold later phases as empty stubs.</t>
  </si>
  <si>
    <t>SERVICE CATALOGUE — services and sub-services in one table. Rows 2-18 are the 17 top-level services (referenced by the ground-services grid on TRIP MANAGER). Rows 19-70 are the 52 sub-services, each hanging off a parent by code prefix.</t>
  </si>
  <si>
    <t>name</t>
  </si>
  <si>
    <t>code</t>
  </si>
  <si>
    <t>level</t>
  </si>
  <si>
    <t>parent_service_id</t>
  </si>
  <si>
    <t>SERVICE</t>
  </si>
  <si>
    <t>SUB-SERVICE</t>
  </si>
  <si>
    <t>OPERATIONAL DEFAULTS — single source of truth for every fallback</t>
  </si>
  <si>
    <t>Default permit lead time (hrs) — FALLBACK ONLY, not a verified figure</t>
  </si>
  <si>
    <t>Default ground service notice (hrs)</t>
  </si>
  <si>
    <t>Range reserve / safety margin (fraction of max range)</t>
  </si>
  <si>
    <t>Passport validity buffer beyond trip end (days)</t>
  </si>
  <si>
    <t>Document expiry alert thresholds (days before expiry)</t>
  </si>
  <si>
    <t>180, 90, 30, 7</t>
  </si>
  <si>
    <t>Visa rule staleness limit (days since verified)</t>
  </si>
  <si>
    <t>Unverified reference data may be used for planning?</t>
  </si>
  <si>
    <t>planning_status</t>
  </si>
  <si>
    <t>lead_time_source</t>
  </si>
  <si>
    <t>lead_time_verified_by</t>
  </si>
  <si>
    <t>lead_time_verified_on</t>
  </si>
  <si>
    <t>permit_flags_verified_by</t>
  </si>
  <si>
    <t>reference_status</t>
  </si>
  <si>
    <t>effective_lead_time_hours</t>
  </si>
  <si>
    <t>ASSIGNABLE TO A TRIP</t>
  </si>
  <si>
    <t>ops_data_source</t>
  </si>
  <si>
    <t>ops_data_verified_on</t>
  </si>
  <si>
    <t>tech_stop_readiness</t>
  </si>
  <si>
    <t>PILOT EXIT GATE — V3 may not leave pilot while any gate below reads BLOCKED</t>
  </si>
  <si>
    <t>Each gate is a live count against the verification columns added to the reference sheets. A gate clears only on evidence — a source and a verification date — never on a value merely being present.</t>
  </si>
  <si>
    <t>gate</t>
  </si>
  <si>
    <t>required</t>
  </si>
  <si>
    <t>gate status</t>
  </si>
  <si>
    <t>evidence column that clears it</t>
  </si>
  <si>
    <t>Country permit lead times sourced &amp; verified</t>
  </si>
  <si>
    <t>countries Q/R/S — lead_time_source, verified_by, verified_on</t>
  </si>
  <si>
    <t>Country permit flags verified against a source</t>
  </si>
  <si>
    <t>countries O/P/T — permit_flags_verified_on, source, verified_by</t>
  </si>
  <si>
    <t>Country ground-handling policy decided (not VERIFY)</t>
  </si>
  <si>
    <t>countries L/M — ground_handling_mandatory, self_handling_permitted</t>
  </si>
  <si>
    <t>Operators assignable to a trip</t>
  </si>
  <si>
    <t>Operators AG — blocks any operator with no name</t>
  </si>
  <si>
    <t>Aircraft types approved for planning (engineer sign-off)</t>
  </si>
  <si>
    <t>AIRCRAFT PERFORMANCE K/L/M — verified, verified_by, verified_on</t>
  </si>
  <si>
    <t>Airports usable as a technical stop</t>
  </si>
  <si>
    <t>airports X/Y/AG + AW/AX — hours, entry, fuel, source, verified_on</t>
  </si>
  <si>
    <t>VISA MATRIX grid + VISA RULES override layer</t>
  </si>
  <si>
    <t>Vendors with an approved capability questionnaire</t>
  </si>
  <si>
    <t>Vendors X:AF — questionnaire dates, approved_by, capability_status</t>
  </si>
  <si>
    <t>Country requirement / intel records captured</t>
  </si>
  <si>
    <t>COUNTRY REQUIREMENTS — forms, documents, channels, quirks per state</t>
  </si>
  <si>
    <t>GATE VERDICT</t>
  </si>
  <si>
    <t>Unverified data allowed for planning?</t>
  </si>
  <si>
    <t>vendors plus vendor_coverage_airports (icao, is_primary_handler, fbo_name, sita, aftn, vhf, contacts with role and hours) and vendor_coverage_countries (country, has_caa_direct_account, service scope), plus questionnaire fields (sent_on, returned_on, approved_by, approved_on, capability_status, preference_rank). service_catalogue is ONE table, not two: id, name, code, description, category (PERMIT or GROUND), ground_grid_order, level (SERVICE or SUB-SERVICE), parent_service_id, mapping_audit — 17 services and 52 sub-services, parentage always re-derived from the code prefix.</t>
  </si>
  <si>
    <t>FIX THESE DURING MIGRATION, DO NOT CARRY THEM OVER. (a) sub_services.service_id was historically shifted by one from SS-017 onward; the source workbook has now been merged into a single SERVICE CATALOGUE with parentage re-derived from the code prefix and a mapping_audit column recording every remap — re-derive on import anyway and fail loudly on anything unresolved. (b) 44 operator records exist as IDs only with no name; the workbook now derives an ASSIGNABLE TO A TRIP column that reads BLOCKED - OPERATOR NAME REQUIRED for each, and the importer must quarantine them identically. (c) Aircraft with no operator are quarantined; operator_id is NOT NULL. (d) Duplicate registrations are quarantined; registration is unique. (e) countries.standard_lead_time_hours is empty for all 142 states — the workbook now carries effective_lead_time_hours which falls back to a single labelled default and a reference_status column that reads UNVERIFIED - USING FALLBACK; carry both concepts into the schema. (f) Overflight and landing flags were bulk-seeded REQUIRED with no source for all 142 states; they stay unverified until a source and verification date exist.</t>
  </si>
  <si>
    <t>SHIPPED AND USABLE TODAY: 380 airports with coordinates; 245 handler station records covering 204 ICAOs and 59 handlers with named contacts; 46 ICAO types with indicative performance; one SERVICE CATALOGUE of 17 services and 52 sub-services with the mapping defect corrected; 20 sending desks; 5 message templates; 6 roles and 33 branding settings; a 142 x 174 visa matrix structure with a separate VISA RULES override layer holding lead time, maximum stay, conditions and airport-level overrides.</t>
  </si>
  <si>
    <t>STILL MISSING AND BLOCKING, measured live by the nine pilot-exit gates: per-state permit lead times (0 of 142 verified), permit-flag verification (0 of 142), ground-handling policy decided (0 of 142), operators assignable (446 of 490 — 44 blocked on a missing name), aircraft types approved for planning (0 of 46), airports usable as a technical stop (0 of 380), visa matrix cells answered (1 of 24,708), vendors with an approved questionnaire (0 of 136), country requirement records (2 of 142). All nine are blocked today. Treat every planning output as ADVISORY until they clear.</t>
  </si>
  <si>
    <t>## THE VERIFICATION CONTRACT — THIS IS WHAT MAKES V3 OPERATIONALLY USABLE</t>
  </si>
  <si>
    <t>V3 is not usable because its data is complete; it is usable because it can never present incomplete data as complete. Port this contract exactly — it is the difference between a planning tool and a liability.</t>
  </si>
  <si>
    <t>1. EVERY FALLBACK IS A NAMED SETTING, NEVER A LITERAL. One settings table holds default_permit_lead_time_hours (72), default_ground_notice_hours (24), range_reserve_margin (0.15), passport_validity_buffer_days (180), document_expiry_alert_days (180/90/30/7), visa_rule_staleness_days (365) and allow_unverified_for_planning (default NO). No engine may contain a hard-coded number that a user could reasonably want to change.</t>
  </si>
  <si>
    <t>2. EVERY REFERENCE FACT CARRIES PROVENANCE. Three columns minimum on any operationally significant field: source, verified_by, verified_on. A value with no provenance is UNVERIFIED, full stop — presence is not verification. Countries carry lead_time_source / verified_by / verified_on and permit_flags_source / verified_on / verified_by; aircraft performance carries source / verified / verified_by / verified_on; airports carry ops_data_source / ops_data_verified_on; visa rules carry source / verified_by / verified_on / expires_on.</t>
  </si>
  <si>
    <t>3. EVERY DERIVED STATUS IS COMPUTED, NOT TYPED. countries.reference_status resolves to VERIFIED / LEAD TIME OK - FLAGS UNVERIFIED / UNVERIFIED - NO SOURCE / UNVERIFIED - USING FALLBACK. aircraft_performance.planning_status resolves to APPROVED FOR PLANNING only when verified = YES and both verified_by and verified_on are present, otherwise ADVISORY ONLY - NOT FOR PLANNING. airports.tech_stop_readiness resolves to INCOMPLETE - NOT SELECTABLE AS TECH STOP unless operating hours, airport-of-entry status and fuel grade are all populated, then UNVERIFIED - ADVISORY ONLY until sourced, then VERIFIED. operators.assignable resolves to BLOCKED - OPERATOR NAME REQUIRED whenever the name is blank.</t>
  </si>
  <si>
    <t>4. UNVERIFIED DATA IS USABLE BUT NEVER SILENT. It renders with an explicit UNVERIFIED chip in the UI, carries the flag in the API payload, prints on the trip sheet and permit pack, and is refused outright when allow_unverified_for_planning is NO. A technical stop may never be auto-selected from an airport whose readiness is INCOMPLETE. An aircraft type may never drive a range verdict while its planning_status is ADVISORY ONLY.</t>
  </si>
  <si>
    <t>5. THE PILOT-EXIT GATE IS CODE, NOT A SPREADSHEET. Implement nine gates as a single endpoint returning verified, required and status per gate plus an overall verdict: country lead times, permit flags, ground-handling policy, operators assignable, aircraft types approved, airports tech-stop ready, visa matrix cells, vendor questionnaires, country requirement records. A gate clears only on evidence. While any gate is blocked the app runs in PILOT mode: a persistent banner, ADVISORY watermarking on every generated PDF, and outbound permit applications requiring supervisor approval. The importer recomputes and prints all nine after every load.</t>
  </si>
  <si>
    <t>6. THE FOUR THINGS NO SOFTWARE CAN SOURCE FOR YOU. Per-state permit lead times and flag verification must come from the AIPs or direct CAA confirmation. Aircraft performance figures must be signed off by an engineer or ops manager against the AFM. Airport of entry, fuel grade and operating hours must come from the AIP or Jeppesen. The visa matrix must be verified per (state, nationality) pair or licensed from an authoritative feed into a clearly separate REFERENCE layer. Do not generate, infer, or backfill any of these from a public dataset or a language model. A wrong lead time files a permit too late; a wrong NOT REQUIRED strands a passenger; a wrong range figure is a safety event.</t>
  </si>
  <si>
    <t>T12 A country with no lead_time_source resolves effective_lead_time_hours to the settings default, returns reference_status UNVERIFIED - USING FALLBACK, and every permit derived from it is flagged UNVERIFIED in both the UI and the API payload.</t>
  </si>
  <si>
    <t>T13 A type whose planning_status is ADVISORY ONLY cannot produce a pass/fail range verdict — the endpoint returns ADVISORY with a link to the AFM figures — and an airport whose tech_stop_readiness is INCOMPLETE is never returned by the technical-stop suggester.</t>
  </si>
  <si>
    <t>T14 The pilot-exit endpoint returns nine gates with verified, required and status; with any gate blocked the app reports PILOT mode, watermarks generated PDFs ADVISORY, and requires supervisor approval on outbound permit applications.</t>
  </si>
  <si>
    <t>## AMENDMENT — WORKBOOK CONSOLIDATION AND THE VERIFICATION CONTRACT</t>
  </si>
  <si>
    <t>The source workbook has been consolidated and hardened. Everything below supersedes the corresponding statements earlier in this brief. The full rebuild prompt now lives on the JETELIO V3 PROMPT sheet; this section records what changed in the workbook and why it matters to the build.</t>
  </si>
  <si>
    <t>SHEETS MERGED. `services` and `sub_services` are now a single SERVICE CATALOGUE sheet: 17 services in rows 3-19 and 52 sub-services in rows 20-71, with columns for id, name, code, description, category, ground_grid_order, level (SERVICE or SUB-SERVICE), parent_service_id and mapping_audit. Parentage is derived from the sub_service_code prefix, so the historic SS-017 off-by-one defect cannot recur. Model it as one table with a self-referencing parent_service_id, not two tables.</t>
  </si>
  <si>
    <t>A LATENT BUG WAS FIXED IN THE MERGE. The ground-services grid on TRIP MANAGER was indexing a 17-row catalogue through a 16-row range and silently dropping the last service, Pax Hotel (PXH). All 15 ground columns now resolve. Any port of this grid must be driven off the catalogue's ground_grid_order column, never a fixed offset.</t>
  </si>
  <si>
    <t>SHEETS THAT LOOK MERGEABLE AND ARE NOT. `VISA` has been renamed VISA RULES to make its role explicit. It is NOT a legacy version of VISA MATRIX and must not be folded into it. The matrix is a two-dimensional grid of (destination state x nationality) and can physically hold one value per cell. VISA RULES is the attribute and override layer: airport-level ICAO override, visa type, lead time in days, maximum stay and conditions. Two different shapes serving two different tiers of the same precedence chain. Likewise geo_grid, route_calc, permit_calc and fiq_calc remain load-bearing in the workbook and are only deleted in the web app, where they become three pure functions and one PostGIS query.</t>
  </si>
  <si>
    <t>THE VISA PRECEDENCE WAS INVERTED AND IS NOW CORRECT. The workbook previously answered from the bulk matrix cell first and only fell back to the specific rule — the wrong way round — and airport-specific rows leaked into country-level answers. TRIP MANAGER now resolves airport override, then the exact (country, nationality) rule where the ICAO column is blank, then the matrix cell, then NOT ON FILE - VERIFY, with airport-sourced answers labelled (APT OVERRIDE). Implement exactly this order and surface which tier answered.</t>
  </si>
  <si>
    <t>OPERATIONAL DEFAULTS ARE NOW A SINGLE SOURCE OF TRUTH. admin!A14:B21 holds default permit lead time (72 h), ground service notice (24 h), range reserve margin (15%), passport validity buffer (180 days), document expiry alert thresholds, visa rule staleness limit (365 days) and a master allow_unverified_for_planning switch defaulting to NO. AIRCRAFT PERFORMANCE now reads its reserve margin from admin rather than holding its own copy, and countries reads the lead-time fallback from admin. These become rows in a settings table; no engine may hard-code any of them.</t>
  </si>
  <si>
    <t>PROVENANCE COLUMNS ADDED. countries gains lead_time_source, lead_time_verified_by, lead_time_verified_on, permit_flags_verified_by, a derived reference_status and a derived effective_lead_time_hours. AIRCRAFT PERFORMANCE gains verified_by, verified_on and a derived planning_status. airports gains ops_data_source, ops_data_verified_on and a derived tech_stop_readiness. Operators gains a derived ASSIGNABLE TO A TRIP column that blocks all 44 unnamed records. Vendors already carried the questionnaire and capability_status fields. Presence is not verification: a value with no source and no verification date is UNVERIFIED, and the derived status columns enforce that mechanically rather than by convention.</t>
  </si>
  <si>
    <t>PILOT-EXIT GATE ADDED. DATA READINESS rows 28-42 now compute nine live gates against those verification columns — country lead times, permit flags, ground-handling policy, operators assignable, aircraft types approved for planning, airports usable as a technical stop, visa matrix cells, vendor questionnaires and country requirement records — each showing verified, required and a CLEAR or BLOCKED status, with an overall verdict. All nine are blocked today. The web app must implement the same nine gates as an endpoint and run in PILOT mode while any is blocked: persistent banner, ADVISORY watermark on generated PDFs, supervisor approval on outbound permit applications.</t>
  </si>
  <si>
    <t>WHAT OPERATIONAL USABILITY ACTUALLY MEANS HERE. The workbook is now structurally sound, internally consistent and honest about its own gaps. It is not yet operationally complete, and no amount of software can make it so, because four datasets can only come from authoritative external sources: per-state permit lead times and flag verification from the AIPs or direct CAA confirmation; aircraft performance sign-off from an engineer against the AFM; airport of entry, fuel grade and operating hours from the AIP or Jeppesen; and the visa matrix verified per (state, nationality) pair or licensed from an authoritative feed. None of these may be generated, inferred or backfilled from a public dataset or a language model. A wrong lead time files a permit too late, a wrong NOT REQUIRED strands a passenger, and a wrong range figure is a safety event. Build the machinery now; fill these four with sourced data before go-live.</t>
  </si>
  <si>
    <t>Every file-by deadline. Counts only states with a lead time AND a source AND a verification date — presence alone is not verification.</t>
  </si>
  <si>
    <t>Addressing permits and messages. Reads the derived ASSIGNABLE column on Operators — an operator with no name cannot be put on a trip.</t>
  </si>
  <si>
    <t>Using published figures for real planning. Requires verified = YES plus a named verifier and a date; anything less stays ADVISORY ONLY.</t>
  </si>
  <si>
    <t>READ THE TWO BLOCKS TOGETHER. Rows 5-24 measure POPULATION — is a value present at all. Rows 30-39 measure VERIFICATION — is that value backed by a source and a verification date. A dataset can be 100% populated and still fail its gate, which is the normal case for bulk-seeded reference data. The gates, not the percentages, decide whether V3 may leave pilot.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</si>
</sst>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00000"/>
    <numFmt numFmtId="165" formatCode="\+0.0;\-0.0;0.0"/>
    <numFmt numFmtId="166" formatCode="dd\-mmm\-yyyy"/>
    <numFmt numFmtId="167" formatCode="0.0000"/>
    <numFmt numFmtId="168" formatCode="hh:mm&quot;Z&quot;"/>
    <numFmt numFmtId="169" formatCode="#,##0;\(#,##0\);\-"/>
    <numFmt numFmtId="170" formatCode="0.00;\(0.00\);\-"/>
    <numFmt numFmtId="171" formatCode="dd\-mmm\-yyyy\ hh:mm&quot;Z&quot;"/>
    <numFmt numFmtId="172" formatCode="0.0;\(0.0\);\-"/>
    <numFmt numFmtId="173" formatCode="0;\(0\);\-"/>
    <numFmt numFmtId="174" formatCode="dd\-mmm\-yyyy;;&quot;-&quot;"/>
    <numFmt numFmtId="175" formatCode="0.0%"/>
  </numFmts>
  <fonts count="32" x14ac:knownFonts="1">
    <font>
      <sz val="11"/>
      <color theme="1"/>
      <name val="Aptos Narrow"/>
      <family val="2"/>
      <scheme val="minor"/>
    </font>
    <font>
      <b/>
      <sz val="11"/>
      <color theme="1"/>
      <name val="Aptos Narrow"/>
      <family val="2"/>
      <scheme val="minor"/>
    </font>
    <font>
      <sz val="11"/>
      <color rgb="FFFF0000"/>
      <name val="Aptos Narrow"/>
      <family val="2"/>
      <scheme val="minor"/>
    </font>
    <font>
      <sz val="11"/>
      <color rgb="FFFFFFFF"/>
      <name val="Aptos Narrow"/>
      <family val="2"/>
      <scheme val="minor"/>
    </font>
    <font>
      <b/>
      <sz val="11"/>
      <color rgb="FFFFFFFF"/>
      <name val="Aptos Narrow"/>
      <family val="2"/>
      <scheme val="minor"/>
    </font>
    <font>
      <b/>
      <sz val="10"/>
      <color rgb="FFFFFFFF"/>
      <name val="Aptos Narrow"/>
      <family val="2"/>
      <scheme val="minor"/>
    </font>
    <font>
      <b/>
      <sz val="10"/>
      <color theme="1"/>
      <name val="Aptos Narrow"/>
      <family val="2"/>
      <scheme val="minor"/>
    </font>
    <font>
      <sz val="11"/>
      <color rgb="FF0000FF"/>
      <name val="Aptos Narrow"/>
      <family val="2"/>
      <scheme val="minor"/>
    </font>
    <font>
      <sz val="11"/>
      <color rgb="FF000000"/>
      <name val="Aptos Narrow"/>
      <family val="2"/>
      <scheme val="minor"/>
    </font>
    <font>
      <sz val="11"/>
      <color rgb="FF008000"/>
      <name val="Aptos Narrow"/>
      <family val="2"/>
      <scheme val="minor"/>
    </font>
    <font>
      <b/>
      <sz val="13"/>
      <color theme="1"/>
      <name val="Aptos Narrow"/>
      <family val="2"/>
      <scheme val="minor"/>
    </font>
    <font>
      <b/>
      <sz val="16"/>
      <color theme="1"/>
      <name val="Aptos Narrow"/>
      <family val="2"/>
      <scheme val="minor"/>
    </font>
    <font>
      <i/>
      <sz val="11"/>
      <color theme="1"/>
      <name val="Aptos Narrow"/>
      <family val="2"/>
      <scheme val="minor"/>
    </font>
    <font>
      <i/>
      <sz val="11"/>
      <color rgb="FF808080"/>
      <name val="Aptos Narrow"/>
      <family val="2"/>
      <scheme val="minor"/>
    </font>
    <font>
      <b/>
      <sz val="14"/>
      <color theme="1"/>
      <name val="Aptos Narrow"/>
      <family val="2"/>
      <scheme val="minor"/>
    </font>
    <font>
      <b/>
      <i/>
      <sz val="11"/>
      <color rgb="FFFFFFFF"/>
      <name val="Aptos Narrow"/>
      <family val="2"/>
      <scheme val="minor"/>
    </font>
    <font>
      <i/>
      <sz val="11"/>
      <color rgb="FF008000"/>
      <name val="Aptos Narrow"/>
      <family val="2"/>
      <scheme val="minor"/>
    </font>
    <font>
      <b/>
      <sz val="11"/>
      <color rgb="FF008000"/>
      <name val="Aptos Narrow"/>
      <family val="2"/>
      <scheme val="minor"/>
    </font>
    <font>
      <i/>
      <sz val="8"/>
      <color rgb="FF808080"/>
      <name val="Aptos Narrow"/>
      <family val="2"/>
      <scheme val="minor"/>
    </font>
    <font>
      <b/>
      <sz val="11"/>
      <color rgb="FFC00000"/>
      <name val="Aptos Narrow"/>
      <family val="2"/>
      <scheme val="minor"/>
    </font>
    <font>
      <b/>
      <i/>
      <sz val="11"/>
      <color rgb="FFC00000"/>
      <name val="Aptos Narrow"/>
      <family val="2"/>
      <scheme val="minor"/>
    </font>
    <font>
      <b/>
      <sz val="12"/>
      <color rgb="FFFFFFFF"/>
      <name val="Aptos Narrow"/>
      <family val="2"/>
      <scheme val="minor"/>
    </font>
    <font>
      <b/>
      <sz val="11"/>
      <color rgb="FF000000"/>
      <name val="Aptos Narrow"/>
      <family val="2"/>
      <scheme val="minor"/>
    </font>
    <font>
      <sz val="9"/>
      <color theme="1"/>
      <name val="Consolas"/>
    </font>
    <font>
      <i/>
      <sz val="11"/>
      <color rgb="FFC00000"/>
      <name val="Aptos Narrow"/>
      <family val="2"/>
      <scheme val="minor"/>
    </font>
    <font>
      <b/>
      <sz val="12"/>
      <color rgb="FFC00000"/>
      <name val="Aptos Narrow"/>
      <family val="2"/>
      <scheme val="minor"/>
    </font>
    <font>
      <b/>
      <sz val="16"/>
      <color rgb="FFC8102E"/>
      <name val="Aptos Narrow"/>
      <family val="2"/>
      <scheme val="minor"/>
    </font>
    <font>
      <i/>
      <sz val="11"/>
      <color rgb="FF555555"/>
      <name val="Aptos Narrow"/>
      <family val="2"/>
      <scheme val="minor"/>
    </font>
    <font>
      <b/>
      <sz val="11"/>
      <color rgb="FF111111"/>
      <name val="Aptos Narrow"/>
      <family val="2"/>
      <scheme val="minor"/>
    </font>
    <font>
      <b/>
      <sz val="11"/>
      <color rgb="FFC8102E"/>
      <name val="Aptos Narrow"/>
      <family val="2"/>
      <scheme val="minor"/>
    </font>
    <font>
      <b/>
      <sz val="11"/>
      <color rgb="FF0000FF"/>
      <name val="Aptos Narrow"/>
      <family val="2"/>
      <scheme val="minor"/>
    </font>
    <font>
      <b/>
      <sz val="12"/>
      <color rgb="FFC8102E"/>
      <name val="Aptos Narrow"/>
      <family val="2"/>
      <scheme val="minor"/>
    </font>
  </fonts>
  <fills count="25">
    <fill>
      <patternFill patternType="none"/>
    </fill>
    <fill>
      <patternFill patternType="gray125"/>
    </fill>
    <fill>
      <patternFill patternType="solid">
        <fgColor rgb="FF1F3864"/>
        <bgColor indexed="64"/>
      </patternFill>
    </fill>
    <fill>
      <patternFill patternType="solid">
        <fgColor rgb="FF2E5C8A"/>
        <bgColor indexed="64"/>
      </patternFill>
    </fill>
    <fill>
      <patternFill patternType="solid">
        <fgColor rgb="FF1F6B4E"/>
        <bgColor indexed="64"/>
      </patternFill>
    </fill>
    <fill>
      <patternFill patternType="solid">
        <fgColor rgb="FF8A5A00"/>
        <bgColor indexed="64"/>
      </patternFill>
    </fill>
    <fill>
      <patternFill patternType="solid">
        <fgColor rgb="FF7B3F00"/>
        <bgColor indexed="64"/>
      </patternFill>
    </fill>
    <fill>
      <patternFill patternType="solid">
        <fgColor rgb="FF5B2C6F"/>
        <bgColor indexed="64"/>
      </patternFill>
    </fill>
    <fill>
      <patternFill patternType="solid">
        <fgColor rgb="FF00566B"/>
        <bgColor indexed="64"/>
      </patternFill>
    </fill>
    <fill>
      <patternFill patternType="solid">
        <fgColor rgb="FF4A4A4A"/>
        <bgColor indexed="64"/>
      </patternFill>
    </fill>
    <fill>
      <patternFill patternType="solid">
        <fgColor rgb="FF8A1C3B"/>
        <bgColor indexed="64"/>
      </patternFill>
    </fill>
    <fill>
      <patternFill patternType="solid">
        <fgColor rgb="FF333333"/>
        <bgColor indexed="64"/>
      </patternFill>
    </fill>
    <fill>
      <patternFill patternType="solid">
        <fgColor rgb="FFD9E2F3"/>
        <bgColor indexed="64"/>
      </patternFill>
    </fill>
    <fill>
      <patternFill patternType="solid">
        <fgColor rgb="FFFFF2CC"/>
        <bgColor indexed="64"/>
      </patternFill>
    </fill>
    <fill>
      <patternFill patternType="solid">
        <fgColor rgb="FFD9E1F2"/>
        <bgColor indexed="64"/>
      </patternFill>
    </fill>
    <fill>
      <patternFill patternType="solid">
        <fgColor rgb="FF375623"/>
        <bgColor indexed="64"/>
      </patternFill>
    </fill>
    <fill>
      <patternFill patternType="solid">
        <fgColor rgb="FFE2EFDA"/>
        <bgColor indexed="64"/>
      </patternFill>
    </fill>
    <fill>
      <patternFill patternType="solid">
        <fgColor rgb="FFC00000"/>
        <bgColor indexed="64"/>
      </patternFill>
    </fill>
    <fill>
      <patternFill patternType="solid">
        <fgColor rgb="FF7030A0"/>
        <bgColor indexed="64"/>
      </patternFill>
    </fill>
    <fill>
      <patternFill patternType="solid">
        <fgColor rgb="FFBF8F00"/>
        <bgColor indexed="64"/>
      </patternFill>
    </fill>
    <fill>
      <patternFill patternType="solid">
        <fgColor rgb="FFD9D9D9"/>
        <bgColor indexed="64"/>
      </patternFill>
    </fill>
    <fill>
      <patternFill patternType="solid">
        <fgColor rgb="FFC8102E"/>
        <bgColor indexed="64"/>
      </patternFill>
    </fill>
    <fill>
      <patternFill patternType="solid">
        <fgColor rgb="FF111111"/>
        <bgColor indexed="64"/>
      </patternFill>
    </fill>
    <fill>
      <patternFill patternType="solid">
        <fgColor rgb="FFF2F2F2"/>
        <bgColor indexed="64"/>
      </patternFill>
    </fill>
    <fill>
      <patternFill patternType="solid">
        <fgColor rgb="FFFFFF00"/>
        <bgColor indexed="64"/>
      </patternFill>
    </fill>
  </fills>
  <borders count="10">
    <border>
      <left/>
      <right/>
      <top/>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style="thin">
        <color rgb="FFCCCCCC"/>
      </top>
      <bottom/>
      <diagonal/>
    </border>
    <border>
      <left style="thin">
        <color rgb="FFCCCCCC"/>
      </left>
      <right style="thin">
        <color rgb="FFCCCCCC"/>
      </right>
      <top style="thin">
        <color rgb="FFCCCCCC"/>
      </top>
      <bottom/>
      <diagonal/>
    </border>
    <border>
      <left style="thin">
        <color rgb="FFCCCCCC"/>
      </left>
      <right/>
      <top style="thin">
        <color rgb="FFCCCCCC"/>
      </top>
      <bottom/>
      <diagonal/>
    </border>
  </borders>
  <cellStyleXfs count="1">
    <xf numFmtId="0" fontId="0" fillId="0" borderId="0"/>
  </cellStyleXfs>
  <cellXfs count="114">
    <xf numFmtId="0" fontId="0" fillId="0" borderId="0" xfId="0"/>
    <xf numFmtId="0" fontId="1" fillId="0" borderId="0" xfId="0" applyFont="1"/>
    <xf numFmtId="0" fontId="1" fillId="12" borderId="0" xfId="0" applyFont="1" applyFill="1"/>
    <xf numFmtId="0" fontId="6" fillId="12" borderId="0" xfId="0" applyFont="1" applyFill="1" applyAlignment="1">
      <alignment horizontal="center" vertical="center" wrapText="1"/>
    </xf>
    <xf numFmtId="0" fontId="7" fillId="0" borderId="0" xfId="0" applyFont="1"/>
    <xf numFmtId="3" fontId="0" fillId="0" borderId="0" xfId="0" applyNumberFormat="1"/>
    <xf numFmtId="166" fontId="0" fillId="0" borderId="0" xfId="0" applyNumberFormat="1"/>
    <xf numFmtId="164" fontId="7" fillId="0" borderId="0" xfId="0" applyNumberFormat="1" applyFont="1"/>
    <xf numFmtId="165" fontId="7" fillId="0" borderId="0" xfId="0" applyNumberFormat="1" applyFont="1"/>
    <xf numFmtId="166" fontId="7" fillId="0" borderId="0" xfId="0" applyNumberFormat="1" applyFont="1"/>
    <xf numFmtId="0" fontId="8" fillId="0" borderId="0" xfId="0" applyFont="1"/>
    <xf numFmtId="3" fontId="8" fillId="0" borderId="0" xfId="0" applyNumberFormat="1" applyFont="1"/>
    <xf numFmtId="0" fontId="8" fillId="0" borderId="0" xfId="0" applyFont="1" applyAlignment="1">
      <alignment vertical="top"/>
    </xf>
    <xf numFmtId="3" fontId="8" fillId="0" borderId="0" xfId="0" applyNumberFormat="1" applyFont="1" applyAlignment="1">
      <alignment vertical="top"/>
    </xf>
    <xf numFmtId="20" fontId="8" fillId="0" borderId="0" xfId="0" applyNumberFormat="1" applyFont="1" applyAlignment="1">
      <alignment vertical="top"/>
    </xf>
    <xf numFmtId="166" fontId="8" fillId="0" borderId="0" xfId="0" applyNumberFormat="1" applyFont="1" applyAlignment="1">
      <alignment vertical="top"/>
    </xf>
    <xf numFmtId="0" fontId="9" fillId="0" borderId="0" xfId="0" applyFont="1" applyAlignment="1">
      <alignment vertical="top"/>
    </xf>
    <xf numFmtId="16" fontId="7" fillId="0" borderId="0" xfId="0" applyNumberFormat="1" applyFont="1"/>
    <xf numFmtId="0" fontId="5" fillId="12" borderId="0" xfId="0" applyFont="1" applyFill="1" applyAlignment="1">
      <alignment horizontal="center"/>
    </xf>
    <xf numFmtId="0" fontId="6" fillId="12" borderId="0" xfId="0" applyFont="1" applyFill="1" applyAlignment="1">
      <alignment horizontal="center"/>
    </xf>
    <xf numFmtId="49" fontId="0" fillId="0" borderId="0" xfId="0" applyNumberFormat="1"/>
    <xf numFmtId="14" fontId="0" fillId="0" borderId="0" xfId="0" applyNumberFormat="1"/>
    <xf numFmtId="0" fontId="1" fillId="12" borderId="0" xfId="0" applyFont="1" applyFill="1" applyAlignment="1">
      <alignment horizontal="center"/>
    </xf>
    <xf numFmtId="0" fontId="2" fillId="0" borderId="0" xfId="0" applyFont="1"/>
    <xf numFmtId="0" fontId="3" fillId="2" borderId="0" xfId="0" applyFont="1" applyFill="1"/>
    <xf numFmtId="0" fontId="4" fillId="2" borderId="0" xfId="0" applyFont="1" applyFill="1"/>
    <xf numFmtId="0" fontId="0" fillId="13" borderId="0" xfId="0" applyFill="1"/>
    <xf numFmtId="0" fontId="1" fillId="13" borderId="0" xfId="0" applyFont="1" applyFill="1"/>
    <xf numFmtId="0" fontId="9" fillId="0" borderId="0" xfId="0" applyFont="1"/>
    <xf numFmtId="0" fontId="1" fillId="13" borderId="0" xfId="0" applyFont="1" applyFill="1" applyAlignment="1">
      <alignment horizontal="center"/>
    </xf>
    <xf numFmtId="0" fontId="11" fillId="0" borderId="0" xfId="0" applyFont="1"/>
    <xf numFmtId="0" fontId="12" fillId="0" borderId="0" xfId="0" applyFont="1"/>
    <xf numFmtId="0" fontId="13" fillId="0" borderId="0" xfId="0" applyFont="1"/>
    <xf numFmtId="0" fontId="1" fillId="14" borderId="0" xfId="0" applyFont="1" applyFill="1"/>
    <xf numFmtId="168" fontId="7" fillId="0" borderId="0" xfId="0" applyNumberFormat="1" applyFont="1"/>
    <xf numFmtId="168" fontId="0" fillId="0" borderId="0" xfId="0" applyNumberFormat="1"/>
    <xf numFmtId="169" fontId="0" fillId="0" borderId="0" xfId="0" applyNumberFormat="1"/>
    <xf numFmtId="170" fontId="0" fillId="0" borderId="0" xfId="0" applyNumberFormat="1"/>
    <xf numFmtId="167" fontId="0" fillId="0" borderId="0" xfId="0" applyNumberFormat="1"/>
    <xf numFmtId="169" fontId="1" fillId="0" borderId="0" xfId="0" applyNumberFormat="1" applyFont="1"/>
    <xf numFmtId="170" fontId="1" fillId="0" borderId="0" xfId="0" applyNumberFormat="1" applyFont="1"/>
    <xf numFmtId="171" fontId="0" fillId="0" borderId="0" xfId="0" applyNumberFormat="1"/>
    <xf numFmtId="172" fontId="0" fillId="0" borderId="0" xfId="0" applyNumberFormat="1"/>
    <xf numFmtId="173" fontId="0" fillId="0" borderId="0" xfId="0" applyNumberFormat="1"/>
    <xf numFmtId="0" fontId="14" fillId="0" borderId="0" xfId="0" applyFont="1"/>
    <xf numFmtId="0" fontId="4" fillId="2" borderId="0" xfId="0" applyFont="1" applyFill="1" applyAlignment="1">
      <alignment horizontal="center"/>
    </xf>
    <xf numFmtId="0" fontId="1" fillId="14" borderId="0" xfId="0" applyFont="1" applyFill="1" applyAlignment="1">
      <alignment horizontal="center"/>
    </xf>
    <xf numFmtId="0" fontId="16" fillId="0" borderId="0" xfId="0" applyFont="1"/>
    <xf numFmtId="0" fontId="10" fillId="0" borderId="0" xfId="0" applyFont="1"/>
    <xf numFmtId="0" fontId="17" fillId="0" borderId="0" xfId="0" applyFont="1"/>
    <xf numFmtId="171" fontId="7" fillId="0" borderId="0" xfId="0" applyNumberFormat="1" applyFont="1"/>
    <xf numFmtId="0" fontId="18" fillId="0" borderId="0" xfId="0" applyFont="1"/>
    <xf numFmtId="0" fontId="7" fillId="0" borderId="0" xfId="0" applyFont="1" applyAlignment="1">
      <alignment horizontal="center"/>
    </xf>
    <xf numFmtId="166" fontId="1" fillId="14" borderId="0" xfId="0" applyNumberFormat="1" applyFont="1" applyFill="1" applyAlignment="1">
      <alignment horizontal="center"/>
    </xf>
    <xf numFmtId="0" fontId="19" fillId="0" borderId="0" xfId="0" applyFont="1"/>
    <xf numFmtId="0" fontId="20" fillId="0" borderId="0" xfId="0" applyFont="1"/>
    <xf numFmtId="0" fontId="3" fillId="15" borderId="0" xfId="0" applyFont="1" applyFill="1"/>
    <xf numFmtId="0" fontId="4" fillId="15" borderId="0" xfId="0" applyFont="1" applyFill="1"/>
    <xf numFmtId="0" fontId="1" fillId="16" borderId="0" xfId="0" applyFont="1" applyFill="1"/>
    <xf numFmtId="0" fontId="4" fillId="17" borderId="0" xfId="0" applyFont="1" applyFill="1"/>
    <xf numFmtId="0" fontId="0" fillId="0" borderId="0" xfId="0" applyAlignment="1">
      <alignment wrapText="1"/>
    </xf>
    <xf numFmtId="0" fontId="11" fillId="0" borderId="0" xfId="0" applyFont="1" applyAlignment="1">
      <alignment vertical="top" wrapText="1"/>
    </xf>
    <xf numFmtId="0" fontId="13" fillId="0" borderId="0" xfId="0" applyFont="1" applyAlignment="1">
      <alignment vertical="top" wrapText="1"/>
    </xf>
    <xf numFmtId="0" fontId="0" fillId="0" borderId="0" xfId="0" applyAlignment="1">
      <alignment vertical="top" wrapText="1"/>
    </xf>
    <xf numFmtId="0" fontId="21" fillId="2" borderId="0" xfId="0" applyFont="1" applyFill="1" applyAlignment="1">
      <alignment vertical="top" wrapText="1"/>
    </xf>
    <xf numFmtId="0" fontId="8" fillId="0" borderId="0" xfId="0" applyFont="1" applyAlignment="1">
      <alignment horizontal="center"/>
    </xf>
    <xf numFmtId="0" fontId="22" fillId="14" borderId="0" xfId="0" applyFont="1" applyFill="1" applyAlignment="1">
      <alignment horizontal="center"/>
    </xf>
    <xf numFmtId="0" fontId="4" fillId="18" borderId="0" xfId="0" applyFont="1" applyFill="1"/>
    <xf numFmtId="0" fontId="4" fillId="19" borderId="0" xfId="0" applyFont="1" applyFill="1"/>
    <xf numFmtId="0" fontId="15" fillId="18" borderId="0" xfId="0" applyFont="1" applyFill="1" applyAlignment="1">
      <alignment horizontal="center"/>
    </xf>
    <xf numFmtId="0" fontId="23" fillId="0" borderId="0" xfId="0" applyFont="1"/>
    <xf numFmtId="0" fontId="22" fillId="13" borderId="0" xfId="0" applyFont="1" applyFill="1" applyAlignment="1">
      <alignment horizontal="center"/>
    </xf>
    <xf numFmtId="174" fontId="0" fillId="0" borderId="0" xfId="0" applyNumberFormat="1"/>
    <xf numFmtId="0" fontId="24" fillId="0" borderId="0" xfId="0" applyFont="1"/>
    <xf numFmtId="9" fontId="7" fillId="0" borderId="0" xfId="0" applyNumberFormat="1" applyFont="1"/>
    <xf numFmtId="9" fontId="0" fillId="0" borderId="0" xfId="0" applyNumberFormat="1"/>
    <xf numFmtId="0" fontId="25" fillId="0" borderId="0" xfId="0" applyFont="1"/>
    <xf numFmtId="0" fontId="5" fillId="8" borderId="0" xfId="0" applyFont="1" applyFill="1" applyAlignment="1">
      <alignment horizontal="center"/>
    </xf>
    <xf numFmtId="0" fontId="5" fillId="9" borderId="0" xfId="0" applyFont="1" applyFill="1" applyAlignment="1">
      <alignment horizontal="center"/>
    </xf>
    <xf numFmtId="0" fontId="5" fillId="10" borderId="0" xfId="0" applyFont="1" applyFill="1" applyAlignment="1">
      <alignment horizontal="center"/>
    </xf>
    <xf numFmtId="0" fontId="5" fillId="11" borderId="0" xfId="0" applyFont="1" applyFill="1" applyAlignment="1">
      <alignment horizontal="center"/>
    </xf>
    <xf numFmtId="0" fontId="5" fillId="2" borderId="0" xfId="0" applyFont="1" applyFill="1" applyAlignment="1">
      <alignment horizontal="center"/>
    </xf>
    <xf numFmtId="0" fontId="5" fillId="3" borderId="0" xfId="0" applyFont="1" applyFill="1" applyAlignment="1">
      <alignment horizontal="center"/>
    </xf>
    <xf numFmtId="0" fontId="5" fillId="4" borderId="0" xfId="0" applyFont="1" applyFill="1" applyAlignment="1">
      <alignment horizontal="center"/>
    </xf>
    <xf numFmtId="0" fontId="5" fillId="5" borderId="0" xfId="0" applyFont="1" applyFill="1" applyAlignment="1">
      <alignment horizontal="center"/>
    </xf>
    <xf numFmtId="0" fontId="5" fillId="6" borderId="0" xfId="0" applyFont="1" applyFill="1" applyAlignment="1">
      <alignment horizontal="center"/>
    </xf>
    <xf numFmtId="0" fontId="5" fillId="7" borderId="0" xfId="0" applyFont="1" applyFill="1" applyAlignment="1">
      <alignment horizontal="center"/>
    </xf>
    <xf numFmtId="0" fontId="26" fillId="0" borderId="0" xfId="0" applyFont="1" applyAlignment="1">
      <alignment vertical="top" wrapText="1"/>
    </xf>
    <xf numFmtId="0" fontId="27" fillId="0" borderId="0" xfId="0" applyFont="1" applyAlignment="1">
      <alignment vertical="top" wrapText="1"/>
    </xf>
    <xf numFmtId="0" fontId="28" fillId="20" borderId="0" xfId="0" applyFont="1" applyFill="1" applyAlignment="1">
      <alignment vertical="top" wrapText="1"/>
    </xf>
    <xf numFmtId="0" fontId="4" fillId="21" borderId="1" xfId="0" applyFont="1" applyFill="1" applyBorder="1" applyAlignment="1">
      <alignment wrapText="1"/>
    </xf>
    <xf numFmtId="0" fontId="0" fillId="0" borderId="2" xfId="0" applyBorder="1"/>
    <xf numFmtId="0" fontId="0" fillId="0" borderId="3" xfId="0" applyBorder="1"/>
    <xf numFmtId="0" fontId="4" fillId="22" borderId="4" xfId="0" applyFont="1" applyFill="1" applyBorder="1"/>
    <xf numFmtId="0" fontId="4" fillId="22" borderId="5" xfId="0" applyFont="1" applyFill="1" applyBorder="1"/>
    <xf numFmtId="0" fontId="4" fillId="22" borderId="6" xfId="0" applyFont="1" applyFill="1" applyBorder="1"/>
    <xf numFmtId="0" fontId="0" fillId="23" borderId="4" xfId="0" applyFill="1" applyBorder="1"/>
    <xf numFmtId="0" fontId="0" fillId="23" borderId="5" xfId="0" applyFill="1" applyBorder="1"/>
    <xf numFmtId="0" fontId="0" fillId="23" borderId="6" xfId="0" applyFill="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29" fillId="0" borderId="0" xfId="0" applyFont="1"/>
    <xf numFmtId="0" fontId="7" fillId="24" borderId="0" xfId="0" applyFont="1" applyFill="1"/>
    <xf numFmtId="175" fontId="7" fillId="0" borderId="0" xfId="0" applyNumberFormat="1" applyFont="1"/>
    <xf numFmtId="0" fontId="30" fillId="0" borderId="0" xfId="0" applyFont="1"/>
    <xf numFmtId="1" fontId="0" fillId="0" borderId="0" xfId="0" applyNumberFormat="1"/>
    <xf numFmtId="0" fontId="31" fillId="0" borderId="0" xfId="0" applyFont="1"/>
    <xf numFmtId="0" fontId="27" fillId="0" borderId="0" xfId="0" applyFont="1"/>
    <xf numFmtId="0" fontId="1" fillId="20" borderId="0" xfId="0" applyFont="1" applyFill="1"/>
    <xf numFmtId="0" fontId="1" fillId="20"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570470E-3449-45F9-B00B-ABB47AE99A27}">
  <we:reference id="wa200009404" version="1.0.0.8" store="en-US" storeType="OMEX"/>
  <we:alternateReferences>
    <we:reference id="WA200009404" version="1.0.0.8" store="WA200009404" storeType="OMEX"/>
  </we:alternateReferences>
  <we:properties>
    <we:property name="claude.fileId" value="&quot;8f155e69-ad06-4d7b-a9c8-31bd428d712e&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E18C1-7E96-4E64-A099-08709A7BE356}">
  <dimension ref="A1:AR167"/>
  <sheetViews>
    <sheetView workbookViewId="0">
      <pane ySplit="2" topLeftCell="A87" activePane="bottomLeft" state="frozen"/>
      <selection pane="bottomLeft" activeCell="C106" sqref="C106"/>
    </sheetView>
  </sheetViews>
  <sheetFormatPr defaultRowHeight="14.4" outlineLevelCol="1" x14ac:dyDescent="0.3"/>
  <cols>
    <col min="1" max="1" width="35.21875" customWidth="1"/>
    <col min="2" max="2" width="32.44140625" customWidth="1"/>
    <col min="3" max="3" width="37" customWidth="1"/>
    <col min="4" max="4" width="23.109375" customWidth="1"/>
    <col min="5" max="10" width="26.88671875" customWidth="1"/>
    <col min="11" max="14" width="11.44140625" customWidth="1"/>
    <col min="15" max="21" width="11.44140625" customWidth="1" outlineLevel="1"/>
    <col min="22" max="22" width="29.6640625" customWidth="1" outlineLevel="1"/>
    <col min="23" max="24" width="32.44140625" customWidth="1" outlineLevel="1"/>
    <col min="25" max="25" width="55.5546875" customWidth="1" outlineLevel="1"/>
    <col min="26" max="27" width="32.44140625" customWidth="1" outlineLevel="1"/>
    <col min="28" max="28" width="27.77734375" customWidth="1" outlineLevel="1"/>
    <col min="29" max="29" width="38.88671875" customWidth="1" outlineLevel="1"/>
    <col min="30" max="30" width="38.88671875" customWidth="1"/>
    <col min="31" max="36" width="8.88671875" outlineLevel="1"/>
  </cols>
  <sheetData>
    <row r="1" spans="1:19" ht="21" x14ac:dyDescent="0.4">
      <c r="A1" s="30" t="s">
        <v>4468</v>
      </c>
    </row>
    <row r="2" spans="1:19" x14ac:dyDescent="0.3">
      <c r="A2" s="31" t="s">
        <v>4469</v>
      </c>
    </row>
    <row r="4" spans="1:19" x14ac:dyDescent="0.3">
      <c r="A4" s="25" t="s">
        <v>4470</v>
      </c>
      <c r="B4" s="25"/>
      <c r="C4" s="25"/>
      <c r="D4" s="25"/>
      <c r="E4" s="25"/>
      <c r="F4" s="25"/>
      <c r="G4" s="25"/>
      <c r="H4" s="25"/>
      <c r="I4" s="25"/>
      <c r="J4" s="25"/>
      <c r="K4" s="25"/>
      <c r="L4" s="25"/>
      <c r="M4" s="25"/>
    </row>
    <row r="5" spans="1:19" x14ac:dyDescent="0.3">
      <c r="A5" s="1" t="s">
        <v>4471</v>
      </c>
      <c r="B5" s="4" t="s">
        <v>4292</v>
      </c>
      <c r="C5" s="32" t="s">
        <v>4816</v>
      </c>
      <c r="D5" s="49" t="str">
        <f>IF($B$5="","",IFERROR(INDEX(mayfly!$C:$C,MATCH($B$5,mayfly!$A:$A,0))&amp;" | owner: "&amp;INDEX(mayfly!$D:$D,MATCH($B$5,mayfly!$A:$A,0))&amp;" | legs in register: "&amp;COUNTIF(mayfly!$A:$A,$B$5),"NOT IN THE MAYFLY REGISTER - add it there first"))</f>
        <v>ACTIVE | owner: OPS DESK | legs in register: 4</v>
      </c>
      <c r="E5" s="1" t="s">
        <v>4683</v>
      </c>
      <c r="F5" s="4" t="s">
        <v>4651</v>
      </c>
    </row>
    <row r="6" spans="1:19" x14ac:dyDescent="0.3">
      <c r="A6" s="1" t="s">
        <v>4295</v>
      </c>
      <c r="B6" s="4" t="s">
        <v>4296</v>
      </c>
      <c r="C6" s="32" t="s">
        <v>4637</v>
      </c>
      <c r="E6" s="1" t="s">
        <v>4684</v>
      </c>
      <c r="F6" s="28" t="str">
        <f>IF($F$5="","",IFERROR(INDEX(Clients!$D:$D,MATCH($F$5,Clients!$A:$A,0))&amp;"","UNKNOWN CLIENT ID"))</f>
        <v>JTL AVIATION INC</v>
      </c>
    </row>
    <row r="7" spans="1:19" x14ac:dyDescent="0.3">
      <c r="A7" s="1" t="s">
        <v>4297</v>
      </c>
      <c r="B7" s="4" t="s">
        <v>4070</v>
      </c>
      <c r="C7" s="47" t="str">
        <f>IF($B$7="","",IFERROR(IF(INDEX(Aircraft!$T:$T,MATCH($B$7,Aircraft!$B:$B,0))="","OPERATOR NAME NOT SET ON Operators SHEET",INDEX(Aircraft!$T:$T,MATCH($B$7,Aircraft!$B:$B,0))),"TAIL NOT IN FLEET — OPERATOR CANNOT BE VERIFIED"))</f>
        <v>OPERATOR NAME NOT SET ON Operators SHEET</v>
      </c>
      <c r="E7" s="1" t="s">
        <v>4685</v>
      </c>
      <c r="F7" s="28" t="str">
        <f>IF($F$5="","",IFERROR(INDEX(Clients!$E:$E,MATCH($F$5,Clients!$A:$A,0))&amp;IF(INDEX(Clients!$F:$F,MATCH($F$5,Clients!$A:$A,0))="","",", "&amp;INDEX(Clients!$F:$F,MATCH($F$5,Clients!$A:$A,0)))&amp;", "&amp;INDEX(Clients!$G:$G,MATCH($F$5,Clients!$A:$A,0))&amp;", "&amp;INDEX(Clients!$H:$H,MATCH($F$5,Clients!$A:$A,0)),"UNKNOWN CLIENT ID"))</f>
        <v>12065 PARK VIEW LANE, HOUSTON TX, USA</v>
      </c>
    </row>
    <row r="8" spans="1:19" x14ac:dyDescent="0.3">
      <c r="A8" s="1" t="s">
        <v>4472</v>
      </c>
      <c r="B8" s="28" t="str">
        <f>IF($B$7="","",IFERROR(INDEX(Aircraft!$C:$C,MATCH($B$7,Aircraft!$B:$B,0)),"NOT IN FLEET"))</f>
        <v>GLF6</v>
      </c>
      <c r="E8" s="1" t="s">
        <v>4686</v>
      </c>
      <c r="F8" s="28" t="str">
        <f>IF($F$5="","",IFERROR(INDEX(Clients!$K:$K,MATCH($F$5,Clients!$A:$A,0))&amp;"","UNKNOWN CLIENT ID"))</f>
        <v>ops@jetelio.com</v>
      </c>
    </row>
    <row r="9" spans="1:19" x14ac:dyDescent="0.3">
      <c r="A9" s="1" t="s">
        <v>4473</v>
      </c>
      <c r="B9" s="28">
        <f>IF($B$7="","",IFERROR(INDEX(Aircraft!$H:$H,MATCH($B$7,Aircraft!$B:$B,0)),"NOT IN FLEET"))</f>
        <v>45178</v>
      </c>
      <c r="E9" s="1" t="s">
        <v>4687</v>
      </c>
      <c r="F9" s="28" t="str">
        <f>IF($F$5="","",IFERROR(INDEX(Clients!$M:$M,MATCH($F$5,Clients!$A:$A,0))&amp;"","UNKNOWN CLIENT ID"))</f>
        <v>USD</v>
      </c>
    </row>
    <row r="10" spans="1:19" x14ac:dyDescent="0.3">
      <c r="A10" s="1" t="s">
        <v>4298</v>
      </c>
      <c r="B10" s="4">
        <v>470</v>
      </c>
      <c r="C10" s="32" t="str">
        <f>IF($B$8="","",IFERROR("Published cruise for "&amp;$B$8&amp;" is "&amp;TEXT(INDEX('AIRCRAFT PERFORMANCE'!$E:$E,MATCH($B$8,'AIRCRAFT PERFORMANCE'!$A:$A,0)),"#,##0")&amp;" kts - indicative only","Type not in the performance table"))</f>
        <v>Published cruise for GLF6 is 488 kts - indicative only</v>
      </c>
      <c r="E10" s="1" t="s">
        <v>4688</v>
      </c>
      <c r="F10" s="28" t="str">
        <f>IF($F$5="","",IFERROR(INDEX(Clients!$N:$N,MATCH($F$5,Clients!$A:$A,0))&amp;"","UNKNOWN CLIENT ID"))</f>
        <v>NET 30</v>
      </c>
    </row>
    <row r="11" spans="1:19" x14ac:dyDescent="0.3">
      <c r="A11" s="1" t="s">
        <v>4299</v>
      </c>
      <c r="B11" s="4">
        <v>0.4</v>
      </c>
      <c r="C11" s="32" t="s">
        <v>4476</v>
      </c>
      <c r="E11" s="1" t="s">
        <v>4689</v>
      </c>
      <c r="F11" s="28" t="str">
        <f>IF($F$5="","",IFERROR(INDEX(Clients!$B:$B,MATCH($F$5,Clients!$A:$A,0))&amp;"","UNKNOWN CLIENT ID"))</f>
        <v>OPV-20</v>
      </c>
    </row>
    <row r="12" spans="1:19" x14ac:dyDescent="0.3">
      <c r="A12" s="1" t="s">
        <v>4474</v>
      </c>
      <c r="B12" s="4">
        <v>72</v>
      </c>
      <c r="C12" s="32" t="s">
        <v>4477</v>
      </c>
      <c r="E12" s="1" t="s">
        <v>4690</v>
      </c>
      <c r="F12" s="49" t="str">
        <f>IF($F$5="","",IFERROR(IF(INDEX(Clients!$B:$B,MATCH($F$5,Clients!$A:$A,0))=INDEX(Aircraft!$N:$N,MATCH($B$7,Aircraft!$B:$B,0)),"OK","BILL-TO BELONGS TO A DIFFERENT OPERATOR"),"CANNOT VERIFY - TAIL NOT IN FLEET"))</f>
        <v>BILL-TO BELONGS TO A DIFFERENT OPERATOR</v>
      </c>
    </row>
    <row r="13" spans="1:19" x14ac:dyDescent="0.3">
      <c r="A13" s="1" t="s">
        <v>4301</v>
      </c>
      <c r="B13">
        <f>SUM($J$18:$J$25)</f>
        <v>9947</v>
      </c>
    </row>
    <row r="14" spans="1:19" x14ac:dyDescent="0.3">
      <c r="A14" s="1" t="s">
        <v>4475</v>
      </c>
      <c r="B14">
        <f>ROUND(SUM($K$18:$K$25),2)</f>
        <v>22.76</v>
      </c>
    </row>
    <row r="16" spans="1:19" x14ac:dyDescent="0.3">
      <c r="A16" s="25" t="s">
        <v>4478</v>
      </c>
      <c r="B16" s="25"/>
      <c r="C16" s="25"/>
      <c r="D16" s="25"/>
      <c r="E16" s="25"/>
      <c r="F16" s="25"/>
      <c r="G16" s="25"/>
      <c r="H16" s="25"/>
      <c r="I16" s="25"/>
      <c r="J16" s="25"/>
      <c r="K16" s="25"/>
      <c r="L16" s="25"/>
      <c r="M16" s="25"/>
      <c r="N16" s="25"/>
      <c r="O16" s="25"/>
      <c r="P16" s="25"/>
      <c r="Q16" s="25"/>
      <c r="R16" s="25"/>
      <c r="S16" s="25"/>
    </row>
    <row r="17" spans="1:42" x14ac:dyDescent="0.3">
      <c r="A17" s="33" t="s">
        <v>4306</v>
      </c>
      <c r="B17" s="33" t="s">
        <v>4479</v>
      </c>
      <c r="C17" s="33" t="s">
        <v>4480</v>
      </c>
      <c r="D17" s="33" t="s">
        <v>4481</v>
      </c>
      <c r="E17" s="33" t="s">
        <v>4300</v>
      </c>
      <c r="F17" s="33" t="s">
        <v>4307</v>
      </c>
      <c r="G17" s="33" t="s">
        <v>4482</v>
      </c>
      <c r="H17" s="33" t="s">
        <v>4483</v>
      </c>
      <c r="I17" s="33" t="s">
        <v>4484</v>
      </c>
      <c r="J17" s="33" t="s">
        <v>4310</v>
      </c>
      <c r="K17" s="33" t="s">
        <v>4485</v>
      </c>
      <c r="L17" s="33" t="s">
        <v>4308</v>
      </c>
      <c r="M17" s="33" t="s">
        <v>4309</v>
      </c>
      <c r="N17" s="33" t="s">
        <v>4691</v>
      </c>
      <c r="O17" s="33" t="s">
        <v>4486</v>
      </c>
      <c r="P17" s="33" t="s">
        <v>4487</v>
      </c>
      <c r="Q17" s="33" t="s">
        <v>4488</v>
      </c>
      <c r="R17" s="33" t="s">
        <v>4489</v>
      </c>
      <c r="S17" s="33" t="s">
        <v>4490</v>
      </c>
      <c r="T17" s="33" t="s">
        <v>4516</v>
      </c>
      <c r="U17" s="33" t="s">
        <v>4517</v>
      </c>
      <c r="V17" s="33" t="s">
        <v>4982</v>
      </c>
      <c r="W17" s="33" t="s">
        <v>4983</v>
      </c>
      <c r="X17" s="33" t="s">
        <v>4721</v>
      </c>
      <c r="Y17" s="33" t="s">
        <v>6169</v>
      </c>
      <c r="AH17" s="27" t="s">
        <v>4534</v>
      </c>
      <c r="AI17" s="27" t="s">
        <v>4701</v>
      </c>
      <c r="AJ17" s="27" t="s">
        <v>4709</v>
      </c>
      <c r="AK17" s="27" t="s">
        <v>4697</v>
      </c>
      <c r="AL17" s="27" t="s">
        <v>4698</v>
      </c>
      <c r="AM17" s="27" t="s">
        <v>4699</v>
      </c>
      <c r="AN17" s="27" t="s">
        <v>4700</v>
      </c>
      <c r="AO17" s="27" t="s">
        <v>4701</v>
      </c>
      <c r="AP17" s="27" t="s">
        <v>4702</v>
      </c>
    </row>
    <row r="18" spans="1:42" x14ac:dyDescent="0.3">
      <c r="A18" t="s">
        <v>0</v>
      </c>
      <c r="B18" s="4" t="s">
        <v>3428</v>
      </c>
      <c r="C18" s="28" t="str">
        <f>IF($B18="","",IFERROR(INDEX(airports!$E:$E,MATCH($B18,airports!$A:$A,0)),"ICAO NOT IN AIRPORTS"))</f>
        <v>Lanseria International Airport</v>
      </c>
      <c r="D18" s="28" t="str">
        <f>IF($B18="","",IFERROR(INDEX(airports!$H:$H,MATCH($B18,airports!$A:$A,0)),""))</f>
        <v>South Africa</v>
      </c>
      <c r="E18" s="9">
        <v>46248</v>
      </c>
      <c r="F18" s="34">
        <v>0.375</v>
      </c>
      <c r="G18" s="4" t="s">
        <v>1449</v>
      </c>
      <c r="H18" s="28" t="str">
        <f>IF($G18="","",IFERROR(INDEX(airports!$E:$E,MATCH($G18,airports!$A:$A,0)),"ICAO NOT IN AIRPORTS"))</f>
        <v>N'Djamena International Airport</v>
      </c>
      <c r="I18" s="28" t="str">
        <f>IF($G18="","",IFERROR(INDEX(airports!$H:$H,MATCH($G18,airports!$A:$A,0)),""))</f>
        <v>Chad</v>
      </c>
      <c r="J18" s="36">
        <f>IF($S18="","",ROUND($S18*3440.065,0))</f>
        <v>2407</v>
      </c>
      <c r="K18" s="37">
        <f>IF(OR($J18="",$B$10=""),"",ROUND($J18/$B$10+$B$11,2))</f>
        <v>5.52</v>
      </c>
      <c r="L18" s="6">
        <f>IF(OR($E18="",$K18=""),"",INT($E18+$F18+$K18/24))</f>
        <v>46248</v>
      </c>
      <c r="M18" s="35">
        <f>IF($L18="","",MOD($E18+$F18+$K18/24,1))</f>
        <v>0.60500000000320142</v>
      </c>
      <c r="N18" s="4" t="str">
        <f>IF($B18="","",$F$5)</f>
        <v>CLI-001</v>
      </c>
      <c r="O18" s="38">
        <f>IF($B18="","",IFERROR(INDEX(airports!$O:$O,MATCH($B18,airports!$A:$A,0)),""))</f>
        <v>-25.938960000000002</v>
      </c>
      <c r="P18" s="38">
        <f>IF($B18="","",IFERROR(INDEX(airports!$P:$P,MATCH($B18,airports!$A:$A,0)),""))</f>
        <v>27.926639999999999</v>
      </c>
      <c r="Q18" s="38">
        <f>IF($G18="","",IFERROR(INDEX(airports!$O:$O,MATCH($G18,airports!$A:$A,0)),""))</f>
        <v>12.133699999999999</v>
      </c>
      <c r="R18" s="38">
        <f>IF($G18="","",IFERROR(INDEX(airports!$P:$P,MATCH($G18,airports!$A:$A,0)),""))</f>
        <v>15.034000000000001</v>
      </c>
      <c r="S18" s="38">
        <f>IF(OR($O18="",$Q18=""),"",ACOS(MIN(1,SIN(RADIANS($O18))*SIN(RADIANS($Q18))+COS(RADIANS($O18))*COS(RADIANS($Q18))*COS(RADIANS($R18-$P18)))))</f>
        <v>0.69965352295446726</v>
      </c>
      <c r="T18" t="str" cm="1">
        <f t="array" ref="T18">IF($O18="","",IFERROR(IF(INDEX(geo_grid!$B$2:$JU$231,INT(($O18+40)/0.5)+1,INT(($P18+30)/0.5)+1)="","",INDEX(geo_grid!$B$2:$JU$231,INT(($O18+40)/0.5)+1,INT(($P18+30)/0.5)+1)),"OUTSIDE GRID"))</f>
        <v>ZAF</v>
      </c>
      <c r="U18" t="str" cm="1">
        <f t="array" ref="U18">IF($Q18="","",IFERROR(IF(INDEX(geo_grid!$B$2:$JU$231,INT(($Q18+40)/0.5)+1,INT(($R18+30)/0.5)+1)="","",INDEX(geo_grid!$B$2:$JU$231,INT(($Q18+40)/0.5)+1,INT(($R18+30)/0.5)+1)),"OUTSIDE GRID"))</f>
        <v>TCD</v>
      </c>
      <c r="V18" s="4"/>
      <c r="W18" s="4"/>
      <c r="X18" s="1" t="str" cm="1">
        <f t="array" ref="X18">IF($B18="","",IF(AND($V18="",$W18=""),"NO CONSTRAINT",TRIM(IF($V18="","",IF(SUMPRODUCT(--((ISNUMBER(SEARCH(","&amp;permit_calc!$A$3:$A$144&amp;",",","&amp;SUBSTITUTE(UPPER($V18)," ","")&amp;","))+ISNUMBER(SEARCH(","&amp;SUBSTITUTE(UPPER(permit_calc!$B$3:$B$144)," ","")&amp;",",","&amp;SUBSTITUTE(UPPER($V18)," ","")&amp;",")))&gt;0),--(INDEX(permit_calc!$C$3:$J$144,0,ROW()-17)&gt;0))&gt;0,"AVOID CONFLICT - track crosses an excluded state. ",""))&amp;IF($W18="","",IF(SUMPRODUCT(--((ISNUMBER(SEARCH(","&amp;permit_calc!$A$3:$A$144&amp;",",","&amp;SUBSTITUTE(UPPER($W18)," ","")&amp;","))+ISNUMBER(SEARCH(","&amp;SUBSTITUTE(UPPER(permit_calc!$B$3:$B$144)," ","")&amp;",",","&amp;SUBSTITUTE(UPPER($W18)," ","")&amp;",")))&gt;0),--(INDEX(permit_calc!$C$3:$J$144,0,ROW()-17)&gt;0))&lt;LEN($W18)-LEN(SUBSTITUTE($W18,",",""))+1,"INCLUDE NOT ON TRACK - required state not overflown. ","")))))</f>
        <v>NO CONSTRAINT</v>
      </c>
      <c r="Y18" s="1" t="str">
        <f>IF($B18="","",IFERROR(IF($J18&gt;INDEX('AIRCRAFT PERFORMANCE'!$I:$I,MATCH($B$8,'AIRCRAFT PERFORMANCE'!$A:$A,0)),"EXCEEDS PRACTICAL RANGE OF "&amp;TEXT(INDEX('AIRCRAFT PERFORMANCE'!$I:$I,MATCH($B$8,'AIRCRAFT PERFORMANCE'!$A:$A,0)),"#,##0")&amp;" NM - TECHNICAL STOP REQUIRED","WITHIN RANGE"),"TYPE NOT IN PERFORMANCE TABLE"))</f>
        <v>WITHIN RANGE</v>
      </c>
      <c r="AH18" t="str">
        <f>IFERROR(INDEX('PAX &amp; CREW'!$L$3:$L$62,MATCH(ROW()-17,'PAX &amp; CREW'!$AJ$3:$AJ$62,0)),"")</f>
        <v>United States</v>
      </c>
      <c r="AI18">
        <f>IF($AH18="","",IF(COUNTIF($AH$18:$AH18,$AH18)=1,1,0))</f>
        <v>1</v>
      </c>
      <c r="AJ18">
        <f>IF($AI18=1,SUM($AI$18:$AI18),"")</f>
        <v>1</v>
      </c>
      <c r="AK18" t="str">
        <f>IF($B$18="","",$T$18)</f>
        <v>ZAF</v>
      </c>
      <c r="AL18" t="str">
        <f>IF($B$18="","",$B$18)</f>
        <v>FALA</v>
      </c>
      <c r="AM18" t="str">
        <f>IF($B$18="","","L1")</f>
        <v>L1</v>
      </c>
      <c r="AN18">
        <f>IF($B$18="","",$E$18+$F$18)</f>
        <v>46248.375</v>
      </c>
      <c r="AO18">
        <f>IF($AK18="","",IF(COUNTIF($AK$18:$AK18,$AK18)=1,1,0))</f>
        <v>1</v>
      </c>
      <c r="AP18">
        <f>IF($AO18=1,SUM($AO$18:$AO18),"")</f>
        <v>1</v>
      </c>
    </row>
    <row r="19" spans="1:42" x14ac:dyDescent="0.3">
      <c r="A19" t="s">
        <v>1</v>
      </c>
      <c r="B19" s="10" t="s">
        <v>1449</v>
      </c>
      <c r="C19" s="28" t="str">
        <f>IF($B19="","",IFERROR(INDEX(airports!$E:$E,MATCH($B19,airports!$A:$A,0)),"ICAO NOT IN AIRPORTS"))</f>
        <v>N'Djamena International Airport</v>
      </c>
      <c r="D19" s="28" t="str">
        <f>IF($B19="","",IFERROR(INDEX(airports!$H:$H,MATCH($B19,airports!$A:$A,0)),""))</f>
        <v>Chad</v>
      </c>
      <c r="E19" s="9">
        <v>46250</v>
      </c>
      <c r="F19" s="34">
        <v>0.25</v>
      </c>
      <c r="G19" s="4" t="s">
        <v>4</v>
      </c>
      <c r="H19" s="28" t="str">
        <f>IF($G19="","",IFERROR(INDEX(airports!$E:$E,MATCH($G19,airports!$A:$A,0)),"ICAO NOT IN AIRPORTS"))</f>
        <v>Cairo International Airport</v>
      </c>
      <c r="I19" s="28" t="str">
        <f>IF($G19="","",IFERROR(INDEX(airports!$H:$H,MATCH($G19,airports!$A:$A,0)),""))</f>
        <v>Egypt</v>
      </c>
      <c r="J19" s="36">
        <f t="shared" ref="J19:J25" si="0">IF($S19="","",ROUND($S19*3440.065,0))</f>
        <v>1412</v>
      </c>
      <c r="K19" s="37">
        <f t="shared" ref="K19:K25" si="1">IF(OR($J19="",$B$10=""),"",ROUND($J19/$B$10+$B$11,2))</f>
        <v>3.4</v>
      </c>
      <c r="L19" s="6">
        <f t="shared" ref="L19:L26" si="2">IF(OR($E19="",$K19=""),"",INT($E19+$F19+$K19/24))</f>
        <v>46250</v>
      </c>
      <c r="M19" s="35">
        <f t="shared" ref="M19:M26" si="3">IF($L19="","",MOD($E19+$F19+$K19/24,1))</f>
        <v>0.39166666667006211</v>
      </c>
      <c r="N19" s="4" t="str">
        <f t="shared" ref="N19:N25" si="4">IF($B19="","",$F$5)</f>
        <v>CLI-001</v>
      </c>
      <c r="O19" s="38">
        <f>IF($B19="","",IFERROR(INDEX(airports!$O:$O,MATCH($B19,airports!$A:$A,0)),""))</f>
        <v>12.133699999999999</v>
      </c>
      <c r="P19" s="38">
        <f>IF($B19="","",IFERROR(INDEX(airports!$P:$P,MATCH($B19,airports!$A:$A,0)),""))</f>
        <v>15.034000000000001</v>
      </c>
      <c r="Q19" s="38">
        <f>IF($G19="","",IFERROR(INDEX(airports!$O:$O,MATCH($G19,airports!$A:$A,0)),""))</f>
        <v>30.111529999999998</v>
      </c>
      <c r="R19" s="38">
        <f>IF($G19="","",IFERROR(INDEX(airports!$P:$P,MATCH($G19,airports!$A:$A,0)),""))</f>
        <v>31.39669</v>
      </c>
      <c r="S19" s="38">
        <f t="shared" ref="S19:S25" si="5">IF(OR($O19="",$Q19=""),"",ACOS(MIN(1,SIN(RADIANS($O19))*SIN(RADIANS($Q19))+COS(RADIANS($O19))*COS(RADIANS($Q19))*COS(RADIANS($R19-$P19)))))</f>
        <v>0.41049814416825092</v>
      </c>
      <c r="T19" t="str" cm="1">
        <f t="array" ref="T19">IF($O19="","",IFERROR(IF(INDEX(geo_grid!$B$2:$JU$231,INT(($O19+40)/0.5)+1,INT(($P19+30)/0.5)+1)="","",INDEX(geo_grid!$B$2:$JU$231,INT(($O19+40)/0.5)+1,INT(($P19+30)/0.5)+1)),"OUTSIDE GRID"))</f>
        <v>TCD</v>
      </c>
      <c r="U19" t="str" cm="1">
        <f t="array" ref="U19">IF($Q19="","",IFERROR(IF(INDEX(geo_grid!$B$2:$JU$231,INT(($Q19+40)/0.5)+1,INT(($R19+30)/0.5)+1)="","",INDEX(geo_grid!$B$2:$JU$231,INT(($Q19+40)/0.5)+1,INT(($R19+30)/0.5)+1)),"OUTSIDE GRID"))</f>
        <v>EGY</v>
      </c>
      <c r="V19" s="4"/>
      <c r="W19" s="4"/>
      <c r="X19" s="1" t="str" cm="1">
        <f t="array" ref="X19">IF($B19="","",IF(AND($V19="",$W19=""),"NO CONSTRAINT",TRIM(IF($V19="","",IF(SUMPRODUCT(--((ISNUMBER(SEARCH(","&amp;permit_calc!$A$3:$A$144&amp;",",","&amp;SUBSTITUTE(UPPER($V19)," ","")&amp;","))+ISNUMBER(SEARCH(","&amp;SUBSTITUTE(UPPER(permit_calc!$B$3:$B$144)," ","")&amp;",",","&amp;SUBSTITUTE(UPPER($V19)," ","")&amp;",")))&gt;0),--(INDEX(permit_calc!$C$3:$J$144,0,ROW()-17)&gt;0))&gt;0,"AVOID CONFLICT - track crosses an excluded state. ",""))&amp;IF($W19="","",IF(SUMPRODUCT(--((ISNUMBER(SEARCH(","&amp;permit_calc!$A$3:$A$144&amp;",",","&amp;SUBSTITUTE(UPPER($W19)," ","")&amp;","))+ISNUMBER(SEARCH(","&amp;SUBSTITUTE(UPPER(permit_calc!$B$3:$B$144)," ","")&amp;",",","&amp;SUBSTITUTE(UPPER($W19)," ","")&amp;",")))&gt;0),--(INDEX(permit_calc!$C$3:$J$144,0,ROW()-17)&gt;0))&lt;LEN($W19)-LEN(SUBSTITUTE($W19,",",""))+1,"INCLUDE NOT ON TRACK - required state not overflown. ","")))))</f>
        <v>NO CONSTRAINT</v>
      </c>
      <c r="Y19" s="1" t="str">
        <f>IF($B19="","",IFERROR(IF($J19&gt;INDEX('AIRCRAFT PERFORMANCE'!$I:$I,MATCH($B$8,'AIRCRAFT PERFORMANCE'!$A:$A,0)),"EXCEEDS PRACTICAL RANGE OF "&amp;TEXT(INDEX('AIRCRAFT PERFORMANCE'!$I:$I,MATCH($B$8,'AIRCRAFT PERFORMANCE'!$A:$A,0)),"#,##0")&amp;" NM - TECHNICAL STOP REQUIRED","WITHIN RANGE"),"TYPE NOT IN PERFORMANCE TABLE"))</f>
        <v>WITHIN RANGE</v>
      </c>
      <c r="AH19" t="str">
        <f>IFERROR(INDEX('PAX &amp; CREW'!$L$3:$L$62,MATCH(ROW()-17,'PAX &amp; CREW'!$AJ$3:$AJ$62,0)),"")</f>
        <v>South Africa</v>
      </c>
      <c r="AI19">
        <f>IF($AH19="","",IF(COUNTIF($AH$18:$AH19,$AH19)=1,1,0))</f>
        <v>1</v>
      </c>
      <c r="AJ19">
        <f>IF($AI19=1,SUM($AI$18:$AI19),"")</f>
        <v>2</v>
      </c>
      <c r="AK19" t="str">
        <f>IF($U18="","",$U18)</f>
        <v>TCD</v>
      </c>
      <c r="AL19" t="str">
        <f>IF($U18="","",$G18)</f>
        <v>FTTJ</v>
      </c>
      <c r="AM19" t="str">
        <f>IF($U18="","",$A18)</f>
        <v>L1</v>
      </c>
      <c r="AN19">
        <f>IF($U18="","",$L18+$M18)</f>
        <v>46248.605000000003</v>
      </c>
      <c r="AO19">
        <f>IF($AK19="","",IF(COUNTIF($AK$18:$AK19,$AK19)=1,1,0))</f>
        <v>1</v>
      </c>
      <c r="AP19">
        <f>IF($AO19=1,SUM($AO$18:$AO19),"")</f>
        <v>2</v>
      </c>
    </row>
    <row r="20" spans="1:42" x14ac:dyDescent="0.3">
      <c r="A20" t="s">
        <v>2</v>
      </c>
      <c r="B20" s="10" t="s">
        <v>4</v>
      </c>
      <c r="C20" s="28" t="str">
        <f>IF($B20="","",IFERROR(INDEX(airports!$E:$E,MATCH($B20,airports!$A:$A,0)),"ICAO NOT IN AIRPORTS"))</f>
        <v>Cairo International Airport</v>
      </c>
      <c r="D20" s="28" t="str">
        <f>IF($B20="","",IFERROR(INDEX(airports!$H:$H,MATCH($B20,airports!$A:$A,0)),""))</f>
        <v>Egypt</v>
      </c>
      <c r="E20" s="9">
        <v>46251</v>
      </c>
      <c r="F20" s="34">
        <v>0.16666666666666666</v>
      </c>
      <c r="G20" s="4" t="s">
        <v>1245</v>
      </c>
      <c r="H20" s="28" t="str">
        <f>IF($G20="","",IFERROR(INDEX(airports!$E:$E,MATCH($G20,airports!$A:$A,0)),"ICAO NOT IN AIRPORTS"))</f>
        <v>Al Massira Airport</v>
      </c>
      <c r="I20" s="28" t="str">
        <f>IF($G20="","",IFERROR(INDEX(airports!$H:$H,MATCH($G20,airports!$A:$A,0)),""))</f>
        <v>Morocco</v>
      </c>
      <c r="J20" s="36">
        <f t="shared" si="0"/>
        <v>2106</v>
      </c>
      <c r="K20" s="37">
        <f t="shared" si="1"/>
        <v>4.88</v>
      </c>
      <c r="L20" s="6">
        <f t="shared" si="2"/>
        <v>46251</v>
      </c>
      <c r="M20" s="35">
        <f t="shared" si="3"/>
        <v>0.36999999999534339</v>
      </c>
      <c r="N20" s="4" t="str">
        <f t="shared" si="4"/>
        <v>CLI-001</v>
      </c>
      <c r="O20" s="38">
        <f>IF($B20="","",IFERROR(INDEX(airports!$O:$O,MATCH($B20,airports!$A:$A,0)),""))</f>
        <v>30.111529999999998</v>
      </c>
      <c r="P20" s="38">
        <f>IF($B20="","",IFERROR(INDEX(airports!$P:$P,MATCH($B20,airports!$A:$A,0)),""))</f>
        <v>31.39669</v>
      </c>
      <c r="Q20" s="38">
        <f>IF($G20="","",IFERROR(INDEX(airports!$O:$O,MATCH($G20,airports!$A:$A,0)),""))</f>
        <v>30.322479999999999</v>
      </c>
      <c r="R20" s="38">
        <f>IF($G20="","",IFERROR(INDEX(airports!$P:$P,MATCH($G20,airports!$A:$A,0)),""))</f>
        <v>-9.4120000000000008</v>
      </c>
      <c r="S20" s="38">
        <f t="shared" si="5"/>
        <v>0.61206181805380777</v>
      </c>
      <c r="T20" t="str" cm="1">
        <f t="array" ref="T20">IF($O20="","",IFERROR(IF(INDEX(geo_grid!$B$2:$JU$231,INT(($O20+40)/0.5)+1,INT(($P20+30)/0.5)+1)="","",INDEX(geo_grid!$B$2:$JU$231,INT(($O20+40)/0.5)+1,INT(($P20+30)/0.5)+1)),"OUTSIDE GRID"))</f>
        <v>EGY</v>
      </c>
      <c r="U20" t="str" cm="1">
        <f t="array" ref="U20">IF($Q20="","",IFERROR(IF(INDEX(geo_grid!$B$2:$JU$231,INT(($Q20+40)/0.5)+1,INT(($R20+30)/0.5)+1)="","",INDEX(geo_grid!$B$2:$JU$231,INT(($Q20+40)/0.5)+1,INT(($R20+30)/0.5)+1)),"OUTSIDE GRID"))</f>
        <v>MAR</v>
      </c>
      <c r="V20" s="4"/>
      <c r="W20" s="4"/>
      <c r="X20" s="1" t="str" cm="1">
        <f t="array" ref="X20">IF($B20="","",IF(AND($V20="",$W20=""),"NO CONSTRAINT",TRIM(IF($V20="","",IF(SUMPRODUCT(--((ISNUMBER(SEARCH(","&amp;permit_calc!$A$3:$A$144&amp;",",","&amp;SUBSTITUTE(UPPER($V20)," ","")&amp;","))+ISNUMBER(SEARCH(","&amp;SUBSTITUTE(UPPER(permit_calc!$B$3:$B$144)," ","")&amp;",",","&amp;SUBSTITUTE(UPPER($V20)," ","")&amp;",")))&gt;0),--(INDEX(permit_calc!$C$3:$J$144,0,ROW()-17)&gt;0))&gt;0,"AVOID CONFLICT - track crosses an excluded state. ",""))&amp;IF($W20="","",IF(SUMPRODUCT(--((ISNUMBER(SEARCH(","&amp;permit_calc!$A$3:$A$144&amp;",",","&amp;SUBSTITUTE(UPPER($W20)," ","")&amp;","))+ISNUMBER(SEARCH(","&amp;SUBSTITUTE(UPPER(permit_calc!$B$3:$B$144)," ","")&amp;",",","&amp;SUBSTITUTE(UPPER($W20)," ","")&amp;",")))&gt;0),--(INDEX(permit_calc!$C$3:$J$144,0,ROW()-17)&gt;0))&lt;LEN($W20)-LEN(SUBSTITUTE($W20,",",""))+1,"INCLUDE NOT ON TRACK - required state not overflown. ","")))))</f>
        <v>NO CONSTRAINT</v>
      </c>
      <c r="Y20" s="1" t="str">
        <f>IF($B20="","",IFERROR(IF($J20&gt;INDEX('AIRCRAFT PERFORMANCE'!$I:$I,MATCH($B$8,'AIRCRAFT PERFORMANCE'!$A:$A,0)),"EXCEEDS PRACTICAL RANGE OF "&amp;TEXT(INDEX('AIRCRAFT PERFORMANCE'!$I:$I,MATCH($B$8,'AIRCRAFT PERFORMANCE'!$A:$A,0)),"#,##0")&amp;" NM - TECHNICAL STOP REQUIRED","WITHIN RANGE"),"TYPE NOT IN PERFORMANCE TABLE"))</f>
        <v>WITHIN RANGE</v>
      </c>
      <c r="AH20" t="str">
        <f>IFERROR(INDEX('PAX &amp; CREW'!$L$3:$L$62,MATCH(ROW()-17,'PAX &amp; CREW'!$AJ$3:$AJ$62,0)),"")</f>
        <v>Oman</v>
      </c>
      <c r="AI20">
        <f>IF($AH20="","",IF(COUNTIF($AH$18:$AH20,$AH20)=1,1,0))</f>
        <v>1</v>
      </c>
      <c r="AJ20">
        <f>IF($AI20=1,SUM($AI$18:$AI20),"")</f>
        <v>3</v>
      </c>
      <c r="AK20" t="str">
        <f t="shared" ref="AK20:AK26" si="6">IF($U19="","",$U19)</f>
        <v>EGY</v>
      </c>
      <c r="AL20" t="str">
        <f t="shared" ref="AL20:AL26" si="7">IF($U19="","",$G19)</f>
        <v>HECA</v>
      </c>
      <c r="AM20" t="str">
        <f t="shared" ref="AM20:AM26" si="8">IF($U19="","",$A19)</f>
        <v>L2</v>
      </c>
      <c r="AN20">
        <f t="shared" ref="AN20:AN26" si="9">IF($U19="","",$L19+$M19)</f>
        <v>46250.39166666667</v>
      </c>
      <c r="AO20">
        <f>IF($AK20="","",IF(COUNTIF($AK$18:$AK20,$AK20)=1,1,0))</f>
        <v>1</v>
      </c>
      <c r="AP20">
        <f>IF($AO20=1,SUM($AO$18:$AO20),"")</f>
        <v>3</v>
      </c>
    </row>
    <row r="21" spans="1:42" x14ac:dyDescent="0.3">
      <c r="A21" t="s">
        <v>3</v>
      </c>
      <c r="B21" s="10" t="s">
        <v>1245</v>
      </c>
      <c r="C21" s="28" t="str">
        <f>IF($B21="","",IFERROR(INDEX(airports!$E:$E,MATCH($B21,airports!$A:$A,0)),"ICAO NOT IN AIRPORTS"))</f>
        <v>Al Massira Airport</v>
      </c>
      <c r="D21" s="28" t="str">
        <f>IF($B21="","",IFERROR(INDEX(airports!$H:$H,MATCH($B21,airports!$A:$A,0)),""))</f>
        <v>Morocco</v>
      </c>
      <c r="E21" s="9">
        <v>46253</v>
      </c>
      <c r="F21" s="34">
        <v>4.1666666666666664E-2</v>
      </c>
      <c r="G21" s="4" t="s">
        <v>5</v>
      </c>
      <c r="H21" s="28" t="str">
        <f>IF($G21="","",IFERROR(INDEX(airports!$E:$E,MATCH($G21,airports!$A:$A,0)),"ICAO NOT IN AIRPORTS"))</f>
        <v>O.R. Tambo International Airport</v>
      </c>
      <c r="I21" s="28" t="str">
        <f>IF($G21="","",IFERROR(INDEX(airports!$H:$H,MATCH($G21,airports!$A:$A,0)),""))</f>
        <v>South Africa</v>
      </c>
      <c r="J21" s="36">
        <f t="shared" si="0"/>
        <v>4022</v>
      </c>
      <c r="K21" s="37">
        <f t="shared" si="1"/>
        <v>8.9600000000000009</v>
      </c>
      <c r="L21" s="6">
        <f t="shared" si="2"/>
        <v>46253</v>
      </c>
      <c r="M21" s="35">
        <f t="shared" si="3"/>
        <v>0.41500000000087311</v>
      </c>
      <c r="N21" s="4" t="s">
        <v>4660</v>
      </c>
      <c r="O21" s="38">
        <f>IF($B21="","",IFERROR(INDEX(airports!$O:$O,MATCH($B21,airports!$A:$A,0)),""))</f>
        <v>30.322479999999999</v>
      </c>
      <c r="P21" s="38">
        <f>IF($B21="","",IFERROR(INDEX(airports!$P:$P,MATCH($B21,airports!$A:$A,0)),""))</f>
        <v>-9.4120000000000008</v>
      </c>
      <c r="Q21" s="38">
        <f>IF($G21="","",IFERROR(INDEX(airports!$O:$O,MATCH($G21,airports!$A:$A,0)),""))</f>
        <v>-26.140080000000001</v>
      </c>
      <c r="R21" s="38">
        <f>IF($G21="","",IFERROR(INDEX(airports!$P:$P,MATCH($G21,airports!$A:$A,0)),""))</f>
        <v>28.2468</v>
      </c>
      <c r="S21" s="38">
        <f t="shared" si="5"/>
        <v>1.1690355391911331</v>
      </c>
      <c r="T21" t="str" cm="1">
        <f t="array" ref="T21">IF($O21="","",IFERROR(IF(INDEX(geo_grid!$B$2:$JU$231,INT(($O21+40)/0.5)+1,INT(($P21+30)/0.5)+1)="","",INDEX(geo_grid!$B$2:$JU$231,INT(($O21+40)/0.5)+1,INT(($P21+30)/0.5)+1)),"OUTSIDE GRID"))</f>
        <v>MAR</v>
      </c>
      <c r="U21" t="str" cm="1">
        <f t="array" ref="U21">IF($Q21="","",IFERROR(IF(INDEX(geo_grid!$B$2:$JU$231,INT(($Q21+40)/0.5)+1,INT(($R21+30)/0.5)+1)="","",INDEX(geo_grid!$B$2:$JU$231,INT(($Q21+40)/0.5)+1,INT(($R21+30)/0.5)+1)),"OUTSIDE GRID"))</f>
        <v>ZAF</v>
      </c>
      <c r="V21" s="4"/>
      <c r="W21" s="4"/>
      <c r="X21" s="1" t="str" cm="1">
        <f t="array" ref="X21">IF($B21="","",IF(AND($V21="",$W21=""),"NO CONSTRAINT",TRIM(IF($V21="","",IF(SUMPRODUCT(--((ISNUMBER(SEARCH(","&amp;permit_calc!$A$3:$A$144&amp;",",","&amp;SUBSTITUTE(UPPER($V21)," ","")&amp;","))+ISNUMBER(SEARCH(","&amp;SUBSTITUTE(UPPER(permit_calc!$B$3:$B$144)," ","")&amp;",",","&amp;SUBSTITUTE(UPPER($V21)," ","")&amp;",")))&gt;0),--(INDEX(permit_calc!$C$3:$J$144,0,ROW()-17)&gt;0))&gt;0,"AVOID CONFLICT - track crosses an excluded state. ",""))&amp;IF($W21="","",IF(SUMPRODUCT(--((ISNUMBER(SEARCH(","&amp;permit_calc!$A$3:$A$144&amp;",",","&amp;SUBSTITUTE(UPPER($W21)," ","")&amp;","))+ISNUMBER(SEARCH(","&amp;SUBSTITUTE(UPPER(permit_calc!$B$3:$B$144)," ","")&amp;",",","&amp;SUBSTITUTE(UPPER($W21)," ","")&amp;",")))&gt;0),--(INDEX(permit_calc!$C$3:$J$144,0,ROW()-17)&gt;0))&lt;LEN($W21)-LEN(SUBSTITUTE($W21,",",""))+1,"INCLUDE NOT ON TRACK - required state not overflown. ","")))))</f>
        <v>NO CONSTRAINT</v>
      </c>
      <c r="Y21" s="1" t="str">
        <f>IF($B21="","",IFERROR(IF($J21&gt;INDEX('AIRCRAFT PERFORMANCE'!$I:$I,MATCH($B$8,'AIRCRAFT PERFORMANCE'!$A:$A,0)),"EXCEEDS PRACTICAL RANGE OF "&amp;TEXT(INDEX('AIRCRAFT PERFORMANCE'!$I:$I,MATCH($B$8,'AIRCRAFT PERFORMANCE'!$A:$A,0)),"#,##0")&amp;" NM - TECHNICAL STOP REQUIRED","WITHIN RANGE"),"TYPE NOT IN PERFORMANCE TABLE"))</f>
        <v>WITHIN RANGE</v>
      </c>
      <c r="AH21" t="str">
        <f>IFERROR(INDEX('PAX &amp; CREW'!$L$3:$L$62,MATCH(ROW()-17,'PAX &amp; CREW'!$AJ$3:$AJ$62,0)),"")</f>
        <v>South Africa</v>
      </c>
      <c r="AI21">
        <f>IF($AH21="","",IF(COUNTIF($AH$18:$AH21,$AH21)=1,1,0))</f>
        <v>0</v>
      </c>
      <c r="AJ21" t="str">
        <f>IF($AI21=1,SUM($AI$18:$AI21),"")</f>
        <v/>
      </c>
      <c r="AK21" t="str">
        <f t="shared" si="6"/>
        <v>MAR</v>
      </c>
      <c r="AL21" t="str">
        <f t="shared" si="7"/>
        <v>GMAD</v>
      </c>
      <c r="AM21" t="str">
        <f t="shared" si="8"/>
        <v>L3</v>
      </c>
      <c r="AN21">
        <f t="shared" si="9"/>
        <v>46251.369999999995</v>
      </c>
      <c r="AO21">
        <f>IF($AK21="","",IF(COUNTIF($AK$18:$AK21,$AK21)=1,1,0))</f>
        <v>1</v>
      </c>
      <c r="AP21">
        <f>IF($AO21=1,SUM($AO$18:$AO21),"")</f>
        <v>4</v>
      </c>
    </row>
    <row r="22" spans="1:42" x14ac:dyDescent="0.3">
      <c r="A22" t="s">
        <v>4491</v>
      </c>
      <c r="B22" s="10"/>
      <c r="C22" s="28" t="str">
        <f>IF($B22="","",IFERROR(INDEX(airports!$E:$E,MATCH($B22,airports!$A:$A,0)),"ICAO NOT IN AIRPORTS"))</f>
        <v/>
      </c>
      <c r="D22" s="28" t="str">
        <f>IF($B22="","",IFERROR(INDEX(airports!$H:$H,MATCH($B22,airports!$A:$A,0)),""))</f>
        <v/>
      </c>
      <c r="E22" s="9"/>
      <c r="F22" s="34"/>
      <c r="G22" s="4"/>
      <c r="H22" s="28" t="str">
        <f>IF($G22="","",IFERROR(INDEX(airports!$E:$E,MATCH($G22,airports!$A:$A,0)),"ICAO NOT IN AIRPORTS"))</f>
        <v/>
      </c>
      <c r="I22" s="28" t="str">
        <f>IF($G22="","",IFERROR(INDEX(airports!$H:$H,MATCH($G22,airports!$A:$A,0)),""))</f>
        <v/>
      </c>
      <c r="J22" s="36" t="str">
        <f t="shared" si="0"/>
        <v/>
      </c>
      <c r="K22" s="37" t="str">
        <f t="shared" si="1"/>
        <v/>
      </c>
      <c r="L22" s="6" t="str">
        <f t="shared" si="2"/>
        <v/>
      </c>
      <c r="M22" s="35" t="str">
        <f t="shared" si="3"/>
        <v/>
      </c>
      <c r="N22" s="4" t="str">
        <f t="shared" si="4"/>
        <v/>
      </c>
      <c r="O22" s="38" t="str">
        <f>IF($B22="","",IFERROR(INDEX(airports!$O:$O,MATCH($B22,airports!$A:$A,0)),""))</f>
        <v/>
      </c>
      <c r="P22" s="38" t="str">
        <f>IF($B22="","",IFERROR(INDEX(airports!$P:$P,MATCH($B22,airports!$A:$A,0)),""))</f>
        <v/>
      </c>
      <c r="Q22" s="38" t="str">
        <f>IF($G22="","",IFERROR(INDEX(airports!$O:$O,MATCH($G22,airports!$A:$A,0)),""))</f>
        <v/>
      </c>
      <c r="R22" s="38" t="str">
        <f>IF($G22="","",IFERROR(INDEX(airports!$P:$P,MATCH($G22,airports!$A:$A,0)),""))</f>
        <v/>
      </c>
      <c r="S22" s="38" t="str">
        <f t="shared" si="5"/>
        <v/>
      </c>
      <c r="T22" t="str" cm="1">
        <f t="array" ref="T22">IF($O22="","",IFERROR(IF(INDEX(geo_grid!$B$2:$JU$231,INT(($O22+40)/0.5)+1,INT(($P22+30)/0.5)+1)="","",INDEX(geo_grid!$B$2:$JU$231,INT(($O22+40)/0.5)+1,INT(($P22+30)/0.5)+1)),"OUTSIDE GRID"))</f>
        <v/>
      </c>
      <c r="U22" t="str" cm="1">
        <f t="array" ref="U22">IF($Q22="","",IFERROR(IF(INDEX(geo_grid!$B$2:$JU$231,INT(($Q22+40)/0.5)+1,INT(($R22+30)/0.5)+1)="","",INDEX(geo_grid!$B$2:$JU$231,INT(($Q22+40)/0.5)+1,INT(($R22+30)/0.5)+1)),"OUTSIDE GRID"))</f>
        <v/>
      </c>
      <c r="V22" s="4"/>
      <c r="W22" s="4"/>
      <c r="X22" s="1" t="str" cm="1">
        <f t="array" ref="X22">IF($B22="","",IF(AND($V22="",$W22=""),"NO CONSTRAINT",TRIM(IF($V22="","",IF(SUMPRODUCT(--((ISNUMBER(SEARCH(","&amp;permit_calc!$A$3:$A$144&amp;",",","&amp;SUBSTITUTE(UPPER($V22)," ","")&amp;","))+ISNUMBER(SEARCH(","&amp;SUBSTITUTE(UPPER(permit_calc!$B$3:$B$144)," ","")&amp;",",","&amp;SUBSTITUTE(UPPER($V22)," ","")&amp;",")))&gt;0),--(INDEX(permit_calc!$C$3:$J$144,0,ROW()-17)&gt;0))&gt;0,"AVOID CONFLICT - track crosses an excluded state. ",""))&amp;IF($W22="","",IF(SUMPRODUCT(--((ISNUMBER(SEARCH(","&amp;permit_calc!$A$3:$A$144&amp;",",","&amp;SUBSTITUTE(UPPER($W22)," ","")&amp;","))+ISNUMBER(SEARCH(","&amp;SUBSTITUTE(UPPER(permit_calc!$B$3:$B$144)," ","")&amp;",",","&amp;SUBSTITUTE(UPPER($W22)," ","")&amp;",")))&gt;0),--(INDEX(permit_calc!$C$3:$J$144,0,ROW()-17)&gt;0))&lt;LEN($W22)-LEN(SUBSTITUTE($W22,",",""))+1,"INCLUDE NOT ON TRACK - required state not overflown. ","")))))</f>
        <v/>
      </c>
      <c r="Y22" s="1" t="str">
        <f>IF($B22="","",IFERROR(IF($J22&gt;INDEX('AIRCRAFT PERFORMANCE'!$I:$I,MATCH($B$8,'AIRCRAFT PERFORMANCE'!$A:$A,0)),"EXCEEDS PRACTICAL RANGE OF "&amp;TEXT(INDEX('AIRCRAFT PERFORMANCE'!$I:$I,MATCH($B$8,'AIRCRAFT PERFORMANCE'!$A:$A,0)),"#,##0")&amp;" NM - TECHNICAL STOP REQUIRED","WITHIN RANGE"),"TYPE NOT IN PERFORMANCE TABLE"))</f>
        <v/>
      </c>
      <c r="AH22" t="str">
        <f>IFERROR(INDEX('PAX &amp; CREW'!$L$3:$L$62,MATCH(ROW()-17,'PAX &amp; CREW'!$AJ$3:$AJ$62,0)),"")</f>
        <v/>
      </c>
      <c r="AI22" t="str">
        <f>IF($AH22="","",IF(COUNTIF($AH$18:$AH22,$AH22)=1,1,0))</f>
        <v/>
      </c>
      <c r="AJ22" t="str">
        <f>IF($AI22=1,SUM($AI$18:$AI22),"")</f>
        <v/>
      </c>
      <c r="AK22" t="str">
        <f t="shared" si="6"/>
        <v>ZAF</v>
      </c>
      <c r="AL22" t="str">
        <f t="shared" si="7"/>
        <v>FAOR</v>
      </c>
      <c r="AM22" t="str">
        <f t="shared" si="8"/>
        <v>L4</v>
      </c>
      <c r="AN22">
        <f t="shared" si="9"/>
        <v>46253.415000000001</v>
      </c>
      <c r="AO22">
        <f>IF($AK22="","",IF(COUNTIF($AK$18:$AK22,$AK22)=1,1,0))</f>
        <v>0</v>
      </c>
      <c r="AP22" t="str">
        <f>IF($AO22=1,SUM($AO$18:$AO22),"")</f>
        <v/>
      </c>
    </row>
    <row r="23" spans="1:42" x14ac:dyDescent="0.3">
      <c r="A23" t="s">
        <v>4492</v>
      </c>
      <c r="B23" s="10" t="str">
        <f t="shared" ref="B23:B25" si="10">IF($G22="","",$G22)</f>
        <v/>
      </c>
      <c r="C23" s="28" t="str">
        <f>IF($B23="","",IFERROR(INDEX(airports!$E:$E,MATCH($B23,airports!$A:$A,0)),"ICAO NOT IN AIRPORTS"))</f>
        <v/>
      </c>
      <c r="D23" s="28" t="str">
        <f>IF($B23="","",IFERROR(INDEX(airports!$H:$H,MATCH($B23,airports!$A:$A,0)),""))</f>
        <v/>
      </c>
      <c r="E23" s="9"/>
      <c r="F23" s="34"/>
      <c r="G23" s="4"/>
      <c r="H23" s="28" t="str">
        <f>IF($G23="","",IFERROR(INDEX(airports!$E:$E,MATCH($G23,airports!$A:$A,0)),"ICAO NOT IN AIRPORTS"))</f>
        <v/>
      </c>
      <c r="I23" s="28" t="str">
        <f>IF($G23="","",IFERROR(INDEX(airports!$H:$H,MATCH($G23,airports!$A:$A,0)),""))</f>
        <v/>
      </c>
      <c r="J23" s="36" t="str">
        <f t="shared" si="0"/>
        <v/>
      </c>
      <c r="K23" s="37" t="str">
        <f t="shared" si="1"/>
        <v/>
      </c>
      <c r="L23" s="6" t="str">
        <f t="shared" si="2"/>
        <v/>
      </c>
      <c r="M23" s="35" t="str">
        <f t="shared" si="3"/>
        <v/>
      </c>
      <c r="N23" s="4" t="str">
        <f t="shared" si="4"/>
        <v/>
      </c>
      <c r="O23" s="38" t="str">
        <f>IF($B23="","",IFERROR(INDEX(airports!$O:$O,MATCH($B23,airports!$A:$A,0)),""))</f>
        <v/>
      </c>
      <c r="P23" s="38" t="str">
        <f>IF($B23="","",IFERROR(INDEX(airports!$P:$P,MATCH($B23,airports!$A:$A,0)),""))</f>
        <v/>
      </c>
      <c r="Q23" s="38" t="str">
        <f>IF($G23="","",IFERROR(INDEX(airports!$O:$O,MATCH($G23,airports!$A:$A,0)),""))</f>
        <v/>
      </c>
      <c r="R23" s="38" t="str">
        <f>IF($G23="","",IFERROR(INDEX(airports!$P:$P,MATCH($G23,airports!$A:$A,0)),""))</f>
        <v/>
      </c>
      <c r="S23" s="38" t="str">
        <f t="shared" si="5"/>
        <v/>
      </c>
      <c r="T23" t="str" cm="1">
        <f t="array" ref="T23">IF($O23="","",IFERROR(IF(INDEX(geo_grid!$B$2:$JU$231,INT(($O23+40)/0.5)+1,INT(($P23+30)/0.5)+1)="","",INDEX(geo_grid!$B$2:$JU$231,INT(($O23+40)/0.5)+1,INT(($P23+30)/0.5)+1)),"OUTSIDE GRID"))</f>
        <v/>
      </c>
      <c r="U23" t="str" cm="1">
        <f t="array" ref="U23">IF($Q23="","",IFERROR(IF(INDEX(geo_grid!$B$2:$JU$231,INT(($Q23+40)/0.5)+1,INT(($R23+30)/0.5)+1)="","",INDEX(geo_grid!$B$2:$JU$231,INT(($Q23+40)/0.5)+1,INT(($R23+30)/0.5)+1)),"OUTSIDE GRID"))</f>
        <v/>
      </c>
      <c r="V23" s="4"/>
      <c r="W23" s="4"/>
      <c r="X23" s="1" t="str" cm="1">
        <f t="array" ref="X23">IF($B23="","",IF(AND($V23="",$W23=""),"NO CONSTRAINT",TRIM(IF($V23="","",IF(SUMPRODUCT(--((ISNUMBER(SEARCH(","&amp;permit_calc!$A$3:$A$144&amp;",",","&amp;SUBSTITUTE(UPPER($V23)," ","")&amp;","))+ISNUMBER(SEARCH(","&amp;SUBSTITUTE(UPPER(permit_calc!$B$3:$B$144)," ","")&amp;",",","&amp;SUBSTITUTE(UPPER($V23)," ","")&amp;",")))&gt;0),--(INDEX(permit_calc!$C$3:$J$144,0,ROW()-17)&gt;0))&gt;0,"AVOID CONFLICT - track crosses an excluded state. ",""))&amp;IF($W23="","",IF(SUMPRODUCT(--((ISNUMBER(SEARCH(","&amp;permit_calc!$A$3:$A$144&amp;",",","&amp;SUBSTITUTE(UPPER($W23)," ","")&amp;","))+ISNUMBER(SEARCH(","&amp;SUBSTITUTE(UPPER(permit_calc!$B$3:$B$144)," ","")&amp;",",","&amp;SUBSTITUTE(UPPER($W23)," ","")&amp;",")))&gt;0),--(INDEX(permit_calc!$C$3:$J$144,0,ROW()-17)&gt;0))&lt;LEN($W23)-LEN(SUBSTITUTE($W23,",",""))+1,"INCLUDE NOT ON TRACK - required state not overflown. ","")))))</f>
        <v/>
      </c>
      <c r="Y23" s="1" t="str">
        <f>IF($B23="","",IFERROR(IF($J23&gt;INDEX('AIRCRAFT PERFORMANCE'!$I:$I,MATCH($B$8,'AIRCRAFT PERFORMANCE'!$A:$A,0)),"EXCEEDS PRACTICAL RANGE OF "&amp;TEXT(INDEX('AIRCRAFT PERFORMANCE'!$I:$I,MATCH($B$8,'AIRCRAFT PERFORMANCE'!$A:$A,0)),"#,##0")&amp;" NM - TECHNICAL STOP REQUIRED","WITHIN RANGE"),"TYPE NOT IN PERFORMANCE TABLE"))</f>
        <v/>
      </c>
      <c r="AH23" t="str">
        <f>IFERROR(INDEX('PAX &amp; CREW'!$L$3:$L$62,MATCH(ROW()-17,'PAX &amp; CREW'!$AJ$3:$AJ$62,0)),"")</f>
        <v/>
      </c>
      <c r="AI23" t="str">
        <f>IF($AH23="","",IF(COUNTIF($AH$18:$AH23,$AH23)=1,1,0))</f>
        <v/>
      </c>
      <c r="AJ23" t="str">
        <f>IF($AI23=1,SUM($AI$18:$AI23),"")</f>
        <v/>
      </c>
      <c r="AK23" t="str">
        <f t="shared" si="6"/>
        <v/>
      </c>
      <c r="AL23" t="str">
        <f t="shared" si="7"/>
        <v/>
      </c>
      <c r="AM23" t="str">
        <f t="shared" si="8"/>
        <v/>
      </c>
      <c r="AN23" t="str">
        <f t="shared" si="9"/>
        <v/>
      </c>
      <c r="AO23" t="str">
        <f>IF($AK23="","",IF(COUNTIF($AK$18:$AK23,$AK23)=1,1,0))</f>
        <v/>
      </c>
      <c r="AP23" t="str">
        <f>IF($AO23=1,SUM($AO$18:$AO23),"")</f>
        <v/>
      </c>
    </row>
    <row r="24" spans="1:42" x14ac:dyDescent="0.3">
      <c r="A24" t="s">
        <v>4493</v>
      </c>
      <c r="B24" s="10" t="str">
        <f t="shared" si="10"/>
        <v/>
      </c>
      <c r="C24" s="28" t="str">
        <f>IF($B24="","",IFERROR(INDEX(airports!$E:$E,MATCH($B24,airports!$A:$A,0)),"ICAO NOT IN AIRPORTS"))</f>
        <v/>
      </c>
      <c r="D24" s="28" t="str">
        <f>IF($B24="","",IFERROR(INDEX(airports!$H:$H,MATCH($B24,airports!$A:$A,0)),""))</f>
        <v/>
      </c>
      <c r="E24" s="9"/>
      <c r="F24" s="34"/>
      <c r="G24" s="4"/>
      <c r="H24" s="28" t="str">
        <f>IF($G24="","",IFERROR(INDEX(airports!$E:$E,MATCH($G24,airports!$A:$A,0)),"ICAO NOT IN AIRPORTS"))</f>
        <v/>
      </c>
      <c r="I24" s="28" t="str">
        <f>IF($G24="","",IFERROR(INDEX(airports!$H:$H,MATCH($G24,airports!$A:$A,0)),""))</f>
        <v/>
      </c>
      <c r="J24" s="36" t="str">
        <f t="shared" si="0"/>
        <v/>
      </c>
      <c r="K24" s="37" t="str">
        <f t="shared" si="1"/>
        <v/>
      </c>
      <c r="L24" s="6" t="str">
        <f t="shared" si="2"/>
        <v/>
      </c>
      <c r="M24" s="35" t="str">
        <f t="shared" si="3"/>
        <v/>
      </c>
      <c r="N24" s="4" t="str">
        <f t="shared" si="4"/>
        <v/>
      </c>
      <c r="O24" s="38" t="str">
        <f>IF($B24="","",IFERROR(INDEX(airports!$O:$O,MATCH($B24,airports!$A:$A,0)),""))</f>
        <v/>
      </c>
      <c r="P24" s="38" t="str">
        <f>IF($B24="","",IFERROR(INDEX(airports!$P:$P,MATCH($B24,airports!$A:$A,0)),""))</f>
        <v/>
      </c>
      <c r="Q24" s="38" t="str">
        <f>IF($G24="","",IFERROR(INDEX(airports!$O:$O,MATCH($G24,airports!$A:$A,0)),""))</f>
        <v/>
      </c>
      <c r="R24" s="38" t="str">
        <f>IF($G24="","",IFERROR(INDEX(airports!$P:$P,MATCH($G24,airports!$A:$A,0)),""))</f>
        <v/>
      </c>
      <c r="S24" s="38" t="str">
        <f t="shared" si="5"/>
        <v/>
      </c>
      <c r="T24" t="str" cm="1">
        <f t="array" ref="T24">IF($O24="","",IFERROR(IF(INDEX(geo_grid!$B$2:$JU$231,INT(($O24+40)/0.5)+1,INT(($P24+30)/0.5)+1)="","",INDEX(geo_grid!$B$2:$JU$231,INT(($O24+40)/0.5)+1,INT(($P24+30)/0.5)+1)),"OUTSIDE GRID"))</f>
        <v/>
      </c>
      <c r="U24" t="str" cm="1">
        <f t="array" ref="U24">IF($Q24="","",IFERROR(IF(INDEX(geo_grid!$B$2:$JU$231,INT(($Q24+40)/0.5)+1,INT(($R24+30)/0.5)+1)="","",INDEX(geo_grid!$B$2:$JU$231,INT(($Q24+40)/0.5)+1,INT(($R24+30)/0.5)+1)),"OUTSIDE GRID"))</f>
        <v/>
      </c>
      <c r="V24" s="4"/>
      <c r="W24" s="4"/>
      <c r="X24" s="1" t="str" cm="1">
        <f t="array" ref="X24">IF($B24="","",IF(AND($V24="",$W24=""),"NO CONSTRAINT",TRIM(IF($V24="","",IF(SUMPRODUCT(--((ISNUMBER(SEARCH(","&amp;permit_calc!$A$3:$A$144&amp;",",","&amp;SUBSTITUTE(UPPER($V24)," ","")&amp;","))+ISNUMBER(SEARCH(","&amp;SUBSTITUTE(UPPER(permit_calc!$B$3:$B$144)," ","")&amp;",",","&amp;SUBSTITUTE(UPPER($V24)," ","")&amp;",")))&gt;0),--(INDEX(permit_calc!$C$3:$J$144,0,ROW()-17)&gt;0))&gt;0,"AVOID CONFLICT - track crosses an excluded state. ",""))&amp;IF($W24="","",IF(SUMPRODUCT(--((ISNUMBER(SEARCH(","&amp;permit_calc!$A$3:$A$144&amp;",",","&amp;SUBSTITUTE(UPPER($W24)," ","")&amp;","))+ISNUMBER(SEARCH(","&amp;SUBSTITUTE(UPPER(permit_calc!$B$3:$B$144)," ","")&amp;",",","&amp;SUBSTITUTE(UPPER($W24)," ","")&amp;",")))&gt;0),--(INDEX(permit_calc!$C$3:$J$144,0,ROW()-17)&gt;0))&lt;LEN($W24)-LEN(SUBSTITUTE($W24,",",""))+1,"INCLUDE NOT ON TRACK - required state not overflown. ","")))))</f>
        <v/>
      </c>
      <c r="Y24" s="1" t="str">
        <f>IF($B24="","",IFERROR(IF($J24&gt;INDEX('AIRCRAFT PERFORMANCE'!$I:$I,MATCH($B$8,'AIRCRAFT PERFORMANCE'!$A:$A,0)),"EXCEEDS PRACTICAL RANGE OF "&amp;TEXT(INDEX('AIRCRAFT PERFORMANCE'!$I:$I,MATCH($B$8,'AIRCRAFT PERFORMANCE'!$A:$A,0)),"#,##0")&amp;" NM - TECHNICAL STOP REQUIRED","WITHIN RANGE"),"TYPE NOT IN PERFORMANCE TABLE"))</f>
        <v/>
      </c>
      <c r="AH24" t="str">
        <f>IFERROR(INDEX('PAX &amp; CREW'!$L$3:$L$62,MATCH(ROW()-17,'PAX &amp; CREW'!$AJ$3:$AJ$62,0)),"")</f>
        <v/>
      </c>
      <c r="AI24" t="str">
        <f>IF($AH24="","",IF(COUNTIF($AH$18:$AH24,$AH24)=1,1,0))</f>
        <v/>
      </c>
      <c r="AJ24" t="str">
        <f>IF($AI24=1,SUM($AI$18:$AI24),"")</f>
        <v/>
      </c>
      <c r="AK24" t="str">
        <f t="shared" si="6"/>
        <v/>
      </c>
      <c r="AL24" t="str">
        <f t="shared" si="7"/>
        <v/>
      </c>
      <c r="AM24" t="str">
        <f t="shared" si="8"/>
        <v/>
      </c>
      <c r="AN24" t="str">
        <f t="shared" si="9"/>
        <v/>
      </c>
      <c r="AO24" t="str">
        <f>IF($AK24="","",IF(COUNTIF($AK$18:$AK24,$AK24)=1,1,0))</f>
        <v/>
      </c>
      <c r="AP24" t="str">
        <f>IF($AO24=1,SUM($AO$18:$AO24),"")</f>
        <v/>
      </c>
    </row>
    <row r="25" spans="1:42" x14ac:dyDescent="0.3">
      <c r="A25" t="s">
        <v>4494</v>
      </c>
      <c r="B25" s="10" t="str">
        <f t="shared" si="10"/>
        <v/>
      </c>
      <c r="C25" s="28" t="str">
        <f>IF($B25="","",IFERROR(INDEX(airports!$E:$E,MATCH($B25,airports!$A:$A,0)),"ICAO NOT IN AIRPORTS"))</f>
        <v/>
      </c>
      <c r="D25" s="28" t="str">
        <f>IF($B25="","",IFERROR(INDEX(airports!$H:$H,MATCH($B25,airports!$A:$A,0)),""))</f>
        <v/>
      </c>
      <c r="E25" s="9"/>
      <c r="F25" s="34"/>
      <c r="G25" s="4"/>
      <c r="H25" s="28" t="str">
        <f>IF($G25="","",IFERROR(INDEX(airports!$E:$E,MATCH($G25,airports!$A:$A,0)),"ICAO NOT IN AIRPORTS"))</f>
        <v/>
      </c>
      <c r="I25" s="28" t="str">
        <f>IF($G25="","",IFERROR(INDEX(airports!$H:$H,MATCH($G25,airports!$A:$A,0)),""))</f>
        <v/>
      </c>
      <c r="J25" s="36" t="str">
        <f t="shared" si="0"/>
        <v/>
      </c>
      <c r="K25" s="37" t="str">
        <f t="shared" si="1"/>
        <v/>
      </c>
      <c r="L25" s="6" t="str">
        <f t="shared" si="2"/>
        <v/>
      </c>
      <c r="M25" s="35" t="str">
        <f t="shared" si="3"/>
        <v/>
      </c>
      <c r="N25" s="4" t="str">
        <f t="shared" si="4"/>
        <v/>
      </c>
      <c r="O25" s="38" t="str">
        <f>IF($B25="","",IFERROR(INDEX(airports!$O:$O,MATCH($B25,airports!$A:$A,0)),""))</f>
        <v/>
      </c>
      <c r="P25" s="38" t="str">
        <f>IF($B25="","",IFERROR(INDEX(airports!$P:$P,MATCH($B25,airports!$A:$A,0)),""))</f>
        <v/>
      </c>
      <c r="Q25" s="38" t="str">
        <f>IF($G25="","",IFERROR(INDEX(airports!$O:$O,MATCH($G25,airports!$A:$A,0)),""))</f>
        <v/>
      </c>
      <c r="R25" s="38" t="str">
        <f>IF($G25="","",IFERROR(INDEX(airports!$P:$P,MATCH($G25,airports!$A:$A,0)),""))</f>
        <v/>
      </c>
      <c r="S25" s="38" t="str">
        <f t="shared" si="5"/>
        <v/>
      </c>
      <c r="T25" t="str" cm="1">
        <f t="array" ref="T25">IF($O25="","",IFERROR(IF(INDEX(geo_grid!$B$2:$JU$231,INT(($O25+40)/0.5)+1,INT(($P25+30)/0.5)+1)="","",INDEX(geo_grid!$B$2:$JU$231,INT(($O25+40)/0.5)+1,INT(($P25+30)/0.5)+1)),"OUTSIDE GRID"))</f>
        <v/>
      </c>
      <c r="U25" t="str" cm="1">
        <f t="array" ref="U25">IF($Q25="","",IFERROR(IF(INDEX(geo_grid!$B$2:$JU$231,INT(($Q25+40)/0.5)+1,INT(($R25+30)/0.5)+1)="","",INDEX(geo_grid!$B$2:$JU$231,INT(($Q25+40)/0.5)+1,INT(($R25+30)/0.5)+1)),"OUTSIDE GRID"))</f>
        <v/>
      </c>
      <c r="V25" s="4"/>
      <c r="W25" s="4"/>
      <c r="X25" s="1" t="str" cm="1">
        <f t="array" ref="X25">IF($B25="","",IF(AND($V25="",$W25=""),"NO CONSTRAINT",TRIM(IF($V25="","",IF(SUMPRODUCT(--((ISNUMBER(SEARCH(","&amp;permit_calc!$A$3:$A$144&amp;",",","&amp;SUBSTITUTE(UPPER($V25)," ","")&amp;","))+ISNUMBER(SEARCH(","&amp;SUBSTITUTE(UPPER(permit_calc!$B$3:$B$144)," ","")&amp;",",","&amp;SUBSTITUTE(UPPER($V25)," ","")&amp;",")))&gt;0),--(INDEX(permit_calc!$C$3:$J$144,0,ROW()-17)&gt;0))&gt;0,"AVOID CONFLICT - track crosses an excluded state. ",""))&amp;IF($W25="","",IF(SUMPRODUCT(--((ISNUMBER(SEARCH(","&amp;permit_calc!$A$3:$A$144&amp;",",","&amp;SUBSTITUTE(UPPER($W25)," ","")&amp;","))+ISNUMBER(SEARCH(","&amp;SUBSTITUTE(UPPER(permit_calc!$B$3:$B$144)," ","")&amp;",",","&amp;SUBSTITUTE(UPPER($W25)," ","")&amp;",")))&gt;0),--(INDEX(permit_calc!$C$3:$J$144,0,ROW()-17)&gt;0))&lt;LEN($W25)-LEN(SUBSTITUTE($W25,",",""))+1,"INCLUDE NOT ON TRACK - required state not overflown. ","")))))</f>
        <v/>
      </c>
      <c r="Y25" s="1" t="str">
        <f>IF($B25="","",IFERROR(IF($J25&gt;INDEX('AIRCRAFT PERFORMANCE'!$I:$I,MATCH($B$8,'AIRCRAFT PERFORMANCE'!$A:$A,0)),"EXCEEDS PRACTICAL RANGE OF "&amp;TEXT(INDEX('AIRCRAFT PERFORMANCE'!$I:$I,MATCH($B$8,'AIRCRAFT PERFORMANCE'!$A:$A,0)),"#,##0")&amp;" NM - TECHNICAL STOP REQUIRED","WITHIN RANGE"),"TYPE NOT IN PERFORMANCE TABLE"))</f>
        <v/>
      </c>
      <c r="AH25" t="str">
        <f>IFERROR(INDEX('PAX &amp; CREW'!$L$3:$L$62,MATCH(ROW()-17,'PAX &amp; CREW'!$AJ$3:$AJ$62,0)),"")</f>
        <v/>
      </c>
      <c r="AI25" t="str">
        <f>IF($AH25="","",IF(COUNTIF($AH$18:$AH25,$AH25)=1,1,0))</f>
        <v/>
      </c>
      <c r="AJ25" t="str">
        <f>IF($AI25=1,SUM($AI$18:$AI25),"")</f>
        <v/>
      </c>
      <c r="AK25" t="str">
        <f t="shared" si="6"/>
        <v/>
      </c>
      <c r="AL25" t="str">
        <f t="shared" si="7"/>
        <v/>
      </c>
      <c r="AM25" t="str">
        <f t="shared" si="8"/>
        <v/>
      </c>
      <c r="AN25" t="str">
        <f t="shared" si="9"/>
        <v/>
      </c>
      <c r="AO25" t="str">
        <f>IF($AK25="","",IF(COUNTIF($AK$18:$AK25,$AK25)=1,1,0))</f>
        <v/>
      </c>
      <c r="AP25" t="str">
        <f>IF($AO25=1,SUM($AO$18:$AO25),"")</f>
        <v/>
      </c>
    </row>
    <row r="26" spans="1:42" x14ac:dyDescent="0.3">
      <c r="A26" s="1" t="s">
        <v>4312</v>
      </c>
      <c r="J26" s="39">
        <f>SUM($J$18:$J$25)</f>
        <v>9947</v>
      </c>
      <c r="K26" s="40">
        <f>ROUND(SUM($K$18:$K$25),2)</f>
        <v>22.76</v>
      </c>
      <c r="L26" s="6" t="str">
        <f t="shared" si="2"/>
        <v/>
      </c>
      <c r="M26" s="35" t="str">
        <f t="shared" si="3"/>
        <v/>
      </c>
      <c r="AH26" t="str">
        <f>IFERROR(INDEX('PAX &amp; CREW'!$L$3:$L$62,MATCH(ROW()-17,'PAX &amp; CREW'!$AJ$3:$AJ$62,0)),"")</f>
        <v/>
      </c>
      <c r="AI26" t="str">
        <f>IF($AH26="","",IF(COUNTIF($AH$18:$AH26,$AH26)=1,1,0))</f>
        <v/>
      </c>
      <c r="AJ26" t="str">
        <f>IF($AI26=1,SUM($AI$18:$AI26),"")</f>
        <v/>
      </c>
      <c r="AK26" t="str">
        <f t="shared" si="6"/>
        <v/>
      </c>
      <c r="AL26" t="str">
        <f t="shared" si="7"/>
        <v/>
      </c>
      <c r="AM26" t="str">
        <f t="shared" si="8"/>
        <v/>
      </c>
      <c r="AN26" t="str">
        <f t="shared" si="9"/>
        <v/>
      </c>
      <c r="AO26" t="str">
        <f>IF($AK26="","",IF(COUNTIF($AK$18:$AK26,$AK26)=1,1,0))</f>
        <v/>
      </c>
      <c r="AP26" t="str">
        <f>IF($AO26=1,SUM($AO$18:$AO26),"")</f>
        <v/>
      </c>
    </row>
    <row r="27" spans="1:42" x14ac:dyDescent="0.3">
      <c r="V27" s="32" t="s">
        <v>4722</v>
      </c>
      <c r="AH27" t="str">
        <f>IFERROR(INDEX('PAX &amp; CREW'!$L$3:$L$62,MATCH(ROW()-17,'PAX &amp; CREW'!$AJ$3:$AJ$62,0)),"")</f>
        <v/>
      </c>
      <c r="AI27" t="str">
        <f>IF($AH27="","",IF(COUNTIF($AH$18:$AH27,$AH27)=1,1,0))</f>
        <v/>
      </c>
      <c r="AJ27" t="str">
        <f>IF($AI27=1,SUM($AI$18:$AI27),"")</f>
        <v/>
      </c>
    </row>
    <row r="28" spans="1:42" x14ac:dyDescent="0.3">
      <c r="A28" s="25" t="s">
        <v>4703</v>
      </c>
      <c r="B28" s="25"/>
      <c r="C28" s="25"/>
      <c r="D28" s="25"/>
      <c r="E28" s="25"/>
      <c r="F28" s="25"/>
      <c r="G28" s="25"/>
      <c r="H28" s="25"/>
      <c r="I28" s="25"/>
      <c r="J28" s="25"/>
      <c r="K28" s="25"/>
      <c r="L28" s="25"/>
      <c r="M28" s="25"/>
      <c r="AH28" t="str">
        <f>IFERROR(INDEX('PAX &amp; CREW'!$L$3:$L$62,MATCH(ROW()-17,'PAX &amp; CREW'!$AJ$3:$AJ$62,0)),"")</f>
        <v/>
      </c>
      <c r="AI28" t="str">
        <f>IF($AH28="","",IF(COUNTIF($AH$18:$AH28,$AH28)=1,1,0))</f>
        <v/>
      </c>
      <c r="AJ28" t="str">
        <f>IF($AI28=1,SUM($AI$18:$AI28),"")</f>
        <v/>
      </c>
    </row>
    <row r="29" spans="1:42" x14ac:dyDescent="0.3">
      <c r="A29" s="46" t="s">
        <v>4518</v>
      </c>
      <c r="B29" s="46" t="s">
        <v>4314</v>
      </c>
      <c r="C29" s="46" t="s">
        <v>4505</v>
      </c>
      <c r="D29" s="46" t="s">
        <v>4519</v>
      </c>
      <c r="E29" s="46" t="s">
        <v>4522</v>
      </c>
      <c r="F29" s="46" t="s">
        <v>4315</v>
      </c>
      <c r="G29" s="46" t="s">
        <v>4313</v>
      </c>
      <c r="H29" s="46" t="s">
        <v>4694</v>
      </c>
      <c r="I29" s="46" t="s">
        <v>4514</v>
      </c>
      <c r="J29" s="46" t="s">
        <v>4520</v>
      </c>
      <c r="K29" s="46" t="s">
        <v>4521</v>
      </c>
      <c r="L29" s="46" t="s">
        <v>4467</v>
      </c>
      <c r="M29" s="46" t="s">
        <v>4311</v>
      </c>
      <c r="AE29" s="27" t="s">
        <v>4695</v>
      </c>
      <c r="AF29" s="27" t="s">
        <v>4696</v>
      </c>
      <c r="AH29" t="str">
        <f>IFERROR(INDEX('PAX &amp; CREW'!$L$3:$L$62,MATCH(ROW()-17,'PAX &amp; CREW'!$AJ$3:$AJ$62,0)),"")</f>
        <v/>
      </c>
      <c r="AI29" t="str">
        <f>IF($AH29="","",IF(COUNTIF($AH$18:$AH29,$AH29)=1,1,0))</f>
        <v/>
      </c>
      <c r="AJ29" t="str">
        <f>IF($AI29=1,SUM($AI$18:$AI29),"")</f>
        <v/>
      </c>
    </row>
    <row r="30" spans="1:42" x14ac:dyDescent="0.3">
      <c r="A30">
        <f>IF(ROW()-29&gt;COUNTIF(permit_calc!$L$3:$L$144,1)+COUNTA($G$18:$G$25),"",ROW()-29)</f>
        <v>1</v>
      </c>
      <c r="B30" t="str">
        <f>IF($A30="","",IF($AE30="OVF",INDEX(permit_calc!$B$3:$B$144,MATCH($A30,permit_calc!$N$3:$N$144,0)),IFERROR(INDEX(countries!$B:$B,MATCH($C30,countries!$D:$D,0)),$C30)))</f>
        <v>Botswana</v>
      </c>
      <c r="C30" t="str" cm="1">
        <f t="array" ref="C30">IF($A30="","",IF($AE30="OVF",INDEX(permit_calc!$A$3:$A$144,MATCH($A30,permit_calc!$N$3:$N$144,0)),INDEX($U$18:$U$25,$AF30)))</f>
        <v>BWA</v>
      </c>
      <c r="D30" t="str">
        <f>IF($A30="","",$AE30)</f>
        <v>OVF</v>
      </c>
      <c r="E30" t="str" cm="1">
        <f t="array" ref="E30">IF($A30="","",IF($AE30="OVF","",INDEX($G$18:$G$25,$AF30)))</f>
        <v/>
      </c>
      <c r="F30" t="str" cm="1">
        <f t="array" ref="F30">IF($A30="","",IF($AE30="OVF",INDEX(permit_calc!$M$3:$M$144,MATCH($A30,permit_calc!$N$3:$N$144,0)),INDEX($A$18:$A$25,$AF30)))</f>
        <v>L1, L4</v>
      </c>
      <c r="G30" s="50" t="s">
        <v>17</v>
      </c>
      <c r="H30" s="41" cm="1">
        <f t="array" ref="H30">IF($A30="","",IF($AE30="OVF",INDEX($E$18:$E$25,INDEX(permit_calc!$O$3:$O$144,MATCH($A30,permit_calc!$N$3:$N$144,0)))+INDEX($F$18:$F$25,INDEX(permit_calc!$O$3:$O$144,MATCH($A30,permit_calc!$N$3:$N$144,0))),INDEX($L$18:$L$25,$AF30)+INDEX($M$18:$M$25,$AF30)))</f>
        <v>46248.375</v>
      </c>
      <c r="I30" s="43">
        <f>IF($A30="","",IFERROR(IF(INDEX(countries!$I:$I,MATCH($C30,countries!$D:$D,0))=0,$B$12,INDEX(countries!$I:$I,MATCH($C30,countries!$D:$D,0))),$B$12))</f>
        <v>72</v>
      </c>
      <c r="J30" s="41">
        <f>IF($A30="","",$H30-$I30/24)</f>
        <v>46245.375</v>
      </c>
      <c r="K30" s="42">
        <f ca="1">IF($A30="","",ROUND($J30-NOW(),1))</f>
        <v>1.8</v>
      </c>
      <c r="L30" t="str">
        <f>IF($A30="","",IF($AE30="OVF",IFERROR(INDEX(countries!$G:$G,MATCH($C30,countries!$D:$D,0)),"VERIFY"),IFERROR(INDEX(countries!$H:$H,MATCH($C30,countries!$D:$D,0)),"VERIFY")))</f>
        <v>REQUIRED</v>
      </c>
      <c r="M30" t="str">
        <f ca="1">IF($A30="","",IF(OR(UPPER($G30)="OWN",UPPER($G30)="EXCLUDED"),"CLIENT ARRANGING",IF($K30&lt;0,"OVERDUE",IF($K30&lt;1,"URGENT - FILE NOW",IF($K30&lt;3,"DUE SOON","PENDING")))))</f>
        <v>DUE SOON</v>
      </c>
      <c r="AE30" t="str">
        <f>IF($A30="","",IF($A30&lt;=COUNTIF(permit_calc!$L$3:$L$144,1),"OVF","LDG"))</f>
        <v>OVF</v>
      </c>
      <c r="AF30" t="str">
        <f>IF($AE30="","",IF($AE30="OVF","",$A30-COUNTIF(permit_calc!$L$3:$L$144,1)))</f>
        <v/>
      </c>
      <c r="AH30" t="str">
        <f>IFERROR(INDEX('PAX &amp; CREW'!$L$3:$L$62,MATCH(ROW()-17,'PAX &amp; CREW'!$AJ$3:$AJ$62,0)),"")</f>
        <v/>
      </c>
      <c r="AI30" t="str">
        <f>IF($AH30="","",IF(COUNTIF($AH$18:$AH30,$AH30)=1,1,0))</f>
        <v/>
      </c>
      <c r="AJ30" t="str">
        <f>IF($AI30=1,SUM($AI$18:$AI30),"")</f>
        <v/>
      </c>
    </row>
    <row r="31" spans="1:42" x14ac:dyDescent="0.3">
      <c r="A31">
        <f>IF(ROW()-29&gt;COUNTIF(permit_calc!$L$3:$L$144,1)+COUNTA($G$18:$G$25),"",ROW()-29)</f>
        <v>2</v>
      </c>
      <c r="B31" t="str">
        <f>IF($A31="","",IF($AE31="OVF",INDEX(permit_calc!$B$3:$B$144,MATCH($A31,permit_calc!$N$3:$N$144,0)),IFERROR(INDEX(countries!$B:$B,MATCH($C31,countries!$D:$D,0)),$C31)))</f>
        <v>Namibia</v>
      </c>
      <c r="C31" t="str" cm="1">
        <f t="array" ref="C31">IF($A31="","",IF($AE31="OVF",INDEX(permit_calc!$A$3:$A$144,MATCH($A31,permit_calc!$N$3:$N$144,0)),INDEX($U$18:$U$25,$AF31)))</f>
        <v>NAM</v>
      </c>
      <c r="D31" t="str">
        <f t="shared" ref="D31:D69" si="11">IF($A31="","",$AE31)</f>
        <v>OVF</v>
      </c>
      <c r="E31" t="str" cm="1">
        <f t="array" ref="E31">IF($A31="","",IF($AE31="OVF","",INDEX($G$18:$G$25,$AF31)))</f>
        <v/>
      </c>
      <c r="F31" t="str" cm="1">
        <f t="array" ref="F31">IF($A31="","",IF($AE31="OVF",INDEX(permit_calc!$M$3:$M$144,MATCH($A31,permit_calc!$N$3:$N$144,0)),INDEX($A$18:$A$25,$AF31)))</f>
        <v>L1, L4</v>
      </c>
      <c r="G31" s="50" t="s">
        <v>17</v>
      </c>
      <c r="H31" s="41" cm="1">
        <f t="array" ref="H31">IF($A31="","",IF($AE31="OVF",INDEX($E$18:$E$25,INDEX(permit_calc!$O$3:$O$144,MATCH($A31,permit_calc!$N$3:$N$144,0)))+INDEX($F$18:$F$25,INDEX(permit_calc!$O$3:$O$144,MATCH($A31,permit_calc!$N$3:$N$144,0))),INDEX($L$18:$L$25,$AF31)+INDEX($M$18:$M$25,$AF31)))</f>
        <v>46248.375</v>
      </c>
      <c r="I31" s="43">
        <f>IF($A31="","",IFERROR(IF(INDEX(countries!$I:$I,MATCH($C31,countries!$D:$D,0))=0,$B$12,INDEX(countries!$I:$I,MATCH($C31,countries!$D:$D,0))),$B$12))</f>
        <v>72</v>
      </c>
      <c r="J31" s="41">
        <f t="shared" ref="J31:J69" si="12">IF($A31="","",$H31-$I31/24)</f>
        <v>46245.375</v>
      </c>
      <c r="K31" s="42">
        <f t="shared" ref="K31:K69" ca="1" si="13">IF($A31="","",ROUND($J31-NOW(),1))</f>
        <v>1.8</v>
      </c>
      <c r="L31" t="str">
        <f>IF($A31="","",IF($AE31="OVF",IFERROR(INDEX(countries!$G:$G,MATCH($C31,countries!$D:$D,0)),"VERIFY"),IFERROR(INDEX(countries!$H:$H,MATCH($C31,countries!$D:$D,0)),"VERIFY")))</f>
        <v>REQUIRED</v>
      </c>
      <c r="M31" t="str">
        <f t="shared" ref="M31:M69" ca="1" si="14">IF($A31="","",IF(OR(UPPER($G31)="OWN",UPPER($G31)="EXCLUDED"),"CLIENT ARRANGING",IF($K31&lt;0,"OVERDUE",IF($K31&lt;1,"URGENT - FILE NOW",IF($K31&lt;3,"DUE SOON","PENDING")))))</f>
        <v>DUE SOON</v>
      </c>
      <c r="AE31" t="str">
        <f>IF($A31="","",IF($A31&lt;=COUNTIF(permit_calc!$L$3:$L$144,1),"OVF","LDG"))</f>
        <v>OVF</v>
      </c>
      <c r="AF31" t="str">
        <f>IF($AE31="","",IF($AE31="OVF","",$A31-COUNTIF(permit_calc!$L$3:$L$144,1)))</f>
        <v/>
      </c>
      <c r="AH31" t="str">
        <f>IFERROR(INDEX('PAX &amp; CREW'!$L$3:$L$62,MATCH(ROW()-17,'PAX &amp; CREW'!$AJ$3:$AJ$62,0)),"")</f>
        <v/>
      </c>
      <c r="AI31" t="str">
        <f>IF($AH31="","",IF(COUNTIF($AH$18:$AH31,$AH31)=1,1,0))</f>
        <v/>
      </c>
      <c r="AJ31" t="str">
        <f>IF($AI31=1,SUM($AI$18:$AI31),"")</f>
        <v/>
      </c>
    </row>
    <row r="32" spans="1:42" x14ac:dyDescent="0.3">
      <c r="A32">
        <f>IF(ROW()-29&gt;COUNTIF(permit_calc!$L$3:$L$144,1)+COUNTA($G$18:$G$25),"",ROW()-29)</f>
        <v>3</v>
      </c>
      <c r="B32" t="str">
        <f>IF($A32="","",IF($AE32="OVF",INDEX(permit_calc!$B$3:$B$144,MATCH($A32,permit_calc!$N$3:$N$144,0)),IFERROR(INDEX(countries!$B:$B,MATCH($C32,countries!$D:$D,0)),$C32)))</f>
        <v>Zambia</v>
      </c>
      <c r="C32" t="str" cm="1">
        <f t="array" ref="C32">IF($A32="","",IF($AE32="OVF",INDEX(permit_calc!$A$3:$A$144,MATCH($A32,permit_calc!$N$3:$N$144,0)),INDEX($U$18:$U$25,$AF32)))</f>
        <v>ZMB</v>
      </c>
      <c r="D32" t="str">
        <f t="shared" si="11"/>
        <v>OVF</v>
      </c>
      <c r="E32" t="str" cm="1">
        <f t="array" ref="E32">IF($A32="","",IF($AE32="OVF","",INDEX($G$18:$G$25,$AF32)))</f>
        <v/>
      </c>
      <c r="F32" t="str" cm="1">
        <f t="array" ref="F32">IF($A32="","",IF($AE32="OVF",INDEX(permit_calc!$M$3:$M$144,MATCH($A32,permit_calc!$N$3:$N$144,0)),INDEX($A$18:$A$25,$AF32)))</f>
        <v>L1</v>
      </c>
      <c r="G32" s="50" t="s">
        <v>17</v>
      </c>
      <c r="H32" s="41" cm="1">
        <f t="array" ref="H32">IF($A32="","",IF($AE32="OVF",INDEX($E$18:$E$25,INDEX(permit_calc!$O$3:$O$144,MATCH($A32,permit_calc!$N$3:$N$144,0)))+INDEX($F$18:$F$25,INDEX(permit_calc!$O$3:$O$144,MATCH($A32,permit_calc!$N$3:$N$144,0))),INDEX($L$18:$L$25,$AF32)+INDEX($M$18:$M$25,$AF32)))</f>
        <v>46248.375</v>
      </c>
      <c r="I32" s="43">
        <f>IF($A32="","",IFERROR(IF(INDEX(countries!$I:$I,MATCH($C32,countries!$D:$D,0))=0,$B$12,INDEX(countries!$I:$I,MATCH($C32,countries!$D:$D,0))),$B$12))</f>
        <v>72</v>
      </c>
      <c r="J32" s="41">
        <f t="shared" si="12"/>
        <v>46245.375</v>
      </c>
      <c r="K32" s="42">
        <f t="shared" ca="1" si="13"/>
        <v>1.8</v>
      </c>
      <c r="L32" t="str">
        <f>IF($A32="","",IF($AE32="OVF",IFERROR(INDEX(countries!$G:$G,MATCH($C32,countries!$D:$D,0)),"VERIFY"),IFERROR(INDEX(countries!$H:$H,MATCH($C32,countries!$D:$D,0)),"VERIFY")))</f>
        <v>REQUIRED</v>
      </c>
      <c r="M32" t="str">
        <f t="shared" ca="1" si="14"/>
        <v>DUE SOON</v>
      </c>
      <c r="AE32" t="str">
        <f>IF($A32="","",IF($A32&lt;=COUNTIF(permit_calc!$L$3:$L$144,1),"OVF","LDG"))</f>
        <v>OVF</v>
      </c>
      <c r="AF32" t="str">
        <f>IF($AE32="","",IF($AE32="OVF","",$A32-COUNTIF(permit_calc!$L$3:$L$144,1)))</f>
        <v/>
      </c>
      <c r="AH32" t="str">
        <f>IFERROR(INDEX('PAX &amp; CREW'!$L$3:$L$62,MATCH(ROW()-17,'PAX &amp; CREW'!$AJ$3:$AJ$62,0)),"")</f>
        <v/>
      </c>
      <c r="AI32" t="str">
        <f>IF($AH32="","",IF(COUNTIF($AH$18:$AH32,$AH32)=1,1,0))</f>
        <v/>
      </c>
      <c r="AJ32" t="str">
        <f>IF($AI32=1,SUM($AI$18:$AI32),"")</f>
        <v/>
      </c>
    </row>
    <row r="33" spans="1:36" x14ac:dyDescent="0.3">
      <c r="A33">
        <f>IF(ROW()-29&gt;COUNTIF(permit_calc!$L$3:$L$144,1)+COUNTA($G$18:$G$25),"",ROW()-29)</f>
        <v>4</v>
      </c>
      <c r="B33" t="str">
        <f>IF($A33="","",IF($AE33="OVF",INDEX(permit_calc!$B$3:$B$144,MATCH($A33,permit_calc!$N$3:$N$144,0)),IFERROR(INDEX(countries!$B:$B,MATCH($C33,countries!$D:$D,0)),$C33)))</f>
        <v>Angola</v>
      </c>
      <c r="C33" t="str" cm="1">
        <f t="array" ref="C33">IF($A33="","",IF($AE33="OVF",INDEX(permit_calc!$A$3:$A$144,MATCH($A33,permit_calc!$N$3:$N$144,0)),INDEX($U$18:$U$25,$AF33)))</f>
        <v>AGO</v>
      </c>
      <c r="D33" t="str">
        <f t="shared" si="11"/>
        <v>OVF</v>
      </c>
      <c r="E33" t="str" cm="1">
        <f t="array" ref="E33">IF($A33="","",IF($AE33="OVF","",INDEX($G$18:$G$25,$AF33)))</f>
        <v/>
      </c>
      <c r="F33" t="str" cm="1">
        <f t="array" ref="F33">IF($A33="","",IF($AE33="OVF",INDEX(permit_calc!$M$3:$M$144,MATCH($A33,permit_calc!$N$3:$N$144,0)),INDEX($A$18:$A$25,$AF33)))</f>
        <v>L1, L4</v>
      </c>
      <c r="G33" s="50" t="s">
        <v>17</v>
      </c>
      <c r="H33" s="41" cm="1">
        <f t="array" ref="H33">IF($A33="","",IF($AE33="OVF",INDEX($E$18:$E$25,INDEX(permit_calc!$O$3:$O$144,MATCH($A33,permit_calc!$N$3:$N$144,0)))+INDEX($F$18:$F$25,INDEX(permit_calc!$O$3:$O$144,MATCH($A33,permit_calc!$N$3:$N$144,0))),INDEX($L$18:$L$25,$AF33)+INDEX($M$18:$M$25,$AF33)))</f>
        <v>46248.375</v>
      </c>
      <c r="I33" s="43">
        <f>IF($A33="","",IFERROR(IF(INDEX(countries!$I:$I,MATCH($C33,countries!$D:$D,0))=0,$B$12,INDEX(countries!$I:$I,MATCH($C33,countries!$D:$D,0))),$B$12))</f>
        <v>72</v>
      </c>
      <c r="J33" s="41">
        <f t="shared" si="12"/>
        <v>46245.375</v>
      </c>
      <c r="K33" s="42">
        <f t="shared" ca="1" si="13"/>
        <v>1.8</v>
      </c>
      <c r="L33" t="str">
        <f>IF($A33="","",IF($AE33="OVF",IFERROR(INDEX(countries!$G:$G,MATCH($C33,countries!$D:$D,0)),"VERIFY"),IFERROR(INDEX(countries!$H:$H,MATCH($C33,countries!$D:$D,0)),"VERIFY")))</f>
        <v>REQUIRED</v>
      </c>
      <c r="M33" t="str">
        <f t="shared" ca="1" si="14"/>
        <v>DUE SOON</v>
      </c>
      <c r="AE33" t="str">
        <f>IF($A33="","",IF($A33&lt;=COUNTIF(permit_calc!$L$3:$L$144,1),"OVF","LDG"))</f>
        <v>OVF</v>
      </c>
      <c r="AF33" t="str">
        <f>IF($AE33="","",IF($AE33="OVF","",$A33-COUNTIF(permit_calc!$L$3:$L$144,1)))</f>
        <v/>
      </c>
      <c r="AH33" t="str">
        <f>IFERROR(INDEX('PAX &amp; CREW'!$L$3:$L$62,MATCH(ROW()-17,'PAX &amp; CREW'!$AJ$3:$AJ$62,0)),"")</f>
        <v/>
      </c>
      <c r="AI33" t="str">
        <f>IF($AH33="","",IF(COUNTIF($AH$18:$AH33,$AH33)=1,1,0))</f>
        <v/>
      </c>
      <c r="AJ33" t="str">
        <f>IF($AI33=1,SUM($AI$18:$AI33),"")</f>
        <v/>
      </c>
    </row>
    <row r="34" spans="1:36" x14ac:dyDescent="0.3">
      <c r="A34">
        <f>IF(ROW()-29&gt;COUNTIF(permit_calc!$L$3:$L$144,1)+COUNTA($G$18:$G$25),"",ROW()-29)</f>
        <v>5</v>
      </c>
      <c r="B34" t="str">
        <f>IF($A34="","",IF($AE34="OVF",INDEX(permit_calc!$B$3:$B$144,MATCH($A34,permit_calc!$N$3:$N$144,0)),IFERROR(INDEX(countries!$B:$B,MATCH($C34,countries!$D:$D,0)),$C34)))</f>
        <v>Democratic Republic of the Congo</v>
      </c>
      <c r="C34" t="str" cm="1">
        <f t="array" ref="C34">IF($A34="","",IF($AE34="OVF",INDEX(permit_calc!$A$3:$A$144,MATCH($A34,permit_calc!$N$3:$N$144,0)),INDEX($U$18:$U$25,$AF34)))</f>
        <v>COD</v>
      </c>
      <c r="D34" t="str">
        <f t="shared" si="11"/>
        <v>OVF</v>
      </c>
      <c r="E34" t="str" cm="1">
        <f t="array" ref="E34">IF($A34="","",IF($AE34="OVF","",INDEX($G$18:$G$25,$AF34)))</f>
        <v/>
      </c>
      <c r="F34" t="str" cm="1">
        <f t="array" ref="F34">IF($A34="","",IF($AE34="OVF",INDEX(permit_calc!$M$3:$M$144,MATCH($A34,permit_calc!$N$3:$N$144,0)),INDEX($A$18:$A$25,$AF34)))</f>
        <v>L1, L4</v>
      </c>
      <c r="G34" s="50" t="s">
        <v>17</v>
      </c>
      <c r="H34" s="41" cm="1">
        <f t="array" ref="H34">IF($A34="","",IF($AE34="OVF",INDEX($E$18:$E$25,INDEX(permit_calc!$O$3:$O$144,MATCH($A34,permit_calc!$N$3:$N$144,0)))+INDEX($F$18:$F$25,INDEX(permit_calc!$O$3:$O$144,MATCH($A34,permit_calc!$N$3:$N$144,0))),INDEX($L$18:$L$25,$AF34)+INDEX($M$18:$M$25,$AF34)))</f>
        <v>46248.375</v>
      </c>
      <c r="I34" s="43">
        <f>IF($A34="","",IFERROR(IF(INDEX(countries!$I:$I,MATCH($C34,countries!$D:$D,0))=0,$B$12,INDEX(countries!$I:$I,MATCH($C34,countries!$D:$D,0))),$B$12))</f>
        <v>72</v>
      </c>
      <c r="J34" s="41">
        <f t="shared" si="12"/>
        <v>46245.375</v>
      </c>
      <c r="K34" s="42">
        <f t="shared" ca="1" si="13"/>
        <v>1.8</v>
      </c>
      <c r="L34" t="str">
        <f>IF($A34="","",IF($AE34="OVF",IFERROR(INDEX(countries!$G:$G,MATCH($C34,countries!$D:$D,0)),"VERIFY"),IFERROR(INDEX(countries!$H:$H,MATCH($C34,countries!$D:$D,0)),"VERIFY")))</f>
        <v>REQUIRED</v>
      </c>
      <c r="M34" t="str">
        <f t="shared" ca="1" si="14"/>
        <v>DUE SOON</v>
      </c>
      <c r="AE34" t="str">
        <f>IF($A34="","",IF($A34&lt;=COUNTIF(permit_calc!$L$3:$L$144,1),"OVF","LDG"))</f>
        <v>OVF</v>
      </c>
      <c r="AF34" t="str">
        <f>IF($AE34="","",IF($AE34="OVF","",$A34-COUNTIF(permit_calc!$L$3:$L$144,1)))</f>
        <v/>
      </c>
      <c r="AH34" t="str">
        <f>IFERROR(INDEX('PAX &amp; CREW'!$L$3:$L$62,MATCH(ROW()-17,'PAX &amp; CREW'!$AJ$3:$AJ$62,0)),"")</f>
        <v/>
      </c>
      <c r="AI34" t="str">
        <f>IF($AH34="","",IF(COUNTIF($AH$18:$AH34,$AH34)=1,1,0))</f>
        <v/>
      </c>
      <c r="AJ34" t="str">
        <f>IF($AI34=1,SUM($AI$18:$AI34),"")</f>
        <v/>
      </c>
    </row>
    <row r="35" spans="1:36" x14ac:dyDescent="0.3">
      <c r="A35">
        <f>IF(ROW()-29&gt;COUNTIF(permit_calc!$L$3:$L$144,1)+COUNTA($G$18:$G$25),"",ROW()-29)</f>
        <v>6</v>
      </c>
      <c r="B35" t="str">
        <f>IF($A35="","",IF($AE35="OVF",INDEX(permit_calc!$B$3:$B$144,MATCH($A35,permit_calc!$N$3:$N$144,0)),IFERROR(INDEX(countries!$B:$B,MATCH($C35,countries!$D:$D,0)),$C35)))</f>
        <v>Republic of the Congo</v>
      </c>
      <c r="C35" t="str" cm="1">
        <f t="array" ref="C35">IF($A35="","",IF($AE35="OVF",INDEX(permit_calc!$A$3:$A$144,MATCH($A35,permit_calc!$N$3:$N$144,0)),INDEX($U$18:$U$25,$AF35)))</f>
        <v>COG</v>
      </c>
      <c r="D35" t="str">
        <f t="shared" si="11"/>
        <v>OVF</v>
      </c>
      <c r="E35" t="str" cm="1">
        <f t="array" ref="E35">IF($A35="","",IF($AE35="OVF","",INDEX($G$18:$G$25,$AF35)))</f>
        <v/>
      </c>
      <c r="F35" t="str" cm="1">
        <f t="array" ref="F35">IF($A35="","",IF($AE35="OVF",INDEX(permit_calc!$M$3:$M$144,MATCH($A35,permit_calc!$N$3:$N$144,0)),INDEX($A$18:$A$25,$AF35)))</f>
        <v>L1, L4</v>
      </c>
      <c r="G35" s="50" t="s">
        <v>17</v>
      </c>
      <c r="H35" s="41" cm="1">
        <f t="array" ref="H35">IF($A35="","",IF($AE35="OVF",INDEX($E$18:$E$25,INDEX(permit_calc!$O$3:$O$144,MATCH($A35,permit_calc!$N$3:$N$144,0)))+INDEX($F$18:$F$25,INDEX(permit_calc!$O$3:$O$144,MATCH($A35,permit_calc!$N$3:$N$144,0))),INDEX($L$18:$L$25,$AF35)+INDEX($M$18:$M$25,$AF35)))</f>
        <v>46248.375</v>
      </c>
      <c r="I35" s="43">
        <f>IF($A35="","",IFERROR(IF(INDEX(countries!$I:$I,MATCH($C35,countries!$D:$D,0))=0,$B$12,INDEX(countries!$I:$I,MATCH($C35,countries!$D:$D,0))),$B$12))</f>
        <v>72</v>
      </c>
      <c r="J35" s="41">
        <f t="shared" si="12"/>
        <v>46245.375</v>
      </c>
      <c r="K35" s="42">
        <f t="shared" ca="1" si="13"/>
        <v>1.8</v>
      </c>
      <c r="L35" t="str">
        <f>IF($A35="","",IF($AE35="OVF",IFERROR(INDEX(countries!$G:$G,MATCH($C35,countries!$D:$D,0)),"VERIFY"),IFERROR(INDEX(countries!$H:$H,MATCH($C35,countries!$D:$D,0)),"VERIFY")))</f>
        <v>REQUIRED</v>
      </c>
      <c r="M35" t="str">
        <f t="shared" ca="1" si="14"/>
        <v>DUE SOON</v>
      </c>
      <c r="AE35" t="str">
        <f>IF($A35="","",IF($A35&lt;=COUNTIF(permit_calc!$L$3:$L$144,1),"OVF","LDG"))</f>
        <v>OVF</v>
      </c>
      <c r="AF35" t="str">
        <f>IF($AE35="","",IF($AE35="OVF","",$A35-COUNTIF(permit_calc!$L$3:$L$144,1)))</f>
        <v/>
      </c>
      <c r="AH35" t="str">
        <f>IFERROR(INDEX('PAX &amp; CREW'!$L$3:$L$62,MATCH(ROW()-17,'PAX &amp; CREW'!$AJ$3:$AJ$62,0)),"")</f>
        <v/>
      </c>
      <c r="AI35" t="str">
        <f>IF($AH35="","",IF(COUNTIF($AH$18:$AH35,$AH35)=1,1,0))</f>
        <v/>
      </c>
      <c r="AJ35" t="str">
        <f>IF($AI35=1,SUM($AI$18:$AI35),"")</f>
        <v/>
      </c>
    </row>
    <row r="36" spans="1:36" x14ac:dyDescent="0.3">
      <c r="A36">
        <f>IF(ROW()-29&gt;COUNTIF(permit_calc!$L$3:$L$144,1)+COUNTA($G$18:$G$25),"",ROW()-29)</f>
        <v>7</v>
      </c>
      <c r="B36" t="str">
        <f>IF($A36="","",IF($AE36="OVF",INDEX(permit_calc!$B$3:$B$144,MATCH($A36,permit_calc!$N$3:$N$144,0)),IFERROR(INDEX(countries!$B:$B,MATCH($C36,countries!$D:$D,0)),$C36)))</f>
        <v>Central African Republic</v>
      </c>
      <c r="C36" t="str" cm="1">
        <f t="array" ref="C36">IF($A36="","",IF($AE36="OVF",INDEX(permit_calc!$A$3:$A$144,MATCH($A36,permit_calc!$N$3:$N$144,0)),INDEX($U$18:$U$25,$AF36)))</f>
        <v>CAF</v>
      </c>
      <c r="D36" t="str">
        <f t="shared" si="11"/>
        <v>OVF</v>
      </c>
      <c r="E36" t="str" cm="1">
        <f t="array" ref="E36">IF($A36="","",IF($AE36="OVF","",INDEX($G$18:$G$25,$AF36)))</f>
        <v/>
      </c>
      <c r="F36" t="str" cm="1">
        <f t="array" ref="F36">IF($A36="","",IF($AE36="OVF",INDEX(permit_calc!$M$3:$M$144,MATCH($A36,permit_calc!$N$3:$N$144,0)),INDEX($A$18:$A$25,$AF36)))</f>
        <v>L1</v>
      </c>
      <c r="G36" s="50" t="s">
        <v>17</v>
      </c>
      <c r="H36" s="41" cm="1">
        <f t="array" ref="H36">IF($A36="","",IF($AE36="OVF",INDEX($E$18:$E$25,INDEX(permit_calc!$O$3:$O$144,MATCH($A36,permit_calc!$N$3:$N$144,0)))+INDEX($F$18:$F$25,INDEX(permit_calc!$O$3:$O$144,MATCH($A36,permit_calc!$N$3:$N$144,0))),INDEX($L$18:$L$25,$AF36)+INDEX($M$18:$M$25,$AF36)))</f>
        <v>46248.375</v>
      </c>
      <c r="I36" s="43">
        <f>IF($A36="","",IFERROR(IF(INDEX(countries!$I:$I,MATCH($C36,countries!$D:$D,0))=0,$B$12,INDEX(countries!$I:$I,MATCH($C36,countries!$D:$D,0))),$B$12))</f>
        <v>72</v>
      </c>
      <c r="J36" s="41">
        <f t="shared" si="12"/>
        <v>46245.375</v>
      </c>
      <c r="K36" s="42">
        <f t="shared" ca="1" si="13"/>
        <v>1.8</v>
      </c>
      <c r="L36" t="str">
        <f>IF($A36="","",IF($AE36="OVF",IFERROR(INDEX(countries!$G:$G,MATCH($C36,countries!$D:$D,0)),"VERIFY"),IFERROR(INDEX(countries!$H:$H,MATCH($C36,countries!$D:$D,0)),"VERIFY")))</f>
        <v>REQUIRED</v>
      </c>
      <c r="M36" t="str">
        <f t="shared" ca="1" si="14"/>
        <v>DUE SOON</v>
      </c>
      <c r="AE36" t="str">
        <f>IF($A36="","",IF($A36&lt;=COUNTIF(permit_calc!$L$3:$L$144,1),"OVF","LDG"))</f>
        <v>OVF</v>
      </c>
      <c r="AF36" t="str">
        <f>IF($AE36="","",IF($AE36="OVF","",$A36-COUNTIF(permit_calc!$L$3:$L$144,1)))</f>
        <v/>
      </c>
      <c r="AH36" t="str">
        <f>IFERROR(INDEX('PAX &amp; CREW'!$L$3:$L$62,MATCH(ROW()-17,'PAX &amp; CREW'!$AJ$3:$AJ$62,0)),"")</f>
        <v/>
      </c>
      <c r="AI36" t="str">
        <f>IF($AH36="","",IF(COUNTIF($AH$18:$AH36,$AH36)=1,1,0))</f>
        <v/>
      </c>
      <c r="AJ36" t="str">
        <f>IF($AI36=1,SUM($AI$18:$AI36),"")</f>
        <v/>
      </c>
    </row>
    <row r="37" spans="1:36" x14ac:dyDescent="0.3">
      <c r="A37">
        <f>IF(ROW()-29&gt;COUNTIF(permit_calc!$L$3:$L$144,1)+COUNTA($G$18:$G$25),"",ROW()-29)</f>
        <v>8</v>
      </c>
      <c r="B37" t="str">
        <f>IF($A37="","",IF($AE37="OVF",INDEX(permit_calc!$B$3:$B$144,MATCH($A37,permit_calc!$N$3:$N$144,0)),IFERROR(INDEX(countries!$B:$B,MATCH($C37,countries!$D:$D,0)),$C37)))</f>
        <v>Libya</v>
      </c>
      <c r="C37" t="str" cm="1">
        <f t="array" ref="C37">IF($A37="","",IF($AE37="OVF",INDEX(permit_calc!$A$3:$A$144,MATCH($A37,permit_calc!$N$3:$N$144,0)),INDEX($U$18:$U$25,$AF37)))</f>
        <v>LBY</v>
      </c>
      <c r="D37" t="str">
        <f t="shared" si="11"/>
        <v>OVF</v>
      </c>
      <c r="E37" t="str" cm="1">
        <f t="array" ref="E37">IF($A37="","",IF($AE37="OVF","",INDEX($G$18:$G$25,$AF37)))</f>
        <v/>
      </c>
      <c r="F37" t="str" cm="1">
        <f t="array" ref="F37">IF($A37="","",IF($AE37="OVF",INDEX(permit_calc!$M$3:$M$144,MATCH($A37,permit_calc!$N$3:$N$144,0)),INDEX($A$18:$A$25,$AF37)))</f>
        <v>L2, L3</v>
      </c>
      <c r="G37" s="50" t="s">
        <v>17</v>
      </c>
      <c r="H37" s="41" cm="1">
        <f t="array" ref="H37">IF($A37="","",IF($AE37="OVF",INDEX($E$18:$E$25,INDEX(permit_calc!$O$3:$O$144,MATCH($A37,permit_calc!$N$3:$N$144,0)))+INDEX($F$18:$F$25,INDEX(permit_calc!$O$3:$O$144,MATCH($A37,permit_calc!$N$3:$N$144,0))),INDEX($L$18:$L$25,$AF37)+INDEX($M$18:$M$25,$AF37)))</f>
        <v>46250.25</v>
      </c>
      <c r="I37" s="43">
        <f>IF($A37="","",IFERROR(IF(INDEX(countries!$I:$I,MATCH($C37,countries!$D:$D,0))=0,$B$12,INDEX(countries!$I:$I,MATCH($C37,countries!$D:$D,0))),$B$12))</f>
        <v>72</v>
      </c>
      <c r="J37" s="41">
        <f t="shared" si="12"/>
        <v>46247.25</v>
      </c>
      <c r="K37" s="42">
        <f t="shared" ca="1" si="13"/>
        <v>3.6</v>
      </c>
      <c r="L37" t="str">
        <f>IF($A37="","",IF($AE37="OVF",IFERROR(INDEX(countries!$G:$G,MATCH($C37,countries!$D:$D,0)),"VERIFY"),IFERROR(INDEX(countries!$H:$H,MATCH($C37,countries!$D:$D,0)),"VERIFY")))</f>
        <v>REQUIRED</v>
      </c>
      <c r="M37" t="str">
        <f t="shared" ca="1" si="14"/>
        <v>PENDING</v>
      </c>
      <c r="AE37" t="str">
        <f>IF($A37="","",IF($A37&lt;=COUNTIF(permit_calc!$L$3:$L$144,1),"OVF","LDG"))</f>
        <v>OVF</v>
      </c>
      <c r="AF37" t="str">
        <f>IF($AE37="","",IF($AE37="OVF","",$A37-COUNTIF(permit_calc!$L$3:$L$144,1)))</f>
        <v/>
      </c>
      <c r="AH37" t="str">
        <f>IFERROR(INDEX('PAX &amp; CREW'!$L$3:$L$62,MATCH(ROW()-17,'PAX &amp; CREW'!$AJ$3:$AJ$62,0)),"")</f>
        <v/>
      </c>
      <c r="AI37" t="str">
        <f>IF($AH37="","",IF(COUNTIF($AH$18:$AH37,$AH37)=1,1,0))</f>
        <v/>
      </c>
      <c r="AJ37" t="str">
        <f>IF($AI37=1,SUM($AI$18:$AI37),"")</f>
        <v/>
      </c>
    </row>
    <row r="38" spans="1:36" x14ac:dyDescent="0.3">
      <c r="A38">
        <f>IF(ROW()-29&gt;COUNTIF(permit_calc!$L$3:$L$144,1)+COUNTA($G$18:$G$25),"",ROW()-29)</f>
        <v>9</v>
      </c>
      <c r="B38" t="str">
        <f>IF($A38="","",IF($AE38="OVF",INDEX(permit_calc!$B$3:$B$144,MATCH($A38,permit_calc!$N$3:$N$144,0)),IFERROR(INDEX(countries!$B:$B,MATCH($C38,countries!$D:$D,0)),$C38)))</f>
        <v>Tunisia</v>
      </c>
      <c r="C38" t="str" cm="1">
        <f t="array" ref="C38">IF($A38="","",IF($AE38="OVF",INDEX(permit_calc!$A$3:$A$144,MATCH($A38,permit_calc!$N$3:$N$144,0)),INDEX($U$18:$U$25,$AF38)))</f>
        <v>TUN</v>
      </c>
      <c r="D38" t="str">
        <f t="shared" si="11"/>
        <v>OVF</v>
      </c>
      <c r="E38" t="str" cm="1">
        <f t="array" ref="E38">IF($A38="","",IF($AE38="OVF","",INDEX($G$18:$G$25,$AF38)))</f>
        <v/>
      </c>
      <c r="F38" t="str" cm="1">
        <f t="array" ref="F38">IF($A38="","",IF($AE38="OVF",INDEX(permit_calc!$M$3:$M$144,MATCH($A38,permit_calc!$N$3:$N$144,0)),INDEX($A$18:$A$25,$AF38)))</f>
        <v>L3</v>
      </c>
      <c r="G38" s="50" t="s">
        <v>17</v>
      </c>
      <c r="H38" s="41" cm="1">
        <f t="array" ref="H38">IF($A38="","",IF($AE38="OVF",INDEX($E$18:$E$25,INDEX(permit_calc!$O$3:$O$144,MATCH($A38,permit_calc!$N$3:$N$144,0)))+INDEX($F$18:$F$25,INDEX(permit_calc!$O$3:$O$144,MATCH($A38,permit_calc!$N$3:$N$144,0))),INDEX($L$18:$L$25,$AF38)+INDEX($M$18:$M$25,$AF38)))</f>
        <v>46251.166666666664</v>
      </c>
      <c r="I38" s="43">
        <f>IF($A38="","",IFERROR(IF(INDEX(countries!$I:$I,MATCH($C38,countries!$D:$D,0))=0,$B$12,INDEX(countries!$I:$I,MATCH($C38,countries!$D:$D,0))),$B$12))</f>
        <v>72</v>
      </c>
      <c r="J38" s="41">
        <f t="shared" si="12"/>
        <v>46248.166666666664</v>
      </c>
      <c r="K38" s="42">
        <f t="shared" ca="1" si="13"/>
        <v>4.5999999999999996</v>
      </c>
      <c r="L38" t="str">
        <f>IF($A38="","",IF($AE38="OVF",IFERROR(INDEX(countries!$G:$G,MATCH($C38,countries!$D:$D,0)),"VERIFY"),IFERROR(INDEX(countries!$H:$H,MATCH($C38,countries!$D:$D,0)),"VERIFY")))</f>
        <v>REQUIRED</v>
      </c>
      <c r="M38" t="str">
        <f t="shared" ca="1" si="14"/>
        <v>PENDING</v>
      </c>
      <c r="AE38" t="str">
        <f>IF($A38="","",IF($A38&lt;=COUNTIF(permit_calc!$L$3:$L$144,1),"OVF","LDG"))</f>
        <v>OVF</v>
      </c>
      <c r="AF38" t="str">
        <f>IF($AE38="","",IF($AE38="OVF","",$A38-COUNTIF(permit_calc!$L$3:$L$144,1)))</f>
        <v/>
      </c>
    </row>
    <row r="39" spans="1:36" x14ac:dyDescent="0.3">
      <c r="A39">
        <f>IF(ROW()-29&gt;COUNTIF(permit_calc!$L$3:$L$144,1)+COUNTA($G$18:$G$25),"",ROW()-29)</f>
        <v>10</v>
      </c>
      <c r="B39" t="str">
        <f>IF($A39="","",IF($AE39="OVF",INDEX(permit_calc!$B$3:$B$144,MATCH($A39,permit_calc!$N$3:$N$144,0)),IFERROR(INDEX(countries!$B:$B,MATCH($C39,countries!$D:$D,0)),$C39)))</f>
        <v>Algeria</v>
      </c>
      <c r="C39" t="str" cm="1">
        <f t="array" ref="C39">IF($A39="","",IF($AE39="OVF",INDEX(permit_calc!$A$3:$A$144,MATCH($A39,permit_calc!$N$3:$N$144,0)),INDEX($U$18:$U$25,$AF39)))</f>
        <v>DZA</v>
      </c>
      <c r="D39" t="str">
        <f t="shared" si="11"/>
        <v>OVF</v>
      </c>
      <c r="E39" t="str" cm="1">
        <f t="array" ref="E39">IF($A39="","",IF($AE39="OVF","",INDEX($G$18:$G$25,$AF39)))</f>
        <v/>
      </c>
      <c r="F39" t="str" cm="1">
        <f t="array" ref="F39">IF($A39="","",IF($AE39="OVF",INDEX(permit_calc!$M$3:$M$144,MATCH($A39,permit_calc!$N$3:$N$144,0)),INDEX($A$18:$A$25,$AF39)))</f>
        <v>L3, L4</v>
      </c>
      <c r="G39" s="50" t="s">
        <v>17</v>
      </c>
      <c r="H39" s="41" cm="1">
        <f t="array" ref="H39">IF($A39="","",IF($AE39="OVF",INDEX($E$18:$E$25,INDEX(permit_calc!$O$3:$O$144,MATCH($A39,permit_calc!$N$3:$N$144,0)))+INDEX($F$18:$F$25,INDEX(permit_calc!$O$3:$O$144,MATCH($A39,permit_calc!$N$3:$N$144,0))),INDEX($L$18:$L$25,$AF39)+INDEX($M$18:$M$25,$AF39)))</f>
        <v>46251.166666666664</v>
      </c>
      <c r="I39" s="43">
        <f>IF($A39="","",IFERROR(IF(INDEX(countries!$I:$I,MATCH($C39,countries!$D:$D,0))=0,$B$12,INDEX(countries!$I:$I,MATCH($C39,countries!$D:$D,0))),$B$12))</f>
        <v>72</v>
      </c>
      <c r="J39" s="41">
        <f t="shared" si="12"/>
        <v>46248.166666666664</v>
      </c>
      <c r="K39" s="42">
        <f t="shared" ca="1" si="13"/>
        <v>4.5999999999999996</v>
      </c>
      <c r="L39" t="str">
        <f>IF($A39="","",IF($AE39="OVF",IFERROR(INDEX(countries!$G:$G,MATCH($C39,countries!$D:$D,0)),"VERIFY"),IFERROR(INDEX(countries!$H:$H,MATCH($C39,countries!$D:$D,0)),"VERIFY")))</f>
        <v>REQUIRED</v>
      </c>
      <c r="M39" t="str">
        <f t="shared" ca="1" si="14"/>
        <v>PENDING</v>
      </c>
      <c r="AE39" t="str">
        <f>IF($A39="","",IF($A39&lt;=COUNTIF(permit_calc!$L$3:$L$144,1),"OVF","LDG"))</f>
        <v>OVF</v>
      </c>
      <c r="AF39" t="str">
        <f>IF($AE39="","",IF($AE39="OVF","",$A39-COUNTIF(permit_calc!$L$3:$L$144,1)))</f>
        <v/>
      </c>
    </row>
    <row r="40" spans="1:36" x14ac:dyDescent="0.3">
      <c r="A40">
        <f>IF(ROW()-29&gt;COUNTIF(permit_calc!$L$3:$L$144,1)+COUNTA($G$18:$G$25),"",ROW()-29)</f>
        <v>11</v>
      </c>
      <c r="B40" t="str">
        <f>IF($A40="","",IF($AE40="OVF",INDEX(permit_calc!$B$3:$B$144,MATCH($A40,permit_calc!$N$3:$N$144,0)),IFERROR(INDEX(countries!$B:$B,MATCH($C40,countries!$D:$D,0)),$C40)))</f>
        <v>Mali</v>
      </c>
      <c r="C40" t="str" cm="1">
        <f t="array" ref="C40">IF($A40="","",IF($AE40="OVF",INDEX(permit_calc!$A$3:$A$144,MATCH($A40,permit_calc!$N$3:$N$144,0)),INDEX($U$18:$U$25,$AF40)))</f>
        <v>MLI</v>
      </c>
      <c r="D40" t="str">
        <f t="shared" si="11"/>
        <v>OVF</v>
      </c>
      <c r="E40" t="str" cm="1">
        <f t="array" ref="E40">IF($A40="","",IF($AE40="OVF","",INDEX($G$18:$G$25,$AF40)))</f>
        <v/>
      </c>
      <c r="F40" t="str" cm="1">
        <f t="array" ref="F40">IF($A40="","",IF($AE40="OVF",INDEX(permit_calc!$M$3:$M$144,MATCH($A40,permit_calc!$N$3:$N$144,0)),INDEX($A$18:$A$25,$AF40)))</f>
        <v>L4</v>
      </c>
      <c r="G40" s="50" t="s">
        <v>17</v>
      </c>
      <c r="H40" s="41" cm="1">
        <f t="array" ref="H40">IF($A40="","",IF($AE40="OVF",INDEX($E$18:$E$25,INDEX(permit_calc!$O$3:$O$144,MATCH($A40,permit_calc!$N$3:$N$144,0)))+INDEX($F$18:$F$25,INDEX(permit_calc!$O$3:$O$144,MATCH($A40,permit_calc!$N$3:$N$144,0))),INDEX($L$18:$L$25,$AF40)+INDEX($M$18:$M$25,$AF40)))</f>
        <v>46253.041666666664</v>
      </c>
      <c r="I40" s="43">
        <f>IF($A40="","",IFERROR(IF(INDEX(countries!$I:$I,MATCH($C40,countries!$D:$D,0))=0,$B$12,INDEX(countries!$I:$I,MATCH($C40,countries!$D:$D,0))),$B$12))</f>
        <v>72</v>
      </c>
      <c r="J40" s="41">
        <f t="shared" si="12"/>
        <v>46250.041666666664</v>
      </c>
      <c r="K40" s="42">
        <f t="shared" ca="1" si="13"/>
        <v>6.4</v>
      </c>
      <c r="L40" t="str">
        <f>IF($A40="","",IF($AE40="OVF",IFERROR(INDEX(countries!$G:$G,MATCH($C40,countries!$D:$D,0)),"VERIFY"),IFERROR(INDEX(countries!$H:$H,MATCH($C40,countries!$D:$D,0)),"VERIFY")))</f>
        <v>REQUIRED</v>
      </c>
      <c r="M40" t="str">
        <f t="shared" ca="1" si="14"/>
        <v>PENDING</v>
      </c>
      <c r="AE40" t="str">
        <f>IF($A40="","",IF($A40&lt;=COUNTIF(permit_calc!$L$3:$L$144,1),"OVF","LDG"))</f>
        <v>OVF</v>
      </c>
      <c r="AF40" t="str">
        <f>IF($AE40="","",IF($AE40="OVF","",$A40-COUNTIF(permit_calc!$L$3:$L$144,1)))</f>
        <v/>
      </c>
    </row>
    <row r="41" spans="1:36" x14ac:dyDescent="0.3">
      <c r="A41">
        <f>IF(ROW()-29&gt;COUNTIF(permit_calc!$L$3:$L$144,1)+COUNTA($G$18:$G$25),"",ROW()-29)</f>
        <v>12</v>
      </c>
      <c r="B41" t="str">
        <f>IF($A41="","",IF($AE41="OVF",INDEX(permit_calc!$B$3:$B$144,MATCH($A41,permit_calc!$N$3:$N$144,0)),IFERROR(INDEX(countries!$B:$B,MATCH($C41,countries!$D:$D,0)),$C41)))</f>
        <v>Niger</v>
      </c>
      <c r="C41" t="str" cm="1">
        <f t="array" ref="C41">IF($A41="","",IF($AE41="OVF",INDEX(permit_calc!$A$3:$A$144,MATCH($A41,permit_calc!$N$3:$N$144,0)),INDEX($U$18:$U$25,$AF41)))</f>
        <v>NER</v>
      </c>
      <c r="D41" t="str">
        <f t="shared" si="11"/>
        <v>OVF</v>
      </c>
      <c r="E41" t="str" cm="1">
        <f t="array" ref="E41">IF($A41="","",IF($AE41="OVF","",INDEX($G$18:$G$25,$AF41)))</f>
        <v/>
      </c>
      <c r="F41" t="str" cm="1">
        <f t="array" ref="F41">IF($A41="","",IF($AE41="OVF",INDEX(permit_calc!$M$3:$M$144,MATCH($A41,permit_calc!$N$3:$N$144,0)),INDEX($A$18:$A$25,$AF41)))</f>
        <v>L4</v>
      </c>
      <c r="G41" s="50" t="s">
        <v>17</v>
      </c>
      <c r="H41" s="41" cm="1">
        <f t="array" ref="H41">IF($A41="","",IF($AE41="OVF",INDEX($E$18:$E$25,INDEX(permit_calc!$O$3:$O$144,MATCH($A41,permit_calc!$N$3:$N$144,0)))+INDEX($F$18:$F$25,INDEX(permit_calc!$O$3:$O$144,MATCH($A41,permit_calc!$N$3:$N$144,0))),INDEX($L$18:$L$25,$AF41)+INDEX($M$18:$M$25,$AF41)))</f>
        <v>46253.041666666664</v>
      </c>
      <c r="I41" s="43">
        <f>IF($A41="","",IFERROR(IF(INDEX(countries!$I:$I,MATCH($C41,countries!$D:$D,0))=0,$B$12,INDEX(countries!$I:$I,MATCH($C41,countries!$D:$D,0))),$B$12))</f>
        <v>72</v>
      </c>
      <c r="J41" s="41">
        <f t="shared" si="12"/>
        <v>46250.041666666664</v>
      </c>
      <c r="K41" s="42">
        <f t="shared" ca="1" si="13"/>
        <v>6.4</v>
      </c>
      <c r="L41" t="str">
        <f>IF($A41="","",IF($AE41="OVF",IFERROR(INDEX(countries!$G:$G,MATCH($C41,countries!$D:$D,0)),"VERIFY"),IFERROR(INDEX(countries!$H:$H,MATCH($C41,countries!$D:$D,0)),"VERIFY")))</f>
        <v>REQUIRED</v>
      </c>
      <c r="M41" t="str">
        <f t="shared" ca="1" si="14"/>
        <v>PENDING</v>
      </c>
      <c r="AE41" t="str">
        <f>IF($A41="","",IF($A41&lt;=COUNTIF(permit_calc!$L$3:$L$144,1),"OVF","LDG"))</f>
        <v>OVF</v>
      </c>
      <c r="AF41" t="str">
        <f>IF($AE41="","",IF($AE41="OVF","",$A41-COUNTIF(permit_calc!$L$3:$L$144,1)))</f>
        <v/>
      </c>
    </row>
    <row r="42" spans="1:36" x14ac:dyDescent="0.3">
      <c r="A42">
        <f>IF(ROW()-29&gt;COUNTIF(permit_calc!$L$3:$L$144,1)+COUNTA($G$18:$G$25),"",ROW()-29)</f>
        <v>13</v>
      </c>
      <c r="B42" t="str">
        <f>IF($A42="","",IF($AE42="OVF",INDEX(permit_calc!$B$3:$B$144,MATCH($A42,permit_calc!$N$3:$N$144,0)),IFERROR(INDEX(countries!$B:$B,MATCH($C42,countries!$D:$D,0)),$C42)))</f>
        <v>Nigeria</v>
      </c>
      <c r="C42" t="str" cm="1">
        <f t="array" ref="C42">IF($A42="","",IF($AE42="OVF",INDEX(permit_calc!$A$3:$A$144,MATCH($A42,permit_calc!$N$3:$N$144,0)),INDEX($U$18:$U$25,$AF42)))</f>
        <v>NGA</v>
      </c>
      <c r="D42" t="str">
        <f t="shared" si="11"/>
        <v>OVF</v>
      </c>
      <c r="E42" t="str" cm="1">
        <f t="array" ref="E42">IF($A42="","",IF($AE42="OVF","",INDEX($G$18:$G$25,$AF42)))</f>
        <v/>
      </c>
      <c r="F42" t="str" cm="1">
        <f t="array" ref="F42">IF($A42="","",IF($AE42="OVF",INDEX(permit_calc!$M$3:$M$144,MATCH($A42,permit_calc!$N$3:$N$144,0)),INDEX($A$18:$A$25,$AF42)))</f>
        <v>L4</v>
      </c>
      <c r="G42" s="50" t="s">
        <v>17</v>
      </c>
      <c r="H42" s="41" cm="1">
        <f t="array" ref="H42">IF($A42="","",IF($AE42="OVF",INDEX($E$18:$E$25,INDEX(permit_calc!$O$3:$O$144,MATCH($A42,permit_calc!$N$3:$N$144,0)))+INDEX($F$18:$F$25,INDEX(permit_calc!$O$3:$O$144,MATCH($A42,permit_calc!$N$3:$N$144,0))),INDEX($L$18:$L$25,$AF42)+INDEX($M$18:$M$25,$AF42)))</f>
        <v>46253.041666666664</v>
      </c>
      <c r="I42" s="43">
        <f>IF($A42="","",IFERROR(IF(INDEX(countries!$I:$I,MATCH($C42,countries!$D:$D,0))=0,$B$12,INDEX(countries!$I:$I,MATCH($C42,countries!$D:$D,0))),$B$12))</f>
        <v>72</v>
      </c>
      <c r="J42" s="41">
        <f t="shared" si="12"/>
        <v>46250.041666666664</v>
      </c>
      <c r="K42" s="42">
        <f t="shared" ca="1" si="13"/>
        <v>6.4</v>
      </c>
      <c r="L42" t="str">
        <f>IF($A42="","",IF($AE42="OVF",IFERROR(INDEX(countries!$G:$G,MATCH($C42,countries!$D:$D,0)),"VERIFY"),IFERROR(INDEX(countries!$H:$H,MATCH($C42,countries!$D:$D,0)),"VERIFY")))</f>
        <v>REQUIRED</v>
      </c>
      <c r="M42" t="str">
        <f t="shared" ca="1" si="14"/>
        <v>PENDING</v>
      </c>
      <c r="AE42" t="str">
        <f>IF($A42="","",IF($A42&lt;=COUNTIF(permit_calc!$L$3:$L$144,1),"OVF","LDG"))</f>
        <v>OVF</v>
      </c>
      <c r="AF42" t="str">
        <f>IF($AE42="","",IF($AE42="OVF","",$A42-COUNTIF(permit_calc!$L$3:$L$144,1)))</f>
        <v/>
      </c>
    </row>
    <row r="43" spans="1:36" x14ac:dyDescent="0.3">
      <c r="A43">
        <f>IF(ROW()-29&gt;COUNTIF(permit_calc!$L$3:$L$144,1)+COUNTA($G$18:$G$25),"",ROW()-29)</f>
        <v>14</v>
      </c>
      <c r="B43" t="str">
        <f>IF($A43="","",IF($AE43="OVF",INDEX(permit_calc!$B$3:$B$144,MATCH($A43,permit_calc!$N$3:$N$144,0)),IFERROR(INDEX(countries!$B:$B,MATCH($C43,countries!$D:$D,0)),$C43)))</f>
        <v>Cameroon</v>
      </c>
      <c r="C43" t="str" cm="1">
        <f t="array" ref="C43">IF($A43="","",IF($AE43="OVF",INDEX(permit_calc!$A$3:$A$144,MATCH($A43,permit_calc!$N$3:$N$144,0)),INDEX($U$18:$U$25,$AF43)))</f>
        <v>CMR</v>
      </c>
      <c r="D43" t="str">
        <f t="shared" si="11"/>
        <v>OVF</v>
      </c>
      <c r="E43" t="str" cm="1">
        <f t="array" ref="E43">IF($A43="","",IF($AE43="OVF","",INDEX($G$18:$G$25,$AF43)))</f>
        <v/>
      </c>
      <c r="F43" t="str" cm="1">
        <f t="array" ref="F43">IF($A43="","",IF($AE43="OVF",INDEX(permit_calc!$M$3:$M$144,MATCH($A43,permit_calc!$N$3:$N$144,0)),INDEX($A$18:$A$25,$AF43)))</f>
        <v>L4</v>
      </c>
      <c r="G43" s="50" t="s">
        <v>17</v>
      </c>
      <c r="H43" s="41" cm="1">
        <f t="array" ref="H43">IF($A43="","",IF($AE43="OVF",INDEX($E$18:$E$25,INDEX(permit_calc!$O$3:$O$144,MATCH($A43,permit_calc!$N$3:$N$144,0)))+INDEX($F$18:$F$25,INDEX(permit_calc!$O$3:$O$144,MATCH($A43,permit_calc!$N$3:$N$144,0))),INDEX($L$18:$L$25,$AF43)+INDEX($M$18:$M$25,$AF43)))</f>
        <v>46253.041666666664</v>
      </c>
      <c r="I43" s="43">
        <f>IF($A43="","",IFERROR(IF(INDEX(countries!$I:$I,MATCH($C43,countries!$D:$D,0))=0,$B$12,INDEX(countries!$I:$I,MATCH($C43,countries!$D:$D,0))),$B$12))</f>
        <v>72</v>
      </c>
      <c r="J43" s="41">
        <f t="shared" si="12"/>
        <v>46250.041666666664</v>
      </c>
      <c r="K43" s="42">
        <f t="shared" ca="1" si="13"/>
        <v>6.4</v>
      </c>
      <c r="L43" t="str">
        <f>IF($A43="","",IF($AE43="OVF",IFERROR(INDEX(countries!$G:$G,MATCH($C43,countries!$D:$D,0)),"VERIFY"),IFERROR(INDEX(countries!$H:$H,MATCH($C43,countries!$D:$D,0)),"VERIFY")))</f>
        <v>REQUIRED</v>
      </c>
      <c r="M43" t="str">
        <f t="shared" ca="1" si="14"/>
        <v>PENDING</v>
      </c>
      <c r="AE43" t="str">
        <f>IF($A43="","",IF($A43&lt;=COUNTIF(permit_calc!$L$3:$L$144,1),"OVF","LDG"))</f>
        <v>OVF</v>
      </c>
      <c r="AF43" t="str">
        <f>IF($AE43="","",IF($AE43="OVF","",$A43-COUNTIF(permit_calc!$L$3:$L$144,1)))</f>
        <v/>
      </c>
    </row>
    <row r="44" spans="1:36" x14ac:dyDescent="0.3">
      <c r="A44">
        <f>IF(ROW()-29&gt;COUNTIF(permit_calc!$L$3:$L$144,1)+COUNTA($G$18:$G$25),"",ROW()-29)</f>
        <v>15</v>
      </c>
      <c r="B44" t="str">
        <f>IF($A44="","",IF($AE44="OVF",INDEX(permit_calc!$B$3:$B$144,MATCH($A44,permit_calc!$N$3:$N$144,0)),IFERROR(INDEX(countries!$B:$B,MATCH($C44,countries!$D:$D,0)),$C44)))</f>
        <v>Equatorial Guinea</v>
      </c>
      <c r="C44" t="str" cm="1">
        <f t="array" ref="C44">IF($A44="","",IF($AE44="OVF",INDEX(permit_calc!$A$3:$A$144,MATCH($A44,permit_calc!$N$3:$N$144,0)),INDEX($U$18:$U$25,$AF44)))</f>
        <v>GNQ</v>
      </c>
      <c r="D44" t="str">
        <f t="shared" si="11"/>
        <v>OVF</v>
      </c>
      <c r="E44" t="str" cm="1">
        <f t="array" ref="E44">IF($A44="","",IF($AE44="OVF","",INDEX($G$18:$G$25,$AF44)))</f>
        <v/>
      </c>
      <c r="F44" t="str" cm="1">
        <f t="array" ref="F44">IF($A44="","",IF($AE44="OVF",INDEX(permit_calc!$M$3:$M$144,MATCH($A44,permit_calc!$N$3:$N$144,0)),INDEX($A$18:$A$25,$AF44)))</f>
        <v>L4</v>
      </c>
      <c r="G44" s="50" t="s">
        <v>17</v>
      </c>
      <c r="H44" s="41" cm="1">
        <f t="array" ref="H44">IF($A44="","",IF($AE44="OVF",INDEX($E$18:$E$25,INDEX(permit_calc!$O$3:$O$144,MATCH($A44,permit_calc!$N$3:$N$144,0)))+INDEX($F$18:$F$25,INDEX(permit_calc!$O$3:$O$144,MATCH($A44,permit_calc!$N$3:$N$144,0))),INDEX($L$18:$L$25,$AF44)+INDEX($M$18:$M$25,$AF44)))</f>
        <v>46253.041666666664</v>
      </c>
      <c r="I44" s="43">
        <f>IF($A44="","",IFERROR(IF(INDEX(countries!$I:$I,MATCH($C44,countries!$D:$D,0))=0,$B$12,INDEX(countries!$I:$I,MATCH($C44,countries!$D:$D,0))),$B$12))</f>
        <v>72</v>
      </c>
      <c r="J44" s="41">
        <f t="shared" si="12"/>
        <v>46250.041666666664</v>
      </c>
      <c r="K44" s="42">
        <f t="shared" ca="1" si="13"/>
        <v>6.4</v>
      </c>
      <c r="L44" t="str">
        <f>IF($A44="","",IF($AE44="OVF",IFERROR(INDEX(countries!$G:$G,MATCH($C44,countries!$D:$D,0)),"VERIFY"),IFERROR(INDEX(countries!$H:$H,MATCH($C44,countries!$D:$D,0)),"VERIFY")))</f>
        <v>REQUIRED</v>
      </c>
      <c r="M44" t="str">
        <f t="shared" ca="1" si="14"/>
        <v>PENDING</v>
      </c>
      <c r="AE44" t="str">
        <f>IF($A44="","",IF($A44&lt;=COUNTIF(permit_calc!$L$3:$L$144,1),"OVF","LDG"))</f>
        <v>OVF</v>
      </c>
      <c r="AF44" t="str">
        <f>IF($AE44="","",IF($AE44="OVF","",$A44-COUNTIF(permit_calc!$L$3:$L$144,1)))</f>
        <v/>
      </c>
    </row>
    <row r="45" spans="1:36" x14ac:dyDescent="0.3">
      <c r="A45">
        <f>IF(ROW()-29&gt;COUNTIF(permit_calc!$L$3:$L$144,1)+COUNTA($G$18:$G$25),"",ROW()-29)</f>
        <v>16</v>
      </c>
      <c r="B45" t="str">
        <f>IF($A45="","",IF($AE45="OVF",INDEX(permit_calc!$B$3:$B$144,MATCH($A45,permit_calc!$N$3:$N$144,0)),IFERROR(INDEX(countries!$B:$B,MATCH($C45,countries!$D:$D,0)),$C45)))</f>
        <v>Gabon</v>
      </c>
      <c r="C45" t="str" cm="1">
        <f t="array" ref="C45">IF($A45="","",IF($AE45="OVF",INDEX(permit_calc!$A$3:$A$144,MATCH($A45,permit_calc!$N$3:$N$144,0)),INDEX($U$18:$U$25,$AF45)))</f>
        <v>GAB</v>
      </c>
      <c r="D45" t="str">
        <f t="shared" si="11"/>
        <v>OVF</v>
      </c>
      <c r="E45" t="str" cm="1">
        <f t="array" ref="E45">IF($A45="","",IF($AE45="OVF","",INDEX($G$18:$G$25,$AF45)))</f>
        <v/>
      </c>
      <c r="F45" t="str" cm="1">
        <f t="array" ref="F45">IF($A45="","",IF($AE45="OVF",INDEX(permit_calc!$M$3:$M$144,MATCH($A45,permit_calc!$N$3:$N$144,0)),INDEX($A$18:$A$25,$AF45)))</f>
        <v>L4</v>
      </c>
      <c r="G45" s="50" t="s">
        <v>17</v>
      </c>
      <c r="H45" s="41" cm="1">
        <f t="array" ref="H45">IF($A45="","",IF($AE45="OVF",INDEX($E$18:$E$25,INDEX(permit_calc!$O$3:$O$144,MATCH($A45,permit_calc!$N$3:$N$144,0)))+INDEX($F$18:$F$25,INDEX(permit_calc!$O$3:$O$144,MATCH($A45,permit_calc!$N$3:$N$144,0))),INDEX($L$18:$L$25,$AF45)+INDEX($M$18:$M$25,$AF45)))</f>
        <v>46253.041666666664</v>
      </c>
      <c r="I45" s="43">
        <f>IF($A45="","",IFERROR(IF(INDEX(countries!$I:$I,MATCH($C45,countries!$D:$D,0))=0,$B$12,INDEX(countries!$I:$I,MATCH($C45,countries!$D:$D,0))),$B$12))</f>
        <v>72</v>
      </c>
      <c r="J45" s="41">
        <f t="shared" si="12"/>
        <v>46250.041666666664</v>
      </c>
      <c r="K45" s="42">
        <f t="shared" ca="1" si="13"/>
        <v>6.4</v>
      </c>
      <c r="L45" t="str">
        <f>IF($A45="","",IF($AE45="OVF",IFERROR(INDEX(countries!$G:$G,MATCH($C45,countries!$D:$D,0)),"VERIFY"),IFERROR(INDEX(countries!$H:$H,MATCH($C45,countries!$D:$D,0)),"VERIFY")))</f>
        <v>REQUIRED</v>
      </c>
      <c r="M45" t="str">
        <f t="shared" ca="1" si="14"/>
        <v>PENDING</v>
      </c>
      <c r="AE45" t="str">
        <f>IF($A45="","",IF($A45&lt;=COUNTIF(permit_calc!$L$3:$L$144,1),"OVF","LDG"))</f>
        <v>OVF</v>
      </c>
      <c r="AF45" t="str">
        <f>IF($AE45="","",IF($AE45="OVF","",$A45-COUNTIF(permit_calc!$L$3:$L$144,1)))</f>
        <v/>
      </c>
    </row>
    <row r="46" spans="1:36" x14ac:dyDescent="0.3">
      <c r="A46">
        <f>IF(ROW()-29&gt;COUNTIF(permit_calc!$L$3:$L$144,1)+COUNTA($G$18:$G$25),"",ROW()-29)</f>
        <v>17</v>
      </c>
      <c r="B46" t="str">
        <f>IF($A46="","",IF($AE46="OVF",INDEX(permit_calc!$B$3:$B$144,MATCH($A46,permit_calc!$N$3:$N$144,0)),IFERROR(INDEX(countries!$B:$B,MATCH($C46,countries!$D:$D,0)),$C46)))</f>
        <v>Chad</v>
      </c>
      <c r="C46" t="str" cm="1">
        <f t="array" ref="C46">IF($A46="","",IF($AE46="OVF",INDEX(permit_calc!$A$3:$A$144,MATCH($A46,permit_calc!$N$3:$N$144,0)),INDEX($U$18:$U$25,$AF46)))</f>
        <v>TCD</v>
      </c>
      <c r="D46" t="str">
        <f t="shared" si="11"/>
        <v>LDG</v>
      </c>
      <c r="E46" t="str" cm="1">
        <f t="array" ref="E46">IF($A46="","",IF($AE46="OVF","",INDEX($G$18:$G$25,$AF46)))</f>
        <v>FTTJ</v>
      </c>
      <c r="F46" t="str" cm="1">
        <f t="array" ref="F46">IF($A46="","",IF($AE46="OVF",INDEX(permit_calc!$M$3:$M$144,MATCH($A46,permit_calc!$N$3:$N$144,0)),INDEX($A$18:$A$25,$AF46)))</f>
        <v>L1</v>
      </c>
      <c r="G46" s="50" t="s">
        <v>17</v>
      </c>
      <c r="H46" s="41" cm="1">
        <f t="array" ref="H46">IF($A46="","",IF($AE46="OVF",INDEX($E$18:$E$25,INDEX(permit_calc!$O$3:$O$144,MATCH($A46,permit_calc!$N$3:$N$144,0)))+INDEX($F$18:$F$25,INDEX(permit_calc!$O$3:$O$144,MATCH($A46,permit_calc!$N$3:$N$144,0))),INDEX($L$18:$L$25,$AF46)+INDEX($M$18:$M$25,$AF46)))</f>
        <v>46248.605000000003</v>
      </c>
      <c r="I46" s="43">
        <f>IF($A46="","",IFERROR(IF(INDEX(countries!$I:$I,MATCH($C46,countries!$D:$D,0))=0,$B$12,INDEX(countries!$I:$I,MATCH($C46,countries!$D:$D,0))),$B$12))</f>
        <v>72</v>
      </c>
      <c r="J46" s="41">
        <f t="shared" si="12"/>
        <v>46245.605000000003</v>
      </c>
      <c r="K46" s="42">
        <f t="shared" ca="1" si="13"/>
        <v>2</v>
      </c>
      <c r="L46" t="str">
        <f>IF($A46="","",IF($AE46="OVF",IFERROR(INDEX(countries!$G:$G,MATCH($C46,countries!$D:$D,0)),"VERIFY"),IFERROR(INDEX(countries!$H:$H,MATCH($C46,countries!$D:$D,0)),"VERIFY")))</f>
        <v>REQUIRED</v>
      </c>
      <c r="M46" t="str">
        <f t="shared" ca="1" si="14"/>
        <v>DUE SOON</v>
      </c>
      <c r="AE46" t="str">
        <f>IF($A46="","",IF($A46&lt;=COUNTIF(permit_calc!$L$3:$L$144,1),"OVF","LDG"))</f>
        <v>LDG</v>
      </c>
      <c r="AF46">
        <f>IF($AE46="","",IF($AE46="OVF","",$A46-COUNTIF(permit_calc!$L$3:$L$144,1)))</f>
        <v>1</v>
      </c>
    </row>
    <row r="47" spans="1:36" x14ac:dyDescent="0.3">
      <c r="A47">
        <f>IF(ROW()-29&gt;COUNTIF(permit_calc!$L$3:$L$144,1)+COUNTA($G$18:$G$25),"",ROW()-29)</f>
        <v>18</v>
      </c>
      <c r="B47" t="str">
        <f>IF($A47="","",IF($AE47="OVF",INDEX(permit_calc!$B$3:$B$144,MATCH($A47,permit_calc!$N$3:$N$144,0)),IFERROR(INDEX(countries!$B:$B,MATCH($C47,countries!$D:$D,0)),$C47)))</f>
        <v>Egypt</v>
      </c>
      <c r="C47" t="str" cm="1">
        <f t="array" ref="C47">IF($A47="","",IF($AE47="OVF",INDEX(permit_calc!$A$3:$A$144,MATCH($A47,permit_calc!$N$3:$N$144,0)),INDEX($U$18:$U$25,$AF47)))</f>
        <v>EGY</v>
      </c>
      <c r="D47" t="str">
        <f t="shared" si="11"/>
        <v>LDG</v>
      </c>
      <c r="E47" t="str" cm="1">
        <f t="array" ref="E47">IF($A47="","",IF($AE47="OVF","",INDEX($G$18:$G$25,$AF47)))</f>
        <v>HECA</v>
      </c>
      <c r="F47" t="str" cm="1">
        <f t="array" ref="F47">IF($A47="","",IF($AE47="OVF",INDEX(permit_calc!$M$3:$M$144,MATCH($A47,permit_calc!$N$3:$N$144,0)),INDEX($A$18:$A$25,$AF47)))</f>
        <v>L2</v>
      </c>
      <c r="G47" s="50" t="s">
        <v>17</v>
      </c>
      <c r="H47" s="41" cm="1">
        <f t="array" ref="H47">IF($A47="","",IF($AE47="OVF",INDEX($E$18:$E$25,INDEX(permit_calc!$O$3:$O$144,MATCH($A47,permit_calc!$N$3:$N$144,0)))+INDEX($F$18:$F$25,INDEX(permit_calc!$O$3:$O$144,MATCH($A47,permit_calc!$N$3:$N$144,0))),INDEX($L$18:$L$25,$AF47)+INDEX($M$18:$M$25,$AF47)))</f>
        <v>46250.39166666667</v>
      </c>
      <c r="I47" s="43">
        <f>IF($A47="","",IFERROR(IF(INDEX(countries!$I:$I,MATCH($C47,countries!$D:$D,0))=0,$B$12,INDEX(countries!$I:$I,MATCH($C47,countries!$D:$D,0))),$B$12))</f>
        <v>72</v>
      </c>
      <c r="J47" s="41">
        <f t="shared" si="12"/>
        <v>46247.39166666667</v>
      </c>
      <c r="K47" s="42">
        <f t="shared" ca="1" si="13"/>
        <v>3.8</v>
      </c>
      <c r="L47" t="str">
        <f>IF($A47="","",IF($AE47="OVF",IFERROR(INDEX(countries!$G:$G,MATCH($C47,countries!$D:$D,0)),"VERIFY"),IFERROR(INDEX(countries!$H:$H,MATCH($C47,countries!$D:$D,0)),"VERIFY")))</f>
        <v>REQUIRED</v>
      </c>
      <c r="M47" t="str">
        <f t="shared" ca="1" si="14"/>
        <v>PENDING</v>
      </c>
      <c r="AE47" t="str">
        <f>IF($A47="","",IF($A47&lt;=COUNTIF(permit_calc!$L$3:$L$144,1),"OVF","LDG"))</f>
        <v>LDG</v>
      </c>
      <c r="AF47">
        <f>IF($AE47="","",IF($AE47="OVF","",$A47-COUNTIF(permit_calc!$L$3:$L$144,1)))</f>
        <v>2</v>
      </c>
    </row>
    <row r="48" spans="1:36" x14ac:dyDescent="0.3">
      <c r="A48">
        <f>IF(ROW()-29&gt;COUNTIF(permit_calc!$L$3:$L$144,1)+COUNTA($G$18:$G$25),"",ROW()-29)</f>
        <v>19</v>
      </c>
      <c r="B48" t="str">
        <f>IF($A48="","",IF($AE48="OVF",INDEX(permit_calc!$B$3:$B$144,MATCH($A48,permit_calc!$N$3:$N$144,0)),IFERROR(INDEX(countries!$B:$B,MATCH($C48,countries!$D:$D,0)),$C48)))</f>
        <v>Morocco</v>
      </c>
      <c r="C48" t="str" cm="1">
        <f t="array" ref="C48">IF($A48="","",IF($AE48="OVF",INDEX(permit_calc!$A$3:$A$144,MATCH($A48,permit_calc!$N$3:$N$144,0)),INDEX($U$18:$U$25,$AF48)))</f>
        <v>MAR</v>
      </c>
      <c r="D48" t="str">
        <f t="shared" si="11"/>
        <v>LDG</v>
      </c>
      <c r="E48" t="str" cm="1">
        <f t="array" ref="E48">IF($A48="","",IF($AE48="OVF","",INDEX($G$18:$G$25,$AF48)))</f>
        <v>GMAD</v>
      </c>
      <c r="F48" t="str" cm="1">
        <f t="array" ref="F48">IF($A48="","",IF($AE48="OVF",INDEX(permit_calc!$M$3:$M$144,MATCH($A48,permit_calc!$N$3:$N$144,0)),INDEX($A$18:$A$25,$AF48)))</f>
        <v>L3</v>
      </c>
      <c r="G48" s="50" t="s">
        <v>17</v>
      </c>
      <c r="H48" s="41" cm="1">
        <f t="array" ref="H48">IF($A48="","",IF($AE48="OVF",INDEX($E$18:$E$25,INDEX(permit_calc!$O$3:$O$144,MATCH($A48,permit_calc!$N$3:$N$144,0)))+INDEX($F$18:$F$25,INDEX(permit_calc!$O$3:$O$144,MATCH($A48,permit_calc!$N$3:$N$144,0))),INDEX($L$18:$L$25,$AF48)+INDEX($M$18:$M$25,$AF48)))</f>
        <v>46251.369999999995</v>
      </c>
      <c r="I48" s="43">
        <f>IF($A48="","",IFERROR(IF(INDEX(countries!$I:$I,MATCH($C48,countries!$D:$D,0))=0,$B$12,INDEX(countries!$I:$I,MATCH($C48,countries!$D:$D,0))),$B$12))</f>
        <v>72</v>
      </c>
      <c r="J48" s="41">
        <f t="shared" si="12"/>
        <v>46248.369999999995</v>
      </c>
      <c r="K48" s="42">
        <f t="shared" ca="1" si="13"/>
        <v>4.8</v>
      </c>
      <c r="L48" t="str">
        <f>IF($A48="","",IF($AE48="OVF",IFERROR(INDEX(countries!$G:$G,MATCH($C48,countries!$D:$D,0)),"VERIFY"),IFERROR(INDEX(countries!$H:$H,MATCH($C48,countries!$D:$D,0)),"VERIFY")))</f>
        <v>REQUIRED</v>
      </c>
      <c r="M48" t="str">
        <f t="shared" ca="1" si="14"/>
        <v>PENDING</v>
      </c>
      <c r="AE48" t="str">
        <f>IF($A48="","",IF($A48&lt;=COUNTIF(permit_calc!$L$3:$L$144,1),"OVF","LDG"))</f>
        <v>LDG</v>
      </c>
      <c r="AF48">
        <f>IF($AE48="","",IF($AE48="OVF","",$A48-COUNTIF(permit_calc!$L$3:$L$144,1)))</f>
        <v>3</v>
      </c>
    </row>
    <row r="49" spans="1:32" x14ac:dyDescent="0.3">
      <c r="A49">
        <f>IF(ROW()-29&gt;COUNTIF(permit_calc!$L$3:$L$144,1)+COUNTA($G$18:$G$25),"",ROW()-29)</f>
        <v>20</v>
      </c>
      <c r="B49" t="str">
        <f>IF($A49="","",IF($AE49="OVF",INDEX(permit_calc!$B$3:$B$144,MATCH($A49,permit_calc!$N$3:$N$144,0)),IFERROR(INDEX(countries!$B:$B,MATCH($C49,countries!$D:$D,0)),$C49)))</f>
        <v>South Africa</v>
      </c>
      <c r="C49" t="str" cm="1">
        <f t="array" ref="C49">IF($A49="","",IF($AE49="OVF",INDEX(permit_calc!$A$3:$A$144,MATCH($A49,permit_calc!$N$3:$N$144,0)),INDEX($U$18:$U$25,$AF49)))</f>
        <v>ZAF</v>
      </c>
      <c r="D49" t="str">
        <f t="shared" si="11"/>
        <v>LDG</v>
      </c>
      <c r="E49" t="str" cm="1">
        <f t="array" ref="E49">IF($A49="","",IF($AE49="OVF","",INDEX($G$18:$G$25,$AF49)))</f>
        <v>FAOR</v>
      </c>
      <c r="F49" t="str" cm="1">
        <f t="array" ref="F49">IF($A49="","",IF($AE49="OVF",INDEX(permit_calc!$M$3:$M$144,MATCH($A49,permit_calc!$N$3:$N$144,0)),INDEX($A$18:$A$25,$AF49)))</f>
        <v>L4</v>
      </c>
      <c r="G49" s="50" t="s">
        <v>17</v>
      </c>
      <c r="H49" s="41" cm="1">
        <f t="array" ref="H49">IF($A49="","",IF($AE49="OVF",INDEX($E$18:$E$25,INDEX(permit_calc!$O$3:$O$144,MATCH($A49,permit_calc!$N$3:$N$144,0)))+INDEX($F$18:$F$25,INDEX(permit_calc!$O$3:$O$144,MATCH($A49,permit_calc!$N$3:$N$144,0))),INDEX($L$18:$L$25,$AF49)+INDEX($M$18:$M$25,$AF49)))</f>
        <v>46253.415000000001</v>
      </c>
      <c r="I49" s="43">
        <f>IF($A49="","",IFERROR(IF(INDEX(countries!$I:$I,MATCH($C49,countries!$D:$D,0))=0,$B$12,INDEX(countries!$I:$I,MATCH($C49,countries!$D:$D,0))),$B$12))</f>
        <v>72</v>
      </c>
      <c r="J49" s="41">
        <f t="shared" si="12"/>
        <v>46250.415000000001</v>
      </c>
      <c r="K49" s="42">
        <f t="shared" ca="1" si="13"/>
        <v>6.8</v>
      </c>
      <c r="L49" t="str">
        <f>IF($A49="","",IF($AE49="OVF",IFERROR(INDEX(countries!$G:$G,MATCH($C49,countries!$D:$D,0)),"VERIFY"),IFERROR(INDEX(countries!$H:$H,MATCH($C49,countries!$D:$D,0)),"VERIFY")))</f>
        <v>REQUIRED</v>
      </c>
      <c r="M49" t="str">
        <f t="shared" ca="1" si="14"/>
        <v>PENDING</v>
      </c>
      <c r="AE49" t="str">
        <f>IF($A49="","",IF($A49&lt;=COUNTIF(permit_calc!$L$3:$L$144,1),"OVF","LDG"))</f>
        <v>LDG</v>
      </c>
      <c r="AF49">
        <f>IF($AE49="","",IF($AE49="OVF","",$A49-COUNTIF(permit_calc!$L$3:$L$144,1)))</f>
        <v>4</v>
      </c>
    </row>
    <row r="50" spans="1:32" x14ac:dyDescent="0.3">
      <c r="A50" t="str">
        <f>IF(ROW()-29&gt;COUNTIF(permit_calc!$L$3:$L$144,1)+COUNTA($G$18:$G$25),"",ROW()-29)</f>
        <v/>
      </c>
      <c r="B50" t="str">
        <f>IF($A50="","",IF($AE50="OVF",INDEX(permit_calc!$B$3:$B$144,MATCH($A50,permit_calc!$N$3:$N$144,0)),IFERROR(INDEX(countries!$B:$B,MATCH($C50,countries!$D:$D,0)),$C50)))</f>
        <v/>
      </c>
      <c r="C50" t="str" cm="1">
        <f t="array" ref="C50">IF($A50="","",IF($AE50="OVF",INDEX(permit_calc!$A$3:$A$144,MATCH($A50,permit_calc!$N$3:$N$144,0)),INDEX($U$18:$U$25,$AF50)))</f>
        <v/>
      </c>
      <c r="D50" t="str">
        <f t="shared" si="11"/>
        <v/>
      </c>
      <c r="E50" t="str" cm="1">
        <f t="array" ref="E50">IF($A50="","",IF($AE50="OVF","",INDEX($G$18:$G$25,$AF50)))</f>
        <v/>
      </c>
      <c r="F50" t="str" cm="1">
        <f t="array" ref="F50">IF($A50="","",IF($AE50="OVF",INDEX(permit_calc!$M$3:$M$144,MATCH($A50,permit_calc!$N$3:$N$144,0)),INDEX($A$18:$A$25,$AF50)))</f>
        <v/>
      </c>
      <c r="G50" s="50" t="s">
        <v>17</v>
      </c>
      <c r="H50" s="41" t="str" cm="1">
        <f t="array" ref="H50">IF($A50="","",IF($AE50="OVF",INDEX($E$18:$E$25,INDEX(permit_calc!$O$3:$O$144,MATCH($A50,permit_calc!$N$3:$N$144,0)))+INDEX($F$18:$F$25,INDEX(permit_calc!$O$3:$O$144,MATCH($A50,permit_calc!$N$3:$N$144,0))),INDEX($L$18:$L$25,$AF50)+INDEX($M$18:$M$25,$AF50)))</f>
        <v/>
      </c>
      <c r="I50" s="43" t="str">
        <f>IF($A50="","",IFERROR(IF(INDEX(countries!$I:$I,MATCH($C50,countries!$D:$D,0))=0,$B$12,INDEX(countries!$I:$I,MATCH($C50,countries!$D:$D,0))),$B$12))</f>
        <v/>
      </c>
      <c r="J50" s="41" t="str">
        <f t="shared" si="12"/>
        <v/>
      </c>
      <c r="K50" s="42" t="str">
        <f t="shared" ca="1" si="13"/>
        <v/>
      </c>
      <c r="L50" t="str">
        <f>IF($A50="","",IF($AE50="OVF",IFERROR(INDEX(countries!$G:$G,MATCH($C50,countries!$D:$D,0)),"VERIFY"),IFERROR(INDEX(countries!$H:$H,MATCH($C50,countries!$D:$D,0)),"VERIFY")))</f>
        <v/>
      </c>
      <c r="M50" t="str">
        <f t="shared" si="14"/>
        <v/>
      </c>
      <c r="AE50" t="str">
        <f>IF($A50="","",IF($A50&lt;=COUNTIF(permit_calc!$L$3:$L$144,1),"OVF","LDG"))</f>
        <v/>
      </c>
      <c r="AF50" t="str">
        <f>IF($AE50="","",IF($AE50="OVF","",$A50-COUNTIF(permit_calc!$L$3:$L$144,1)))</f>
        <v/>
      </c>
    </row>
    <row r="51" spans="1:32" x14ac:dyDescent="0.3">
      <c r="A51" t="str">
        <f>IF(ROW()-29&gt;COUNTIF(permit_calc!$L$3:$L$144,1)+COUNTA($G$18:$G$25),"",ROW()-29)</f>
        <v/>
      </c>
      <c r="B51" t="str">
        <f>IF($A51="","",IF($AE51="OVF",INDEX(permit_calc!$B$3:$B$144,MATCH($A51,permit_calc!$N$3:$N$144,0)),IFERROR(INDEX(countries!$B:$B,MATCH($C51,countries!$D:$D,0)),$C51)))</f>
        <v/>
      </c>
      <c r="C51" t="str" cm="1">
        <f t="array" ref="C51">IF($A51="","",IF($AE51="OVF",INDEX(permit_calc!$A$3:$A$144,MATCH($A51,permit_calc!$N$3:$N$144,0)),INDEX($U$18:$U$25,$AF51)))</f>
        <v/>
      </c>
      <c r="D51" t="str">
        <f t="shared" si="11"/>
        <v/>
      </c>
      <c r="E51" t="str" cm="1">
        <f t="array" ref="E51">IF($A51="","",IF($AE51="OVF","",INDEX($G$18:$G$25,$AF51)))</f>
        <v/>
      </c>
      <c r="F51" t="str" cm="1">
        <f t="array" ref="F51">IF($A51="","",IF($AE51="OVF",INDEX(permit_calc!$M$3:$M$144,MATCH($A51,permit_calc!$N$3:$N$144,0)),INDEX($A$18:$A$25,$AF51)))</f>
        <v/>
      </c>
      <c r="G51" s="50" t="s">
        <v>17</v>
      </c>
      <c r="H51" s="41" t="str" cm="1">
        <f t="array" ref="H51">IF($A51="","",IF($AE51="OVF",INDEX($E$18:$E$25,INDEX(permit_calc!$O$3:$O$144,MATCH($A51,permit_calc!$N$3:$N$144,0)))+INDEX($F$18:$F$25,INDEX(permit_calc!$O$3:$O$144,MATCH($A51,permit_calc!$N$3:$N$144,0))),INDEX($L$18:$L$25,$AF51)+INDEX($M$18:$M$25,$AF51)))</f>
        <v/>
      </c>
      <c r="I51" s="43" t="str">
        <f>IF($A51="","",IFERROR(IF(INDEX(countries!$I:$I,MATCH($C51,countries!$D:$D,0))=0,$B$12,INDEX(countries!$I:$I,MATCH($C51,countries!$D:$D,0))),$B$12))</f>
        <v/>
      </c>
      <c r="J51" s="41" t="str">
        <f t="shared" si="12"/>
        <v/>
      </c>
      <c r="K51" s="42" t="str">
        <f t="shared" ca="1" si="13"/>
        <v/>
      </c>
      <c r="L51" t="str">
        <f>IF($A51="","",IF($AE51="OVF",IFERROR(INDEX(countries!$G:$G,MATCH($C51,countries!$D:$D,0)),"VERIFY"),IFERROR(INDEX(countries!$H:$H,MATCH($C51,countries!$D:$D,0)),"VERIFY")))</f>
        <v/>
      </c>
      <c r="M51" t="str">
        <f t="shared" si="14"/>
        <v/>
      </c>
      <c r="AE51" t="str">
        <f>IF($A51="","",IF($A51&lt;=COUNTIF(permit_calc!$L$3:$L$144,1),"OVF","LDG"))</f>
        <v/>
      </c>
      <c r="AF51" t="str">
        <f>IF($AE51="","",IF($AE51="OVF","",$A51-COUNTIF(permit_calc!$L$3:$L$144,1)))</f>
        <v/>
      </c>
    </row>
    <row r="52" spans="1:32" x14ac:dyDescent="0.3">
      <c r="A52" t="str">
        <f>IF(ROW()-29&gt;COUNTIF(permit_calc!$L$3:$L$144,1)+COUNTA($G$18:$G$25),"",ROW()-29)</f>
        <v/>
      </c>
      <c r="B52" t="str">
        <f>IF($A52="","",IF($AE52="OVF",INDEX(permit_calc!$B$3:$B$144,MATCH($A52,permit_calc!$N$3:$N$144,0)),IFERROR(INDEX(countries!$B:$B,MATCH($C52,countries!$D:$D,0)),$C52)))</f>
        <v/>
      </c>
      <c r="C52" t="str" cm="1">
        <f t="array" ref="C52">IF($A52="","",IF($AE52="OVF",INDEX(permit_calc!$A$3:$A$144,MATCH($A52,permit_calc!$N$3:$N$144,0)),INDEX($U$18:$U$25,$AF52)))</f>
        <v/>
      </c>
      <c r="D52" t="str">
        <f t="shared" si="11"/>
        <v/>
      </c>
      <c r="E52" t="str" cm="1">
        <f t="array" ref="E52">IF($A52="","",IF($AE52="OVF","",INDEX($G$18:$G$25,$AF52)))</f>
        <v/>
      </c>
      <c r="F52" t="str" cm="1">
        <f t="array" ref="F52">IF($A52="","",IF($AE52="OVF",INDEX(permit_calc!$M$3:$M$144,MATCH($A52,permit_calc!$N$3:$N$144,0)),INDEX($A$18:$A$25,$AF52)))</f>
        <v/>
      </c>
      <c r="G52" s="50" t="s">
        <v>17</v>
      </c>
      <c r="H52" s="41" t="str" cm="1">
        <f t="array" ref="H52">IF($A52="","",IF($AE52="OVF",INDEX($E$18:$E$25,INDEX(permit_calc!$O$3:$O$144,MATCH($A52,permit_calc!$N$3:$N$144,0)))+INDEX($F$18:$F$25,INDEX(permit_calc!$O$3:$O$144,MATCH($A52,permit_calc!$N$3:$N$144,0))),INDEX($L$18:$L$25,$AF52)+INDEX($M$18:$M$25,$AF52)))</f>
        <v/>
      </c>
      <c r="I52" s="43" t="str">
        <f>IF($A52="","",IFERROR(IF(INDEX(countries!$I:$I,MATCH($C52,countries!$D:$D,0))=0,$B$12,INDEX(countries!$I:$I,MATCH($C52,countries!$D:$D,0))),$B$12))</f>
        <v/>
      </c>
      <c r="J52" s="41" t="str">
        <f t="shared" si="12"/>
        <v/>
      </c>
      <c r="K52" s="42" t="str">
        <f t="shared" ca="1" si="13"/>
        <v/>
      </c>
      <c r="L52" t="str">
        <f>IF($A52="","",IF($AE52="OVF",IFERROR(INDEX(countries!$G:$G,MATCH($C52,countries!$D:$D,0)),"VERIFY"),IFERROR(INDEX(countries!$H:$H,MATCH($C52,countries!$D:$D,0)),"VERIFY")))</f>
        <v/>
      </c>
      <c r="M52" t="str">
        <f t="shared" si="14"/>
        <v/>
      </c>
      <c r="AE52" t="str">
        <f>IF($A52="","",IF($A52&lt;=COUNTIF(permit_calc!$L$3:$L$144,1),"OVF","LDG"))</f>
        <v/>
      </c>
      <c r="AF52" t="str">
        <f>IF($AE52="","",IF($AE52="OVF","",$A52-COUNTIF(permit_calc!$L$3:$L$144,1)))</f>
        <v/>
      </c>
    </row>
    <row r="53" spans="1:32" x14ac:dyDescent="0.3">
      <c r="A53" t="str">
        <f>IF(ROW()-29&gt;COUNTIF(permit_calc!$L$3:$L$144,1)+COUNTA($G$18:$G$25),"",ROW()-29)</f>
        <v/>
      </c>
      <c r="B53" t="str">
        <f>IF($A53="","",IF($AE53="OVF",INDEX(permit_calc!$B$3:$B$144,MATCH($A53,permit_calc!$N$3:$N$144,0)),IFERROR(INDEX(countries!$B:$B,MATCH($C53,countries!$D:$D,0)),$C53)))</f>
        <v/>
      </c>
      <c r="C53" t="str" cm="1">
        <f t="array" ref="C53">IF($A53="","",IF($AE53="OVF",INDEX(permit_calc!$A$3:$A$144,MATCH($A53,permit_calc!$N$3:$N$144,0)),INDEX($U$18:$U$25,$AF53)))</f>
        <v/>
      </c>
      <c r="D53" t="str">
        <f t="shared" si="11"/>
        <v/>
      </c>
      <c r="E53" t="str" cm="1">
        <f t="array" ref="E53">IF($A53="","",IF($AE53="OVF","",INDEX($G$18:$G$25,$AF53)))</f>
        <v/>
      </c>
      <c r="F53" t="str" cm="1">
        <f t="array" ref="F53">IF($A53="","",IF($AE53="OVF",INDEX(permit_calc!$M$3:$M$144,MATCH($A53,permit_calc!$N$3:$N$144,0)),INDEX($A$18:$A$25,$AF53)))</f>
        <v/>
      </c>
      <c r="G53" s="50" t="s">
        <v>17</v>
      </c>
      <c r="H53" s="41" t="str" cm="1">
        <f t="array" ref="H53">IF($A53="","",IF($AE53="OVF",INDEX($E$18:$E$25,INDEX(permit_calc!$O$3:$O$144,MATCH($A53,permit_calc!$N$3:$N$144,0)))+INDEX($F$18:$F$25,INDEX(permit_calc!$O$3:$O$144,MATCH($A53,permit_calc!$N$3:$N$144,0))),INDEX($L$18:$L$25,$AF53)+INDEX($M$18:$M$25,$AF53)))</f>
        <v/>
      </c>
      <c r="I53" s="43" t="str">
        <f>IF($A53="","",IFERROR(IF(INDEX(countries!$I:$I,MATCH($C53,countries!$D:$D,0))=0,$B$12,INDEX(countries!$I:$I,MATCH($C53,countries!$D:$D,0))),$B$12))</f>
        <v/>
      </c>
      <c r="J53" s="41" t="str">
        <f t="shared" si="12"/>
        <v/>
      </c>
      <c r="K53" s="42" t="str">
        <f t="shared" ca="1" si="13"/>
        <v/>
      </c>
      <c r="L53" t="str">
        <f>IF($A53="","",IF($AE53="OVF",IFERROR(INDEX(countries!$G:$G,MATCH($C53,countries!$D:$D,0)),"VERIFY"),IFERROR(INDEX(countries!$H:$H,MATCH($C53,countries!$D:$D,0)),"VERIFY")))</f>
        <v/>
      </c>
      <c r="M53" t="str">
        <f t="shared" si="14"/>
        <v/>
      </c>
      <c r="AE53" t="str">
        <f>IF($A53="","",IF($A53&lt;=COUNTIF(permit_calc!$L$3:$L$144,1),"OVF","LDG"))</f>
        <v/>
      </c>
      <c r="AF53" t="str">
        <f>IF($AE53="","",IF($AE53="OVF","",$A53-COUNTIF(permit_calc!$L$3:$L$144,1)))</f>
        <v/>
      </c>
    </row>
    <row r="54" spans="1:32" x14ac:dyDescent="0.3">
      <c r="A54" t="str">
        <f>IF(ROW()-29&gt;COUNTIF(permit_calc!$L$3:$L$144,1)+COUNTA($G$18:$G$25),"",ROW()-29)</f>
        <v/>
      </c>
      <c r="B54" t="str">
        <f>IF($A54="","",IF($AE54="OVF",INDEX(permit_calc!$B$3:$B$144,MATCH($A54,permit_calc!$N$3:$N$144,0)),IFERROR(INDEX(countries!$B:$B,MATCH($C54,countries!$D:$D,0)),$C54)))</f>
        <v/>
      </c>
      <c r="C54" t="str" cm="1">
        <f t="array" ref="C54">IF($A54="","",IF($AE54="OVF",INDEX(permit_calc!$A$3:$A$144,MATCH($A54,permit_calc!$N$3:$N$144,0)),INDEX($U$18:$U$25,$AF54)))</f>
        <v/>
      </c>
      <c r="D54" t="str">
        <f t="shared" si="11"/>
        <v/>
      </c>
      <c r="E54" t="str" cm="1">
        <f t="array" ref="E54">IF($A54="","",IF($AE54="OVF","",INDEX($G$18:$G$25,$AF54)))</f>
        <v/>
      </c>
      <c r="F54" t="str" cm="1">
        <f t="array" ref="F54">IF($A54="","",IF($AE54="OVF",INDEX(permit_calc!$M$3:$M$144,MATCH($A54,permit_calc!$N$3:$N$144,0)),INDEX($A$18:$A$25,$AF54)))</f>
        <v/>
      </c>
      <c r="G54" s="50"/>
      <c r="H54" s="41" t="str" cm="1">
        <f t="array" ref="H54">IF($A54="","",IF($AE54="OVF",INDEX($E$18:$E$25,INDEX(permit_calc!$O$3:$O$144,MATCH($A54,permit_calc!$N$3:$N$144,0)))+INDEX($F$18:$F$25,INDEX(permit_calc!$O$3:$O$144,MATCH($A54,permit_calc!$N$3:$N$144,0))),INDEX($L$18:$L$25,$AF54)+INDEX($M$18:$M$25,$AF54)))</f>
        <v/>
      </c>
      <c r="I54" s="43" t="str">
        <f>IF($A54="","",IFERROR(IF(INDEX(countries!$I:$I,MATCH($C54,countries!$D:$D,0))=0,$B$12,INDEX(countries!$I:$I,MATCH($C54,countries!$D:$D,0))),$B$12))</f>
        <v/>
      </c>
      <c r="J54" s="41" t="str">
        <f t="shared" si="12"/>
        <v/>
      </c>
      <c r="K54" s="42" t="str">
        <f t="shared" ca="1" si="13"/>
        <v/>
      </c>
      <c r="L54" t="str">
        <f>IF($A54="","",IF($AE54="OVF",IFERROR(INDEX(countries!$G:$G,MATCH($C54,countries!$D:$D,0)),"VERIFY"),IFERROR(INDEX(countries!$H:$H,MATCH($C54,countries!$D:$D,0)),"VERIFY")))</f>
        <v/>
      </c>
      <c r="M54" t="str">
        <f t="shared" si="14"/>
        <v/>
      </c>
      <c r="AE54" t="str">
        <f>IF($A54="","",IF($A54&lt;=COUNTIF(permit_calc!$L$3:$L$144,1),"OVF","LDG"))</f>
        <v/>
      </c>
      <c r="AF54" t="str">
        <f>IF($AE54="","",IF($AE54="OVF","",$A54-COUNTIF(permit_calc!$L$3:$L$144,1)))</f>
        <v/>
      </c>
    </row>
    <row r="55" spans="1:32" x14ac:dyDescent="0.3">
      <c r="A55" t="str">
        <f>IF(ROW()-29&gt;COUNTIF(permit_calc!$L$3:$L$144,1)+COUNTA($G$18:$G$25),"",ROW()-29)</f>
        <v/>
      </c>
      <c r="B55" t="str">
        <f>IF($A55="","",IF($AE55="OVF",INDEX(permit_calc!$B$3:$B$144,MATCH($A55,permit_calc!$N$3:$N$144,0)),IFERROR(INDEX(countries!$B:$B,MATCH($C55,countries!$D:$D,0)),$C55)))</f>
        <v/>
      </c>
      <c r="C55" t="str" cm="1">
        <f t="array" ref="C55">IF($A55="","",IF($AE55="OVF",INDEX(permit_calc!$A$3:$A$144,MATCH($A55,permit_calc!$N$3:$N$144,0)),INDEX($U$18:$U$25,$AF55)))</f>
        <v/>
      </c>
      <c r="D55" t="str">
        <f t="shared" si="11"/>
        <v/>
      </c>
      <c r="E55" t="str" cm="1">
        <f t="array" ref="E55">IF($A55="","",IF($AE55="OVF","",INDEX($G$18:$G$25,$AF55)))</f>
        <v/>
      </c>
      <c r="F55" t="str" cm="1">
        <f t="array" ref="F55">IF($A55="","",IF($AE55="OVF",INDEX(permit_calc!$M$3:$M$144,MATCH($A55,permit_calc!$N$3:$N$144,0)),INDEX($A$18:$A$25,$AF55)))</f>
        <v/>
      </c>
      <c r="G55" s="50"/>
      <c r="H55" s="41" t="str" cm="1">
        <f t="array" ref="H55">IF($A55="","",IF($AE55="OVF",INDEX($E$18:$E$25,INDEX(permit_calc!$O$3:$O$144,MATCH($A55,permit_calc!$N$3:$N$144,0)))+INDEX($F$18:$F$25,INDEX(permit_calc!$O$3:$O$144,MATCH($A55,permit_calc!$N$3:$N$144,0))),INDEX($L$18:$L$25,$AF55)+INDEX($M$18:$M$25,$AF55)))</f>
        <v/>
      </c>
      <c r="I55" s="43" t="str">
        <f>IF($A55="","",IFERROR(IF(INDEX(countries!$I:$I,MATCH($C55,countries!$D:$D,0))=0,$B$12,INDEX(countries!$I:$I,MATCH($C55,countries!$D:$D,0))),$B$12))</f>
        <v/>
      </c>
      <c r="J55" s="41" t="str">
        <f t="shared" si="12"/>
        <v/>
      </c>
      <c r="K55" s="42" t="str">
        <f t="shared" ca="1" si="13"/>
        <v/>
      </c>
      <c r="L55" t="str">
        <f>IF($A55="","",IF($AE55="OVF",IFERROR(INDEX(countries!$G:$G,MATCH($C55,countries!$D:$D,0)),"VERIFY"),IFERROR(INDEX(countries!$H:$H,MATCH($C55,countries!$D:$D,0)),"VERIFY")))</f>
        <v/>
      </c>
      <c r="M55" t="str">
        <f t="shared" si="14"/>
        <v/>
      </c>
      <c r="AE55" t="str">
        <f>IF($A55="","",IF($A55&lt;=COUNTIF(permit_calc!$L$3:$L$144,1),"OVF","LDG"))</f>
        <v/>
      </c>
      <c r="AF55" t="str">
        <f>IF($AE55="","",IF($AE55="OVF","",$A55-COUNTIF(permit_calc!$L$3:$L$144,1)))</f>
        <v/>
      </c>
    </row>
    <row r="56" spans="1:32" x14ac:dyDescent="0.3">
      <c r="A56" t="str">
        <f>IF(ROW()-29&gt;COUNTIF(permit_calc!$L$3:$L$144,1)+COUNTA($G$18:$G$25),"",ROW()-29)</f>
        <v/>
      </c>
      <c r="B56" t="str">
        <f>IF($A56="","",IF($AE56="OVF",INDEX(permit_calc!$B$3:$B$144,MATCH($A56,permit_calc!$N$3:$N$144,0)),IFERROR(INDEX(countries!$B:$B,MATCH($C56,countries!$D:$D,0)),$C56)))</f>
        <v/>
      </c>
      <c r="C56" t="str" cm="1">
        <f t="array" ref="C56">IF($A56="","",IF($AE56="OVF",INDEX(permit_calc!$A$3:$A$144,MATCH($A56,permit_calc!$N$3:$N$144,0)),INDEX($U$18:$U$25,$AF56)))</f>
        <v/>
      </c>
      <c r="D56" t="str">
        <f t="shared" si="11"/>
        <v/>
      </c>
      <c r="E56" t="str" cm="1">
        <f t="array" ref="E56">IF($A56="","",IF($AE56="OVF","",INDEX($G$18:$G$25,$AF56)))</f>
        <v/>
      </c>
      <c r="F56" t="str" cm="1">
        <f t="array" ref="F56">IF($A56="","",IF($AE56="OVF",INDEX(permit_calc!$M$3:$M$144,MATCH($A56,permit_calc!$N$3:$N$144,0)),INDEX($A$18:$A$25,$AF56)))</f>
        <v/>
      </c>
      <c r="G56" s="50"/>
      <c r="H56" s="41" t="str" cm="1">
        <f t="array" ref="H56">IF($A56="","",IF($AE56="OVF",INDEX($E$18:$E$25,INDEX(permit_calc!$O$3:$O$144,MATCH($A56,permit_calc!$N$3:$N$144,0)))+INDEX($F$18:$F$25,INDEX(permit_calc!$O$3:$O$144,MATCH($A56,permit_calc!$N$3:$N$144,0))),INDEX($L$18:$L$25,$AF56)+INDEX($M$18:$M$25,$AF56)))</f>
        <v/>
      </c>
      <c r="I56" s="43" t="str">
        <f>IF($A56="","",IFERROR(IF(INDEX(countries!$I:$I,MATCH($C56,countries!$D:$D,0))=0,$B$12,INDEX(countries!$I:$I,MATCH($C56,countries!$D:$D,0))),$B$12))</f>
        <v/>
      </c>
      <c r="J56" s="41" t="str">
        <f t="shared" si="12"/>
        <v/>
      </c>
      <c r="K56" s="42" t="str">
        <f t="shared" ca="1" si="13"/>
        <v/>
      </c>
      <c r="L56" t="str">
        <f>IF($A56="","",IF($AE56="OVF",IFERROR(INDEX(countries!$G:$G,MATCH($C56,countries!$D:$D,0)),"VERIFY"),IFERROR(INDEX(countries!$H:$H,MATCH($C56,countries!$D:$D,0)),"VERIFY")))</f>
        <v/>
      </c>
      <c r="M56" t="str">
        <f t="shared" si="14"/>
        <v/>
      </c>
      <c r="AE56" t="str">
        <f>IF($A56="","",IF($A56&lt;=COUNTIF(permit_calc!$L$3:$L$144,1),"OVF","LDG"))</f>
        <v/>
      </c>
      <c r="AF56" t="str">
        <f>IF($AE56="","",IF($AE56="OVF","",$A56-COUNTIF(permit_calc!$L$3:$L$144,1)))</f>
        <v/>
      </c>
    </row>
    <row r="57" spans="1:32" x14ac:dyDescent="0.3">
      <c r="A57" t="str">
        <f>IF(ROW()-29&gt;COUNTIF(permit_calc!$L$3:$L$144,1)+COUNTA($G$18:$G$25),"",ROW()-29)</f>
        <v/>
      </c>
      <c r="B57" t="str">
        <f>IF($A57="","",IF($AE57="OVF",INDEX(permit_calc!$B$3:$B$144,MATCH($A57,permit_calc!$N$3:$N$144,0)),IFERROR(INDEX(countries!$B:$B,MATCH($C57,countries!$D:$D,0)),$C57)))</f>
        <v/>
      </c>
      <c r="C57" t="str" cm="1">
        <f t="array" ref="C57">IF($A57="","",IF($AE57="OVF",INDEX(permit_calc!$A$3:$A$144,MATCH($A57,permit_calc!$N$3:$N$144,0)),INDEX($U$18:$U$25,$AF57)))</f>
        <v/>
      </c>
      <c r="D57" t="str">
        <f t="shared" si="11"/>
        <v/>
      </c>
      <c r="E57" t="str" cm="1">
        <f t="array" ref="E57">IF($A57="","",IF($AE57="OVF","",INDEX($G$18:$G$25,$AF57)))</f>
        <v/>
      </c>
      <c r="F57" t="str" cm="1">
        <f t="array" ref="F57">IF($A57="","",IF($AE57="OVF",INDEX(permit_calc!$M$3:$M$144,MATCH($A57,permit_calc!$N$3:$N$144,0)),INDEX($A$18:$A$25,$AF57)))</f>
        <v/>
      </c>
      <c r="G57" s="50"/>
      <c r="H57" s="41" t="str" cm="1">
        <f t="array" ref="H57">IF($A57="","",IF($AE57="OVF",INDEX($E$18:$E$25,INDEX(permit_calc!$O$3:$O$144,MATCH($A57,permit_calc!$N$3:$N$144,0)))+INDEX($F$18:$F$25,INDEX(permit_calc!$O$3:$O$144,MATCH($A57,permit_calc!$N$3:$N$144,0))),INDEX($L$18:$L$25,$AF57)+INDEX($M$18:$M$25,$AF57)))</f>
        <v/>
      </c>
      <c r="I57" s="43" t="str">
        <f>IF($A57="","",IFERROR(IF(INDEX(countries!$I:$I,MATCH($C57,countries!$D:$D,0))=0,$B$12,INDEX(countries!$I:$I,MATCH($C57,countries!$D:$D,0))),$B$12))</f>
        <v/>
      </c>
      <c r="J57" s="41" t="str">
        <f t="shared" si="12"/>
        <v/>
      </c>
      <c r="K57" s="42" t="str">
        <f t="shared" ca="1" si="13"/>
        <v/>
      </c>
      <c r="L57" t="str">
        <f>IF($A57="","",IF($AE57="OVF",IFERROR(INDEX(countries!$G:$G,MATCH($C57,countries!$D:$D,0)),"VERIFY"),IFERROR(INDEX(countries!$H:$H,MATCH($C57,countries!$D:$D,0)),"VERIFY")))</f>
        <v/>
      </c>
      <c r="M57" t="str">
        <f t="shared" si="14"/>
        <v/>
      </c>
      <c r="AE57" t="str">
        <f>IF($A57="","",IF($A57&lt;=COUNTIF(permit_calc!$L$3:$L$144,1),"OVF","LDG"))</f>
        <v/>
      </c>
      <c r="AF57" t="str">
        <f>IF($AE57="","",IF($AE57="OVF","",$A57-COUNTIF(permit_calc!$L$3:$L$144,1)))</f>
        <v/>
      </c>
    </row>
    <row r="58" spans="1:32" x14ac:dyDescent="0.3">
      <c r="A58" t="str">
        <f>IF(ROW()-29&gt;COUNTIF(permit_calc!$L$3:$L$144,1)+COUNTA($G$18:$G$25),"",ROW()-29)</f>
        <v/>
      </c>
      <c r="B58" t="str">
        <f>IF($A58="","",IF($AE58="OVF",INDEX(permit_calc!$B$3:$B$144,MATCH($A58,permit_calc!$N$3:$N$144,0)),IFERROR(INDEX(countries!$B:$B,MATCH($C58,countries!$D:$D,0)),$C58)))</f>
        <v/>
      </c>
      <c r="C58" t="str" cm="1">
        <f t="array" ref="C58">IF($A58="","",IF($AE58="OVF",INDEX(permit_calc!$A$3:$A$144,MATCH($A58,permit_calc!$N$3:$N$144,0)),INDEX($U$18:$U$25,$AF58)))</f>
        <v/>
      </c>
      <c r="D58" t="str">
        <f t="shared" si="11"/>
        <v/>
      </c>
      <c r="E58" t="str" cm="1">
        <f t="array" ref="E58">IF($A58="","",IF($AE58="OVF","",INDEX($G$18:$G$25,$AF58)))</f>
        <v/>
      </c>
      <c r="F58" t="str" cm="1">
        <f t="array" ref="F58">IF($A58="","",IF($AE58="OVF",INDEX(permit_calc!$M$3:$M$144,MATCH($A58,permit_calc!$N$3:$N$144,0)),INDEX($A$18:$A$25,$AF58)))</f>
        <v/>
      </c>
      <c r="G58" s="50"/>
      <c r="H58" s="41" t="str" cm="1">
        <f t="array" ref="H58">IF($A58="","",IF($AE58="OVF",INDEX($E$18:$E$25,INDEX(permit_calc!$O$3:$O$144,MATCH($A58,permit_calc!$N$3:$N$144,0)))+INDEX($F$18:$F$25,INDEX(permit_calc!$O$3:$O$144,MATCH($A58,permit_calc!$N$3:$N$144,0))),INDEX($L$18:$L$25,$AF58)+INDEX($M$18:$M$25,$AF58)))</f>
        <v/>
      </c>
      <c r="I58" s="43" t="str">
        <f>IF($A58="","",IFERROR(IF(INDEX(countries!$I:$I,MATCH($C58,countries!$D:$D,0))=0,$B$12,INDEX(countries!$I:$I,MATCH($C58,countries!$D:$D,0))),$B$12))</f>
        <v/>
      </c>
      <c r="J58" s="41" t="str">
        <f t="shared" si="12"/>
        <v/>
      </c>
      <c r="K58" s="42" t="str">
        <f t="shared" ca="1" si="13"/>
        <v/>
      </c>
      <c r="L58" t="str">
        <f>IF($A58="","",IF($AE58="OVF",IFERROR(INDEX(countries!$G:$G,MATCH($C58,countries!$D:$D,0)),"VERIFY"),IFERROR(INDEX(countries!$H:$H,MATCH($C58,countries!$D:$D,0)),"VERIFY")))</f>
        <v/>
      </c>
      <c r="M58" t="str">
        <f t="shared" si="14"/>
        <v/>
      </c>
      <c r="AE58" t="str">
        <f>IF($A58="","",IF($A58&lt;=COUNTIF(permit_calc!$L$3:$L$144,1),"OVF","LDG"))</f>
        <v/>
      </c>
      <c r="AF58" t="str">
        <f>IF($AE58="","",IF($AE58="OVF","",$A58-COUNTIF(permit_calc!$L$3:$L$144,1)))</f>
        <v/>
      </c>
    </row>
    <row r="59" spans="1:32" x14ac:dyDescent="0.3">
      <c r="A59" t="str">
        <f>IF(ROW()-29&gt;COUNTIF(permit_calc!$L$3:$L$144,1)+COUNTA($G$18:$G$25),"",ROW()-29)</f>
        <v/>
      </c>
      <c r="B59" t="str">
        <f>IF($A59="","",IF($AE59="OVF",INDEX(permit_calc!$B$3:$B$144,MATCH($A59,permit_calc!$N$3:$N$144,0)),IFERROR(INDEX(countries!$B:$B,MATCH($C59,countries!$D:$D,0)),$C59)))</f>
        <v/>
      </c>
      <c r="C59" t="str" cm="1">
        <f t="array" ref="C59">IF($A59="","",IF($AE59="OVF",INDEX(permit_calc!$A$3:$A$144,MATCH($A59,permit_calc!$N$3:$N$144,0)),INDEX($U$18:$U$25,$AF59)))</f>
        <v/>
      </c>
      <c r="D59" t="str">
        <f t="shared" si="11"/>
        <v/>
      </c>
      <c r="E59" t="str" cm="1">
        <f t="array" ref="E59">IF($A59="","",IF($AE59="OVF","",INDEX($G$18:$G$25,$AF59)))</f>
        <v/>
      </c>
      <c r="F59" t="str" cm="1">
        <f t="array" ref="F59">IF($A59="","",IF($AE59="OVF",INDEX(permit_calc!$M$3:$M$144,MATCH($A59,permit_calc!$N$3:$N$144,0)),INDEX($A$18:$A$25,$AF59)))</f>
        <v/>
      </c>
      <c r="G59" s="50"/>
      <c r="H59" s="41" t="str" cm="1">
        <f t="array" ref="H59">IF($A59="","",IF($AE59="OVF",INDEX($E$18:$E$25,INDEX(permit_calc!$O$3:$O$144,MATCH($A59,permit_calc!$N$3:$N$144,0)))+INDEX($F$18:$F$25,INDEX(permit_calc!$O$3:$O$144,MATCH($A59,permit_calc!$N$3:$N$144,0))),INDEX($L$18:$L$25,$AF59)+INDEX($M$18:$M$25,$AF59)))</f>
        <v/>
      </c>
      <c r="I59" s="43" t="str">
        <f>IF($A59="","",IFERROR(IF(INDEX(countries!$I:$I,MATCH($C59,countries!$D:$D,0))=0,$B$12,INDEX(countries!$I:$I,MATCH($C59,countries!$D:$D,0))),$B$12))</f>
        <v/>
      </c>
      <c r="J59" s="41" t="str">
        <f t="shared" si="12"/>
        <v/>
      </c>
      <c r="K59" s="42" t="str">
        <f t="shared" ca="1" si="13"/>
        <v/>
      </c>
      <c r="L59" t="str">
        <f>IF($A59="","",IF($AE59="OVF",IFERROR(INDEX(countries!$G:$G,MATCH($C59,countries!$D:$D,0)),"VERIFY"),IFERROR(INDEX(countries!$H:$H,MATCH($C59,countries!$D:$D,0)),"VERIFY")))</f>
        <v/>
      </c>
      <c r="M59" t="str">
        <f t="shared" si="14"/>
        <v/>
      </c>
      <c r="AE59" t="str">
        <f>IF($A59="","",IF($A59&lt;=COUNTIF(permit_calc!$L$3:$L$144,1),"OVF","LDG"))</f>
        <v/>
      </c>
      <c r="AF59" t="str">
        <f>IF($AE59="","",IF($AE59="OVF","",$A59-COUNTIF(permit_calc!$L$3:$L$144,1)))</f>
        <v/>
      </c>
    </row>
    <row r="60" spans="1:32" x14ac:dyDescent="0.3">
      <c r="A60" t="str">
        <f>IF(ROW()-29&gt;COUNTIF(permit_calc!$L$3:$L$144,1)+COUNTA($G$18:$G$25),"",ROW()-29)</f>
        <v/>
      </c>
      <c r="B60" t="str">
        <f>IF($A60="","",IF($AE60="OVF",INDEX(permit_calc!$B$3:$B$144,MATCH($A60,permit_calc!$N$3:$N$144,0)),IFERROR(INDEX(countries!$B:$B,MATCH($C60,countries!$D:$D,0)),$C60)))</f>
        <v/>
      </c>
      <c r="C60" t="str" cm="1">
        <f t="array" ref="C60">IF($A60="","",IF($AE60="OVF",INDEX(permit_calc!$A$3:$A$144,MATCH($A60,permit_calc!$N$3:$N$144,0)),INDEX($U$18:$U$25,$AF60)))</f>
        <v/>
      </c>
      <c r="D60" t="str">
        <f t="shared" si="11"/>
        <v/>
      </c>
      <c r="E60" t="str" cm="1">
        <f t="array" ref="E60">IF($A60="","",IF($AE60="OVF","",INDEX($G$18:$G$25,$AF60)))</f>
        <v/>
      </c>
      <c r="F60" t="str" cm="1">
        <f t="array" ref="F60">IF($A60="","",IF($AE60="OVF",INDEX(permit_calc!$M$3:$M$144,MATCH($A60,permit_calc!$N$3:$N$144,0)),INDEX($A$18:$A$25,$AF60)))</f>
        <v/>
      </c>
      <c r="G60" s="50"/>
      <c r="H60" s="41" t="str" cm="1">
        <f t="array" ref="H60">IF($A60="","",IF($AE60="OVF",INDEX($E$18:$E$25,INDEX(permit_calc!$O$3:$O$144,MATCH($A60,permit_calc!$N$3:$N$144,0)))+INDEX($F$18:$F$25,INDEX(permit_calc!$O$3:$O$144,MATCH($A60,permit_calc!$N$3:$N$144,0))),INDEX($L$18:$L$25,$AF60)+INDEX($M$18:$M$25,$AF60)))</f>
        <v/>
      </c>
      <c r="I60" s="43" t="str">
        <f>IF($A60="","",IFERROR(IF(INDEX(countries!$I:$I,MATCH($C60,countries!$D:$D,0))=0,$B$12,INDEX(countries!$I:$I,MATCH($C60,countries!$D:$D,0))),$B$12))</f>
        <v/>
      </c>
      <c r="J60" s="41" t="str">
        <f t="shared" si="12"/>
        <v/>
      </c>
      <c r="K60" s="42" t="str">
        <f t="shared" ca="1" si="13"/>
        <v/>
      </c>
      <c r="L60" t="str">
        <f>IF($A60="","",IF($AE60="OVF",IFERROR(INDEX(countries!$G:$G,MATCH($C60,countries!$D:$D,0)),"VERIFY"),IFERROR(INDEX(countries!$H:$H,MATCH($C60,countries!$D:$D,0)),"VERIFY")))</f>
        <v/>
      </c>
      <c r="M60" t="str">
        <f t="shared" si="14"/>
        <v/>
      </c>
      <c r="AE60" t="str">
        <f>IF($A60="","",IF($A60&lt;=COUNTIF(permit_calc!$L$3:$L$144,1),"OVF","LDG"))</f>
        <v/>
      </c>
      <c r="AF60" t="str">
        <f>IF($AE60="","",IF($AE60="OVF","",$A60-COUNTIF(permit_calc!$L$3:$L$144,1)))</f>
        <v/>
      </c>
    </row>
    <row r="61" spans="1:32" x14ac:dyDescent="0.3">
      <c r="A61" t="str">
        <f>IF(ROW()-29&gt;COUNTIF(permit_calc!$L$3:$L$144,1)+COUNTA($G$18:$G$25),"",ROW()-29)</f>
        <v/>
      </c>
      <c r="B61" t="str">
        <f>IF($A61="","",IF($AE61="OVF",INDEX(permit_calc!$B$3:$B$144,MATCH($A61,permit_calc!$N$3:$N$144,0)),IFERROR(INDEX(countries!$B:$B,MATCH($C61,countries!$D:$D,0)),$C61)))</f>
        <v/>
      </c>
      <c r="C61" t="str" cm="1">
        <f t="array" ref="C61">IF($A61="","",IF($AE61="OVF",INDEX(permit_calc!$A$3:$A$144,MATCH($A61,permit_calc!$N$3:$N$144,0)),INDEX($U$18:$U$25,$AF61)))</f>
        <v/>
      </c>
      <c r="D61" t="str">
        <f t="shared" si="11"/>
        <v/>
      </c>
      <c r="E61" t="str" cm="1">
        <f t="array" ref="E61">IF($A61="","",IF($AE61="OVF","",INDEX($G$18:$G$25,$AF61)))</f>
        <v/>
      </c>
      <c r="F61" t="str" cm="1">
        <f t="array" ref="F61">IF($A61="","",IF($AE61="OVF",INDEX(permit_calc!$M$3:$M$144,MATCH($A61,permit_calc!$N$3:$N$144,0)),INDEX($A$18:$A$25,$AF61)))</f>
        <v/>
      </c>
      <c r="G61" s="50"/>
      <c r="H61" s="41" t="str" cm="1">
        <f t="array" ref="H61">IF($A61="","",IF($AE61="OVF",INDEX($E$18:$E$25,INDEX(permit_calc!$O$3:$O$144,MATCH($A61,permit_calc!$N$3:$N$144,0)))+INDEX($F$18:$F$25,INDEX(permit_calc!$O$3:$O$144,MATCH($A61,permit_calc!$N$3:$N$144,0))),INDEX($L$18:$L$25,$AF61)+INDEX($M$18:$M$25,$AF61)))</f>
        <v/>
      </c>
      <c r="I61" s="43" t="str">
        <f>IF($A61="","",IFERROR(IF(INDEX(countries!$I:$I,MATCH($C61,countries!$D:$D,0))=0,$B$12,INDEX(countries!$I:$I,MATCH($C61,countries!$D:$D,0))),$B$12))</f>
        <v/>
      </c>
      <c r="J61" s="41" t="str">
        <f t="shared" si="12"/>
        <v/>
      </c>
      <c r="K61" s="42" t="str">
        <f t="shared" ca="1" si="13"/>
        <v/>
      </c>
      <c r="L61" t="str">
        <f>IF($A61="","",IF($AE61="OVF",IFERROR(INDEX(countries!$G:$G,MATCH($C61,countries!$D:$D,0)),"VERIFY"),IFERROR(INDEX(countries!$H:$H,MATCH($C61,countries!$D:$D,0)),"VERIFY")))</f>
        <v/>
      </c>
      <c r="M61" t="str">
        <f t="shared" si="14"/>
        <v/>
      </c>
      <c r="AE61" t="str">
        <f>IF($A61="","",IF($A61&lt;=COUNTIF(permit_calc!$L$3:$L$144,1),"OVF","LDG"))</f>
        <v/>
      </c>
      <c r="AF61" t="str">
        <f>IF($AE61="","",IF($AE61="OVF","",$A61-COUNTIF(permit_calc!$L$3:$L$144,1)))</f>
        <v/>
      </c>
    </row>
    <row r="62" spans="1:32" x14ac:dyDescent="0.3">
      <c r="A62" t="str">
        <f>IF(ROW()-29&gt;COUNTIF(permit_calc!$L$3:$L$144,1)+COUNTA($G$18:$G$25),"",ROW()-29)</f>
        <v/>
      </c>
      <c r="B62" t="str">
        <f>IF($A62="","",IF($AE62="OVF",INDEX(permit_calc!$B$3:$B$144,MATCH($A62,permit_calc!$N$3:$N$144,0)),IFERROR(INDEX(countries!$B:$B,MATCH($C62,countries!$D:$D,0)),$C62)))</f>
        <v/>
      </c>
      <c r="C62" t="str" cm="1">
        <f t="array" ref="C62">IF($A62="","",IF($AE62="OVF",INDEX(permit_calc!$A$3:$A$144,MATCH($A62,permit_calc!$N$3:$N$144,0)),INDEX($U$18:$U$25,$AF62)))</f>
        <v/>
      </c>
      <c r="D62" t="str">
        <f t="shared" si="11"/>
        <v/>
      </c>
      <c r="E62" t="str" cm="1">
        <f t="array" ref="E62">IF($A62="","",IF($AE62="OVF","",INDEX($G$18:$G$25,$AF62)))</f>
        <v/>
      </c>
      <c r="F62" t="str" cm="1">
        <f t="array" ref="F62">IF($A62="","",IF($AE62="OVF",INDEX(permit_calc!$M$3:$M$144,MATCH($A62,permit_calc!$N$3:$N$144,0)),INDEX($A$18:$A$25,$AF62)))</f>
        <v/>
      </c>
      <c r="G62" s="50"/>
      <c r="H62" s="41" t="str" cm="1">
        <f t="array" ref="H62">IF($A62="","",IF($AE62="OVF",INDEX($E$18:$E$25,INDEX(permit_calc!$O$3:$O$144,MATCH($A62,permit_calc!$N$3:$N$144,0)))+INDEX($F$18:$F$25,INDEX(permit_calc!$O$3:$O$144,MATCH($A62,permit_calc!$N$3:$N$144,0))),INDEX($L$18:$L$25,$AF62)+INDEX($M$18:$M$25,$AF62)))</f>
        <v/>
      </c>
      <c r="I62" s="43" t="str">
        <f>IF($A62="","",IFERROR(IF(INDEX(countries!$I:$I,MATCH($C62,countries!$D:$D,0))=0,$B$12,INDEX(countries!$I:$I,MATCH($C62,countries!$D:$D,0))),$B$12))</f>
        <v/>
      </c>
      <c r="J62" s="41" t="str">
        <f t="shared" si="12"/>
        <v/>
      </c>
      <c r="K62" s="42" t="str">
        <f t="shared" ca="1" si="13"/>
        <v/>
      </c>
      <c r="L62" t="str">
        <f>IF($A62="","",IF($AE62="OVF",IFERROR(INDEX(countries!$G:$G,MATCH($C62,countries!$D:$D,0)),"VERIFY"),IFERROR(INDEX(countries!$H:$H,MATCH($C62,countries!$D:$D,0)),"VERIFY")))</f>
        <v/>
      </c>
      <c r="M62" t="str">
        <f t="shared" si="14"/>
        <v/>
      </c>
      <c r="AE62" t="str">
        <f>IF($A62="","",IF($A62&lt;=COUNTIF(permit_calc!$L$3:$L$144,1),"OVF","LDG"))</f>
        <v/>
      </c>
      <c r="AF62" t="str">
        <f>IF($AE62="","",IF($AE62="OVF","",$A62-COUNTIF(permit_calc!$L$3:$L$144,1)))</f>
        <v/>
      </c>
    </row>
    <row r="63" spans="1:32" x14ac:dyDescent="0.3">
      <c r="A63" t="str">
        <f>IF(ROW()-29&gt;COUNTIF(permit_calc!$L$3:$L$144,1)+COUNTA($G$18:$G$25),"",ROW()-29)</f>
        <v/>
      </c>
      <c r="B63" t="str">
        <f>IF($A63="","",IF($AE63="OVF",INDEX(permit_calc!$B$3:$B$144,MATCH($A63,permit_calc!$N$3:$N$144,0)),IFERROR(INDEX(countries!$B:$B,MATCH($C63,countries!$D:$D,0)),$C63)))</f>
        <v/>
      </c>
      <c r="C63" t="str" cm="1">
        <f t="array" ref="C63">IF($A63="","",IF($AE63="OVF",INDEX(permit_calc!$A$3:$A$144,MATCH($A63,permit_calc!$N$3:$N$144,0)),INDEX($U$18:$U$25,$AF63)))</f>
        <v/>
      </c>
      <c r="D63" t="str">
        <f t="shared" si="11"/>
        <v/>
      </c>
      <c r="E63" t="str" cm="1">
        <f t="array" ref="E63">IF($A63="","",IF($AE63="OVF","",INDEX($G$18:$G$25,$AF63)))</f>
        <v/>
      </c>
      <c r="F63" t="str" cm="1">
        <f t="array" ref="F63">IF($A63="","",IF($AE63="OVF",INDEX(permit_calc!$M$3:$M$144,MATCH($A63,permit_calc!$N$3:$N$144,0)),INDEX($A$18:$A$25,$AF63)))</f>
        <v/>
      </c>
      <c r="G63" s="50"/>
      <c r="H63" s="41" t="str" cm="1">
        <f t="array" ref="H63">IF($A63="","",IF($AE63="OVF",INDEX($E$18:$E$25,INDEX(permit_calc!$O$3:$O$144,MATCH($A63,permit_calc!$N$3:$N$144,0)))+INDEX($F$18:$F$25,INDEX(permit_calc!$O$3:$O$144,MATCH($A63,permit_calc!$N$3:$N$144,0))),INDEX($L$18:$L$25,$AF63)+INDEX($M$18:$M$25,$AF63)))</f>
        <v/>
      </c>
      <c r="I63" s="43" t="str">
        <f>IF($A63="","",IFERROR(IF(INDEX(countries!$I:$I,MATCH($C63,countries!$D:$D,0))=0,$B$12,INDEX(countries!$I:$I,MATCH($C63,countries!$D:$D,0))),$B$12))</f>
        <v/>
      </c>
      <c r="J63" s="41" t="str">
        <f t="shared" si="12"/>
        <v/>
      </c>
      <c r="K63" s="42" t="str">
        <f t="shared" ca="1" si="13"/>
        <v/>
      </c>
      <c r="L63" t="str">
        <f>IF($A63="","",IF($AE63="OVF",IFERROR(INDEX(countries!$G:$G,MATCH($C63,countries!$D:$D,0)),"VERIFY"),IFERROR(INDEX(countries!$H:$H,MATCH($C63,countries!$D:$D,0)),"VERIFY")))</f>
        <v/>
      </c>
      <c r="M63" t="str">
        <f t="shared" si="14"/>
        <v/>
      </c>
      <c r="AE63" t="str">
        <f>IF($A63="","",IF($A63&lt;=COUNTIF(permit_calc!$L$3:$L$144,1),"OVF","LDG"))</f>
        <v/>
      </c>
      <c r="AF63" t="str">
        <f>IF($AE63="","",IF($AE63="OVF","",$A63-COUNTIF(permit_calc!$L$3:$L$144,1)))</f>
        <v/>
      </c>
    </row>
    <row r="64" spans="1:32" x14ac:dyDescent="0.3">
      <c r="A64" t="str">
        <f>IF(ROW()-29&gt;COUNTIF(permit_calc!$L$3:$L$144,1)+COUNTA($G$18:$G$25),"",ROW()-29)</f>
        <v/>
      </c>
      <c r="B64" t="str">
        <f>IF($A64="","",IF($AE64="OVF",INDEX(permit_calc!$B$3:$B$144,MATCH($A64,permit_calc!$N$3:$N$144,0)),IFERROR(INDEX(countries!$B:$B,MATCH($C64,countries!$D:$D,0)),$C64)))</f>
        <v/>
      </c>
      <c r="C64" t="str" cm="1">
        <f t="array" ref="C64">IF($A64="","",IF($AE64="OVF",INDEX(permit_calc!$A$3:$A$144,MATCH($A64,permit_calc!$N$3:$N$144,0)),INDEX($U$18:$U$25,$AF64)))</f>
        <v/>
      </c>
      <c r="D64" t="str">
        <f t="shared" si="11"/>
        <v/>
      </c>
      <c r="E64" t="str" cm="1">
        <f t="array" ref="E64">IF($A64="","",IF($AE64="OVF","",INDEX($G$18:$G$25,$AF64)))</f>
        <v/>
      </c>
      <c r="F64" t="str" cm="1">
        <f t="array" ref="F64">IF($A64="","",IF($AE64="OVF",INDEX(permit_calc!$M$3:$M$144,MATCH($A64,permit_calc!$N$3:$N$144,0)),INDEX($A$18:$A$25,$AF64)))</f>
        <v/>
      </c>
      <c r="G64" s="50"/>
      <c r="H64" s="41" t="str" cm="1">
        <f t="array" ref="H64">IF($A64="","",IF($AE64="OVF",INDEX($E$18:$E$25,INDEX(permit_calc!$O$3:$O$144,MATCH($A64,permit_calc!$N$3:$N$144,0)))+INDEX($F$18:$F$25,INDEX(permit_calc!$O$3:$O$144,MATCH($A64,permit_calc!$N$3:$N$144,0))),INDEX($L$18:$L$25,$AF64)+INDEX($M$18:$M$25,$AF64)))</f>
        <v/>
      </c>
      <c r="I64" s="43" t="str">
        <f>IF($A64="","",IFERROR(IF(INDEX(countries!$I:$I,MATCH($C64,countries!$D:$D,0))=0,$B$12,INDEX(countries!$I:$I,MATCH($C64,countries!$D:$D,0))),$B$12))</f>
        <v/>
      </c>
      <c r="J64" s="41" t="str">
        <f t="shared" si="12"/>
        <v/>
      </c>
      <c r="K64" s="42" t="str">
        <f t="shared" ca="1" si="13"/>
        <v/>
      </c>
      <c r="L64" t="str">
        <f>IF($A64="","",IF($AE64="OVF",IFERROR(INDEX(countries!$G:$G,MATCH($C64,countries!$D:$D,0)),"VERIFY"),IFERROR(INDEX(countries!$H:$H,MATCH($C64,countries!$D:$D,0)),"VERIFY")))</f>
        <v/>
      </c>
      <c r="M64" t="str">
        <f t="shared" si="14"/>
        <v/>
      </c>
      <c r="AE64" t="str">
        <f>IF($A64="","",IF($A64&lt;=COUNTIF(permit_calc!$L$3:$L$144,1),"OVF","LDG"))</f>
        <v/>
      </c>
      <c r="AF64" t="str">
        <f>IF($AE64="","",IF($AE64="OVF","",$A64-COUNTIF(permit_calc!$L$3:$L$144,1)))</f>
        <v/>
      </c>
    </row>
    <row r="65" spans="1:32" x14ac:dyDescent="0.3">
      <c r="A65" t="str">
        <f>IF(ROW()-29&gt;COUNTIF(permit_calc!$L$3:$L$144,1)+COUNTA($G$18:$G$25),"",ROW()-29)</f>
        <v/>
      </c>
      <c r="B65" t="str">
        <f>IF($A65="","",IF($AE65="OVF",INDEX(permit_calc!$B$3:$B$144,MATCH($A65,permit_calc!$N$3:$N$144,0)),IFERROR(INDEX(countries!$B:$B,MATCH($C65,countries!$D:$D,0)),$C65)))</f>
        <v/>
      </c>
      <c r="C65" t="str" cm="1">
        <f t="array" ref="C65">IF($A65="","",IF($AE65="OVF",INDEX(permit_calc!$A$3:$A$144,MATCH($A65,permit_calc!$N$3:$N$144,0)),INDEX($U$18:$U$25,$AF65)))</f>
        <v/>
      </c>
      <c r="D65" t="str">
        <f t="shared" si="11"/>
        <v/>
      </c>
      <c r="E65" t="str" cm="1">
        <f t="array" ref="E65">IF($A65="","",IF($AE65="OVF","",INDEX($G$18:$G$25,$AF65)))</f>
        <v/>
      </c>
      <c r="F65" t="str" cm="1">
        <f t="array" ref="F65">IF($A65="","",IF($AE65="OVF",INDEX(permit_calc!$M$3:$M$144,MATCH($A65,permit_calc!$N$3:$N$144,0)),INDEX($A$18:$A$25,$AF65)))</f>
        <v/>
      </c>
      <c r="G65" s="50"/>
      <c r="H65" s="41" t="str" cm="1">
        <f t="array" ref="H65">IF($A65="","",IF($AE65="OVF",INDEX($E$18:$E$25,INDEX(permit_calc!$O$3:$O$144,MATCH($A65,permit_calc!$N$3:$N$144,0)))+INDEX($F$18:$F$25,INDEX(permit_calc!$O$3:$O$144,MATCH($A65,permit_calc!$N$3:$N$144,0))),INDEX($L$18:$L$25,$AF65)+INDEX($M$18:$M$25,$AF65)))</f>
        <v/>
      </c>
      <c r="I65" s="43" t="str">
        <f>IF($A65="","",IFERROR(IF(INDEX(countries!$I:$I,MATCH($C65,countries!$D:$D,0))=0,$B$12,INDEX(countries!$I:$I,MATCH($C65,countries!$D:$D,0))),$B$12))</f>
        <v/>
      </c>
      <c r="J65" s="41" t="str">
        <f t="shared" si="12"/>
        <v/>
      </c>
      <c r="K65" s="42" t="str">
        <f t="shared" ca="1" si="13"/>
        <v/>
      </c>
      <c r="L65" t="str">
        <f>IF($A65="","",IF($AE65="OVF",IFERROR(INDEX(countries!$G:$G,MATCH($C65,countries!$D:$D,0)),"VERIFY"),IFERROR(INDEX(countries!$H:$H,MATCH($C65,countries!$D:$D,0)),"VERIFY")))</f>
        <v/>
      </c>
      <c r="M65" t="str">
        <f t="shared" si="14"/>
        <v/>
      </c>
      <c r="AE65" t="str">
        <f>IF($A65="","",IF($A65&lt;=COUNTIF(permit_calc!$L$3:$L$144,1),"OVF","LDG"))</f>
        <v/>
      </c>
      <c r="AF65" t="str">
        <f>IF($AE65="","",IF($AE65="OVF","",$A65-COUNTIF(permit_calc!$L$3:$L$144,1)))</f>
        <v/>
      </c>
    </row>
    <row r="66" spans="1:32" x14ac:dyDescent="0.3">
      <c r="A66" t="str">
        <f>IF(ROW()-29&gt;COUNTIF(permit_calc!$L$3:$L$144,1)+COUNTA($G$18:$G$25),"",ROW()-29)</f>
        <v/>
      </c>
      <c r="B66" t="str">
        <f>IF($A66="","",IF($AE66="OVF",INDEX(permit_calc!$B$3:$B$144,MATCH($A66,permit_calc!$N$3:$N$144,0)),IFERROR(INDEX(countries!$B:$B,MATCH($C66,countries!$D:$D,0)),$C66)))</f>
        <v/>
      </c>
      <c r="C66" t="str" cm="1">
        <f t="array" ref="C66">IF($A66="","",IF($AE66="OVF",INDEX(permit_calc!$A$3:$A$144,MATCH($A66,permit_calc!$N$3:$N$144,0)),INDEX($U$18:$U$25,$AF66)))</f>
        <v/>
      </c>
      <c r="D66" t="str">
        <f t="shared" si="11"/>
        <v/>
      </c>
      <c r="E66" t="str" cm="1">
        <f t="array" ref="E66">IF($A66="","",IF($AE66="OVF","",INDEX($G$18:$G$25,$AF66)))</f>
        <v/>
      </c>
      <c r="F66" t="str" cm="1">
        <f t="array" ref="F66">IF($A66="","",IF($AE66="OVF",INDEX(permit_calc!$M$3:$M$144,MATCH($A66,permit_calc!$N$3:$N$144,0)),INDEX($A$18:$A$25,$AF66)))</f>
        <v/>
      </c>
      <c r="G66" s="50"/>
      <c r="H66" s="41" t="str" cm="1">
        <f t="array" ref="H66">IF($A66="","",IF($AE66="OVF",INDEX($E$18:$E$25,INDEX(permit_calc!$O$3:$O$144,MATCH($A66,permit_calc!$N$3:$N$144,0)))+INDEX($F$18:$F$25,INDEX(permit_calc!$O$3:$O$144,MATCH($A66,permit_calc!$N$3:$N$144,0))),INDEX($L$18:$L$25,$AF66)+INDEX($M$18:$M$25,$AF66)))</f>
        <v/>
      </c>
      <c r="I66" s="43" t="str">
        <f>IF($A66="","",IFERROR(IF(INDEX(countries!$I:$I,MATCH($C66,countries!$D:$D,0))=0,$B$12,INDEX(countries!$I:$I,MATCH($C66,countries!$D:$D,0))),$B$12))</f>
        <v/>
      </c>
      <c r="J66" s="41" t="str">
        <f t="shared" si="12"/>
        <v/>
      </c>
      <c r="K66" s="42" t="str">
        <f t="shared" ca="1" si="13"/>
        <v/>
      </c>
      <c r="L66" t="str">
        <f>IF($A66="","",IF($AE66="OVF",IFERROR(INDEX(countries!$G:$G,MATCH($C66,countries!$D:$D,0)),"VERIFY"),IFERROR(INDEX(countries!$H:$H,MATCH($C66,countries!$D:$D,0)),"VERIFY")))</f>
        <v/>
      </c>
      <c r="M66" t="str">
        <f t="shared" si="14"/>
        <v/>
      </c>
      <c r="AE66" t="str">
        <f>IF($A66="","",IF($A66&lt;=COUNTIF(permit_calc!$L$3:$L$144,1),"OVF","LDG"))</f>
        <v/>
      </c>
      <c r="AF66" t="str">
        <f>IF($AE66="","",IF($AE66="OVF","",$A66-COUNTIF(permit_calc!$L$3:$L$144,1)))</f>
        <v/>
      </c>
    </row>
    <row r="67" spans="1:32" x14ac:dyDescent="0.3">
      <c r="A67" t="str">
        <f>IF(ROW()-29&gt;COUNTIF(permit_calc!$L$3:$L$144,1)+COUNTA($G$18:$G$25),"",ROW()-29)</f>
        <v/>
      </c>
      <c r="B67" t="str">
        <f>IF($A67="","",IF($AE67="OVF",INDEX(permit_calc!$B$3:$B$144,MATCH($A67,permit_calc!$N$3:$N$144,0)),IFERROR(INDEX(countries!$B:$B,MATCH($C67,countries!$D:$D,0)),$C67)))</f>
        <v/>
      </c>
      <c r="C67" t="str" cm="1">
        <f t="array" ref="C67">IF($A67="","",IF($AE67="OVF",INDEX(permit_calc!$A$3:$A$144,MATCH($A67,permit_calc!$N$3:$N$144,0)),INDEX($U$18:$U$25,$AF67)))</f>
        <v/>
      </c>
      <c r="D67" t="str">
        <f t="shared" si="11"/>
        <v/>
      </c>
      <c r="E67" t="str" cm="1">
        <f t="array" ref="E67">IF($A67="","",IF($AE67="OVF","",INDEX($G$18:$G$25,$AF67)))</f>
        <v/>
      </c>
      <c r="F67" t="str" cm="1">
        <f t="array" ref="F67">IF($A67="","",IF($AE67="OVF",INDEX(permit_calc!$M$3:$M$144,MATCH($A67,permit_calc!$N$3:$N$144,0)),INDEX($A$18:$A$25,$AF67)))</f>
        <v/>
      </c>
      <c r="G67" s="50"/>
      <c r="H67" s="41" t="str" cm="1">
        <f t="array" ref="H67">IF($A67="","",IF($AE67="OVF",INDEX($E$18:$E$25,INDEX(permit_calc!$O$3:$O$144,MATCH($A67,permit_calc!$N$3:$N$144,0)))+INDEX($F$18:$F$25,INDEX(permit_calc!$O$3:$O$144,MATCH($A67,permit_calc!$N$3:$N$144,0))),INDEX($L$18:$L$25,$AF67)+INDEX($M$18:$M$25,$AF67)))</f>
        <v/>
      </c>
      <c r="I67" s="43" t="str">
        <f>IF($A67="","",IFERROR(IF(INDEX(countries!$I:$I,MATCH($C67,countries!$D:$D,0))=0,$B$12,INDEX(countries!$I:$I,MATCH($C67,countries!$D:$D,0))),$B$12))</f>
        <v/>
      </c>
      <c r="J67" s="41" t="str">
        <f t="shared" si="12"/>
        <v/>
      </c>
      <c r="K67" s="42" t="str">
        <f t="shared" ca="1" si="13"/>
        <v/>
      </c>
      <c r="L67" t="str">
        <f>IF($A67="","",IF($AE67="OVF",IFERROR(INDEX(countries!$G:$G,MATCH($C67,countries!$D:$D,0)),"VERIFY"),IFERROR(INDEX(countries!$H:$H,MATCH($C67,countries!$D:$D,0)),"VERIFY")))</f>
        <v/>
      </c>
      <c r="M67" t="str">
        <f t="shared" si="14"/>
        <v/>
      </c>
      <c r="AE67" t="str">
        <f>IF($A67="","",IF($A67&lt;=COUNTIF(permit_calc!$L$3:$L$144,1),"OVF","LDG"))</f>
        <v/>
      </c>
      <c r="AF67" t="str">
        <f>IF($AE67="","",IF($AE67="OVF","",$A67-COUNTIF(permit_calc!$L$3:$L$144,1)))</f>
        <v/>
      </c>
    </row>
    <row r="68" spans="1:32" x14ac:dyDescent="0.3">
      <c r="A68" t="str">
        <f>IF(ROW()-29&gt;COUNTIF(permit_calc!$L$3:$L$144,1)+COUNTA($G$18:$G$25),"",ROW()-29)</f>
        <v/>
      </c>
      <c r="B68" t="str">
        <f>IF($A68="","",IF($AE68="OVF",INDEX(permit_calc!$B$3:$B$144,MATCH($A68,permit_calc!$N$3:$N$144,0)),IFERROR(INDEX(countries!$B:$B,MATCH($C68,countries!$D:$D,0)),$C68)))</f>
        <v/>
      </c>
      <c r="C68" t="str" cm="1">
        <f t="array" ref="C68">IF($A68="","",IF($AE68="OVF",INDEX(permit_calc!$A$3:$A$144,MATCH($A68,permit_calc!$N$3:$N$144,0)),INDEX($U$18:$U$25,$AF68)))</f>
        <v/>
      </c>
      <c r="D68" t="str">
        <f t="shared" si="11"/>
        <v/>
      </c>
      <c r="E68" t="str" cm="1">
        <f t="array" ref="E68">IF($A68="","",IF($AE68="OVF","",INDEX($G$18:$G$25,$AF68)))</f>
        <v/>
      </c>
      <c r="F68" t="str" cm="1">
        <f t="array" ref="F68">IF($A68="","",IF($AE68="OVF",INDEX(permit_calc!$M$3:$M$144,MATCH($A68,permit_calc!$N$3:$N$144,0)),INDEX($A$18:$A$25,$AF68)))</f>
        <v/>
      </c>
      <c r="G68" s="50"/>
      <c r="H68" s="41" t="str" cm="1">
        <f t="array" ref="H68">IF($A68="","",IF($AE68="OVF",INDEX($E$18:$E$25,INDEX(permit_calc!$O$3:$O$144,MATCH($A68,permit_calc!$N$3:$N$144,0)))+INDEX($F$18:$F$25,INDEX(permit_calc!$O$3:$O$144,MATCH($A68,permit_calc!$N$3:$N$144,0))),INDEX($L$18:$L$25,$AF68)+INDEX($M$18:$M$25,$AF68)))</f>
        <v/>
      </c>
      <c r="I68" s="43" t="str">
        <f>IF($A68="","",IFERROR(IF(INDEX(countries!$I:$I,MATCH($C68,countries!$D:$D,0))=0,$B$12,INDEX(countries!$I:$I,MATCH($C68,countries!$D:$D,0))),$B$12))</f>
        <v/>
      </c>
      <c r="J68" s="41" t="str">
        <f t="shared" si="12"/>
        <v/>
      </c>
      <c r="K68" s="42" t="str">
        <f t="shared" ca="1" si="13"/>
        <v/>
      </c>
      <c r="L68" t="str">
        <f>IF($A68="","",IF($AE68="OVF",IFERROR(INDEX(countries!$G:$G,MATCH($C68,countries!$D:$D,0)),"VERIFY"),IFERROR(INDEX(countries!$H:$H,MATCH($C68,countries!$D:$D,0)),"VERIFY")))</f>
        <v/>
      </c>
      <c r="M68" t="str">
        <f t="shared" si="14"/>
        <v/>
      </c>
      <c r="AE68" t="str">
        <f>IF($A68="","",IF($A68&lt;=COUNTIF(permit_calc!$L$3:$L$144,1),"OVF","LDG"))</f>
        <v/>
      </c>
      <c r="AF68" t="str">
        <f>IF($AE68="","",IF($AE68="OVF","",$A68-COUNTIF(permit_calc!$L$3:$L$144,1)))</f>
        <v/>
      </c>
    </row>
    <row r="69" spans="1:32" x14ac:dyDescent="0.3">
      <c r="A69" t="str">
        <f>IF(ROW()-29&gt;COUNTIF(permit_calc!$L$3:$L$144,1)+COUNTA($G$18:$G$25),"",ROW()-29)</f>
        <v/>
      </c>
      <c r="B69" t="str">
        <f>IF($A69="","",IF($AE69="OVF",INDEX(permit_calc!$B$3:$B$144,MATCH($A69,permit_calc!$N$3:$N$144,0)),IFERROR(INDEX(countries!$B:$B,MATCH($C69,countries!$D:$D,0)),$C69)))</f>
        <v/>
      </c>
      <c r="C69" t="str" cm="1">
        <f t="array" ref="C69">IF($A69="","",IF($AE69="OVF",INDEX(permit_calc!$A$3:$A$144,MATCH($A69,permit_calc!$N$3:$N$144,0)),INDEX($U$18:$U$25,$AF69)))</f>
        <v/>
      </c>
      <c r="D69" t="str">
        <f t="shared" si="11"/>
        <v/>
      </c>
      <c r="E69" t="str" cm="1">
        <f t="array" ref="E69">IF($A69="","",IF($AE69="OVF","",INDEX($G$18:$G$25,$AF69)))</f>
        <v/>
      </c>
      <c r="F69" t="str" cm="1">
        <f t="array" ref="F69">IF($A69="","",IF($AE69="OVF",INDEX(permit_calc!$M$3:$M$144,MATCH($A69,permit_calc!$N$3:$N$144,0)),INDEX($A$18:$A$25,$AF69)))</f>
        <v/>
      </c>
      <c r="G69" s="50"/>
      <c r="H69" s="41" t="str" cm="1">
        <f t="array" ref="H69">IF($A69="","",IF($AE69="OVF",INDEX($E$18:$E$25,INDEX(permit_calc!$O$3:$O$144,MATCH($A69,permit_calc!$N$3:$N$144,0)))+INDEX($F$18:$F$25,INDEX(permit_calc!$O$3:$O$144,MATCH($A69,permit_calc!$N$3:$N$144,0))),INDEX($L$18:$L$25,$AF69)+INDEX($M$18:$M$25,$AF69)))</f>
        <v/>
      </c>
      <c r="I69" s="43" t="str">
        <f>IF($A69="","",IFERROR(IF(INDEX(countries!$I:$I,MATCH($C69,countries!$D:$D,0))=0,$B$12,INDEX(countries!$I:$I,MATCH($C69,countries!$D:$D,0))),$B$12))</f>
        <v/>
      </c>
      <c r="J69" s="41" t="str">
        <f t="shared" si="12"/>
        <v/>
      </c>
      <c r="K69" s="42" t="str">
        <f t="shared" ca="1" si="13"/>
        <v/>
      </c>
      <c r="L69" t="str">
        <f>IF($A69="","",IF($AE69="OVF",IFERROR(INDEX(countries!$G:$G,MATCH($C69,countries!$D:$D,0)),"VERIFY"),IFERROR(INDEX(countries!$H:$H,MATCH($C69,countries!$D:$D,0)),"VERIFY")))</f>
        <v/>
      </c>
      <c r="M69" t="str">
        <f t="shared" si="14"/>
        <v/>
      </c>
      <c r="AE69" t="str">
        <f>IF($A69="","",IF($A69&lt;=COUNTIF(permit_calc!$L$3:$L$144,1),"OVF","LDG"))</f>
        <v/>
      </c>
      <c r="AF69" t="str">
        <f>IF($AE69="","",IF($AE69="OVF","",$A69-COUNTIF(permit_calc!$L$3:$L$144,1)))</f>
        <v/>
      </c>
    </row>
    <row r="70" spans="1:32" x14ac:dyDescent="0.3">
      <c r="A70" s="54" t="str">
        <f>IF(COUNTIF(permit_calc!$L$3:$L$144,1)+COUNTA($G$18:$G$25)&gt;40,"WARNING: more permit lines than rows available in section 3 - extend the block below row 69","")</f>
        <v/>
      </c>
    </row>
    <row r="71" spans="1:32" x14ac:dyDescent="0.3">
      <c r="A71" s="25" t="s">
        <v>4704</v>
      </c>
      <c r="B71" s="25"/>
      <c r="C71" s="25"/>
      <c r="D71" s="25"/>
      <c r="E71" s="25"/>
      <c r="F71" s="25"/>
      <c r="G71" s="25"/>
      <c r="H71" s="25"/>
      <c r="I71" s="25"/>
      <c r="J71" s="25"/>
      <c r="K71" s="25"/>
      <c r="L71" s="25"/>
      <c r="M71" s="25"/>
      <c r="N71" s="25"/>
      <c r="O71" s="25"/>
      <c r="P71" s="25"/>
      <c r="Q71" s="25"/>
      <c r="R71" s="25"/>
      <c r="S71" s="25"/>
      <c r="T71" s="25"/>
      <c r="U71" s="25"/>
      <c r="V71" s="25"/>
    </row>
    <row r="72" spans="1:32" x14ac:dyDescent="0.3">
      <c r="H72" s="51" t="str">
        <f>IFERROR(INDEX('SERVICE CATALOGUE'!$B$3:$B$100,MATCH(COLUMN()-7,'SERVICE CATALOGUE'!$F$3:$F$100,0)),"")</f>
        <v>Ground Handling</v>
      </c>
      <c r="I72" s="51" t="str">
        <f>IFERROR(INDEX('SERVICE CATALOGUE'!$B$3:$B$100,MATCH(COLUMN()-7,'SERVICE CATALOGUE'!$F$3:$F$100,0)),"")</f>
        <v>Fuel</v>
      </c>
      <c r="J72" s="51" t="str">
        <f>IFERROR(INDEX('SERVICE CATALOGUE'!$B$3:$B$100,MATCH(COLUMN()-7,'SERVICE CATALOGUE'!$F$3:$F$100,0)),"")</f>
        <v>Catering</v>
      </c>
      <c r="K72" s="51" t="str">
        <f>IFERROR(INDEX('SERVICE CATALOGUE'!$B$3:$B$100,MATCH(COLUMN()-7,'SERVICE CATALOGUE'!$F$3:$F$100,0)),"")</f>
        <v>Navigation &amp; Enroute Charges</v>
      </c>
      <c r="L72" s="51" t="str">
        <f>IFERROR(INDEX('SERVICE CATALOGUE'!$B$3:$B$100,MATCH(COLUMN()-7,'SERVICE CATALOGUE'!$F$3:$F$100,0)),"")</f>
        <v>Slots, PPR &amp; Parking</v>
      </c>
      <c r="M72" s="51" t="str">
        <f>IFERROR(INDEX('SERVICE CATALOGUE'!$B$3:$B$100,MATCH(COLUMN()-7,'SERVICE CATALOGUE'!$F$3:$F$100,0)),"")</f>
        <v>Security</v>
      </c>
      <c r="N72" s="51" t="str">
        <f>IFERROR(INDEX('SERVICE CATALOGUE'!$B$3:$B$100,MATCH(COLUMN()-7,'SERVICE CATALOGUE'!$F$3:$F$100,0)),"")</f>
        <v>Crew Services</v>
      </c>
      <c r="O72" s="51" t="str">
        <f>IFERROR(INDEX('SERVICE CATALOGUE'!$B$3:$B$100,MATCH(COLUMN()-7,'SERVICE CATALOGUE'!$F$3:$F$100,0)),"")</f>
        <v>Flight Planning &amp; Dispatch</v>
      </c>
      <c r="P72" s="51" t="str">
        <f>IFERROR(INDEX('SERVICE CATALOGUE'!$B$3:$B$100,MATCH(COLUMN()-7,'SERVICE CATALOGUE'!$F$3:$F$100,0)),"")</f>
        <v>Maintenance</v>
      </c>
      <c r="Q72" s="51" t="str">
        <f>IFERROR(INDEX('SERVICE CATALOGUE'!$B$3:$B$100,MATCH(COLUMN()-7,'SERVICE CATALOGUE'!$F$3:$F$100,0)),"")</f>
        <v>Medical &amp; Medevac</v>
      </c>
      <c r="R72" s="51" t="str">
        <f>IFERROR(INDEX('SERVICE CATALOGUE'!$B$3:$B$100,MATCH(COLUMN()-7,'SERVICE CATALOGUE'!$F$3:$F$100,0)),"")</f>
        <v>Customs &amp; Immigration</v>
      </c>
      <c r="S72" s="51" t="str">
        <f>IFERROR(INDEX('SERVICE CATALOGUE'!$B$3:$B$100,MATCH(COLUMN()-7,'SERVICE CATALOGUE'!$F$3:$F$100,0)),"")</f>
        <v>Crew transport</v>
      </c>
      <c r="T72" s="51" t="str">
        <f>IFERROR(INDEX('SERVICE CATALOGUE'!$B$3:$B$100,MATCH(COLUMN()-7,'SERVICE CATALOGUE'!$F$3:$F$100,0)),"")</f>
        <v>Pax transport</v>
      </c>
      <c r="U72" s="51" t="str">
        <f>IFERROR(INDEX('SERVICE CATALOGUE'!$B$3:$B$100,MATCH(COLUMN()-7,'SERVICE CATALOGUE'!$F$3:$F$100,0)),"")</f>
        <v>Crew Hotel</v>
      </c>
      <c r="V72" s="51" t="str">
        <f>IFERROR(INDEX('SERVICE CATALOGUE'!$B$3:$B$100,MATCH(COLUMN()-7,'SERVICE CATALOGUE'!$F$3:$F$100,0)),"")</f>
        <v>Pax Hotel</v>
      </c>
      <c r="W72" s="51" t="s">
        <v>5285</v>
      </c>
    </row>
    <row r="73" spans="1:32" x14ac:dyDescent="0.3">
      <c r="A73" s="46" t="s">
        <v>4705</v>
      </c>
      <c r="B73" s="46" t="s">
        <v>4314</v>
      </c>
      <c r="C73" s="46" t="s">
        <v>4505</v>
      </c>
      <c r="D73" s="46" t="s">
        <v>4706</v>
      </c>
      <c r="E73" s="46" t="s">
        <v>4315</v>
      </c>
      <c r="F73" s="46" t="s">
        <v>4707</v>
      </c>
      <c r="G73" s="46" t="s">
        <v>4708</v>
      </c>
      <c r="H73" s="46" t="str">
        <f>IFERROR(INDEX('SERVICE CATALOGUE'!$C$3:$C$100,MATCH(COLUMN()-7,'SERVICE CATALOGUE'!$F$3:$F$100,0)),"")</f>
        <v>GH</v>
      </c>
      <c r="I73" s="46" t="str">
        <f>IFERROR(INDEX('SERVICE CATALOGUE'!$C$3:$C$100,MATCH(COLUMN()-7,'SERVICE CATALOGUE'!$F$3:$F$100,0)),"")</f>
        <v>FUL</v>
      </c>
      <c r="J73" s="46" t="str">
        <f>IFERROR(INDEX('SERVICE CATALOGUE'!$C$3:$C$100,MATCH(COLUMN()-7,'SERVICE CATALOGUE'!$F$3:$F$100,0)),"")</f>
        <v>CAT</v>
      </c>
      <c r="K73" s="46" t="str">
        <f>IFERROR(INDEX('SERVICE CATALOGUE'!$C$3:$C$100,MATCH(COLUMN()-7,'SERVICE CATALOGUE'!$F$3:$F$100,0)),"")</f>
        <v>NAV</v>
      </c>
      <c r="L73" s="46" t="str">
        <f>IFERROR(INDEX('SERVICE CATALOGUE'!$C$3:$C$100,MATCH(COLUMN()-7,'SERVICE CATALOGUE'!$F$3:$F$100,0)),"")</f>
        <v>SLT</v>
      </c>
      <c r="M73" s="46" t="str">
        <f>IFERROR(INDEX('SERVICE CATALOGUE'!$C$3:$C$100,MATCH(COLUMN()-7,'SERVICE CATALOGUE'!$F$3:$F$100,0)),"")</f>
        <v>SEC</v>
      </c>
      <c r="N73" s="46" t="str">
        <f>IFERROR(INDEX('SERVICE CATALOGUE'!$C$3:$C$100,MATCH(COLUMN()-7,'SERVICE CATALOGUE'!$F$3:$F$100,0)),"")</f>
        <v>CRW</v>
      </c>
      <c r="O73" s="46" t="str">
        <f>IFERROR(INDEX('SERVICE CATALOGUE'!$C$3:$C$100,MATCH(COLUMN()-7,'SERVICE CATALOGUE'!$F$3:$F$100,0)),"")</f>
        <v>FPL</v>
      </c>
      <c r="P73" s="46" t="str">
        <f>IFERROR(INDEX('SERVICE CATALOGUE'!$C$3:$C$100,MATCH(COLUMN()-7,'SERVICE CATALOGUE'!$F$3:$F$100,0)),"")</f>
        <v>MRO</v>
      </c>
      <c r="Q73" s="46" t="str">
        <f>IFERROR(INDEX('SERVICE CATALOGUE'!$C$3:$C$100,MATCH(COLUMN()-7,'SERVICE CATALOGUE'!$F$3:$F$100,0)),"")</f>
        <v>MED</v>
      </c>
      <c r="R73" s="46" t="str">
        <f>IFERROR(INDEX('SERVICE CATALOGUE'!$C$3:$C$100,MATCH(COLUMN()-7,'SERVICE CATALOGUE'!$F$3:$F$100,0)),"")</f>
        <v>CIQ</v>
      </c>
      <c r="S73" s="46" t="str">
        <f>IFERROR(INDEX('SERVICE CATALOGUE'!$C$3:$C$100,MATCH(COLUMN()-7,'SERVICE CATALOGUE'!$F$3:$F$100,0)),"")</f>
        <v>CRT</v>
      </c>
      <c r="T73" s="46" t="str">
        <f>IFERROR(INDEX('SERVICE CATALOGUE'!$C$3:$C$100,MATCH(COLUMN()-7,'SERVICE CATALOGUE'!$F$3:$F$100,0)),"")</f>
        <v>PXT</v>
      </c>
      <c r="U73" s="46" t="str">
        <f>IFERROR(INDEX('SERVICE CATALOGUE'!$C$3:$C$100,MATCH(COLUMN()-7,'SERVICE CATALOGUE'!$F$3:$F$100,0)),"")</f>
        <v>CRH</v>
      </c>
      <c r="V73" s="46" t="str">
        <f>IFERROR(INDEX('SERVICE CATALOGUE'!$C$3:$C$100,MATCH(COLUMN()-7,'SERVICE CATALOGUE'!$F$3:$F$100,0)),"")</f>
        <v>PXH</v>
      </c>
      <c r="W73" s="46" t="s">
        <v>5280</v>
      </c>
      <c r="X73" s="46" t="s">
        <v>5281</v>
      </c>
      <c r="Y73" s="46" t="s">
        <v>5282</v>
      </c>
      <c r="Z73" s="46" t="s">
        <v>5283</v>
      </c>
      <c r="AA73" s="46" t="s">
        <v>5284</v>
      </c>
      <c r="AB73" s="46" t="s">
        <v>5289</v>
      </c>
      <c r="AC73" s="46" t="s">
        <v>6065</v>
      </c>
      <c r="AD73" s="46" t="s">
        <v>6066</v>
      </c>
    </row>
    <row r="74" spans="1:32" x14ac:dyDescent="0.3">
      <c r="A74">
        <f>IF(ROW()-73&gt;SUM($AO$18:$AO$26),"",ROW()-73)</f>
        <v>1</v>
      </c>
      <c r="B74" t="str">
        <f>IF($A74="","",IFERROR(INDEX(countries!$B:$B,MATCH($C74,countries!$D:$D,0)),$C74))</f>
        <v>South Africa</v>
      </c>
      <c r="C74" t="str">
        <f>IF($A74="","",INDEX($AK$18:$AK$26,MATCH($A74,$AP$18:$AP$26,0)))</f>
        <v>ZAF</v>
      </c>
      <c r="D74" t="str" cm="1">
        <f t="array" ref="D74">IF($A74="","",_xlfn.TEXTJOIN(", ",TRUE,IF($AK$18:$AK$26=$C74,$AL$18:$AL$26,"")))</f>
        <v>FALA, FAOR</v>
      </c>
      <c r="E74" t="str" cm="1">
        <f t="array" ref="E74">IF($A74="","",_xlfn.TEXTJOIN(", ",TRUE,IF($AK$18:$AK$26=$C74,$AM$18:$AM$26,"")))</f>
        <v>L1, L4</v>
      </c>
      <c r="F74" s="41">
        <f>IF($A74="","",_xlfn.MINIFS($AN$18:$AN$26,$AK$18:$AK$26,$C74))</f>
        <v>46248.375</v>
      </c>
      <c r="G74" s="43">
        <f>IF($A74="","",COUNTA($H74:$V74))</f>
        <v>1</v>
      </c>
      <c r="H74" s="52" t="s">
        <v>17</v>
      </c>
      <c r="I74" s="52"/>
      <c r="J74" s="52"/>
      <c r="K74" s="52"/>
      <c r="L74" s="52"/>
      <c r="M74" s="52"/>
      <c r="N74" s="52"/>
      <c r="O74" s="52"/>
      <c r="P74" s="52"/>
      <c r="Q74" s="52"/>
      <c r="R74" s="52"/>
      <c r="S74" s="52"/>
      <c r="T74" s="52"/>
      <c r="U74" s="52"/>
      <c r="V74" s="52"/>
      <c r="W74" s="4" t="s">
        <v>5286</v>
      </c>
      <c r="X74" t="str">
        <f>IF($A74="","",IFERROR(INDEX(countries!$L:$L,MATCH($C74,countries!$D:$D,0)),"VERIFY"))</f>
        <v>VERIFY</v>
      </c>
      <c r="Y74" t="str">
        <f>IF($A74="","",IFERROR(INDEX(countries!$M:$M,MATCH($C74,countries!$D:$D,0)),"VERIFY"))</f>
        <v>VERIFY</v>
      </c>
      <c r="Z74" t="str">
        <f>IF($A74="","",IFERROR(INDEX(HANDLERS!$B$4:$B$250,MATCH(TRIM(LEFT($D74&amp;",",FIND(",",$D74&amp;",")-1)),HANDLERS!$C$4:$C$250,0)),IFERROR(INDEX(Vendors!$B:$B,MATCH(INDEX(vendor_coverage_countries!$B:$B,MATCH(IFERROR(INDEX(countries!$C:$C,MATCH($C74,countries!$D:$D,0)),""),vendor_coverage_countries!$C:$C,0)),Vendors!$A:$A,0)),"NO VENDOR ON FILE FOR THIS STATE")))</f>
        <v>ExecuJet</v>
      </c>
      <c r="AA74" t="str">
        <f>IF($A74="","",IF(ISNUMBER(MATCH(TRIM(LEFT($D74&amp;",",FIND(",",$D74&amp;",")-1)),HANDLERS!$C$4:$C$250,0)),"HANDLERS (station "&amp;TRIM(LEFT($D74&amp;",",FIND(",",$D74&amp;",")-1))&amp;")",IF($AB74=0,"-","vendor_coverage_countries")))</f>
        <v>HANDLERS (station FALA)</v>
      </c>
      <c r="AB74">
        <f>IF($A74="","",COUNTIF(vendor_coverage_countries!$C:$C,IFERROR(INDEX(countries!$C:$C,MATCH($C74,countries!$D:$D,0)),"")))</f>
        <v>12</v>
      </c>
      <c r="AC74" t="str">
        <f>IF($A74="","",IFERROR(INDEX(HANDLERS!$D$4:$D$250,MATCH(TRIM(LEFT($D74&amp;",",FIND(",",$D74&amp;",")-1)),HANDLERS!$C$4:$C$250,0)),""))</f>
        <v>Wilson Thabetha</v>
      </c>
      <c r="AD74" t="str">
        <f>IF($A74="","",IFERROR(INDEX(HANDLERS!$E$4:$E$250,MATCH(TRIM(LEFT($D74&amp;",",FIND(",",$D74&amp;",")-1)),HANDLERS!$C$4:$C$250,0)),""))</f>
        <v>wilson.thabetha@execujet.com</v>
      </c>
    </row>
    <row r="75" spans="1:32" x14ac:dyDescent="0.3">
      <c r="A75">
        <f t="shared" ref="A75:A82" si="15">IF(ROW()-73&gt;SUM($AO$18:$AO$26),"",ROW()-73)</f>
        <v>2</v>
      </c>
      <c r="B75" t="str">
        <f>IF($A75="","",IFERROR(INDEX(countries!$B:$B,MATCH($C75,countries!$D:$D,0)),$C75))</f>
        <v>Chad</v>
      </c>
      <c r="C75" t="str">
        <f t="shared" ref="C75:C82" si="16">IF($A75="","",INDEX($AK$18:$AK$26,MATCH($A75,$AP$18:$AP$26,0)))</f>
        <v>TCD</v>
      </c>
      <c r="D75" t="str" cm="1">
        <f t="array" ref="D75">IF($A75="","",_xlfn.TEXTJOIN(", ",TRUE,IF($AK$18:$AK$26=$C75,$AL$18:$AL$26,"")))</f>
        <v>FTTJ</v>
      </c>
      <c r="E75" t="str" cm="1">
        <f t="array" ref="E75">IF($A75="","",_xlfn.TEXTJOIN(", ",TRUE,IF($AK$18:$AK$26=$C75,$AM$18:$AM$26,"")))</f>
        <v>L1</v>
      </c>
      <c r="F75" s="41">
        <f t="shared" ref="F75:F82" si="17">IF($A75="","",_xlfn.MINIFS($AN$18:$AN$26,$AK$18:$AK$26,$C75))</f>
        <v>46248.605000000003</v>
      </c>
      <c r="G75" s="43">
        <f t="shared" ref="G75:G82" si="18">IF($A75="","",COUNTA($H75:$V75))</f>
        <v>1</v>
      </c>
      <c r="H75" s="52" t="s">
        <v>17</v>
      </c>
      <c r="I75" s="52"/>
      <c r="J75" s="52"/>
      <c r="K75" s="52"/>
      <c r="L75" s="52"/>
      <c r="M75" s="52"/>
      <c r="N75" s="52"/>
      <c r="O75" s="52"/>
      <c r="P75" s="52"/>
      <c r="Q75" s="52"/>
      <c r="R75" s="52"/>
      <c r="S75" s="52"/>
      <c r="T75" s="52"/>
      <c r="U75" s="52"/>
      <c r="V75" s="52"/>
      <c r="W75" s="4" t="s">
        <v>5287</v>
      </c>
      <c r="X75" t="str">
        <f>IF($A75="","",IFERROR(INDEX(countries!$L:$L,MATCH($C75,countries!$D:$D,0)),"VERIFY"))</f>
        <v>VERIFY</v>
      </c>
      <c r="Y75" t="str">
        <f>IF($A75="","",IFERROR(INDEX(countries!$M:$M,MATCH($C75,countries!$D:$D,0)),"VERIFY"))</f>
        <v>VERIFY</v>
      </c>
      <c r="Z75" t="str">
        <f>IF($A75="","",IFERROR(INDEX(HANDLERS!$B$4:$B$250,MATCH(TRIM(LEFT($D75&amp;",",FIND(",",$D75&amp;",")-1)),HANDLERS!$C$4:$C$250,0)),IFERROR(INDEX(Vendors!$B:$B,MATCH(INDEX(vendor_coverage_countries!$B:$B,MATCH(IFERROR(INDEX(countries!$C:$C,MATCH($C75,countries!$D:$D,0)),""),vendor_coverage_countries!$C:$C,0)),Vendors!$A:$A,0)),"NO VENDOR ON FILE FOR THIS STATE")))</f>
        <v>GAS</v>
      </c>
      <c r="AA75" t="str">
        <f>IF($A75="","",IF(ISNUMBER(MATCH(TRIM(LEFT($D75&amp;",",FIND(",",$D75&amp;",")-1)),HANDLERS!$C$4:$C$250,0)),"HANDLERS (station "&amp;TRIM(LEFT($D75&amp;",",FIND(",",$D75&amp;",")-1))&amp;")",IF($AB75=0,"-","vendor_coverage_countries")))</f>
        <v>HANDLERS (station FTTJ)</v>
      </c>
      <c r="AB75">
        <f>IF($A75="","",COUNTIF(vendor_coverage_countries!$C:$C,IFERROR(INDEX(countries!$C:$C,MATCH($C75,countries!$D:$D,0)),"")))</f>
        <v>1</v>
      </c>
      <c r="AC75" t="str">
        <f>IF($A75="","",IFERROR(INDEX(HANDLERS!$D$4:$D$250,MATCH(TRIM(LEFT($D75&amp;",",FIND(",",$D75&amp;",")-1)),HANDLERS!$C$4:$C$250,0)),""))</f>
        <v>Youssouf Alkhali</v>
      </c>
      <c r="AD75" t="str">
        <f>IF($A75="","",IFERROR(INDEX(HANDLERS!$E$4:$E$250,MATCH(TRIM(LEFT($D75&amp;",",FIND(",",$D75&amp;",")-1)),HANDLERS!$C$4:$C$250,0)),""))</f>
        <v>alkhaliservice@gmail.com</v>
      </c>
    </row>
    <row r="76" spans="1:32" x14ac:dyDescent="0.3">
      <c r="A76">
        <f t="shared" si="15"/>
        <v>3</v>
      </c>
      <c r="B76" t="str">
        <f>IF($A76="","",IFERROR(INDEX(countries!$B:$B,MATCH($C76,countries!$D:$D,0)),$C76))</f>
        <v>Egypt</v>
      </c>
      <c r="C76" t="str">
        <f t="shared" si="16"/>
        <v>EGY</v>
      </c>
      <c r="D76" t="str" cm="1">
        <f t="array" ref="D76">IF($A76="","",_xlfn.TEXTJOIN(", ",TRUE,IF($AK$18:$AK$26=$C76,$AL$18:$AL$26,"")))</f>
        <v>HECA</v>
      </c>
      <c r="E76" t="str" cm="1">
        <f t="array" ref="E76">IF($A76="","",_xlfn.TEXTJOIN(", ",TRUE,IF($AK$18:$AK$26=$C76,$AM$18:$AM$26,"")))</f>
        <v>L2</v>
      </c>
      <c r="F76" s="41">
        <f t="shared" si="17"/>
        <v>46250.39166666667</v>
      </c>
      <c r="G76" s="43">
        <f t="shared" si="18"/>
        <v>1</v>
      </c>
      <c r="H76" s="52" t="s">
        <v>17</v>
      </c>
      <c r="I76" s="52"/>
      <c r="J76" s="52"/>
      <c r="K76" s="52"/>
      <c r="L76" s="52"/>
      <c r="M76" s="52"/>
      <c r="N76" s="52"/>
      <c r="O76" s="52"/>
      <c r="P76" s="52"/>
      <c r="Q76" s="52"/>
      <c r="R76" s="52"/>
      <c r="S76" s="52"/>
      <c r="T76" s="52"/>
      <c r="U76" s="52"/>
      <c r="V76" s="52"/>
      <c r="W76" s="4" t="s">
        <v>5286</v>
      </c>
      <c r="X76" t="str">
        <f>IF($A76="","",IFERROR(INDEX(countries!$L:$L,MATCH($C76,countries!$D:$D,0)),"VERIFY"))</f>
        <v>VERIFY</v>
      </c>
      <c r="Y76" t="str">
        <f>IF($A76="","",IFERROR(INDEX(countries!$M:$M,MATCH($C76,countries!$D:$D,0)),"VERIFY"))</f>
        <v>VERIFY</v>
      </c>
      <c r="Z76" t="str">
        <f>IF($A76="","",IFERROR(INDEX(HANDLERS!$B$4:$B$250,MATCH(TRIM(LEFT($D76&amp;",",FIND(",",$D76&amp;",")-1)),HANDLERS!$C$4:$C$250,0)),IFERROR(INDEX(Vendors!$B:$B,MATCH(INDEX(vendor_coverage_countries!$B:$B,MATCH(IFERROR(INDEX(countries!$C:$C,MATCH($C76,countries!$D:$D,0)),""),vendor_coverage_countries!$C:$C,0)),Vendors!$A:$A,0)),"NO VENDOR ON FILE FOR THIS STATE")))</f>
        <v>Egypt Jet Aviation</v>
      </c>
      <c r="AA76" t="str">
        <f>IF($A76="","",IF(ISNUMBER(MATCH(TRIM(LEFT($D76&amp;",",FIND(",",$D76&amp;",")-1)),HANDLERS!$C$4:$C$250,0)),"HANDLERS (station "&amp;TRIM(LEFT($D76&amp;",",FIND(",",$D76&amp;",")-1))&amp;")",IF($AB76=0,"-","vendor_coverage_countries")))</f>
        <v>HANDLERS (station HECA)</v>
      </c>
      <c r="AB76">
        <f>IF($A76="","",COUNTIF(vendor_coverage_countries!$C:$C,IFERROR(INDEX(countries!$C:$C,MATCH($C76,countries!$D:$D,0)),"")))</f>
        <v>10</v>
      </c>
      <c r="AC76" t="str">
        <f>IF($A76="","",IFERROR(INDEX(HANDLERS!$D$4:$D$250,MATCH(TRIM(LEFT($D76&amp;",",FIND(",",$D76&amp;",")-1)),HANDLERS!$C$4:$C$250,0)),""))</f>
        <v>Ahmed Hamdy</v>
      </c>
      <c r="AD76" t="str">
        <f>IF($A76="","",IFERROR(INDEX(HANDLERS!$E$4:$E$250,MATCH(TRIM(LEFT($D76&amp;",",FIND(",",$D76&amp;",")-1)),HANDLERS!$C$4:$C$250,0)),""))</f>
        <v>ops@eja.com.eg</v>
      </c>
    </row>
    <row r="77" spans="1:32" x14ac:dyDescent="0.3">
      <c r="A77">
        <f t="shared" si="15"/>
        <v>4</v>
      </c>
      <c r="B77" t="str">
        <f>IF($A77="","",IFERROR(INDEX(countries!$B:$B,MATCH($C77,countries!$D:$D,0)),$C77))</f>
        <v>Morocco</v>
      </c>
      <c r="C77" t="str">
        <f t="shared" si="16"/>
        <v>MAR</v>
      </c>
      <c r="D77" t="str" cm="1">
        <f t="array" ref="D77">IF($A77="","",_xlfn.TEXTJOIN(", ",TRUE,IF($AK$18:$AK$26=$C77,$AL$18:$AL$26,"")))</f>
        <v>GMAD</v>
      </c>
      <c r="E77" t="str" cm="1">
        <f t="array" ref="E77">IF($A77="","",_xlfn.TEXTJOIN(", ",TRUE,IF($AK$18:$AK$26=$C77,$AM$18:$AM$26,"")))</f>
        <v>L3</v>
      </c>
      <c r="F77" s="41">
        <f t="shared" si="17"/>
        <v>46251.369999999995</v>
      </c>
      <c r="G77" s="43">
        <f t="shared" si="18"/>
        <v>1</v>
      </c>
      <c r="H77" s="52" t="s">
        <v>17</v>
      </c>
      <c r="I77" s="52"/>
      <c r="J77" s="52"/>
      <c r="K77" s="52"/>
      <c r="L77" s="52"/>
      <c r="M77" s="52"/>
      <c r="N77" s="52"/>
      <c r="O77" s="52"/>
      <c r="P77" s="52"/>
      <c r="Q77" s="52"/>
      <c r="R77" s="52"/>
      <c r="S77" s="52"/>
      <c r="T77" s="52"/>
      <c r="U77" s="52"/>
      <c r="V77" s="52"/>
      <c r="W77" s="4" t="s">
        <v>5288</v>
      </c>
      <c r="X77" t="str">
        <f>IF($A77="","",IFERROR(INDEX(countries!$L:$L,MATCH($C77,countries!$D:$D,0)),"VERIFY"))</f>
        <v>VERIFY</v>
      </c>
      <c r="Y77" t="str">
        <f>IF($A77="","",IFERROR(INDEX(countries!$M:$M,MATCH($C77,countries!$D:$D,0)),"VERIFY"))</f>
        <v>VERIFY</v>
      </c>
      <c r="Z77" t="str">
        <f>IF($A77="","",IFERROR(INDEX(HANDLERS!$B$4:$B$250,MATCH(TRIM(LEFT($D77&amp;",",FIND(",",$D77&amp;",")-1)),HANDLERS!$C$4:$C$250,0)),IFERROR(INDEX(Vendors!$B:$B,MATCH(INDEX(vendor_coverage_countries!$B:$B,MATCH(IFERROR(INDEX(countries!$C:$C,MATCH($C77,countries!$D:$D,0)),""),vendor_coverage_countries!$C:$C,0)),Vendors!$A:$A,0)),"NO VENDOR ON FILE FOR THIS STATE")))</f>
        <v>Swissport</v>
      </c>
      <c r="AA77" t="str">
        <f>IF($A77="","",IF(ISNUMBER(MATCH(TRIM(LEFT($D77&amp;",",FIND(",",$D77&amp;",")-1)),HANDLERS!$C$4:$C$250,0)),"HANDLERS (station "&amp;TRIM(LEFT($D77&amp;",",FIND(",",$D77&amp;",")-1))&amp;")",IF($AB77=0,"-","vendor_coverage_countries")))</f>
        <v>HANDLERS (station GMAD)</v>
      </c>
      <c r="AB77">
        <f>IF($A77="","",COUNTIF(vendor_coverage_countries!$C:$C,IFERROR(INDEX(countries!$C:$C,MATCH($C77,countries!$D:$D,0)),"")))</f>
        <v>7</v>
      </c>
      <c r="AC77" t="str">
        <f>IF($A77="","",IFERROR(INDEX(HANDLERS!$D$4:$D$250,MATCH(TRIM(LEFT($D77&amp;",",FIND(",",$D77&amp;",")-1)),HANDLERS!$C$4:$C$250,0)),""))</f>
        <v>Abdellah Maaroufi</v>
      </c>
      <c r="AD77" t="str">
        <f>IF($A77="","",IFERROR(INDEX(HANDLERS!$E$4:$E$250,MATCH(TRIM(LEFT($D77&amp;",",FIND(",",$D77&amp;",")-1)),HANDLERS!$C$4:$C$250,0)),""))</f>
        <v>Abdellah.Maaroufi@swissportexecutive.com</v>
      </c>
    </row>
    <row r="78" spans="1:32" x14ac:dyDescent="0.3">
      <c r="A78" t="str">
        <f t="shared" si="15"/>
        <v/>
      </c>
      <c r="B78" t="str">
        <f>IF($A78="","",IFERROR(INDEX(countries!$B:$B,MATCH($C78,countries!$D:$D,0)),$C78))</f>
        <v/>
      </c>
      <c r="C78" t="str">
        <f t="shared" si="16"/>
        <v/>
      </c>
      <c r="D78" t="str" cm="1">
        <f t="array" ref="D78">IF($A78="","",_xlfn.TEXTJOIN(", ",TRUE,IF($AK$18:$AK$26=$C78,$AL$18:$AL$26,"")))</f>
        <v/>
      </c>
      <c r="E78" t="str" cm="1">
        <f t="array" ref="E78">IF($A78="","",_xlfn.TEXTJOIN(", ",TRUE,IF($AK$18:$AK$26=$C78,$AM$18:$AM$26,"")))</f>
        <v/>
      </c>
      <c r="F78" s="41" t="str">
        <f t="shared" si="17"/>
        <v/>
      </c>
      <c r="G78" s="43" t="str">
        <f t="shared" si="18"/>
        <v/>
      </c>
      <c r="H78" s="52"/>
      <c r="I78" s="52"/>
      <c r="J78" s="52"/>
      <c r="K78" s="52"/>
      <c r="L78" s="52"/>
      <c r="M78" s="52"/>
      <c r="N78" s="52"/>
      <c r="O78" s="52"/>
      <c r="P78" s="52"/>
      <c r="Q78" s="52"/>
      <c r="R78" s="52"/>
      <c r="S78" s="52"/>
      <c r="T78" s="52"/>
      <c r="U78" s="52"/>
      <c r="V78" s="52"/>
      <c r="W78" s="4"/>
      <c r="X78" t="str">
        <f>IF($A78="","",IFERROR(INDEX(countries!$L:$L,MATCH($C78,countries!$D:$D,0)),"VERIFY"))</f>
        <v/>
      </c>
      <c r="Y78" t="str">
        <f>IF($A78="","",IFERROR(INDEX(countries!$M:$M,MATCH($C78,countries!$D:$D,0)),"VERIFY"))</f>
        <v/>
      </c>
      <c r="Z78" t="str">
        <f>IF($A78="","",IFERROR(INDEX(HANDLERS!$B$4:$B$250,MATCH(TRIM(LEFT($D78&amp;",",FIND(",",$D78&amp;",")-1)),HANDLERS!$C$4:$C$250,0)),IFERROR(INDEX(Vendors!$B:$B,MATCH(INDEX(vendor_coverage_countries!$B:$B,MATCH(IFERROR(INDEX(countries!$C:$C,MATCH($C78,countries!$D:$D,0)),""),vendor_coverage_countries!$C:$C,0)),Vendors!$A:$A,0)),"NO VENDOR ON FILE FOR THIS STATE")))</f>
        <v/>
      </c>
      <c r="AA78" t="str">
        <f>IF($A78="","",IF(ISNUMBER(MATCH(TRIM(LEFT($D78&amp;",",FIND(",",$D78&amp;",")-1)),HANDLERS!$C$4:$C$250,0)),"HANDLERS (station "&amp;TRIM(LEFT($D78&amp;",",FIND(",",$D78&amp;",")-1))&amp;")",IF($AB78=0,"-","vendor_coverage_countries")))</f>
        <v/>
      </c>
      <c r="AB78" t="str">
        <f>IF($A78="","",COUNTIF(vendor_coverage_countries!$C:$C,IFERROR(INDEX(countries!$C:$C,MATCH($C78,countries!$D:$D,0)),"")))</f>
        <v/>
      </c>
      <c r="AC78" t="str">
        <f>IF($A78="","",IFERROR(INDEX(HANDLERS!$D$4:$D$250,MATCH(TRIM(LEFT($D78&amp;",",FIND(",",$D78&amp;",")-1)),HANDLERS!$C$4:$C$250,0)),""))</f>
        <v/>
      </c>
      <c r="AD78" t="str">
        <f>IF($A78="","",IFERROR(INDEX(HANDLERS!$E$4:$E$250,MATCH(TRIM(LEFT($D78&amp;",",FIND(",",$D78&amp;",")-1)),HANDLERS!$C$4:$C$250,0)),""))</f>
        <v/>
      </c>
    </row>
    <row r="79" spans="1:32" x14ac:dyDescent="0.3">
      <c r="A79" t="str">
        <f t="shared" si="15"/>
        <v/>
      </c>
      <c r="B79" t="str">
        <f>IF($A79="","",IFERROR(INDEX(countries!$B:$B,MATCH($C79,countries!$D:$D,0)),$C79))</f>
        <v/>
      </c>
      <c r="C79" t="str">
        <f t="shared" si="16"/>
        <v/>
      </c>
      <c r="D79" t="str" cm="1">
        <f t="array" ref="D79">IF($A79="","",_xlfn.TEXTJOIN(", ",TRUE,IF($AK$18:$AK$26=$C79,$AL$18:$AL$26,"")))</f>
        <v/>
      </c>
      <c r="E79" t="str" cm="1">
        <f t="array" ref="E79">IF($A79="","",_xlfn.TEXTJOIN(", ",TRUE,IF($AK$18:$AK$26=$C79,$AM$18:$AM$26,"")))</f>
        <v/>
      </c>
      <c r="F79" s="41" t="str">
        <f t="shared" si="17"/>
        <v/>
      </c>
      <c r="G79" s="43" t="str">
        <f t="shared" si="18"/>
        <v/>
      </c>
      <c r="H79" s="52"/>
      <c r="I79" s="52"/>
      <c r="J79" s="52"/>
      <c r="K79" s="52"/>
      <c r="L79" s="52"/>
      <c r="M79" s="52"/>
      <c r="N79" s="52"/>
      <c r="O79" s="52"/>
      <c r="P79" s="52"/>
      <c r="Q79" s="52"/>
      <c r="R79" s="52"/>
      <c r="S79" s="52"/>
      <c r="T79" s="52"/>
      <c r="U79" s="52"/>
      <c r="V79" s="52"/>
      <c r="W79" s="4"/>
      <c r="X79" t="str">
        <f>IF($A79="","",IFERROR(INDEX(countries!$L:$L,MATCH($C79,countries!$D:$D,0)),"VERIFY"))</f>
        <v/>
      </c>
      <c r="Y79" t="str">
        <f>IF($A79="","",IFERROR(INDEX(countries!$M:$M,MATCH($C79,countries!$D:$D,0)),"VERIFY"))</f>
        <v/>
      </c>
      <c r="Z79" t="str">
        <f>IF($A79="","",IFERROR(INDEX(HANDLERS!$B$4:$B$250,MATCH(TRIM(LEFT($D79&amp;",",FIND(",",$D79&amp;",")-1)),HANDLERS!$C$4:$C$250,0)),IFERROR(INDEX(Vendors!$B:$B,MATCH(INDEX(vendor_coverage_countries!$B:$B,MATCH(IFERROR(INDEX(countries!$C:$C,MATCH($C79,countries!$D:$D,0)),""),vendor_coverage_countries!$C:$C,0)),Vendors!$A:$A,0)),"NO VENDOR ON FILE FOR THIS STATE")))</f>
        <v/>
      </c>
      <c r="AA79" t="str">
        <f>IF($A79="","",IF(ISNUMBER(MATCH(TRIM(LEFT($D79&amp;",",FIND(",",$D79&amp;",")-1)),HANDLERS!$C$4:$C$250,0)),"HANDLERS (station "&amp;TRIM(LEFT($D79&amp;",",FIND(",",$D79&amp;",")-1))&amp;")",IF($AB79=0,"-","vendor_coverage_countries")))</f>
        <v/>
      </c>
      <c r="AB79" t="str">
        <f>IF($A79="","",COUNTIF(vendor_coverage_countries!$C:$C,IFERROR(INDEX(countries!$C:$C,MATCH($C79,countries!$D:$D,0)),"")))</f>
        <v/>
      </c>
      <c r="AC79" t="str">
        <f>IF($A79="","",IFERROR(INDEX(HANDLERS!$D$4:$D$250,MATCH(TRIM(LEFT($D79&amp;",",FIND(",",$D79&amp;",")-1)),HANDLERS!$C$4:$C$250,0)),""))</f>
        <v/>
      </c>
      <c r="AD79" t="str">
        <f>IF($A79="","",IFERROR(INDEX(HANDLERS!$E$4:$E$250,MATCH(TRIM(LEFT($D79&amp;",",FIND(",",$D79&amp;",")-1)),HANDLERS!$C$4:$C$250,0)),""))</f>
        <v/>
      </c>
    </row>
    <row r="80" spans="1:32" x14ac:dyDescent="0.3">
      <c r="A80" t="str">
        <f t="shared" si="15"/>
        <v/>
      </c>
      <c r="B80" t="str">
        <f>IF($A80="","",IFERROR(INDEX(countries!$B:$B,MATCH($C80,countries!$D:$D,0)),$C80))</f>
        <v/>
      </c>
      <c r="C80" t="str">
        <f t="shared" si="16"/>
        <v/>
      </c>
      <c r="D80" t="str" cm="1">
        <f t="array" ref="D80">IF($A80="","",_xlfn.TEXTJOIN(", ",TRUE,IF($AK$18:$AK$26=$C80,$AL$18:$AL$26,"")))</f>
        <v/>
      </c>
      <c r="E80" t="str" cm="1">
        <f t="array" ref="E80">IF($A80="","",_xlfn.TEXTJOIN(", ",TRUE,IF($AK$18:$AK$26=$C80,$AM$18:$AM$26,"")))</f>
        <v/>
      </c>
      <c r="F80" s="41" t="str">
        <f t="shared" si="17"/>
        <v/>
      </c>
      <c r="G80" s="43" t="str">
        <f t="shared" si="18"/>
        <v/>
      </c>
      <c r="H80" s="52"/>
      <c r="I80" s="52"/>
      <c r="J80" s="52"/>
      <c r="K80" s="52"/>
      <c r="L80" s="52"/>
      <c r="M80" s="52"/>
      <c r="N80" s="52"/>
      <c r="O80" s="52"/>
      <c r="P80" s="52"/>
      <c r="Q80" s="52"/>
      <c r="R80" s="52"/>
      <c r="S80" s="52"/>
      <c r="T80" s="52"/>
      <c r="U80" s="52"/>
      <c r="V80" s="52"/>
      <c r="W80" s="4"/>
      <c r="X80" t="str">
        <f>IF($A80="","",IFERROR(INDEX(countries!$L:$L,MATCH($C80,countries!$D:$D,0)),"VERIFY"))</f>
        <v/>
      </c>
      <c r="Y80" t="str">
        <f>IF($A80="","",IFERROR(INDEX(countries!$M:$M,MATCH($C80,countries!$D:$D,0)),"VERIFY"))</f>
        <v/>
      </c>
      <c r="Z80" t="str">
        <f>IF($A80="","",IFERROR(INDEX(HANDLERS!$B$4:$B$250,MATCH(TRIM(LEFT($D80&amp;",",FIND(",",$D80&amp;",")-1)),HANDLERS!$C$4:$C$250,0)),IFERROR(INDEX(Vendors!$B:$B,MATCH(INDEX(vendor_coverage_countries!$B:$B,MATCH(IFERROR(INDEX(countries!$C:$C,MATCH($C80,countries!$D:$D,0)),""),vendor_coverage_countries!$C:$C,0)),Vendors!$A:$A,0)),"NO VENDOR ON FILE FOR THIS STATE")))</f>
        <v/>
      </c>
      <c r="AA80" t="str">
        <f>IF($A80="","",IF(ISNUMBER(MATCH(TRIM(LEFT($D80&amp;",",FIND(",",$D80&amp;",")-1)),HANDLERS!$C$4:$C$250,0)),"HANDLERS (station "&amp;TRIM(LEFT($D80&amp;",",FIND(",",$D80&amp;",")-1))&amp;")",IF($AB80=0,"-","vendor_coverage_countries")))</f>
        <v/>
      </c>
      <c r="AB80" t="str">
        <f>IF($A80="","",COUNTIF(vendor_coverage_countries!$C:$C,IFERROR(INDEX(countries!$C:$C,MATCH($C80,countries!$D:$D,0)),"")))</f>
        <v/>
      </c>
      <c r="AC80" t="str">
        <f>IF($A80="","",IFERROR(INDEX(HANDLERS!$D$4:$D$250,MATCH(TRIM(LEFT($D80&amp;",",FIND(",",$D80&amp;",")-1)),HANDLERS!$C$4:$C$250,0)),""))</f>
        <v/>
      </c>
      <c r="AD80" t="str">
        <f>IF($A80="","",IFERROR(INDEX(HANDLERS!$E$4:$E$250,MATCH(TRIM(LEFT($D80&amp;",",FIND(",",$D80&amp;",")-1)),HANDLERS!$C$4:$C$250,0)),""))</f>
        <v/>
      </c>
    </row>
    <row r="81" spans="1:30" x14ac:dyDescent="0.3">
      <c r="A81" t="str">
        <f t="shared" si="15"/>
        <v/>
      </c>
      <c r="B81" t="str">
        <f>IF($A81="","",IFERROR(INDEX(countries!$B:$B,MATCH($C81,countries!$D:$D,0)),$C81))</f>
        <v/>
      </c>
      <c r="C81" t="str">
        <f t="shared" si="16"/>
        <v/>
      </c>
      <c r="D81" t="str" cm="1">
        <f t="array" ref="D81">IF($A81="","",_xlfn.TEXTJOIN(", ",TRUE,IF($AK$18:$AK$26=$C81,$AL$18:$AL$26,"")))</f>
        <v/>
      </c>
      <c r="E81" t="str" cm="1">
        <f t="array" ref="E81">IF($A81="","",_xlfn.TEXTJOIN(", ",TRUE,IF($AK$18:$AK$26=$C81,$AM$18:$AM$26,"")))</f>
        <v/>
      </c>
      <c r="F81" s="41" t="str">
        <f t="shared" si="17"/>
        <v/>
      </c>
      <c r="G81" s="43" t="str">
        <f t="shared" si="18"/>
        <v/>
      </c>
      <c r="H81" s="52"/>
      <c r="I81" s="52"/>
      <c r="J81" s="52"/>
      <c r="K81" s="52"/>
      <c r="L81" s="52"/>
      <c r="M81" s="52"/>
      <c r="N81" s="52"/>
      <c r="O81" s="52"/>
      <c r="P81" s="52"/>
      <c r="Q81" s="52"/>
      <c r="R81" s="52"/>
      <c r="S81" s="52"/>
      <c r="T81" s="52"/>
      <c r="U81" s="52"/>
      <c r="V81" s="52"/>
      <c r="W81" s="4"/>
      <c r="X81" t="str">
        <f>IF($A81="","",IFERROR(INDEX(countries!$L:$L,MATCH($C81,countries!$D:$D,0)),"VERIFY"))</f>
        <v/>
      </c>
      <c r="Y81" t="str">
        <f>IF($A81="","",IFERROR(INDEX(countries!$M:$M,MATCH($C81,countries!$D:$D,0)),"VERIFY"))</f>
        <v/>
      </c>
      <c r="Z81" t="str">
        <f>IF($A81="","",IFERROR(INDEX(HANDLERS!$B$4:$B$250,MATCH(TRIM(LEFT($D81&amp;",",FIND(",",$D81&amp;",")-1)),HANDLERS!$C$4:$C$250,0)),IFERROR(INDEX(Vendors!$B:$B,MATCH(INDEX(vendor_coverage_countries!$B:$B,MATCH(IFERROR(INDEX(countries!$C:$C,MATCH($C81,countries!$D:$D,0)),""),vendor_coverage_countries!$C:$C,0)),Vendors!$A:$A,0)),"NO VENDOR ON FILE FOR THIS STATE")))</f>
        <v/>
      </c>
      <c r="AA81" t="str">
        <f>IF($A81="","",IF(ISNUMBER(MATCH(TRIM(LEFT($D81&amp;",",FIND(",",$D81&amp;",")-1)),HANDLERS!$C$4:$C$250,0)),"HANDLERS (station "&amp;TRIM(LEFT($D81&amp;",",FIND(",",$D81&amp;",")-1))&amp;")",IF($AB81=0,"-","vendor_coverage_countries")))</f>
        <v/>
      </c>
      <c r="AB81" t="str">
        <f>IF($A81="","",COUNTIF(vendor_coverage_countries!$C:$C,IFERROR(INDEX(countries!$C:$C,MATCH($C81,countries!$D:$D,0)),"")))</f>
        <v/>
      </c>
      <c r="AC81" t="str">
        <f>IF($A81="","",IFERROR(INDEX(HANDLERS!$D$4:$D$250,MATCH(TRIM(LEFT($D81&amp;",",FIND(",",$D81&amp;",")-1)),HANDLERS!$C$4:$C$250,0)),""))</f>
        <v/>
      </c>
      <c r="AD81" t="str">
        <f>IF($A81="","",IFERROR(INDEX(HANDLERS!$E$4:$E$250,MATCH(TRIM(LEFT($D81&amp;",",FIND(",",$D81&amp;",")-1)),HANDLERS!$C$4:$C$250,0)),""))</f>
        <v/>
      </c>
    </row>
    <row r="82" spans="1:30" x14ac:dyDescent="0.3">
      <c r="A82" t="str">
        <f t="shared" si="15"/>
        <v/>
      </c>
      <c r="B82" t="str">
        <f>IF($A82="","",IFERROR(INDEX(countries!$B:$B,MATCH($C82,countries!$D:$D,0)),$C82))</f>
        <v/>
      </c>
      <c r="C82" t="str">
        <f t="shared" si="16"/>
        <v/>
      </c>
      <c r="D82" t="str" cm="1">
        <f t="array" ref="D82">IF($A82="","",_xlfn.TEXTJOIN(", ",TRUE,IF($AK$18:$AK$26=$C82,$AL$18:$AL$26,"")))</f>
        <v/>
      </c>
      <c r="E82" t="str" cm="1">
        <f t="array" ref="E82">IF($A82="","",_xlfn.TEXTJOIN(", ",TRUE,IF($AK$18:$AK$26=$C82,$AM$18:$AM$26,"")))</f>
        <v/>
      </c>
      <c r="F82" s="41" t="str">
        <f t="shared" si="17"/>
        <v/>
      </c>
      <c r="G82" s="43" t="str">
        <f t="shared" si="18"/>
        <v/>
      </c>
      <c r="H82" s="52"/>
      <c r="I82" s="52"/>
      <c r="J82" s="52"/>
      <c r="K82" s="52"/>
      <c r="L82" s="52"/>
      <c r="M82" s="52"/>
      <c r="N82" s="52"/>
      <c r="O82" s="52"/>
      <c r="P82" s="52"/>
      <c r="Q82" s="52"/>
      <c r="R82" s="52"/>
      <c r="S82" s="52"/>
      <c r="T82" s="52"/>
      <c r="U82" s="52"/>
      <c r="V82" s="52"/>
      <c r="W82" s="4"/>
      <c r="X82" t="str">
        <f>IF($A82="","",IFERROR(INDEX(countries!$L:$L,MATCH($C82,countries!$D:$D,0)),"VERIFY"))</f>
        <v/>
      </c>
      <c r="Y82" t="str">
        <f>IF($A82="","",IFERROR(INDEX(countries!$M:$M,MATCH($C82,countries!$D:$D,0)),"VERIFY"))</f>
        <v/>
      </c>
      <c r="Z82" t="str">
        <f>IF($A82="","",IFERROR(INDEX(HANDLERS!$B$4:$B$250,MATCH(TRIM(LEFT($D82&amp;",",FIND(",",$D82&amp;",")-1)),HANDLERS!$C$4:$C$250,0)),IFERROR(INDEX(Vendors!$B:$B,MATCH(INDEX(vendor_coverage_countries!$B:$B,MATCH(IFERROR(INDEX(countries!$C:$C,MATCH($C82,countries!$D:$D,0)),""),vendor_coverage_countries!$C:$C,0)),Vendors!$A:$A,0)),"NO VENDOR ON FILE FOR THIS STATE")))</f>
        <v/>
      </c>
      <c r="AA82" t="str">
        <f>IF($A82="","",IF(ISNUMBER(MATCH(TRIM(LEFT($D82&amp;",",FIND(",",$D82&amp;",")-1)),HANDLERS!$C$4:$C$250,0)),"HANDLERS (station "&amp;TRIM(LEFT($D82&amp;",",FIND(",",$D82&amp;",")-1))&amp;")",IF($AB82=0,"-","vendor_coverage_countries")))</f>
        <v/>
      </c>
      <c r="AB82" t="str">
        <f>IF($A82="","",COUNTIF(vendor_coverage_countries!$C:$C,IFERROR(INDEX(countries!$C:$C,MATCH($C82,countries!$D:$D,0)),"")))</f>
        <v/>
      </c>
      <c r="AC82" t="str">
        <f>IF($A82="","",IFERROR(INDEX(HANDLERS!$D$4:$D$250,MATCH(TRIM(LEFT($D82&amp;",",FIND(",",$D82&amp;",")-1)),HANDLERS!$C$4:$C$250,0)),""))</f>
        <v/>
      </c>
      <c r="AD82" t="str">
        <f>IF($A82="","",IFERROR(INDEX(HANDLERS!$E$4:$E$250,MATCH(TRIM(LEFT($D82&amp;",",FIND(",",$D82&amp;",")-1)),HANDLERS!$C$4:$C$250,0)),""))</f>
        <v/>
      </c>
    </row>
    <row r="84" spans="1:30" x14ac:dyDescent="0.3">
      <c r="A84" s="32" t="s">
        <v>4980</v>
      </c>
    </row>
    <row r="86" spans="1:30" x14ac:dyDescent="0.3">
      <c r="A86" s="25" t="s">
        <v>4710</v>
      </c>
      <c r="B86" s="25">
        <f>COUNTIFS('PAX &amp; CREW'!$B$3:$B$62,$B$5,'PAX &amp; CREW'!$C$3:$C$62,"CREW")</f>
        <v>2</v>
      </c>
      <c r="C86" s="25"/>
      <c r="D86" s="25"/>
      <c r="E86" s="25"/>
      <c r="F86" s="25"/>
      <c r="G86" s="25"/>
      <c r="H86" s="25"/>
      <c r="I86" s="25"/>
      <c r="J86" s="25"/>
    </row>
    <row r="87" spans="1:30" x14ac:dyDescent="0.3">
      <c r="A87" s="46" t="s">
        <v>4705</v>
      </c>
      <c r="B87" s="46" t="s">
        <v>4314</v>
      </c>
      <c r="C87" s="46" t="s">
        <v>4505</v>
      </c>
      <c r="D87" s="46" t="s">
        <v>4315</v>
      </c>
      <c r="E87" s="46" t="str">
        <f>IFERROR(INDEX($AH$18:$AH$37,MATCH(COLUMN()-4,$AJ$18:$AJ$37,0))&amp;" ("&amp;COUNTIFS('PAX &amp; CREW'!$B$3:$B$62,$B$5,'PAX &amp; CREW'!$L$3:$L$62,INDEX($AH$18:$AH$37,MATCH(COLUMN()-4,$AJ$18:$AJ$37,0)))&amp;")","")</f>
        <v>United States (1)</v>
      </c>
      <c r="F87" s="46" t="str">
        <f>IFERROR(INDEX($AH$18:$AH$37,MATCH(COLUMN()-4,$AJ$18:$AJ$37,0))&amp;" ("&amp;COUNTIFS('PAX &amp; CREW'!$B$3:$B$62,$B$5,'PAX &amp; CREW'!$L$3:$L$62,INDEX($AH$18:$AH$37,MATCH(COLUMN()-4,$AJ$18:$AJ$37,0)))&amp;")","")</f>
        <v>South Africa (2)</v>
      </c>
      <c r="G87" s="46" t="str">
        <f>IFERROR(INDEX($AH$18:$AH$37,MATCH(COLUMN()-4,$AJ$18:$AJ$37,0))&amp;" ("&amp;COUNTIFS('PAX &amp; CREW'!$B$3:$B$62,$B$5,'PAX &amp; CREW'!$L$3:$L$62,INDEX($AH$18:$AH$37,MATCH(COLUMN()-4,$AJ$18:$AJ$37,0)))&amp;")","")</f>
        <v>Oman (1)</v>
      </c>
      <c r="H87" s="46" t="str">
        <f>IFERROR(INDEX($AH$18:$AH$37,MATCH(COLUMN()-4,$AJ$18:$AJ$37,0))&amp;" ("&amp;COUNTIFS('PAX &amp; CREW'!$B$3:$B$62,$B$5,'PAX &amp; CREW'!$L$3:$L$62,INDEX($AH$18:$AH$37,MATCH(COLUMN()-4,$AJ$18:$AJ$37,0)))&amp;")","")</f>
        <v/>
      </c>
      <c r="I87" s="46" t="str">
        <f>IFERROR(INDEX($AH$18:$AH$37,MATCH(COLUMN()-4,$AJ$18:$AJ$37,0))&amp;" ("&amp;COUNTIFS('PAX &amp; CREW'!$B$3:$B$62,$B$5,'PAX &amp; CREW'!$L$3:$L$62,INDEX($AH$18:$AH$37,MATCH(COLUMN()-4,$AJ$18:$AJ$37,0)))&amp;")","")</f>
        <v/>
      </c>
      <c r="J87" s="46" t="str">
        <f>IFERROR(INDEX($AH$18:$AH$37,MATCH(COLUMN()-4,$AJ$18:$AJ$37,0))&amp;" ("&amp;COUNTIFS('PAX &amp; CREW'!$B$3:$B$62,$B$5,'PAX &amp; CREW'!$L$3:$L$62,INDEX($AH$18:$AH$37,MATCH(COLUMN()-4,$AJ$18:$AJ$37,0)))&amp;")","")</f>
        <v/>
      </c>
    </row>
    <row r="88" spans="1:30" x14ac:dyDescent="0.3">
      <c r="A88" s="1">
        <f>IF(ROW()-87&gt;SUM($AO$18:$AO$26),"",ROW()-87)</f>
        <v>1</v>
      </c>
      <c r="B88" t="str">
        <f>IF($A88="","",IFERROR(INDEX(countries!$B:$B,MATCH($C88,countries!$D:$D,0)),$C88))</f>
        <v>South Africa</v>
      </c>
      <c r="C88" t="str">
        <f>IF($A88="","",INDEX($AK$18:$AK$26,MATCH($A88,$AP$18:$AP$26,0)))</f>
        <v>ZAF</v>
      </c>
      <c r="D88" t="str" cm="1">
        <f t="array" ref="D88">IF($A88="","",_xlfn.TEXTJOIN(", ",TRUE,IF($AK$18:$AK$26=$C88,$AM$18:$AM$26,"")))</f>
        <v>L1, L4</v>
      </c>
      <c r="E88" s="65" t="str" cm="1">
        <f t="array" ref="E88">IF(OR($A88="",E$87=""),"",_xlfn.LET(_xlpm.nat,INDEX($AH$18:$AH$37,MATCH(COLUMN()-4,$AJ$18:$AJ$37,0)),_xlpm.ctry,$B88,_xlpm.apt,IFERROR(INDEX('VISA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NOT REQUIRED</v>
      </c>
      <c r="F88" s="65" t="str" cm="1">
        <f t="array" ref="F88">IF(OR($A88="",F$87=""),"",_xlfn.LET(_xlpm.nat,INDEX($AH$18:$AH$37,MATCH(COLUMN()-4,$AJ$18:$AJ$37,0)),_xlpm.ctry,$B88,_xlpm.apt,IFERROR(INDEX('VISA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NOT ON FILE - VERIFY</v>
      </c>
      <c r="G88" s="65" t="str" cm="1">
        <f t="array" ref="G88">IF(OR($A88="",G$87=""),"",_xlfn.LET(_xlpm.nat,INDEX($AH$18:$AH$37,MATCH(COLUMN()-4,$AJ$18:$AJ$37,0)),_xlpm.ctry,$B88,_xlpm.apt,IFERROR(INDEX('VISA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NOT ON FILE - VERIFY</v>
      </c>
      <c r="H88" s="65" t="str" cm="1">
        <f t="array" ref="H88">IF(OR($A88="",H$87=""),"",_xlfn.LET(_xlpm.nat,INDEX($AH$18:$AH$37,MATCH(COLUMN()-4,$AJ$18:$AJ$37,0)),_xlpm.ctry,$B88,_xlpm.apt,IFERROR(INDEX('VISA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c r="I88" s="65" t="str" cm="1">
        <f t="array" ref="I88">IF(OR($A88="",I$87=""),"",_xlfn.LET(_xlpm.nat,INDEX($AH$18:$AH$37,MATCH(COLUMN()-4,$AJ$18:$AJ$37,0)),_xlpm.ctry,$B88,_xlpm.apt,IFERROR(INDEX('VISA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c r="J88" s="65" t="str" cm="1">
        <f t="array" ref="J88">IF(OR($A88="",J$87=""),"",_xlfn.LET(_xlpm.nat,INDEX($AH$18:$AH$37,MATCH(COLUMN()-4,$AJ$18:$AJ$37,0)),_xlpm.ctry,$B88,_xlpm.apt,IFERROR(INDEX('VISA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row>
    <row r="89" spans="1:30" x14ac:dyDescent="0.3">
      <c r="A89" s="1">
        <f t="shared" ref="A89:A96" si="19">IF(ROW()-87&gt;SUM($AO$18:$AO$26),"",ROW()-87)</f>
        <v>2</v>
      </c>
      <c r="B89" t="str">
        <f>IF($A89="","",IFERROR(INDEX(countries!$B:$B,MATCH($C89,countries!$D:$D,0)),$C89))</f>
        <v>Chad</v>
      </c>
      <c r="C89" t="str">
        <f t="shared" ref="C89:C96" si="20">IF($A89="","",INDEX($AK$18:$AK$26,MATCH($A89,$AP$18:$AP$26,0)))</f>
        <v>TCD</v>
      </c>
      <c r="D89" t="str" cm="1">
        <f t="array" ref="D89">IF($A89="","",_xlfn.TEXTJOIN(", ",TRUE,IF($AK$18:$AK$26=$C89,$AM$18:$AM$26,"")))</f>
        <v>L1</v>
      </c>
      <c r="E89" s="65" t="str" cm="1">
        <f t="array" ref="E89">IF(OR($A89="",E$87=""),"",_xlfn.LET(_xlpm.nat,INDEX($AH$18:$AH$37,MATCH(COLUMN()-4,$AJ$18:$AJ$37,0)),_xlpm.ctry,$B89,_xlpm.apt,IFERROR(INDEX('VISA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NOT ON FILE - VERIFY</v>
      </c>
      <c r="F89" s="65" t="str" cm="1">
        <f t="array" ref="F89">IF(OR($A89="",F$87=""),"",_xlfn.LET(_xlpm.nat,INDEX($AH$18:$AH$37,MATCH(COLUMN()-4,$AJ$18:$AJ$37,0)),_xlpm.ctry,$B89,_xlpm.apt,IFERROR(INDEX('VISA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NOT ON FILE - VERIFY</v>
      </c>
      <c r="G89" s="65" t="str" cm="1">
        <f t="array" ref="G89">IF(OR($A89="",G$87=""),"",_xlfn.LET(_xlpm.nat,INDEX($AH$18:$AH$37,MATCH(COLUMN()-4,$AJ$18:$AJ$37,0)),_xlpm.ctry,$B89,_xlpm.apt,IFERROR(INDEX('VISA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NOT ON FILE - VERIFY</v>
      </c>
      <c r="H89" s="65" t="str" cm="1">
        <f t="array" ref="H89">IF(OR($A89="",H$87=""),"",_xlfn.LET(_xlpm.nat,INDEX($AH$18:$AH$37,MATCH(COLUMN()-4,$AJ$18:$AJ$37,0)),_xlpm.ctry,$B89,_xlpm.apt,IFERROR(INDEX('VISA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c r="I89" s="65" t="str" cm="1">
        <f t="array" ref="I89">IF(OR($A89="",I$87=""),"",_xlfn.LET(_xlpm.nat,INDEX($AH$18:$AH$37,MATCH(COLUMN()-4,$AJ$18:$AJ$37,0)),_xlpm.ctry,$B89,_xlpm.apt,IFERROR(INDEX('VISA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c r="J89" s="65" t="str" cm="1">
        <f t="array" ref="J89">IF(OR($A89="",J$87=""),"",_xlfn.LET(_xlpm.nat,INDEX($AH$18:$AH$37,MATCH(COLUMN()-4,$AJ$18:$AJ$37,0)),_xlpm.ctry,$B89,_xlpm.apt,IFERROR(INDEX('VISA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row>
    <row r="90" spans="1:30" x14ac:dyDescent="0.3">
      <c r="A90" s="1">
        <f t="shared" si="19"/>
        <v>3</v>
      </c>
      <c r="B90" t="str">
        <f>IF($A90="","",IFERROR(INDEX(countries!$B:$B,MATCH($C90,countries!$D:$D,0)),$C90))</f>
        <v>Egypt</v>
      </c>
      <c r="C90" t="str">
        <f t="shared" si="20"/>
        <v>EGY</v>
      </c>
      <c r="D90" t="str" cm="1">
        <f t="array" ref="D90">IF($A90="","",_xlfn.TEXTJOIN(", ",TRUE,IF($AK$18:$AK$26=$C90,$AM$18:$AM$26,"")))</f>
        <v>L2</v>
      </c>
      <c r="E90" s="65" t="str" cm="1">
        <f t="array" ref="E90">IF(OR($A90="",E$87=""),"",_xlfn.LET(_xlpm.nat,INDEX($AH$18:$AH$37,MATCH(COLUMN()-4,$AJ$18:$AJ$37,0)),_xlpm.ctry,$B90,_xlpm.apt,IFERROR(INDEX('VISA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NOT ON FILE - VERIFY</v>
      </c>
      <c r="F90" s="65" t="str" cm="1">
        <f t="array" ref="F90">IF(OR($A90="",F$87=""),"",_xlfn.LET(_xlpm.nat,INDEX($AH$18:$AH$37,MATCH(COLUMN()-4,$AJ$18:$AJ$37,0)),_xlpm.ctry,$B90,_xlpm.apt,IFERROR(INDEX('VISA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NOT ON FILE - VERIFY</v>
      </c>
      <c r="G90" s="65" t="str" cm="1">
        <f t="array" ref="G90">IF(OR($A90="",G$87=""),"",_xlfn.LET(_xlpm.nat,INDEX($AH$18:$AH$37,MATCH(COLUMN()-4,$AJ$18:$AJ$37,0)),_xlpm.ctry,$B90,_xlpm.apt,IFERROR(INDEX('VISA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NOT ON FILE - VERIFY</v>
      </c>
      <c r="H90" s="65" t="str" cm="1">
        <f t="array" ref="H90">IF(OR($A90="",H$87=""),"",_xlfn.LET(_xlpm.nat,INDEX($AH$18:$AH$37,MATCH(COLUMN()-4,$AJ$18:$AJ$37,0)),_xlpm.ctry,$B90,_xlpm.apt,IFERROR(INDEX('VISA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c r="I90" s="65" t="str" cm="1">
        <f t="array" ref="I90">IF(OR($A90="",I$87=""),"",_xlfn.LET(_xlpm.nat,INDEX($AH$18:$AH$37,MATCH(COLUMN()-4,$AJ$18:$AJ$37,0)),_xlpm.ctry,$B90,_xlpm.apt,IFERROR(INDEX('VISA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c r="J90" s="65" t="str" cm="1">
        <f t="array" ref="J90">IF(OR($A90="",J$87=""),"",_xlfn.LET(_xlpm.nat,INDEX($AH$18:$AH$37,MATCH(COLUMN()-4,$AJ$18:$AJ$37,0)),_xlpm.ctry,$B90,_xlpm.apt,IFERROR(INDEX('VISA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row>
    <row r="91" spans="1:30" x14ac:dyDescent="0.3">
      <c r="A91" s="1">
        <f t="shared" si="19"/>
        <v>4</v>
      </c>
      <c r="B91" t="str">
        <f>IF($A91="","",IFERROR(INDEX(countries!$B:$B,MATCH($C91,countries!$D:$D,0)),$C91))</f>
        <v>Morocco</v>
      </c>
      <c r="C91" t="str">
        <f t="shared" si="20"/>
        <v>MAR</v>
      </c>
      <c r="D91" t="str" cm="1">
        <f t="array" ref="D91">IF($A91="","",_xlfn.TEXTJOIN(", ",TRUE,IF($AK$18:$AK$26=$C91,$AM$18:$AM$26,"")))</f>
        <v>L3</v>
      </c>
      <c r="E91" s="65" t="str" cm="1">
        <f t="array" ref="E91">IF(OR($A91="",E$87=""),"",_xlfn.LET(_xlpm.nat,INDEX($AH$18:$AH$37,MATCH(COLUMN()-4,$AJ$18:$AJ$37,0)),_xlpm.ctry,$B91,_xlpm.apt,IFERROR(INDEX('VISA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NOT ON FILE - VERIFY</v>
      </c>
      <c r="F91" s="65" t="str" cm="1">
        <f t="array" ref="F91">IF(OR($A91="",F$87=""),"",_xlfn.LET(_xlpm.nat,INDEX($AH$18:$AH$37,MATCH(COLUMN()-4,$AJ$18:$AJ$37,0)),_xlpm.ctry,$B91,_xlpm.apt,IFERROR(INDEX('VISA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NOT ON FILE - VERIFY</v>
      </c>
      <c r="G91" s="65" t="str" cm="1">
        <f t="array" ref="G91">IF(OR($A91="",G$87=""),"",_xlfn.LET(_xlpm.nat,INDEX($AH$18:$AH$37,MATCH(COLUMN()-4,$AJ$18:$AJ$37,0)),_xlpm.ctry,$B91,_xlpm.apt,IFERROR(INDEX('VISA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NOT ON FILE - VERIFY</v>
      </c>
      <c r="H91" s="65" t="str" cm="1">
        <f t="array" ref="H91">IF(OR($A91="",H$87=""),"",_xlfn.LET(_xlpm.nat,INDEX($AH$18:$AH$37,MATCH(COLUMN()-4,$AJ$18:$AJ$37,0)),_xlpm.ctry,$B91,_xlpm.apt,IFERROR(INDEX('VISA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c r="I91" s="65" t="str" cm="1">
        <f t="array" ref="I91">IF(OR($A91="",I$87=""),"",_xlfn.LET(_xlpm.nat,INDEX($AH$18:$AH$37,MATCH(COLUMN()-4,$AJ$18:$AJ$37,0)),_xlpm.ctry,$B91,_xlpm.apt,IFERROR(INDEX('VISA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c r="J91" s="65" t="str" cm="1">
        <f t="array" ref="J91">IF(OR($A91="",J$87=""),"",_xlfn.LET(_xlpm.nat,INDEX($AH$18:$AH$37,MATCH(COLUMN()-4,$AJ$18:$AJ$37,0)),_xlpm.ctry,$B91,_xlpm.apt,IFERROR(INDEX('VISA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row>
    <row r="92" spans="1:30" x14ac:dyDescent="0.3">
      <c r="A92" s="1" t="str">
        <f t="shared" si="19"/>
        <v/>
      </c>
      <c r="B92" t="str">
        <f>IF($A92="","",IFERROR(INDEX(countries!$B:$B,MATCH($C92,countries!$D:$D,0)),$C92))</f>
        <v/>
      </c>
      <c r="C92" t="str">
        <f t="shared" si="20"/>
        <v/>
      </c>
      <c r="D92" t="str" cm="1">
        <f t="array" ref="D92">IF($A92="","",_xlfn.TEXTJOIN(", ",TRUE,IF($AK$18:$AK$26=$C92,$AM$18:$AM$26,"")))</f>
        <v/>
      </c>
      <c r="E92" s="65" t="str" cm="1">
        <f t="array" ref="E92">IF(OR($A92="",E$87=""),"",_xlfn.LET(_xlpm.nat,INDEX($AH$18:$AH$37,MATCH(COLUMN()-4,$AJ$18:$AJ$37,0)),_xlpm.ctry,$B92,_xlpm.apt,IFERROR(INDEX('VISA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c r="F92" s="65" t="str" cm="1">
        <f t="array" ref="F92">IF(OR($A92="",F$87=""),"",_xlfn.LET(_xlpm.nat,INDEX($AH$18:$AH$37,MATCH(COLUMN()-4,$AJ$18:$AJ$37,0)),_xlpm.ctry,$B92,_xlpm.apt,IFERROR(INDEX('VISA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c r="G92" s="65" t="str" cm="1">
        <f t="array" ref="G92">IF(OR($A92="",G$87=""),"",_xlfn.LET(_xlpm.nat,INDEX($AH$18:$AH$37,MATCH(COLUMN()-4,$AJ$18:$AJ$37,0)),_xlpm.ctry,$B92,_xlpm.apt,IFERROR(INDEX('VISA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c r="H92" s="65" t="str" cm="1">
        <f t="array" ref="H92">IF(OR($A92="",H$87=""),"",_xlfn.LET(_xlpm.nat,INDEX($AH$18:$AH$37,MATCH(COLUMN()-4,$AJ$18:$AJ$37,0)),_xlpm.ctry,$B92,_xlpm.apt,IFERROR(INDEX('VISA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c r="I92" s="65" t="str" cm="1">
        <f t="array" ref="I92">IF(OR($A92="",I$87=""),"",_xlfn.LET(_xlpm.nat,INDEX($AH$18:$AH$37,MATCH(COLUMN()-4,$AJ$18:$AJ$37,0)),_xlpm.ctry,$B92,_xlpm.apt,IFERROR(INDEX('VISA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c r="J92" s="65" t="str" cm="1">
        <f t="array" ref="J92">IF(OR($A92="",J$87=""),"",_xlfn.LET(_xlpm.nat,INDEX($AH$18:$AH$37,MATCH(COLUMN()-4,$AJ$18:$AJ$37,0)),_xlpm.ctry,$B92,_xlpm.apt,IFERROR(INDEX('VISA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row>
    <row r="93" spans="1:30" x14ac:dyDescent="0.3">
      <c r="A93" s="1" t="str">
        <f t="shared" si="19"/>
        <v/>
      </c>
      <c r="B93" t="str">
        <f>IF($A93="","",IFERROR(INDEX(countries!$B:$B,MATCH($C93,countries!$D:$D,0)),$C93))</f>
        <v/>
      </c>
      <c r="C93" t="str">
        <f t="shared" si="20"/>
        <v/>
      </c>
      <c r="D93" t="str" cm="1">
        <f t="array" ref="D93">IF($A93="","",_xlfn.TEXTJOIN(", ",TRUE,IF($AK$18:$AK$26=$C93,$AM$18:$AM$26,"")))</f>
        <v/>
      </c>
      <c r="E93" s="65" t="str" cm="1">
        <f t="array" ref="E93">IF(OR($A93="",E$87=""),"",IF(IFERROR(INDEX('VISA MATRIX'!$B$4:$FS$145,MATCH($B93,'VISA MATRIX'!$A$4:$A$145,0),MATCH(INDEX($AH$18:$AH$37,MATCH(COLUMN()-4,$AJ$18:$AJ$37,0)),'VISA MATRIX'!$B$3:$FS$3,0)),"")&lt;&gt;"",IFERROR(INDEX('VISA MATRIX'!$B$4:$FS$145,MATCH($B93,'VISA MATRIX'!$A$4:$A$145,0),MATCH(INDEX($AH$18:$AH$37,MATCH(COLUMN()-4,$AJ$18:$AJ$37,0)),'VISA MATRIX'!$B$3:$FS$3,0)),""),IF(IFERROR(INDEX('VISA RULES'!$E$2:$E$400,SUMPRODUCT(MATCH(1,($B93='VISA RULES'!$B$2:$B$400)*(INDEX($AH$18:$AH$37,MATCH(COLUMN()-4,$AJ$18:$AJ$37,0))='VISA RULES'!$C$2:$C$400),0))),"")&lt;&gt;"",IFERROR(INDEX('VISA RULES'!$E$2:$E$400,SUMPRODUCT(MATCH(1,($B93='VISA RULES'!$B$2:$B$400)*(INDEX($AH$18:$AH$37,MATCH(COLUMN()-4,$AJ$18:$AJ$37,0))='VISA RULES'!$C$2:$C$400),0))),""),"NOT ON FILE - VERIFY")))</f>
        <v/>
      </c>
      <c r="F93" s="65" t="str" cm="1">
        <f t="array" ref="F93">IF(OR($A93="",F$87=""),"",IF(IFERROR(INDEX('VISA MATRIX'!$B$4:$FS$145,MATCH($B93,'VISA MATRIX'!$A$4:$A$145,0),MATCH(INDEX($AH$18:$AH$37,MATCH(COLUMN()-4,$AJ$18:$AJ$37,0)),'VISA MATRIX'!$B$3:$FS$3,0)),"")&lt;&gt;"",IFERROR(INDEX('VISA MATRIX'!$B$4:$FS$145,MATCH($B93,'VISA MATRIX'!$A$4:$A$145,0),MATCH(INDEX($AH$18:$AH$37,MATCH(COLUMN()-4,$AJ$18:$AJ$37,0)),'VISA MATRIX'!$B$3:$FS$3,0)),""),IF(IFERROR(INDEX('VISA RULES'!$E$2:$E$400,SUMPRODUCT(MATCH(1,($B93='VISA RULES'!$B$2:$B$400)*(INDEX($AH$18:$AH$37,MATCH(COLUMN()-4,$AJ$18:$AJ$37,0))='VISA RULES'!$C$2:$C$400),0))),"")&lt;&gt;"",IFERROR(INDEX('VISA RULES'!$E$2:$E$400,SUMPRODUCT(MATCH(1,($B93='VISA RULES'!$B$2:$B$400)*(INDEX($AH$18:$AH$37,MATCH(COLUMN()-4,$AJ$18:$AJ$37,0))='VISA RULES'!$C$2:$C$400),0))),""),"NOT ON FILE - VERIFY")))</f>
        <v/>
      </c>
      <c r="G93" s="65" t="str" cm="1">
        <f t="array" ref="G93">IF(OR($A93="",G$87=""),"",IF(IFERROR(INDEX('VISA MATRIX'!$B$4:$FS$145,MATCH($B93,'VISA MATRIX'!$A$4:$A$145,0),MATCH(INDEX($AH$18:$AH$37,MATCH(COLUMN()-4,$AJ$18:$AJ$37,0)),'VISA MATRIX'!$B$3:$FS$3,0)),"")&lt;&gt;"",IFERROR(INDEX('VISA MATRIX'!$B$4:$FS$145,MATCH($B93,'VISA MATRIX'!$A$4:$A$145,0),MATCH(INDEX($AH$18:$AH$37,MATCH(COLUMN()-4,$AJ$18:$AJ$37,0)),'VISA MATRIX'!$B$3:$FS$3,0)),""),IF(IFERROR(INDEX('VISA RULES'!$E$2:$E$400,SUMPRODUCT(MATCH(1,($B93='VISA RULES'!$B$2:$B$400)*(INDEX($AH$18:$AH$37,MATCH(COLUMN()-4,$AJ$18:$AJ$37,0))='VISA RULES'!$C$2:$C$400),0))),"")&lt;&gt;"",IFERROR(INDEX('VISA RULES'!$E$2:$E$400,SUMPRODUCT(MATCH(1,($B93='VISA RULES'!$B$2:$B$400)*(INDEX($AH$18:$AH$37,MATCH(COLUMN()-4,$AJ$18:$AJ$37,0))='VISA RULES'!$C$2:$C$400),0))),""),"NOT ON FILE - VERIFY")))</f>
        <v/>
      </c>
      <c r="H93" s="65" t="str" cm="1">
        <f t="array" ref="H93">IF(OR($A93="",H$87=""),"",IF(IFERROR(INDEX('VISA MATRIX'!$B$4:$FS$145,MATCH($B93,'VISA MATRIX'!$A$4:$A$145,0),MATCH(INDEX($AH$18:$AH$37,MATCH(COLUMN()-4,$AJ$18:$AJ$37,0)),'VISA MATRIX'!$B$3:$FS$3,0)),"")&lt;&gt;"",IFERROR(INDEX('VISA MATRIX'!$B$4:$FS$145,MATCH($B93,'VISA MATRIX'!$A$4:$A$145,0),MATCH(INDEX($AH$18:$AH$37,MATCH(COLUMN()-4,$AJ$18:$AJ$37,0)),'VISA MATRIX'!$B$3:$FS$3,0)),""),IF(IFERROR(INDEX('VISA RULES'!$E$2:$E$400,SUMPRODUCT(MATCH(1,($B93='VISA RULES'!$B$2:$B$400)*(INDEX($AH$18:$AH$37,MATCH(COLUMN()-4,$AJ$18:$AJ$37,0))='VISA RULES'!$C$2:$C$400),0))),"")&lt;&gt;"",IFERROR(INDEX('VISA RULES'!$E$2:$E$400,SUMPRODUCT(MATCH(1,($B93='VISA RULES'!$B$2:$B$400)*(INDEX($AH$18:$AH$37,MATCH(COLUMN()-4,$AJ$18:$AJ$37,0))='VISA RULES'!$C$2:$C$400),0))),""),"NOT ON FILE - VERIFY")))</f>
        <v/>
      </c>
      <c r="I93" s="65" t="str" cm="1">
        <f t="array" ref="I93">IF(OR($A93="",I$87=""),"",IF(IFERROR(INDEX('VISA MATRIX'!$B$4:$FS$145,MATCH($B93,'VISA MATRIX'!$A$4:$A$145,0),MATCH(INDEX($AH$18:$AH$37,MATCH(COLUMN()-4,$AJ$18:$AJ$37,0)),'VISA MATRIX'!$B$3:$FS$3,0)),"")&lt;&gt;"",IFERROR(INDEX('VISA MATRIX'!$B$4:$FS$145,MATCH($B93,'VISA MATRIX'!$A$4:$A$145,0),MATCH(INDEX($AH$18:$AH$37,MATCH(COLUMN()-4,$AJ$18:$AJ$37,0)),'VISA MATRIX'!$B$3:$FS$3,0)),""),IF(IFERROR(INDEX('VISA RULES'!$E$2:$E$400,SUMPRODUCT(MATCH(1,($B93='VISA RULES'!$B$2:$B$400)*(INDEX($AH$18:$AH$37,MATCH(COLUMN()-4,$AJ$18:$AJ$37,0))='VISA RULES'!$C$2:$C$400),0))),"")&lt;&gt;"",IFERROR(INDEX('VISA RULES'!$E$2:$E$400,SUMPRODUCT(MATCH(1,($B93='VISA RULES'!$B$2:$B$400)*(INDEX($AH$18:$AH$37,MATCH(COLUMN()-4,$AJ$18:$AJ$37,0))='VISA RULES'!$C$2:$C$400),0))),""),"NOT ON FILE - VERIFY")))</f>
        <v/>
      </c>
      <c r="J93" s="65" t="str" cm="1">
        <f t="array" ref="J93">IF(OR($A93="",J$87=""),"",IF(IFERROR(INDEX('VISA MATRIX'!$B$4:$FS$145,MATCH($B93,'VISA MATRIX'!$A$4:$A$145,0),MATCH(INDEX($AH$18:$AH$37,MATCH(COLUMN()-4,$AJ$18:$AJ$37,0)),'VISA MATRIX'!$B$3:$FS$3,0)),"")&lt;&gt;"",IFERROR(INDEX('VISA MATRIX'!$B$4:$FS$145,MATCH($B93,'VISA MATRIX'!$A$4:$A$145,0),MATCH(INDEX($AH$18:$AH$37,MATCH(COLUMN()-4,$AJ$18:$AJ$37,0)),'VISA MATRIX'!$B$3:$FS$3,0)),""),IF(IFERROR(INDEX('VISA RULES'!$E$2:$E$400,SUMPRODUCT(MATCH(1,($B93='VISA RULES'!$B$2:$B$400)*(INDEX($AH$18:$AH$37,MATCH(COLUMN()-4,$AJ$18:$AJ$37,0))='VISA RULES'!$C$2:$C$400),0))),"")&lt;&gt;"",IFERROR(INDEX('VISA RULES'!$E$2:$E$400,SUMPRODUCT(MATCH(1,($B93='VISA RULES'!$B$2:$B$400)*(INDEX($AH$18:$AH$37,MATCH(COLUMN()-4,$AJ$18:$AJ$37,0))='VISA RULES'!$C$2:$C$400),0))),""),"NOT ON FILE - VERIFY")))</f>
        <v/>
      </c>
    </row>
    <row r="94" spans="1:30" x14ac:dyDescent="0.3">
      <c r="A94" t="str">
        <f t="shared" si="19"/>
        <v/>
      </c>
      <c r="B94" t="str">
        <f>IF($A94="","",IFERROR(INDEX(countries!$B:$B,MATCH($C94,countries!$D:$D,0)),$C94))</f>
        <v/>
      </c>
      <c r="C94" t="str">
        <f t="shared" si="20"/>
        <v/>
      </c>
      <c r="D94" t="str" cm="1">
        <f t="array" ref="D94">IF($A94="","",_xlfn.TEXTJOIN(", ",TRUE,IF($AK$18:$AK$26=$C94,$AM$18:$AM$26,"")))</f>
        <v/>
      </c>
      <c r="E94" s="65" t="str" cm="1">
        <f t="array" ref="E94">IF(OR($A94="",E$87=""),"",IF(IFERROR(INDEX('VISA MATRIX'!$B$4:$FS$145,MATCH($B94,'VISA MATRIX'!$A$4:$A$145,0),MATCH(INDEX($AH$18:$AH$37,MATCH(COLUMN()-4,$AJ$18:$AJ$37,0)),'VISA MATRIX'!$B$3:$FS$3,0)),"")&lt;&gt;"",IFERROR(INDEX('VISA MATRIX'!$B$4:$FS$145,MATCH($B94,'VISA MATRIX'!$A$4:$A$145,0),MATCH(INDEX($AH$18:$AH$37,MATCH(COLUMN()-4,$AJ$18:$AJ$37,0)),'VISA MATRIX'!$B$3:$FS$3,0)),""),IF(IFERROR(INDEX('VISA RULES'!$E$2:$E$400,SUMPRODUCT(MATCH(1,($B94='VISA RULES'!$B$2:$B$400)*(INDEX($AH$18:$AH$37,MATCH(COLUMN()-4,$AJ$18:$AJ$37,0))='VISA RULES'!$C$2:$C$400),0))),"")&lt;&gt;"",IFERROR(INDEX('VISA RULES'!$E$2:$E$400,SUMPRODUCT(MATCH(1,($B94='VISA RULES'!$B$2:$B$400)*(INDEX($AH$18:$AH$37,MATCH(COLUMN()-4,$AJ$18:$AJ$37,0))='VISA RULES'!$C$2:$C$400),0))),""),"NOT ON FILE - VERIFY")))</f>
        <v/>
      </c>
      <c r="F94" s="65" t="str" cm="1">
        <f t="array" ref="F94">IF(OR($A94="",F$87=""),"",IF(IFERROR(INDEX('VISA MATRIX'!$B$4:$FS$145,MATCH($B94,'VISA MATRIX'!$A$4:$A$145,0),MATCH(INDEX($AH$18:$AH$37,MATCH(COLUMN()-4,$AJ$18:$AJ$37,0)),'VISA MATRIX'!$B$3:$FS$3,0)),"")&lt;&gt;"",IFERROR(INDEX('VISA MATRIX'!$B$4:$FS$145,MATCH($B94,'VISA MATRIX'!$A$4:$A$145,0),MATCH(INDEX($AH$18:$AH$37,MATCH(COLUMN()-4,$AJ$18:$AJ$37,0)),'VISA MATRIX'!$B$3:$FS$3,0)),""),IF(IFERROR(INDEX('VISA RULES'!$E$2:$E$400,SUMPRODUCT(MATCH(1,($B94='VISA RULES'!$B$2:$B$400)*(INDEX($AH$18:$AH$37,MATCH(COLUMN()-4,$AJ$18:$AJ$37,0))='VISA RULES'!$C$2:$C$400),0))),"")&lt;&gt;"",IFERROR(INDEX('VISA RULES'!$E$2:$E$400,SUMPRODUCT(MATCH(1,($B94='VISA RULES'!$B$2:$B$400)*(INDEX($AH$18:$AH$37,MATCH(COLUMN()-4,$AJ$18:$AJ$37,0))='VISA RULES'!$C$2:$C$400),0))),""),"NOT ON FILE - VERIFY")))</f>
        <v/>
      </c>
      <c r="G94" s="65" t="str" cm="1">
        <f t="array" ref="G94">IF(OR($A94="",G$87=""),"",IF(IFERROR(INDEX('VISA MATRIX'!$B$4:$FS$145,MATCH($B94,'VISA MATRIX'!$A$4:$A$145,0),MATCH(INDEX($AH$18:$AH$37,MATCH(COLUMN()-4,$AJ$18:$AJ$37,0)),'VISA MATRIX'!$B$3:$FS$3,0)),"")&lt;&gt;"",IFERROR(INDEX('VISA MATRIX'!$B$4:$FS$145,MATCH($B94,'VISA MATRIX'!$A$4:$A$145,0),MATCH(INDEX($AH$18:$AH$37,MATCH(COLUMN()-4,$AJ$18:$AJ$37,0)),'VISA MATRIX'!$B$3:$FS$3,0)),""),IF(IFERROR(INDEX('VISA RULES'!$E$2:$E$400,SUMPRODUCT(MATCH(1,($B94='VISA RULES'!$B$2:$B$400)*(INDEX($AH$18:$AH$37,MATCH(COLUMN()-4,$AJ$18:$AJ$37,0))='VISA RULES'!$C$2:$C$400),0))),"")&lt;&gt;"",IFERROR(INDEX('VISA RULES'!$E$2:$E$400,SUMPRODUCT(MATCH(1,($B94='VISA RULES'!$B$2:$B$400)*(INDEX($AH$18:$AH$37,MATCH(COLUMN()-4,$AJ$18:$AJ$37,0))='VISA RULES'!$C$2:$C$400),0))),""),"NOT ON FILE - VERIFY")))</f>
        <v/>
      </c>
      <c r="H94" s="65" t="str" cm="1">
        <f t="array" ref="H94">IF(OR($A94="",H$87=""),"",IF(IFERROR(INDEX('VISA MATRIX'!$B$4:$FS$145,MATCH($B94,'VISA MATRIX'!$A$4:$A$145,0),MATCH(INDEX($AH$18:$AH$37,MATCH(COLUMN()-4,$AJ$18:$AJ$37,0)),'VISA MATRIX'!$B$3:$FS$3,0)),"")&lt;&gt;"",IFERROR(INDEX('VISA MATRIX'!$B$4:$FS$145,MATCH($B94,'VISA MATRIX'!$A$4:$A$145,0),MATCH(INDEX($AH$18:$AH$37,MATCH(COLUMN()-4,$AJ$18:$AJ$37,0)),'VISA MATRIX'!$B$3:$FS$3,0)),""),IF(IFERROR(INDEX('VISA RULES'!$E$2:$E$400,SUMPRODUCT(MATCH(1,($B94='VISA RULES'!$B$2:$B$400)*(INDEX($AH$18:$AH$37,MATCH(COLUMN()-4,$AJ$18:$AJ$37,0))='VISA RULES'!$C$2:$C$400),0))),"")&lt;&gt;"",IFERROR(INDEX('VISA RULES'!$E$2:$E$400,SUMPRODUCT(MATCH(1,($B94='VISA RULES'!$B$2:$B$400)*(INDEX($AH$18:$AH$37,MATCH(COLUMN()-4,$AJ$18:$AJ$37,0))='VISA RULES'!$C$2:$C$400),0))),""),"NOT ON FILE - VERIFY")))</f>
        <v/>
      </c>
      <c r="I94" s="65" t="str" cm="1">
        <f t="array" ref="I94">IF(OR($A94="",I$87=""),"",IF(IFERROR(INDEX('VISA MATRIX'!$B$4:$FS$145,MATCH($B94,'VISA MATRIX'!$A$4:$A$145,0),MATCH(INDEX($AH$18:$AH$37,MATCH(COLUMN()-4,$AJ$18:$AJ$37,0)),'VISA MATRIX'!$B$3:$FS$3,0)),"")&lt;&gt;"",IFERROR(INDEX('VISA MATRIX'!$B$4:$FS$145,MATCH($B94,'VISA MATRIX'!$A$4:$A$145,0),MATCH(INDEX($AH$18:$AH$37,MATCH(COLUMN()-4,$AJ$18:$AJ$37,0)),'VISA MATRIX'!$B$3:$FS$3,0)),""),IF(IFERROR(INDEX('VISA RULES'!$E$2:$E$400,SUMPRODUCT(MATCH(1,($B94='VISA RULES'!$B$2:$B$400)*(INDEX($AH$18:$AH$37,MATCH(COLUMN()-4,$AJ$18:$AJ$37,0))='VISA RULES'!$C$2:$C$400),0))),"")&lt;&gt;"",IFERROR(INDEX('VISA RULES'!$E$2:$E$400,SUMPRODUCT(MATCH(1,($B94='VISA RULES'!$B$2:$B$400)*(INDEX($AH$18:$AH$37,MATCH(COLUMN()-4,$AJ$18:$AJ$37,0))='VISA RULES'!$C$2:$C$400),0))),""),"NOT ON FILE - VERIFY")))</f>
        <v/>
      </c>
      <c r="J94" s="65" t="str" cm="1">
        <f t="array" ref="J94">IF(OR($A94="",J$87=""),"",IF(IFERROR(INDEX('VISA MATRIX'!$B$4:$FS$145,MATCH($B94,'VISA MATRIX'!$A$4:$A$145,0),MATCH(INDEX($AH$18:$AH$37,MATCH(COLUMN()-4,$AJ$18:$AJ$37,0)),'VISA MATRIX'!$B$3:$FS$3,0)),"")&lt;&gt;"",IFERROR(INDEX('VISA MATRIX'!$B$4:$FS$145,MATCH($B94,'VISA MATRIX'!$A$4:$A$145,0),MATCH(INDEX($AH$18:$AH$37,MATCH(COLUMN()-4,$AJ$18:$AJ$37,0)),'VISA MATRIX'!$B$3:$FS$3,0)),""),IF(IFERROR(INDEX('VISA RULES'!$E$2:$E$400,SUMPRODUCT(MATCH(1,($B94='VISA RULES'!$B$2:$B$400)*(INDEX($AH$18:$AH$37,MATCH(COLUMN()-4,$AJ$18:$AJ$37,0))='VISA RULES'!$C$2:$C$400),0))),"")&lt;&gt;"",IFERROR(INDEX('VISA RULES'!$E$2:$E$400,SUMPRODUCT(MATCH(1,($B94='VISA RULES'!$B$2:$B$400)*(INDEX($AH$18:$AH$37,MATCH(COLUMN()-4,$AJ$18:$AJ$37,0))='VISA RULES'!$C$2:$C$400),0))),""),"NOT ON FILE - VERIFY")))</f>
        <v/>
      </c>
    </row>
    <row r="95" spans="1:30" x14ac:dyDescent="0.3">
      <c r="A95" s="33" t="str">
        <f t="shared" si="19"/>
        <v/>
      </c>
      <c r="B95" s="33" t="str">
        <f>IF($A95="","",IFERROR(INDEX(countries!$B:$B,MATCH($C95,countries!$D:$D,0)),$C95))</f>
        <v/>
      </c>
      <c r="C95" s="33" t="str">
        <f t="shared" si="20"/>
        <v/>
      </c>
      <c r="D95" s="33" t="str" cm="1">
        <f t="array" ref="D95">IF($A95="","",_xlfn.TEXTJOIN(", ",TRUE,IF($AK$18:$AK$26=$C95,$AM$18:$AM$26,"")))</f>
        <v/>
      </c>
      <c r="E95" s="66" t="str" cm="1">
        <f t="array" ref="E95">IF(OR($A95="",E$87=""),"",IF(IFERROR(INDEX('VISA MATRIX'!$B$4:$FS$145,MATCH($B95,'VISA MATRIX'!$A$4:$A$145,0),MATCH(INDEX($AH$18:$AH$37,MATCH(COLUMN()-4,$AJ$18:$AJ$37,0)),'VISA MATRIX'!$B$3:$FS$3,0)),"")&lt;&gt;"",IFERROR(INDEX('VISA MATRIX'!$B$4:$FS$145,MATCH($B95,'VISA MATRIX'!$A$4:$A$145,0),MATCH(INDEX($AH$18:$AH$37,MATCH(COLUMN()-4,$AJ$18:$AJ$37,0)),'VISA MATRIX'!$B$3:$FS$3,0)),""),IF(IFERROR(INDEX('VISA RULES'!$E$2:$E$400,SUMPRODUCT(MATCH(1,($B95='VISA RULES'!$B$2:$B$400)*(INDEX($AH$18:$AH$37,MATCH(COLUMN()-4,$AJ$18:$AJ$37,0))='VISA RULES'!$C$2:$C$400),0))),"")&lt;&gt;"",IFERROR(INDEX('VISA RULES'!$E$2:$E$400,SUMPRODUCT(MATCH(1,($B95='VISA RULES'!$B$2:$B$400)*(INDEX($AH$18:$AH$37,MATCH(COLUMN()-4,$AJ$18:$AJ$37,0))='VISA RULES'!$C$2:$C$400),0))),""),"NOT ON FILE - VERIFY")))</f>
        <v/>
      </c>
      <c r="F95" s="66" t="str" cm="1">
        <f t="array" ref="F95">IF(OR($A95="",F$87=""),"",IF(IFERROR(INDEX('VISA MATRIX'!$B$4:$FS$145,MATCH($B95,'VISA MATRIX'!$A$4:$A$145,0),MATCH(INDEX($AH$18:$AH$37,MATCH(COLUMN()-4,$AJ$18:$AJ$37,0)),'VISA MATRIX'!$B$3:$FS$3,0)),"")&lt;&gt;"",IFERROR(INDEX('VISA MATRIX'!$B$4:$FS$145,MATCH($B95,'VISA MATRIX'!$A$4:$A$145,0),MATCH(INDEX($AH$18:$AH$37,MATCH(COLUMN()-4,$AJ$18:$AJ$37,0)),'VISA MATRIX'!$B$3:$FS$3,0)),""),IF(IFERROR(INDEX('VISA RULES'!$E$2:$E$400,SUMPRODUCT(MATCH(1,($B95='VISA RULES'!$B$2:$B$400)*(INDEX($AH$18:$AH$37,MATCH(COLUMN()-4,$AJ$18:$AJ$37,0))='VISA RULES'!$C$2:$C$400),0))),"")&lt;&gt;"",IFERROR(INDEX('VISA RULES'!$E$2:$E$400,SUMPRODUCT(MATCH(1,($B95='VISA RULES'!$B$2:$B$400)*(INDEX($AH$18:$AH$37,MATCH(COLUMN()-4,$AJ$18:$AJ$37,0))='VISA RULES'!$C$2:$C$400),0))),""),"NOT ON FILE - VERIFY")))</f>
        <v/>
      </c>
      <c r="G95" s="66" t="str" cm="1">
        <f t="array" ref="G95">IF(OR($A95="",G$87=""),"",IF(IFERROR(INDEX('VISA MATRIX'!$B$4:$FS$145,MATCH($B95,'VISA MATRIX'!$A$4:$A$145,0),MATCH(INDEX($AH$18:$AH$37,MATCH(COLUMN()-4,$AJ$18:$AJ$37,0)),'VISA MATRIX'!$B$3:$FS$3,0)),"")&lt;&gt;"",IFERROR(INDEX('VISA MATRIX'!$B$4:$FS$145,MATCH($B95,'VISA MATRIX'!$A$4:$A$145,0),MATCH(INDEX($AH$18:$AH$37,MATCH(COLUMN()-4,$AJ$18:$AJ$37,0)),'VISA MATRIX'!$B$3:$FS$3,0)),""),IF(IFERROR(INDEX('VISA RULES'!$E$2:$E$400,SUMPRODUCT(MATCH(1,($B95='VISA RULES'!$B$2:$B$400)*(INDEX($AH$18:$AH$37,MATCH(COLUMN()-4,$AJ$18:$AJ$37,0))='VISA RULES'!$C$2:$C$400),0))),"")&lt;&gt;"",IFERROR(INDEX('VISA RULES'!$E$2:$E$400,SUMPRODUCT(MATCH(1,($B95='VISA RULES'!$B$2:$B$400)*(INDEX($AH$18:$AH$37,MATCH(COLUMN()-4,$AJ$18:$AJ$37,0))='VISA RULES'!$C$2:$C$400),0))),""),"NOT ON FILE - VERIFY")))</f>
        <v/>
      </c>
      <c r="H95" s="66" t="str" cm="1">
        <f t="array" ref="H95">IF(OR($A95="",H$87=""),"",IF(IFERROR(INDEX('VISA MATRIX'!$B$4:$FS$145,MATCH($B95,'VISA MATRIX'!$A$4:$A$145,0),MATCH(INDEX($AH$18:$AH$37,MATCH(COLUMN()-4,$AJ$18:$AJ$37,0)),'VISA MATRIX'!$B$3:$FS$3,0)),"")&lt;&gt;"",IFERROR(INDEX('VISA MATRIX'!$B$4:$FS$145,MATCH($B95,'VISA MATRIX'!$A$4:$A$145,0),MATCH(INDEX($AH$18:$AH$37,MATCH(COLUMN()-4,$AJ$18:$AJ$37,0)),'VISA MATRIX'!$B$3:$FS$3,0)),""),IF(IFERROR(INDEX('VISA RULES'!$E$2:$E$400,SUMPRODUCT(MATCH(1,($B95='VISA RULES'!$B$2:$B$400)*(INDEX($AH$18:$AH$37,MATCH(COLUMN()-4,$AJ$18:$AJ$37,0))='VISA RULES'!$C$2:$C$400),0))),"")&lt;&gt;"",IFERROR(INDEX('VISA RULES'!$E$2:$E$400,SUMPRODUCT(MATCH(1,($B95='VISA RULES'!$B$2:$B$400)*(INDEX($AH$18:$AH$37,MATCH(COLUMN()-4,$AJ$18:$AJ$37,0))='VISA RULES'!$C$2:$C$400),0))),""),"NOT ON FILE - VERIFY")))</f>
        <v/>
      </c>
      <c r="I95" s="66" t="str" cm="1">
        <f t="array" ref="I95">IF(OR($A95="",I$87=""),"",IF(IFERROR(INDEX('VISA MATRIX'!$B$4:$FS$145,MATCH($B95,'VISA MATRIX'!$A$4:$A$145,0),MATCH(INDEX($AH$18:$AH$37,MATCH(COLUMN()-4,$AJ$18:$AJ$37,0)),'VISA MATRIX'!$B$3:$FS$3,0)),"")&lt;&gt;"",IFERROR(INDEX('VISA MATRIX'!$B$4:$FS$145,MATCH($B95,'VISA MATRIX'!$A$4:$A$145,0),MATCH(INDEX($AH$18:$AH$37,MATCH(COLUMN()-4,$AJ$18:$AJ$37,0)),'VISA MATRIX'!$B$3:$FS$3,0)),""),IF(IFERROR(INDEX('VISA RULES'!$E$2:$E$400,SUMPRODUCT(MATCH(1,($B95='VISA RULES'!$B$2:$B$400)*(INDEX($AH$18:$AH$37,MATCH(COLUMN()-4,$AJ$18:$AJ$37,0))='VISA RULES'!$C$2:$C$400),0))),"")&lt;&gt;"",IFERROR(INDEX('VISA RULES'!$E$2:$E$400,SUMPRODUCT(MATCH(1,($B95='VISA RULES'!$B$2:$B$400)*(INDEX($AH$18:$AH$37,MATCH(COLUMN()-4,$AJ$18:$AJ$37,0))='VISA RULES'!$C$2:$C$400),0))),""),"NOT ON FILE - VERIFY")))</f>
        <v/>
      </c>
      <c r="J95" s="66" t="str" cm="1">
        <f t="array" ref="J95">IF(OR($A95="",J$87=""),"",IF(IFERROR(INDEX('VISA MATRIX'!$B$4:$FS$145,MATCH($B95,'VISA MATRIX'!$A$4:$A$145,0),MATCH(INDEX($AH$18:$AH$37,MATCH(COLUMN()-4,$AJ$18:$AJ$37,0)),'VISA MATRIX'!$B$3:$FS$3,0)),"")&lt;&gt;"",IFERROR(INDEX('VISA MATRIX'!$B$4:$FS$145,MATCH($B95,'VISA MATRIX'!$A$4:$A$145,0),MATCH(INDEX($AH$18:$AH$37,MATCH(COLUMN()-4,$AJ$18:$AJ$37,0)),'VISA MATRIX'!$B$3:$FS$3,0)),""),IF(IFERROR(INDEX('VISA RULES'!$E$2:$E$400,SUMPRODUCT(MATCH(1,($B95='VISA RULES'!$B$2:$B$400)*(INDEX($AH$18:$AH$37,MATCH(COLUMN()-4,$AJ$18:$AJ$37,0))='VISA RULES'!$C$2:$C$400),0))),"")&lt;&gt;"",IFERROR(INDEX('VISA RULES'!$E$2:$E$400,SUMPRODUCT(MATCH(1,($B95='VISA RULES'!$B$2:$B$400)*(INDEX($AH$18:$AH$37,MATCH(COLUMN()-4,$AJ$18:$AJ$37,0))='VISA RULES'!$C$2:$C$400),0))),""),"NOT ON FILE - VERIFY")))</f>
        <v/>
      </c>
      <c r="K95" s="33"/>
      <c r="L95" s="33"/>
    </row>
    <row r="96" spans="1:30" x14ac:dyDescent="0.3">
      <c r="A96" s="33" t="str">
        <f t="shared" si="19"/>
        <v/>
      </c>
      <c r="B96" s="33" t="str">
        <f>IF($A96="","",IFERROR(INDEX(countries!$B:$B,MATCH($C96,countries!$D:$D,0)),$C96))</f>
        <v/>
      </c>
      <c r="C96" s="33" t="str">
        <f t="shared" si="20"/>
        <v/>
      </c>
      <c r="D96" s="33" t="str" cm="1">
        <f t="array" ref="D96">IF($A96="","",_xlfn.TEXTJOIN(", ",TRUE,IF($AK$18:$AK$26=$C96,$AM$18:$AM$26,"")))</f>
        <v/>
      </c>
      <c r="E96" s="66" t="str" cm="1">
        <f t="array" ref="E96">IF(OR($A96="",E$87=""),"",IF(IFERROR(INDEX('VISA MATRIX'!$B$4:$FS$145,MATCH($B96,'VISA MATRIX'!$A$4:$A$145,0),MATCH(INDEX($AH$18:$AH$37,MATCH(COLUMN()-4,$AJ$18:$AJ$37,0)),'VISA MATRIX'!$B$3:$FS$3,0)),"")&lt;&gt;"",IFERROR(INDEX('VISA MATRIX'!$B$4:$FS$145,MATCH($B96,'VISA MATRIX'!$A$4:$A$145,0),MATCH(INDEX($AH$18:$AH$37,MATCH(COLUMN()-4,$AJ$18:$AJ$37,0)),'VISA MATRIX'!$B$3:$FS$3,0)),""),IF(IFERROR(INDEX('VISA RULES'!$E$2:$E$400,SUMPRODUCT(MATCH(1,($B96='VISA RULES'!$B$2:$B$400)*(INDEX($AH$18:$AH$37,MATCH(COLUMN()-4,$AJ$18:$AJ$37,0))='VISA RULES'!$C$2:$C$400),0))),"")&lt;&gt;"",IFERROR(INDEX('VISA RULES'!$E$2:$E$400,SUMPRODUCT(MATCH(1,($B96='VISA RULES'!$B$2:$B$400)*(INDEX($AH$18:$AH$37,MATCH(COLUMN()-4,$AJ$18:$AJ$37,0))='VISA RULES'!$C$2:$C$400),0))),""),"NOT ON FILE - VERIFY")))</f>
        <v/>
      </c>
      <c r="F96" s="66" t="str" cm="1">
        <f t="array" ref="F96">IF(OR($A96="",F$87=""),"",IF(IFERROR(INDEX('VISA MATRIX'!$B$4:$FS$145,MATCH($B96,'VISA MATRIX'!$A$4:$A$145,0),MATCH(INDEX($AH$18:$AH$37,MATCH(COLUMN()-4,$AJ$18:$AJ$37,0)),'VISA MATRIX'!$B$3:$FS$3,0)),"")&lt;&gt;"",IFERROR(INDEX('VISA MATRIX'!$B$4:$FS$145,MATCH($B96,'VISA MATRIX'!$A$4:$A$145,0),MATCH(INDEX($AH$18:$AH$37,MATCH(COLUMN()-4,$AJ$18:$AJ$37,0)),'VISA MATRIX'!$B$3:$FS$3,0)),""),IF(IFERROR(INDEX('VISA RULES'!$E$2:$E$400,SUMPRODUCT(MATCH(1,($B96='VISA RULES'!$B$2:$B$400)*(INDEX($AH$18:$AH$37,MATCH(COLUMN()-4,$AJ$18:$AJ$37,0))='VISA RULES'!$C$2:$C$400),0))),"")&lt;&gt;"",IFERROR(INDEX('VISA RULES'!$E$2:$E$400,SUMPRODUCT(MATCH(1,($B96='VISA RULES'!$B$2:$B$400)*(INDEX($AH$18:$AH$37,MATCH(COLUMN()-4,$AJ$18:$AJ$37,0))='VISA RULES'!$C$2:$C$400),0))),""),"NOT ON FILE - VERIFY")))</f>
        <v/>
      </c>
      <c r="G96" s="66" t="str" cm="1">
        <f t="array" ref="G96">IF(OR($A96="",G$87=""),"",IF(IFERROR(INDEX('VISA MATRIX'!$B$4:$FS$145,MATCH($B96,'VISA MATRIX'!$A$4:$A$145,0),MATCH(INDEX($AH$18:$AH$37,MATCH(COLUMN()-4,$AJ$18:$AJ$37,0)),'VISA MATRIX'!$B$3:$FS$3,0)),"")&lt;&gt;"",IFERROR(INDEX('VISA MATRIX'!$B$4:$FS$145,MATCH($B96,'VISA MATRIX'!$A$4:$A$145,0),MATCH(INDEX($AH$18:$AH$37,MATCH(COLUMN()-4,$AJ$18:$AJ$37,0)),'VISA MATRIX'!$B$3:$FS$3,0)),""),IF(IFERROR(INDEX('VISA RULES'!$E$2:$E$400,SUMPRODUCT(MATCH(1,($B96='VISA RULES'!$B$2:$B$400)*(INDEX($AH$18:$AH$37,MATCH(COLUMN()-4,$AJ$18:$AJ$37,0))='VISA RULES'!$C$2:$C$400),0))),"")&lt;&gt;"",IFERROR(INDEX('VISA RULES'!$E$2:$E$400,SUMPRODUCT(MATCH(1,($B96='VISA RULES'!$B$2:$B$400)*(INDEX($AH$18:$AH$37,MATCH(COLUMN()-4,$AJ$18:$AJ$37,0))='VISA RULES'!$C$2:$C$400),0))),""),"NOT ON FILE - VERIFY")))</f>
        <v/>
      </c>
      <c r="H96" s="66" t="str" cm="1">
        <f t="array" ref="H96">IF(OR($A96="",H$87=""),"",IF(IFERROR(INDEX('VISA MATRIX'!$B$4:$FS$145,MATCH($B96,'VISA MATRIX'!$A$4:$A$145,0),MATCH(INDEX($AH$18:$AH$37,MATCH(COLUMN()-4,$AJ$18:$AJ$37,0)),'VISA MATRIX'!$B$3:$FS$3,0)),"")&lt;&gt;"",IFERROR(INDEX('VISA MATRIX'!$B$4:$FS$145,MATCH($B96,'VISA MATRIX'!$A$4:$A$145,0),MATCH(INDEX($AH$18:$AH$37,MATCH(COLUMN()-4,$AJ$18:$AJ$37,0)),'VISA MATRIX'!$B$3:$FS$3,0)),""),IF(IFERROR(INDEX('VISA RULES'!$E$2:$E$400,SUMPRODUCT(MATCH(1,($B96='VISA RULES'!$B$2:$B$400)*(INDEX($AH$18:$AH$37,MATCH(COLUMN()-4,$AJ$18:$AJ$37,0))='VISA RULES'!$C$2:$C$400),0))),"")&lt;&gt;"",IFERROR(INDEX('VISA RULES'!$E$2:$E$400,SUMPRODUCT(MATCH(1,($B96='VISA RULES'!$B$2:$B$400)*(INDEX($AH$18:$AH$37,MATCH(COLUMN()-4,$AJ$18:$AJ$37,0))='VISA RULES'!$C$2:$C$400),0))),""),"NOT ON FILE - VERIFY")))</f>
        <v/>
      </c>
      <c r="I96" s="66" t="str" cm="1">
        <f t="array" ref="I96">IF(OR($A96="",I$87=""),"",IF(IFERROR(INDEX('VISA MATRIX'!$B$4:$FS$145,MATCH($B96,'VISA MATRIX'!$A$4:$A$145,0),MATCH(INDEX($AH$18:$AH$37,MATCH(COLUMN()-4,$AJ$18:$AJ$37,0)),'VISA MATRIX'!$B$3:$FS$3,0)),"")&lt;&gt;"",IFERROR(INDEX('VISA MATRIX'!$B$4:$FS$145,MATCH($B96,'VISA MATRIX'!$A$4:$A$145,0),MATCH(INDEX($AH$18:$AH$37,MATCH(COLUMN()-4,$AJ$18:$AJ$37,0)),'VISA MATRIX'!$B$3:$FS$3,0)),""),IF(IFERROR(INDEX('VISA RULES'!$E$2:$E$400,SUMPRODUCT(MATCH(1,($B96='VISA RULES'!$B$2:$B$400)*(INDEX($AH$18:$AH$37,MATCH(COLUMN()-4,$AJ$18:$AJ$37,0))='VISA RULES'!$C$2:$C$400),0))),"")&lt;&gt;"",IFERROR(INDEX('VISA RULES'!$E$2:$E$400,SUMPRODUCT(MATCH(1,($B96='VISA RULES'!$B$2:$B$400)*(INDEX($AH$18:$AH$37,MATCH(COLUMN()-4,$AJ$18:$AJ$37,0))='VISA RULES'!$C$2:$C$400),0))),""),"NOT ON FILE - VERIFY")))</f>
        <v/>
      </c>
      <c r="J96" s="66" t="str" cm="1">
        <f t="array" ref="J96">IF(OR($A96="",J$87=""),"",IF(IFERROR(INDEX('VISA MATRIX'!$B$4:$FS$145,MATCH($B96,'VISA MATRIX'!$A$4:$A$145,0),MATCH(INDEX($AH$18:$AH$37,MATCH(COLUMN()-4,$AJ$18:$AJ$37,0)),'VISA MATRIX'!$B$3:$FS$3,0)),"")&lt;&gt;"",IFERROR(INDEX('VISA MATRIX'!$B$4:$FS$145,MATCH($B96,'VISA MATRIX'!$A$4:$A$145,0),MATCH(INDEX($AH$18:$AH$37,MATCH(COLUMN()-4,$AJ$18:$AJ$37,0)),'VISA MATRIX'!$B$3:$FS$3,0)),""),IF(IFERROR(INDEX('VISA RULES'!$E$2:$E$400,SUMPRODUCT(MATCH(1,($B96='VISA RULES'!$B$2:$B$400)*(INDEX($AH$18:$AH$37,MATCH(COLUMN()-4,$AJ$18:$AJ$37,0))='VISA RULES'!$C$2:$C$400),0))),"")&lt;&gt;"",IFERROR(INDEX('VISA RULES'!$E$2:$E$400,SUMPRODUCT(MATCH(1,($B96='VISA RULES'!$B$2:$B$400)*(INDEX($AH$18:$AH$37,MATCH(COLUMN()-4,$AJ$18:$AJ$37,0))='VISA RULES'!$C$2:$C$400),0))),""),"NOT ON FILE - VERIFY")))</f>
        <v/>
      </c>
      <c r="K96" s="33" t="s">
        <v>4555</v>
      </c>
      <c r="L96" s="33" t="s">
        <v>4551</v>
      </c>
    </row>
    <row r="97" spans="1:12" x14ac:dyDescent="0.3">
      <c r="A97" s="27" t="s">
        <v>5275</v>
      </c>
      <c r="B97" s="26"/>
      <c r="C97" s="26"/>
      <c r="D97" s="26"/>
      <c r="E97" s="71" t="str">
        <f>IF(E$87="","",IF(COUNTIF(E$88:E$96,"REQUIRED")&gt;0,"YES",IF(COUNTIF(E$88:E$96,"NOT ON FILE - VERIFY")&gt;0,"VERIFY",IF(COUNTIF(E$88:E$96,"VISA ON ARRIVAL")+COUNTIF(E$88:E$96,"eVISA")&gt;0,"ON ARRIVAL / eVISA","NO"))))</f>
        <v>VERIFY</v>
      </c>
      <c r="F97" s="27" t="str">
        <f t="shared" ref="F97:J97" si="21">IF(F$87="","",IF(COUNTIF(F$88:F$96,"REQUIRED")&gt;0,"YES",IF(COUNTIF(F$88:F$96,"NOT ON FILE - VERIFY")&gt;0,"VERIFY",IF(COUNTIF(F$88:F$96,"VISA ON ARRIVAL")+COUNTIF(F$88:F$96,"eVISA")&gt;0,"ON ARRIVAL / eVISA","NO"))))</f>
        <v>VERIFY</v>
      </c>
      <c r="G97" s="27" t="str">
        <f t="shared" si="21"/>
        <v>VERIFY</v>
      </c>
      <c r="H97" s="27" t="str">
        <f t="shared" si="21"/>
        <v/>
      </c>
      <c r="I97" s="27" t="str">
        <f t="shared" si="21"/>
        <v/>
      </c>
      <c r="J97" s="27" t="str">
        <f t="shared" si="21"/>
        <v/>
      </c>
    </row>
    <row r="98" spans="1:12" x14ac:dyDescent="0.3">
      <c r="A98" s="32" t="s">
        <v>5093</v>
      </c>
    </row>
    <row r="100" spans="1:12" x14ac:dyDescent="0.3">
      <c r="A100" s="25" t="s">
        <v>4711</v>
      </c>
      <c r="B100" s="25"/>
      <c r="C100" s="25"/>
      <c r="D100" s="25"/>
      <c r="E100" s="25"/>
      <c r="F100" s="25"/>
      <c r="G100" s="25"/>
      <c r="H100" s="25"/>
      <c r="I100" s="25"/>
      <c r="J100" s="25"/>
    </row>
    <row r="101" spans="1:12" x14ac:dyDescent="0.3">
      <c r="A101" s="46" t="s">
        <v>4306</v>
      </c>
      <c r="B101" s="46" t="s">
        <v>4712</v>
      </c>
      <c r="C101" s="46" t="s">
        <v>4713</v>
      </c>
      <c r="D101" s="46" t="s">
        <v>4714</v>
      </c>
      <c r="E101" s="46" t="s">
        <v>4558</v>
      </c>
      <c r="F101" s="46" t="s">
        <v>4572</v>
      </c>
      <c r="G101" s="53" t="s">
        <v>4606</v>
      </c>
      <c r="H101" s="46" t="s">
        <v>4715</v>
      </c>
      <c r="I101" s="46" t="s">
        <v>4608</v>
      </c>
      <c r="J101" s="46" t="s">
        <v>4692</v>
      </c>
    </row>
    <row r="102" spans="1:12" x14ac:dyDescent="0.3">
      <c r="A102" t="str" cm="1">
        <f t="array" ref="A102">IF(INDEX($B$18:$B$25,ROW()-101)="","",INDEX($A$18:$A$25,ROW()-101))</f>
        <v>L1</v>
      </c>
      <c r="B102" t="str" cm="1">
        <f t="array" ref="B102">IF($A102="","",INDEX($B$18:$B$25,ROW()-101))</f>
        <v>FALA</v>
      </c>
      <c r="C102" t="str" cm="1">
        <f t="array" ref="C102">IF($A102="","",INDEX($G$18:$G$25,ROW()-101))</f>
        <v>FTTJ</v>
      </c>
      <c r="D102" s="41" cm="1">
        <f t="array" ref="D102">IF($A102="","",INDEX($E$18:$E$25,ROW()-101)+INDEX($F$18:$F$25,ROW()-101))</f>
        <v>46248.375</v>
      </c>
      <c r="E102" s="43" cm="1">
        <f t="array" ref="E102">IF($A102="","",SUMPRODUCT(('PAX &amp; CREW'!$B$3:$B$62=$B$5)*('PAX &amp; CREW'!$C$3:$C$62="CREW")*(((UPPER('PAX &amp; CREW'!$E$3:$E$62)="ALL")+ISNUMBER(SEARCH($A102,'PAX &amp; CREW'!$E$3:$E$62)))&gt;0)))</f>
        <v>2</v>
      </c>
      <c r="F102" s="43" cm="1">
        <f t="array" ref="F102">IF($A102="","",SUMPRODUCT(('PAX &amp; CREW'!$B$3:$B$62=$B$5)*('PAX &amp; CREW'!$C$3:$C$62="PAX")*(((UPPER('PAX &amp; CREW'!$E$3:$E$62)="ALL")+ISNUMBER(SEARCH($A102,'PAX &amp; CREW'!$E$3:$E$62)))&gt;0)))</f>
        <v>2</v>
      </c>
      <c r="G102" s="43">
        <f>IF($A102="","",$E102+$F102)</f>
        <v>4</v>
      </c>
      <c r="H102" s="43">
        <f>IF($A102="","",IFERROR(INDEX(Aircraft!$I:$I,MATCH($B$7,Aircraft!$B:$B,0)),"NOT IN FLEET"))</f>
        <v>19</v>
      </c>
      <c r="I102" t="str">
        <f>IF($A102="","",IF($H102="NOT IN FLEET","CANNOT CHECK",IF($F102&gt;$H102,"OVER CAPACITY","OK")))</f>
        <v>OK</v>
      </c>
      <c r="J102" t="str" cm="1">
        <f t="array" ref="J102">IF($A102="","",INDEX($N$18:$N$25,ROW()-101))</f>
        <v>CLI-001</v>
      </c>
    </row>
    <row r="103" spans="1:12" x14ac:dyDescent="0.3">
      <c r="A103" t="str" cm="1">
        <f t="array" ref="A103">IF(INDEX($B$18:$B$25,ROW()-101)="","",INDEX($A$18:$A$25,ROW()-101))</f>
        <v>L2</v>
      </c>
      <c r="B103" t="str" cm="1">
        <f t="array" ref="B103">IF($A103="","",INDEX($B$18:$B$25,ROW()-101))</f>
        <v>FTTJ</v>
      </c>
      <c r="C103" t="str" cm="1">
        <f t="array" ref="C103">IF($A103="","",INDEX($G$18:$G$25,ROW()-101))</f>
        <v>HECA</v>
      </c>
      <c r="D103" s="41" cm="1">
        <f t="array" ref="D103">IF($A103="","",INDEX($E$18:$E$25,ROW()-101)+INDEX($F$18:$F$25,ROW()-101))</f>
        <v>46250.25</v>
      </c>
      <c r="E103" s="43" cm="1">
        <f t="array" ref="E103">IF($A103="","",SUMPRODUCT(('PAX &amp; CREW'!$B$3:$B$62=$B$5)*('PAX &amp; CREW'!$C$3:$C$62="CREW")*(((UPPER('PAX &amp; CREW'!$E$3:$E$62)="ALL")+ISNUMBER(SEARCH($A103,'PAX &amp; CREW'!$E$3:$E$62)))&gt;0)))</f>
        <v>2</v>
      </c>
      <c r="F103" s="43" cm="1">
        <f t="array" ref="F103">IF($A103="","",SUMPRODUCT(('PAX &amp; CREW'!$B$3:$B$62=$B$5)*('PAX &amp; CREW'!$C$3:$C$62="PAX")*(((UPPER('PAX &amp; CREW'!$E$3:$E$62)="ALL")+ISNUMBER(SEARCH($A103,'PAX &amp; CREW'!$E$3:$E$62)))&gt;0)))</f>
        <v>1</v>
      </c>
      <c r="G103" s="43">
        <f t="shared" ref="G103:G109" si="22">IF($A103="","",$E103+$F103)</f>
        <v>3</v>
      </c>
      <c r="H103" s="43">
        <f>IF($A103="","",IFERROR(INDEX(Aircraft!$I:$I,MATCH($B$7,Aircraft!$B:$B,0)),"NOT IN FLEET"))</f>
        <v>19</v>
      </c>
      <c r="I103" t="str">
        <f t="shared" ref="I103:I109" si="23">IF($A103="","",IF($H103="NOT IN FLEET","CANNOT CHECK",IF($F103&gt;$H103,"OVER CAPACITY","OK")))</f>
        <v>OK</v>
      </c>
      <c r="J103" t="str" cm="1">
        <f t="array" ref="J103">IF($A103="","",INDEX($N$18:$N$25,ROW()-101))</f>
        <v>CLI-001</v>
      </c>
    </row>
    <row r="104" spans="1:12" x14ac:dyDescent="0.3">
      <c r="A104" t="str" cm="1">
        <f t="array" ref="A104">IF(INDEX($B$18:$B$25,ROW()-101)="","",INDEX($A$18:$A$25,ROW()-101))</f>
        <v>L3</v>
      </c>
      <c r="B104" t="str" cm="1">
        <f t="array" ref="B104">IF($A104="","",INDEX($B$18:$B$25,ROW()-101))</f>
        <v>HECA</v>
      </c>
      <c r="C104" t="str" cm="1">
        <f t="array" ref="C104">IF($A104="","",INDEX($G$18:$G$25,ROW()-101))</f>
        <v>GMAD</v>
      </c>
      <c r="D104" s="41" cm="1">
        <f t="array" ref="D104">IF($A104="","",INDEX($E$18:$E$25,ROW()-101)+INDEX($F$18:$F$25,ROW()-101))</f>
        <v>46251.166666666664</v>
      </c>
      <c r="E104" s="43" cm="1">
        <f t="array" ref="E104">IF($A104="","",SUMPRODUCT(('PAX &amp; CREW'!$B$3:$B$62=$B$5)*('PAX &amp; CREW'!$C$3:$C$62="CREW")*(((UPPER('PAX &amp; CREW'!$E$3:$E$62)="ALL")+ISNUMBER(SEARCH($A104,'PAX &amp; CREW'!$E$3:$E$62)))&gt;0)))</f>
        <v>2</v>
      </c>
      <c r="F104" s="43" cm="1">
        <f t="array" ref="F104">IF($A104="","",SUMPRODUCT(('PAX &amp; CREW'!$B$3:$B$62=$B$5)*('PAX &amp; CREW'!$C$3:$C$62="PAX")*(((UPPER('PAX &amp; CREW'!$E$3:$E$62)="ALL")+ISNUMBER(SEARCH($A104,'PAX &amp; CREW'!$E$3:$E$62)))&gt;0)))</f>
        <v>0</v>
      </c>
      <c r="G104" s="43">
        <f t="shared" si="22"/>
        <v>2</v>
      </c>
      <c r="H104" s="43">
        <f>IF($A104="","",IFERROR(INDEX(Aircraft!$I:$I,MATCH($B$7,Aircraft!$B:$B,0)),"NOT IN FLEET"))</f>
        <v>19</v>
      </c>
      <c r="I104" t="str">
        <f t="shared" si="23"/>
        <v>OK</v>
      </c>
      <c r="J104" t="str" cm="1">
        <f t="array" ref="J104">IF($A104="","",INDEX($N$18:$N$25,ROW()-101))</f>
        <v>CLI-001</v>
      </c>
    </row>
    <row r="105" spans="1:12" x14ac:dyDescent="0.3">
      <c r="A105" t="str" cm="1">
        <f t="array" ref="A105">IF(INDEX($B$18:$B$25,ROW()-101)="","",INDEX($A$18:$A$25,ROW()-101))</f>
        <v>L4</v>
      </c>
      <c r="B105" t="str" cm="1">
        <f t="array" ref="B105">IF($A105="","",INDEX($B$18:$B$25,ROW()-101))</f>
        <v>GMAD</v>
      </c>
      <c r="C105" t="str" cm="1">
        <f t="array" ref="C105">IF($A105="","",INDEX($G$18:$G$25,ROW()-101))</f>
        <v>FAOR</v>
      </c>
      <c r="D105" s="41" cm="1">
        <f t="array" ref="D105">IF($A105="","",INDEX($E$18:$E$25,ROW()-101)+INDEX($F$18:$F$25,ROW()-101))</f>
        <v>46253.041666666664</v>
      </c>
      <c r="E105" s="43" cm="1">
        <f t="array" ref="E105">IF($A105="","",SUMPRODUCT(('PAX &amp; CREW'!$B$3:$B$62=$B$5)*('PAX &amp; CREW'!$C$3:$C$62="CREW")*(((UPPER('PAX &amp; CREW'!$E$3:$E$62)="ALL")+ISNUMBER(SEARCH($A105,'PAX &amp; CREW'!$E$3:$E$62)))&gt;0)))</f>
        <v>2</v>
      </c>
      <c r="F105" s="43" cm="1">
        <f t="array" ref="F105">IF($A105="","",SUMPRODUCT(('PAX &amp; CREW'!$B$3:$B$62=$B$5)*('PAX &amp; CREW'!$C$3:$C$62="PAX")*(((UPPER('PAX &amp; CREW'!$E$3:$E$62)="ALL")+ISNUMBER(SEARCH($A105,'PAX &amp; CREW'!$E$3:$E$62)))&gt;0)))</f>
        <v>0</v>
      </c>
      <c r="G105" s="43">
        <f t="shared" si="22"/>
        <v>2</v>
      </c>
      <c r="H105" s="43">
        <f>IF($A105="","",IFERROR(INDEX(Aircraft!$I:$I,MATCH($B$7,Aircraft!$B:$B,0)),"NOT IN FLEET"))</f>
        <v>19</v>
      </c>
      <c r="I105" t="str">
        <f t="shared" si="23"/>
        <v>OK</v>
      </c>
      <c r="J105" t="str" cm="1">
        <f t="array" ref="J105">IF($A105="","",INDEX($N$18:$N$25,ROW()-101))</f>
        <v>CLI-002</v>
      </c>
    </row>
    <row r="106" spans="1:12" x14ac:dyDescent="0.3">
      <c r="A106" t="str" cm="1">
        <f t="array" ref="A106">IF(INDEX($B$18:$B$25,ROW()-101)="","",INDEX($A$18:$A$25,ROW()-101))</f>
        <v/>
      </c>
      <c r="B106" t="str" cm="1">
        <f t="array" ref="B106">IF($A106="","",INDEX($B$18:$B$25,ROW()-101))</f>
        <v/>
      </c>
      <c r="C106" t="str" cm="1">
        <f t="array" ref="C106">IF($A106="","",INDEX($G$18:$G$25,ROW()-101))</f>
        <v/>
      </c>
      <c r="D106" s="41" t="str" cm="1">
        <f t="array" ref="D106">IF($A106="","",INDEX($E$18:$E$25,ROW()-101)+INDEX($F$18:$F$25,ROW()-101))</f>
        <v/>
      </c>
      <c r="E106" s="43" t="str" cm="1">
        <f t="array" ref="E106">IF($A106="","",SUMPRODUCT(('PAX &amp; CREW'!$B$3:$B$62=$B$5)*('PAX &amp; CREW'!$C$3:$C$62="CREW")*(((UPPER('PAX &amp; CREW'!$E$3:$E$62)="ALL")+ISNUMBER(SEARCH($A106,'PAX &amp; CREW'!$E$3:$E$62)))&gt;0)))</f>
        <v/>
      </c>
      <c r="F106" s="43" t="str" cm="1">
        <f t="array" ref="F106">IF($A106="","",SUMPRODUCT(('PAX &amp; CREW'!$B$3:$B$62=$B$5)*('PAX &amp; CREW'!$C$3:$C$62="PAX")*(((UPPER('PAX &amp; CREW'!$E$3:$E$62)="ALL")+ISNUMBER(SEARCH($A106,'PAX &amp; CREW'!$E$3:$E$62)))&gt;0)))</f>
        <v/>
      </c>
      <c r="G106" s="43" t="str">
        <f t="shared" si="22"/>
        <v/>
      </c>
      <c r="H106" s="43" t="str">
        <f>IF($A106="","",IFERROR(INDEX(Aircraft!$I:$I,MATCH($B$7,Aircraft!$B:$B,0)),"NOT IN FLEET"))</f>
        <v/>
      </c>
      <c r="I106" t="str">
        <f t="shared" si="23"/>
        <v/>
      </c>
      <c r="J106" t="str" cm="1">
        <f t="array" ref="J106">IF($A106="","",INDEX($N$18:$N$25,ROW()-101))</f>
        <v/>
      </c>
    </row>
    <row r="107" spans="1:12" x14ac:dyDescent="0.3">
      <c r="A107" t="str" cm="1">
        <f t="array" ref="A107">IF(INDEX($B$18:$B$25,ROW()-101)="","",INDEX($A$18:$A$25,ROW()-101))</f>
        <v/>
      </c>
      <c r="B107" t="str" cm="1">
        <f t="array" ref="B107">IF($A107="","",INDEX($B$18:$B$25,ROW()-101))</f>
        <v/>
      </c>
      <c r="C107" t="str" cm="1">
        <f t="array" ref="C107">IF($A107="","",INDEX($G$18:$G$25,ROW()-101))</f>
        <v/>
      </c>
      <c r="D107" s="41" t="str" cm="1">
        <f t="array" ref="D107">IF($A107="","",INDEX($E$18:$E$25,ROW()-101)+INDEX($F$18:$F$25,ROW()-101))</f>
        <v/>
      </c>
      <c r="E107" s="43" t="str" cm="1">
        <f t="array" ref="E107">IF($A107="","",SUMPRODUCT(('PAX &amp; CREW'!$B$3:$B$62=$B$5)*('PAX &amp; CREW'!$C$3:$C$62="CREW")*(((UPPER('PAX &amp; CREW'!$E$3:$E$62)="ALL")+ISNUMBER(SEARCH($A107,'PAX &amp; CREW'!$E$3:$E$62)))&gt;0)))</f>
        <v/>
      </c>
      <c r="F107" s="43" t="str" cm="1">
        <f t="array" ref="F107">IF($A107="","",SUMPRODUCT(('PAX &amp; CREW'!$B$3:$B$62=$B$5)*('PAX &amp; CREW'!$C$3:$C$62="PAX")*(((UPPER('PAX &amp; CREW'!$E$3:$E$62)="ALL")+ISNUMBER(SEARCH($A107,'PAX &amp; CREW'!$E$3:$E$62)))&gt;0)))</f>
        <v/>
      </c>
      <c r="G107" s="43" t="str">
        <f t="shared" si="22"/>
        <v/>
      </c>
      <c r="H107" s="43" t="str">
        <f>IF($A107="","",IFERROR(INDEX(Aircraft!$I:$I,MATCH($B$7,Aircraft!$B:$B,0)),"NOT IN FLEET"))</f>
        <v/>
      </c>
      <c r="I107" t="str">
        <f t="shared" si="23"/>
        <v/>
      </c>
      <c r="J107" t="str" cm="1">
        <f t="array" ref="J107">IF($A107="","",INDEX($N$18:$N$25,ROW()-101))</f>
        <v/>
      </c>
    </row>
    <row r="108" spans="1:12" x14ac:dyDescent="0.3">
      <c r="A108" t="str" cm="1">
        <f t="array" ref="A108">IF(INDEX($B$18:$B$25,ROW()-101)="","",INDEX($A$18:$A$25,ROW()-101))</f>
        <v/>
      </c>
      <c r="B108" t="str" cm="1">
        <f t="array" ref="B108">IF($A108="","",INDEX($B$18:$B$25,ROW()-101))</f>
        <v/>
      </c>
      <c r="C108" t="str" cm="1">
        <f t="array" ref="C108">IF($A108="","",INDEX($G$18:$G$25,ROW()-101))</f>
        <v/>
      </c>
      <c r="D108" s="41" t="str" cm="1">
        <f t="array" ref="D108">IF($A108="","",INDEX($E$18:$E$25,ROW()-101)+INDEX($F$18:$F$25,ROW()-101))</f>
        <v/>
      </c>
      <c r="E108" s="43" t="str" cm="1">
        <f t="array" ref="E108">IF($A108="","",SUMPRODUCT(('PAX &amp; CREW'!$B$3:$B$62=$B$5)*('PAX &amp; CREW'!$C$3:$C$62="CREW")*(((UPPER('PAX &amp; CREW'!$E$3:$E$62)="ALL")+ISNUMBER(SEARCH($A108,'PAX &amp; CREW'!$E$3:$E$62)))&gt;0)))</f>
        <v/>
      </c>
      <c r="F108" s="43" t="str" cm="1">
        <f t="array" ref="F108">IF($A108="","",SUMPRODUCT(('PAX &amp; CREW'!$B$3:$B$62=$B$5)*('PAX &amp; CREW'!$C$3:$C$62="PAX")*(((UPPER('PAX &amp; CREW'!$E$3:$E$62)="ALL")+ISNUMBER(SEARCH($A108,'PAX &amp; CREW'!$E$3:$E$62)))&gt;0)))</f>
        <v/>
      </c>
      <c r="G108" s="43" t="str">
        <f t="shared" si="22"/>
        <v/>
      </c>
      <c r="H108" s="43" t="str">
        <f>IF($A108="","",IFERROR(INDEX(Aircraft!$I:$I,MATCH($B$7,Aircraft!$B:$B,0)),"NOT IN FLEET"))</f>
        <v/>
      </c>
      <c r="I108" t="str">
        <f t="shared" si="23"/>
        <v/>
      </c>
      <c r="J108" t="str" cm="1">
        <f t="array" ref="J108">IF($A108="","",INDEX($N$18:$N$25,ROW()-101))</f>
        <v/>
      </c>
    </row>
    <row r="109" spans="1:12" x14ac:dyDescent="0.3">
      <c r="A109" t="str" cm="1">
        <f t="array" ref="A109">IF(INDEX($B$18:$B$25,ROW()-101)="","",INDEX($A$18:$A$25,ROW()-101))</f>
        <v/>
      </c>
      <c r="B109" t="str" cm="1">
        <f t="array" ref="B109">IF($A109="","",INDEX($B$18:$B$25,ROW()-101))</f>
        <v/>
      </c>
      <c r="C109" t="str" cm="1">
        <f t="array" ref="C109">IF($A109="","",INDEX($G$18:$G$25,ROW()-101))</f>
        <v/>
      </c>
      <c r="D109" s="41" t="str" cm="1">
        <f t="array" ref="D109">IF($A109="","",INDEX($E$18:$E$25,ROW()-101)+INDEX($F$18:$F$25,ROW()-101))</f>
        <v/>
      </c>
      <c r="E109" s="43" t="str" cm="1">
        <f t="array" ref="E109">IF($A109="","",SUMPRODUCT(('PAX &amp; CREW'!$B$3:$B$62=$B$5)*('PAX &amp; CREW'!$C$3:$C$62="CREW")*(((UPPER('PAX &amp; CREW'!$E$3:$E$62)="ALL")+ISNUMBER(SEARCH($A109,'PAX &amp; CREW'!$E$3:$E$62)))&gt;0)))</f>
        <v/>
      </c>
      <c r="F109" s="43" t="str" cm="1">
        <f t="array" ref="F109">IF($A109="","",SUMPRODUCT(('PAX &amp; CREW'!$B$3:$B$62=$B$5)*('PAX &amp; CREW'!$C$3:$C$62="PAX")*(((UPPER('PAX &amp; CREW'!$E$3:$E$62)="ALL")+ISNUMBER(SEARCH($A109,'PAX &amp; CREW'!$E$3:$E$62)))&gt;0)))</f>
        <v/>
      </c>
      <c r="G109" s="43" t="str">
        <f t="shared" si="22"/>
        <v/>
      </c>
      <c r="H109" s="43" t="str">
        <f>IF($A109="","",IFERROR(INDEX(Aircraft!$I:$I,MATCH($B$7,Aircraft!$B:$B,0)),"NOT IN FLEET"))</f>
        <v/>
      </c>
      <c r="I109" t="str">
        <f t="shared" si="23"/>
        <v/>
      </c>
      <c r="J109" t="str" cm="1">
        <f t="array" ref="J109">IF($A109="","",INDEX($N$18:$N$25,ROW()-101))</f>
        <v/>
      </c>
    </row>
    <row r="111" spans="1:12" x14ac:dyDescent="0.3">
      <c r="A111" s="25" t="s">
        <v>4716</v>
      </c>
      <c r="B111" s="25"/>
      <c r="C111" s="25"/>
      <c r="D111" s="25"/>
      <c r="E111" s="25"/>
      <c r="F111" s="25"/>
      <c r="G111" s="25"/>
      <c r="H111" s="25"/>
      <c r="I111" s="25"/>
      <c r="J111" s="25"/>
      <c r="K111" s="25"/>
      <c r="L111" s="25"/>
    </row>
    <row r="112" spans="1:12" x14ac:dyDescent="0.3">
      <c r="A112" s="1" t="s">
        <v>4717</v>
      </c>
      <c r="B112">
        <f>COUNTIFS('PAX &amp; CREW'!$B$3:$B$62,$B$5,'PAX &amp; CREW'!$C$3:$C$62,"CREW")</f>
        <v>2</v>
      </c>
    </row>
    <row r="113" spans="1:12" x14ac:dyDescent="0.3">
      <c r="A113" s="1" t="s">
        <v>4718</v>
      </c>
      <c r="B113">
        <f>COUNTIFS('PAX &amp; CREW'!$B$3:$B$62,$B$5,'PAX &amp; CREW'!$C$3:$C$62,"PAX")</f>
        <v>2</v>
      </c>
    </row>
    <row r="114" spans="1:12" x14ac:dyDescent="0.3">
      <c r="A114" s="1" t="s">
        <v>4719</v>
      </c>
      <c r="B114">
        <f>$B$112+$B$113</f>
        <v>4</v>
      </c>
    </row>
    <row r="115" spans="1:12" x14ac:dyDescent="0.3">
      <c r="A115" s="1" t="s">
        <v>4607</v>
      </c>
      <c r="B115">
        <f>IF($B$7="","",IFERROR(INDEX(Aircraft!$I:$I,MATCH($B$7,Aircraft!$B:$B,0)),"NOT IN FLEET"))</f>
        <v>19</v>
      </c>
    </row>
    <row r="116" spans="1:12" x14ac:dyDescent="0.3">
      <c r="A116" s="1" t="s">
        <v>4608</v>
      </c>
      <c r="B116" t="str">
        <f>IF(OR($B$115="NOT IN FLEET",$B$115="",$B$113=0),"",IF($B$113&gt;$B$115,"OVER CAPACITY","OK"))</f>
        <v>OK</v>
      </c>
    </row>
    <row r="117" spans="1:12" x14ac:dyDescent="0.3">
      <c r="A117" s="1" t="s">
        <v>4609</v>
      </c>
      <c r="B117">
        <f>COUNTIFS('PAX &amp; CREW'!$B$3:$B$62,$B$5,'PAX &amp; CREW'!$AI$3:$AI$62,"ACTION REQUIRED")</f>
        <v>0</v>
      </c>
    </row>
    <row r="118" spans="1:12" x14ac:dyDescent="0.3">
      <c r="A118" s="1" t="s">
        <v>4610</v>
      </c>
      <c r="B118">
        <f>COUNTIFS('PAX &amp; CREW'!$B$3:$B$62,$B$5,'PAX &amp; CREW'!$AI$3:$AI$62,"CHECK")</f>
        <v>4</v>
      </c>
    </row>
    <row r="119" spans="1:12" x14ac:dyDescent="0.3">
      <c r="A119" s="1" t="s">
        <v>4611</v>
      </c>
      <c r="B119" t="str">
        <f>IF($B$5="","",admin!$B$2&amp;"\PaxCrewDocs\"&amp;$B$5)</f>
        <v>C:\Backups\InsiderTechSol\Aviation\Jetelio_v3\.LAYOUT\resources\PaxCrewDocs\JTL-2608-001</v>
      </c>
    </row>
    <row r="121" spans="1:12" x14ac:dyDescent="0.3">
      <c r="A121" s="33" t="s">
        <v>4612</v>
      </c>
      <c r="B121" s="33"/>
      <c r="C121" s="33"/>
      <c r="D121" s="33"/>
      <c r="E121" s="33"/>
      <c r="F121" s="33"/>
      <c r="G121" s="33"/>
      <c r="H121" s="33"/>
      <c r="I121" s="33"/>
      <c r="J121" s="33"/>
      <c r="K121" s="33"/>
      <c r="L121" s="33"/>
    </row>
    <row r="122" spans="1:12" x14ac:dyDescent="0.3">
      <c r="A122" s="33" t="s">
        <v>4518</v>
      </c>
      <c r="B122" s="33" t="s">
        <v>4526</v>
      </c>
      <c r="C122" s="33" t="s">
        <v>4613</v>
      </c>
      <c r="D122" s="33" t="s">
        <v>4614</v>
      </c>
      <c r="E122" s="33" t="s">
        <v>4534</v>
      </c>
      <c r="F122" s="33" t="s">
        <v>4535</v>
      </c>
      <c r="G122" s="33" t="s">
        <v>4538</v>
      </c>
      <c r="H122" s="33" t="s">
        <v>4539</v>
      </c>
      <c r="I122" s="33" t="s">
        <v>4543</v>
      </c>
      <c r="J122" s="33" t="s">
        <v>4615</v>
      </c>
      <c r="K122" s="33" t="s">
        <v>4555</v>
      </c>
      <c r="L122" s="33" t="s">
        <v>4551</v>
      </c>
    </row>
    <row r="123" spans="1:12" x14ac:dyDescent="0.3">
      <c r="A123">
        <f>IF(ROW()-122&gt;COUNT('PAX &amp; CREW'!$AJ$3:$AJ$62),"",ROW()-122)</f>
        <v>1</v>
      </c>
      <c r="B123" t="str">
        <f>IF($A123="","",INDEX('PAX &amp; CREW'!$C$3:$C$62,MATCH($A123,'PAX &amp; CREW'!$AJ$3:$AJ$62,0)))</f>
        <v>CREW</v>
      </c>
      <c r="C123" t="str">
        <f>IF($A123="","",INDEX('PAX &amp; CREW'!$D$3:$D$62,MATCH($A123,'PAX &amp; CREW'!$AJ$3:$AJ$62,0)))</f>
        <v>PIC</v>
      </c>
      <c r="D123" t="str">
        <f>IF($A123="","",INDEX('PAX &amp; CREW'!$G$3:$G$62,MATCH($A123,'PAX &amp; CREW'!$AJ$3:$AJ$62,0))&amp;", "&amp;INDEX('PAX &amp; CREW'!$H$3:$H$62,MATCH($A123,'PAX &amp; CREW'!$AJ$3:$AJ$62,0)))</f>
        <v>WATSON, CHARLES JAMES</v>
      </c>
      <c r="E123" t="str">
        <f>IF($A123="","",INDEX('PAX &amp; CREW'!$L$3:$L$62,MATCH($A123,'PAX &amp; CREW'!$AJ$3:$AJ$62,0)))</f>
        <v>United States</v>
      </c>
      <c r="F123">
        <f>IF($A123="","",INDEX('PAX &amp; CREW'!$M$3:$M$62,MATCH($A123,'PAX &amp; CREW'!$AJ$3:$AJ$62,0)))</f>
        <v>512889301</v>
      </c>
      <c r="G123" s="6">
        <f>IF($A123="","",INDEX('PAX &amp; CREW'!$P$3:$P$62,MATCH($A123,'PAX &amp; CREW'!$AJ$3:$AJ$62,0)))</f>
        <v>48945</v>
      </c>
      <c r="H123" t="str">
        <f>IF($A123="","",INDEX('PAX &amp; CREW'!$Q$3:$Q$62,MATCH($A123,'PAX &amp; CREW'!$AJ$3:$AJ$62,0)))</f>
        <v>VALID</v>
      </c>
      <c r="I123" t="str">
        <f>IF($A123="","",INDEX('PAX &amp; CREW'!$U$3:$U$62,MATCH($A123,'PAX &amp; CREW'!$AJ$3:$AJ$62,0)))</f>
        <v>VISA RULE NOT ON FILE</v>
      </c>
      <c r="J123" t="str">
        <f>IF($A123="","",INDEX('PAX &amp; CREW'!$Z$3:$Z$62,MATCH($A123,'PAX &amp; CREW'!$AJ$3:$AJ$62,0)))</f>
        <v>VALID</v>
      </c>
      <c r="K123" t="str">
        <f>IF($A123="","",INDEX('PAX &amp; CREW'!$AI$3:$AI$62,MATCH($A123,'PAX &amp; CREW'!$AJ$3:$AJ$62,0)))</f>
        <v>CHECK</v>
      </c>
      <c r="L123" t="str">
        <f>IF($A123="","",INDEX('PAX &amp; CREW'!$AE$3:$AE$62,MATCH($A123,'PAX &amp; CREW'!$AJ$3:$AJ$62,0)))</f>
        <v>C:\Backups\InsiderTechSol\Aviation\Jetelio_v3\.LAYOUT\resources\PaxCrewDocs\JTL-2608-001\P-001</v>
      </c>
    </row>
    <row r="124" spans="1:12" x14ac:dyDescent="0.3">
      <c r="A124">
        <f>IF(ROW()-122&gt;COUNT('PAX &amp; CREW'!$AJ$3:$AJ$62),"",ROW()-122)</f>
        <v>2</v>
      </c>
      <c r="B124" t="str">
        <f>IF($A124="","",INDEX('PAX &amp; CREW'!$C$3:$C$62,MATCH($A124,'PAX &amp; CREW'!$AJ$3:$AJ$62,0)))</f>
        <v>CREW</v>
      </c>
      <c r="C124" t="str">
        <f>IF($A124="","",INDEX('PAX &amp; CREW'!$D$3:$D$62,MATCH($A124,'PAX &amp; CREW'!$AJ$3:$AJ$62,0)))</f>
        <v>SIC</v>
      </c>
      <c r="D124" t="str">
        <f>IF($A124="","",INDEX('PAX &amp; CREW'!$G$3:$G$62,MATCH($A124,'PAX &amp; CREW'!$AJ$3:$AJ$62,0))&amp;", "&amp;INDEX('PAX &amp; CREW'!$H$3:$H$62,MATCH($A124,'PAX &amp; CREW'!$AJ$3:$AJ$62,0)))</f>
        <v>MBEKI, THANDIWE</v>
      </c>
      <c r="E124" t="str">
        <f>IF($A124="","",INDEX('PAX &amp; CREW'!$L$3:$L$62,MATCH($A124,'PAX &amp; CREW'!$AJ$3:$AJ$62,0)))</f>
        <v>South Africa</v>
      </c>
      <c r="F124" t="str">
        <f>IF($A124="","",INDEX('PAX &amp; CREW'!$M$3:$M$62,MATCH($A124,'PAX &amp; CREW'!$AJ$3:$AJ$62,0)))</f>
        <v>A05993811</v>
      </c>
      <c r="G124" s="6">
        <f>IF($A124="","",INDEX('PAX &amp; CREW'!$P$3:$P$62,MATCH($A124,'PAX &amp; CREW'!$AJ$3:$AJ$62,0)))</f>
        <v>49310</v>
      </c>
      <c r="H124" t="str">
        <f>IF($A124="","",INDEX('PAX &amp; CREW'!$Q$3:$Q$62,MATCH($A124,'PAX &amp; CREW'!$AJ$3:$AJ$62,0)))</f>
        <v>VALID</v>
      </c>
      <c r="I124" t="str">
        <f>IF($A124="","",INDEX('PAX &amp; CREW'!$U$3:$U$62,MATCH($A124,'PAX &amp; CREW'!$AJ$3:$AJ$62,0)))</f>
        <v>VISA RULE NOT ON FILE</v>
      </c>
      <c r="J124" t="str">
        <f>IF($A124="","",INDEX('PAX &amp; CREW'!$Z$3:$Z$62,MATCH($A124,'PAX &amp; CREW'!$AJ$3:$AJ$62,0)))</f>
        <v>VALID</v>
      </c>
      <c r="K124" t="str">
        <f>IF($A124="","",INDEX('PAX &amp; CREW'!$AI$3:$AI$62,MATCH($A124,'PAX &amp; CREW'!$AJ$3:$AJ$62,0)))</f>
        <v>CHECK</v>
      </c>
      <c r="L124" t="str">
        <f>IF($A124="","",INDEX('PAX &amp; CREW'!$AE$3:$AE$62,MATCH($A124,'PAX &amp; CREW'!$AJ$3:$AJ$62,0)))</f>
        <v>C:\Backups\InsiderTechSol\Aviation\Jetelio_v3\.LAYOUT\resources\PaxCrewDocs\JTL-2608-001\P-002</v>
      </c>
    </row>
    <row r="125" spans="1:12" x14ac:dyDescent="0.3">
      <c r="A125">
        <f>IF(ROW()-122&gt;COUNT('PAX &amp; CREW'!$AJ$3:$AJ$62),"",ROW()-122)</f>
        <v>3</v>
      </c>
      <c r="B125" t="str">
        <f>IF($A125="","",INDEX('PAX &amp; CREW'!$C$3:$C$62,MATCH($A125,'PAX &amp; CREW'!$AJ$3:$AJ$62,0)))</f>
        <v>PAX</v>
      </c>
      <c r="C125" t="str">
        <f>IF($A125="","",INDEX('PAX &amp; CREW'!$D$3:$D$62,MATCH($A125,'PAX &amp; CREW'!$AJ$3:$AJ$62,0)))</f>
        <v>PAX</v>
      </c>
      <c r="D125" t="str">
        <f>IF($A125="","",INDEX('PAX &amp; CREW'!$G$3:$G$62,MATCH($A125,'PAX &amp; CREW'!$AJ$3:$AJ$62,0))&amp;", "&amp;INDEX('PAX &amp; CREW'!$H$3:$H$62,MATCH($A125,'PAX &amp; CREW'!$AJ$3:$AJ$62,0)))</f>
        <v>AL-FARSI, OMAR</v>
      </c>
      <c r="E125" t="str">
        <f>IF($A125="","",INDEX('PAX &amp; CREW'!$L$3:$L$62,MATCH($A125,'PAX &amp; CREW'!$AJ$3:$AJ$62,0)))</f>
        <v>Oman</v>
      </c>
      <c r="F125" t="str">
        <f>IF($A125="","",INDEX('PAX &amp; CREW'!$M$3:$M$62,MATCH($A125,'PAX &amp; CREW'!$AJ$3:$AJ$62,0)))</f>
        <v>P1204553</v>
      </c>
      <c r="G125" s="6">
        <f>IF($A125="","",INDEX('PAX &amp; CREW'!$P$3:$P$62,MATCH($A125,'PAX &amp; CREW'!$AJ$3:$AJ$62,0)))</f>
        <v>48214</v>
      </c>
      <c r="H125" t="str">
        <f>IF($A125="","",INDEX('PAX &amp; CREW'!$Q$3:$Q$62,MATCH($A125,'PAX &amp; CREW'!$AJ$3:$AJ$62,0)))</f>
        <v>VALID</v>
      </c>
      <c r="I125" t="str">
        <f>IF($A125="","",INDEX('PAX &amp; CREW'!$U$3:$U$62,MATCH($A125,'PAX &amp; CREW'!$AJ$3:$AJ$62,0)))</f>
        <v>VISA RULE NOT ON FILE</v>
      </c>
      <c r="J125" t="str">
        <f>IF($A125="","",INDEX('PAX &amp; CREW'!$Z$3:$Z$62,MATCH($A125,'PAX &amp; CREW'!$AJ$3:$AJ$62,0)))</f>
        <v>N/A</v>
      </c>
      <c r="K125" t="str">
        <f>IF($A125="","",INDEX('PAX &amp; CREW'!$AI$3:$AI$62,MATCH($A125,'PAX &amp; CREW'!$AJ$3:$AJ$62,0)))</f>
        <v>CHECK</v>
      </c>
      <c r="L125" t="str">
        <f>IF($A125="","",INDEX('PAX &amp; CREW'!$AE$3:$AE$62,MATCH($A125,'PAX &amp; CREW'!$AJ$3:$AJ$62,0)))</f>
        <v>C:\Backups\InsiderTechSol\Aviation\Jetelio_v3\.LAYOUT\resources\PaxCrewDocs\JTL-2608-001\P-003</v>
      </c>
    </row>
    <row r="126" spans="1:12" x14ac:dyDescent="0.3">
      <c r="A126">
        <f>IF(ROW()-122&gt;COUNT('PAX &amp; CREW'!$AJ$3:$AJ$62),"",ROW()-122)</f>
        <v>4</v>
      </c>
      <c r="B126" t="str">
        <f>IF($A126="","",INDEX('PAX &amp; CREW'!$C$3:$C$62,MATCH($A126,'PAX &amp; CREW'!$AJ$3:$AJ$62,0)))</f>
        <v>PAX</v>
      </c>
      <c r="C126" t="str">
        <f>IF($A126="","",INDEX('PAX &amp; CREW'!$D$3:$D$62,MATCH($A126,'PAX &amp; CREW'!$AJ$3:$AJ$62,0)))</f>
        <v>PAX</v>
      </c>
      <c r="D126" t="str">
        <f>IF($A126="","",INDEX('PAX &amp; CREW'!$G$3:$G$62,MATCH($A126,'PAX &amp; CREW'!$AJ$3:$AJ$62,0))&amp;", "&amp;INDEX('PAX &amp; CREW'!$H$3:$H$62,MATCH($A126,'PAX &amp; CREW'!$AJ$3:$AJ$62,0)))</f>
        <v>NKOSI, LERATO</v>
      </c>
      <c r="E126" t="str">
        <f>IF($A126="","",INDEX('PAX &amp; CREW'!$L$3:$L$62,MATCH($A126,'PAX &amp; CREW'!$AJ$3:$AJ$62,0)))</f>
        <v>South Africa</v>
      </c>
      <c r="F126" t="str">
        <f>IF($A126="","",INDEX('PAX &amp; CREW'!$M$3:$M$62,MATCH($A126,'PAX &amp; CREW'!$AJ$3:$AJ$62,0)))</f>
        <v>A07741220</v>
      </c>
      <c r="G126" s="6">
        <f>IF($A126="","",INDEX('PAX &amp; CREW'!$P$3:$P$62,MATCH($A126,'PAX &amp; CREW'!$AJ$3:$AJ$62,0)))</f>
        <v>46600</v>
      </c>
      <c r="H126" t="str">
        <f>IF($A126="","",INDEX('PAX &amp; CREW'!$Q$3:$Q$62,MATCH($A126,'PAX &amp; CREW'!$AJ$3:$AJ$62,0)))</f>
        <v>VALID</v>
      </c>
      <c r="I126" t="str">
        <f>IF($A126="","",INDEX('PAX &amp; CREW'!$U$3:$U$62,MATCH($A126,'PAX &amp; CREW'!$AJ$3:$AJ$62,0)))</f>
        <v>VISA RULE NOT ON FILE</v>
      </c>
      <c r="J126" t="str">
        <f>IF($A126="","",INDEX('PAX &amp; CREW'!$Z$3:$Z$62,MATCH($A126,'PAX &amp; CREW'!$AJ$3:$AJ$62,0)))</f>
        <v>N/A</v>
      </c>
      <c r="K126" t="str">
        <f>IF($A126="","",INDEX('PAX &amp; CREW'!$AI$3:$AI$62,MATCH($A126,'PAX &amp; CREW'!$AJ$3:$AJ$62,0)))</f>
        <v>CHECK</v>
      </c>
      <c r="L126" t="str">
        <f>IF($A126="","",INDEX('PAX &amp; CREW'!$AE$3:$AE$62,MATCH($A126,'PAX &amp; CREW'!$AJ$3:$AJ$62,0)))</f>
        <v>C:\Backups\InsiderTechSol\Aviation\Jetelio_v3\.LAYOUT\resources\PaxCrewDocs\JTL-2608-001\P-004</v>
      </c>
    </row>
    <row r="127" spans="1:12" x14ac:dyDescent="0.3">
      <c r="A127" t="str">
        <f>IF(ROW()-122&gt;COUNT('PAX &amp; CREW'!$AJ$3:$AJ$62),"",ROW()-122)</f>
        <v/>
      </c>
      <c r="B127" t="str">
        <f>IF($A127="","",INDEX('PAX &amp; CREW'!$C$3:$C$62,MATCH($A127,'PAX &amp; CREW'!$AJ$3:$AJ$62,0)))</f>
        <v/>
      </c>
      <c r="C127" t="str">
        <f>IF($A127="","",INDEX('PAX &amp; CREW'!$D$3:$D$62,MATCH($A127,'PAX &amp; CREW'!$AJ$3:$AJ$62,0)))</f>
        <v/>
      </c>
      <c r="D127" t="str">
        <f>IF($A127="","",INDEX('PAX &amp; CREW'!$G$3:$G$62,MATCH($A127,'PAX &amp; CREW'!$AJ$3:$AJ$62,0))&amp;", "&amp;INDEX('PAX &amp; CREW'!$H$3:$H$62,MATCH($A127,'PAX &amp; CREW'!$AJ$3:$AJ$62,0)))</f>
        <v/>
      </c>
      <c r="E127" t="str">
        <f>IF($A127="","",INDEX('PAX &amp; CREW'!$L$3:$L$62,MATCH($A127,'PAX &amp; CREW'!$AJ$3:$AJ$62,0)))</f>
        <v/>
      </c>
      <c r="F127" t="str">
        <f>IF($A127="","",INDEX('PAX &amp; CREW'!$M$3:$M$62,MATCH($A127,'PAX &amp; CREW'!$AJ$3:$AJ$62,0)))</f>
        <v/>
      </c>
      <c r="G127" s="6" t="str">
        <f>IF($A127="","",INDEX('PAX &amp; CREW'!$P$3:$P$62,MATCH($A127,'PAX &amp; CREW'!$AJ$3:$AJ$62,0)))</f>
        <v/>
      </c>
      <c r="H127" t="str">
        <f>IF($A127="","",INDEX('PAX &amp; CREW'!$Q$3:$Q$62,MATCH($A127,'PAX &amp; CREW'!$AJ$3:$AJ$62,0)))</f>
        <v/>
      </c>
      <c r="I127" t="str">
        <f>IF($A127="","",INDEX('PAX &amp; CREW'!$U$3:$U$62,MATCH($A127,'PAX &amp; CREW'!$AJ$3:$AJ$62,0)))</f>
        <v/>
      </c>
      <c r="J127" t="str">
        <f>IF($A127="","",INDEX('PAX &amp; CREW'!$Z$3:$Z$62,MATCH($A127,'PAX &amp; CREW'!$AJ$3:$AJ$62,0)))</f>
        <v/>
      </c>
      <c r="K127" t="str">
        <f>IF($A127="","",INDEX('PAX &amp; CREW'!$AI$3:$AI$62,MATCH($A127,'PAX &amp; CREW'!$AJ$3:$AJ$62,0)))</f>
        <v/>
      </c>
      <c r="L127" t="str">
        <f>IF($A127="","",INDEX('PAX &amp; CREW'!$AE$3:$AE$62,MATCH($A127,'PAX &amp; CREW'!$AJ$3:$AJ$62,0)))</f>
        <v/>
      </c>
    </row>
    <row r="128" spans="1:12" x14ac:dyDescent="0.3">
      <c r="A128" t="str">
        <f>IF(ROW()-122&gt;COUNT('PAX &amp; CREW'!$AJ$3:$AJ$62),"",ROW()-122)</f>
        <v/>
      </c>
      <c r="B128" t="str">
        <f>IF($A128="","",INDEX('PAX &amp; CREW'!$C$3:$C$62,MATCH($A128,'PAX &amp; CREW'!$AJ$3:$AJ$62,0)))</f>
        <v/>
      </c>
      <c r="C128" t="str">
        <f>IF($A128="","",INDEX('PAX &amp; CREW'!$D$3:$D$62,MATCH($A128,'PAX &amp; CREW'!$AJ$3:$AJ$62,0)))</f>
        <v/>
      </c>
      <c r="D128" t="str">
        <f>IF($A128="","",INDEX('PAX &amp; CREW'!$G$3:$G$62,MATCH($A128,'PAX &amp; CREW'!$AJ$3:$AJ$62,0))&amp;", "&amp;INDEX('PAX &amp; CREW'!$H$3:$H$62,MATCH($A128,'PAX &amp; CREW'!$AJ$3:$AJ$62,0)))</f>
        <v/>
      </c>
      <c r="E128" t="str">
        <f>IF($A128="","",INDEX('PAX &amp; CREW'!$L$3:$L$62,MATCH($A128,'PAX &amp; CREW'!$AJ$3:$AJ$62,0)))</f>
        <v/>
      </c>
      <c r="F128" t="str">
        <f>IF($A128="","",INDEX('PAX &amp; CREW'!$M$3:$M$62,MATCH($A128,'PAX &amp; CREW'!$AJ$3:$AJ$62,0)))</f>
        <v/>
      </c>
      <c r="G128" s="6" t="str">
        <f>IF($A128="","",INDEX('PAX &amp; CREW'!$P$3:$P$62,MATCH($A128,'PAX &amp; CREW'!$AJ$3:$AJ$62,0)))</f>
        <v/>
      </c>
      <c r="H128" t="str">
        <f>IF($A128="","",INDEX('PAX &amp; CREW'!$Q$3:$Q$62,MATCH($A128,'PAX &amp; CREW'!$AJ$3:$AJ$62,0)))</f>
        <v/>
      </c>
      <c r="I128" t="str">
        <f>IF($A128="","",INDEX('PAX &amp; CREW'!$U$3:$U$62,MATCH($A128,'PAX &amp; CREW'!$AJ$3:$AJ$62,0)))</f>
        <v/>
      </c>
      <c r="J128" t="str">
        <f>IF($A128="","",INDEX('PAX &amp; CREW'!$Z$3:$Z$62,MATCH($A128,'PAX &amp; CREW'!$AJ$3:$AJ$62,0)))</f>
        <v/>
      </c>
      <c r="K128" t="str">
        <f>IF($A128="","",INDEX('PAX &amp; CREW'!$AI$3:$AI$62,MATCH($A128,'PAX &amp; CREW'!$AJ$3:$AJ$62,0)))</f>
        <v/>
      </c>
      <c r="L128" t="str">
        <f>IF($A128="","",INDEX('PAX &amp; CREW'!$AE$3:$AE$62,MATCH($A128,'PAX &amp; CREW'!$AJ$3:$AJ$62,0)))</f>
        <v/>
      </c>
    </row>
    <row r="129" spans="1:12" x14ac:dyDescent="0.3">
      <c r="A129" t="str">
        <f>IF(ROW()-122&gt;COUNT('PAX &amp; CREW'!$AJ$3:$AJ$62),"",ROW()-122)</f>
        <v/>
      </c>
      <c r="B129" t="str">
        <f>IF($A129="","",INDEX('PAX &amp; CREW'!$C$3:$C$62,MATCH($A129,'PAX &amp; CREW'!$AJ$3:$AJ$62,0)))</f>
        <v/>
      </c>
      <c r="C129" t="str">
        <f>IF($A129="","",INDEX('PAX &amp; CREW'!$D$3:$D$62,MATCH($A129,'PAX &amp; CREW'!$AJ$3:$AJ$62,0)))</f>
        <v/>
      </c>
      <c r="D129" t="str">
        <f>IF($A129="","",INDEX('PAX &amp; CREW'!$G$3:$G$62,MATCH($A129,'PAX &amp; CREW'!$AJ$3:$AJ$62,0))&amp;", "&amp;INDEX('PAX &amp; CREW'!$H$3:$H$62,MATCH($A129,'PAX &amp; CREW'!$AJ$3:$AJ$62,0)))</f>
        <v/>
      </c>
      <c r="E129" t="str">
        <f>IF($A129="","",INDEX('PAX &amp; CREW'!$L$3:$L$62,MATCH($A129,'PAX &amp; CREW'!$AJ$3:$AJ$62,0)))</f>
        <v/>
      </c>
      <c r="F129" t="str">
        <f>IF($A129="","",INDEX('PAX &amp; CREW'!$M$3:$M$62,MATCH($A129,'PAX &amp; CREW'!$AJ$3:$AJ$62,0)))</f>
        <v/>
      </c>
      <c r="G129" s="6" t="str">
        <f>IF($A129="","",INDEX('PAX &amp; CREW'!$P$3:$P$62,MATCH($A129,'PAX &amp; CREW'!$AJ$3:$AJ$62,0)))</f>
        <v/>
      </c>
      <c r="H129" t="str">
        <f>IF($A129="","",INDEX('PAX &amp; CREW'!$Q$3:$Q$62,MATCH($A129,'PAX &amp; CREW'!$AJ$3:$AJ$62,0)))</f>
        <v/>
      </c>
      <c r="I129" t="str">
        <f>IF($A129="","",INDEX('PAX &amp; CREW'!$U$3:$U$62,MATCH($A129,'PAX &amp; CREW'!$AJ$3:$AJ$62,0)))</f>
        <v/>
      </c>
      <c r="J129" t="str">
        <f>IF($A129="","",INDEX('PAX &amp; CREW'!$Z$3:$Z$62,MATCH($A129,'PAX &amp; CREW'!$AJ$3:$AJ$62,0)))</f>
        <v/>
      </c>
      <c r="K129" t="str">
        <f>IF($A129="","",INDEX('PAX &amp; CREW'!$AI$3:$AI$62,MATCH($A129,'PAX &amp; CREW'!$AJ$3:$AJ$62,0)))</f>
        <v/>
      </c>
      <c r="L129" t="str">
        <f>IF($A129="","",INDEX('PAX &amp; CREW'!$AE$3:$AE$62,MATCH($A129,'PAX &amp; CREW'!$AJ$3:$AJ$62,0)))</f>
        <v/>
      </c>
    </row>
    <row r="130" spans="1:12" x14ac:dyDescent="0.3">
      <c r="A130" t="str">
        <f>IF(ROW()-122&gt;COUNT('PAX &amp; CREW'!$AJ$3:$AJ$62),"",ROW()-122)</f>
        <v/>
      </c>
      <c r="B130" t="str">
        <f>IF($A130="","",INDEX('PAX &amp; CREW'!$C$3:$C$62,MATCH($A130,'PAX &amp; CREW'!$AJ$3:$AJ$62,0)))</f>
        <v/>
      </c>
      <c r="C130" t="str">
        <f>IF($A130="","",INDEX('PAX &amp; CREW'!$D$3:$D$62,MATCH($A130,'PAX &amp; CREW'!$AJ$3:$AJ$62,0)))</f>
        <v/>
      </c>
      <c r="D130" t="str">
        <f>IF($A130="","",INDEX('PAX &amp; CREW'!$G$3:$G$62,MATCH($A130,'PAX &amp; CREW'!$AJ$3:$AJ$62,0))&amp;", "&amp;INDEX('PAX &amp; CREW'!$H$3:$H$62,MATCH($A130,'PAX &amp; CREW'!$AJ$3:$AJ$62,0)))</f>
        <v/>
      </c>
      <c r="E130" t="str">
        <f>IF($A130="","",INDEX('PAX &amp; CREW'!$L$3:$L$62,MATCH($A130,'PAX &amp; CREW'!$AJ$3:$AJ$62,0)))</f>
        <v/>
      </c>
      <c r="F130" t="str">
        <f>IF($A130="","",INDEX('PAX &amp; CREW'!$M$3:$M$62,MATCH($A130,'PAX &amp; CREW'!$AJ$3:$AJ$62,0)))</f>
        <v/>
      </c>
      <c r="G130" s="6" t="str">
        <f>IF($A130="","",INDEX('PAX &amp; CREW'!$P$3:$P$62,MATCH($A130,'PAX &amp; CREW'!$AJ$3:$AJ$62,0)))</f>
        <v/>
      </c>
      <c r="H130" t="str">
        <f>IF($A130="","",INDEX('PAX &amp; CREW'!$Q$3:$Q$62,MATCH($A130,'PAX &amp; CREW'!$AJ$3:$AJ$62,0)))</f>
        <v/>
      </c>
      <c r="I130" t="str">
        <f>IF($A130="","",INDEX('PAX &amp; CREW'!$U$3:$U$62,MATCH($A130,'PAX &amp; CREW'!$AJ$3:$AJ$62,0)))</f>
        <v/>
      </c>
      <c r="J130" t="str">
        <f>IF($A130="","",INDEX('PAX &amp; CREW'!$Z$3:$Z$62,MATCH($A130,'PAX &amp; CREW'!$AJ$3:$AJ$62,0)))</f>
        <v/>
      </c>
      <c r="K130" t="str">
        <f>IF($A130="","",INDEX('PAX &amp; CREW'!$AI$3:$AI$62,MATCH($A130,'PAX &amp; CREW'!$AJ$3:$AJ$62,0)))</f>
        <v/>
      </c>
      <c r="L130" t="str">
        <f>IF($A130="","",INDEX('PAX &amp; CREW'!$AE$3:$AE$62,MATCH($A130,'PAX &amp; CREW'!$AJ$3:$AJ$62,0)))</f>
        <v/>
      </c>
    </row>
    <row r="131" spans="1:12" x14ac:dyDescent="0.3">
      <c r="A131" t="str">
        <f>IF(ROW()-122&gt;COUNT('PAX &amp; CREW'!$AJ$3:$AJ$62),"",ROW()-122)</f>
        <v/>
      </c>
      <c r="B131" t="str">
        <f>IF($A131="","",INDEX('PAX &amp; CREW'!$C$3:$C$62,MATCH($A131,'PAX &amp; CREW'!$AJ$3:$AJ$62,0)))</f>
        <v/>
      </c>
      <c r="C131" t="str">
        <f>IF($A131="","",INDEX('PAX &amp; CREW'!$D$3:$D$62,MATCH($A131,'PAX &amp; CREW'!$AJ$3:$AJ$62,0)))</f>
        <v/>
      </c>
      <c r="D131" t="str">
        <f>IF($A131="","",INDEX('PAX &amp; CREW'!$G$3:$G$62,MATCH($A131,'PAX &amp; CREW'!$AJ$3:$AJ$62,0))&amp;", "&amp;INDEX('PAX &amp; CREW'!$H$3:$H$62,MATCH($A131,'PAX &amp; CREW'!$AJ$3:$AJ$62,0)))</f>
        <v/>
      </c>
      <c r="E131" t="str">
        <f>IF($A131="","",INDEX('PAX &amp; CREW'!$L$3:$L$62,MATCH($A131,'PAX &amp; CREW'!$AJ$3:$AJ$62,0)))</f>
        <v/>
      </c>
      <c r="F131" t="str">
        <f>IF($A131="","",INDEX('PAX &amp; CREW'!$M$3:$M$62,MATCH($A131,'PAX &amp; CREW'!$AJ$3:$AJ$62,0)))</f>
        <v/>
      </c>
      <c r="G131" s="6" t="str">
        <f>IF($A131="","",INDEX('PAX &amp; CREW'!$P$3:$P$62,MATCH($A131,'PAX &amp; CREW'!$AJ$3:$AJ$62,0)))</f>
        <v/>
      </c>
      <c r="H131" t="str">
        <f>IF($A131="","",INDEX('PAX &amp; CREW'!$Q$3:$Q$62,MATCH($A131,'PAX &amp; CREW'!$AJ$3:$AJ$62,0)))</f>
        <v/>
      </c>
      <c r="I131" t="str">
        <f>IF($A131="","",INDEX('PAX &amp; CREW'!$U$3:$U$62,MATCH($A131,'PAX &amp; CREW'!$AJ$3:$AJ$62,0)))</f>
        <v/>
      </c>
      <c r="J131" t="str">
        <f>IF($A131="","",INDEX('PAX &amp; CREW'!$Z$3:$Z$62,MATCH($A131,'PAX &amp; CREW'!$AJ$3:$AJ$62,0)))</f>
        <v/>
      </c>
      <c r="K131" t="str">
        <f>IF($A131="","",INDEX('PAX &amp; CREW'!$AI$3:$AI$62,MATCH($A131,'PAX &amp; CREW'!$AJ$3:$AJ$62,0)))</f>
        <v/>
      </c>
      <c r="L131" t="str">
        <f>IF($A131="","",INDEX('PAX &amp; CREW'!$AE$3:$AE$62,MATCH($A131,'PAX &amp; CREW'!$AJ$3:$AJ$62,0)))</f>
        <v/>
      </c>
    </row>
    <row r="132" spans="1:12" x14ac:dyDescent="0.3">
      <c r="A132" t="str">
        <f>IF(ROW()-122&gt;COUNT('PAX &amp; CREW'!$AJ$3:$AJ$62),"",ROW()-122)</f>
        <v/>
      </c>
      <c r="B132" t="str">
        <f>IF($A132="","",INDEX('PAX &amp; CREW'!$C$3:$C$62,MATCH($A132,'PAX &amp; CREW'!$AJ$3:$AJ$62,0)))</f>
        <v/>
      </c>
      <c r="C132" t="str">
        <f>IF($A132="","",INDEX('PAX &amp; CREW'!$D$3:$D$62,MATCH($A132,'PAX &amp; CREW'!$AJ$3:$AJ$62,0)))</f>
        <v/>
      </c>
      <c r="D132" t="str">
        <f>IF($A132="","",INDEX('PAX &amp; CREW'!$G$3:$G$62,MATCH($A132,'PAX &amp; CREW'!$AJ$3:$AJ$62,0))&amp;", "&amp;INDEX('PAX &amp; CREW'!$H$3:$H$62,MATCH($A132,'PAX &amp; CREW'!$AJ$3:$AJ$62,0)))</f>
        <v/>
      </c>
      <c r="E132" t="str">
        <f>IF($A132="","",INDEX('PAX &amp; CREW'!$L$3:$L$62,MATCH($A132,'PAX &amp; CREW'!$AJ$3:$AJ$62,0)))</f>
        <v/>
      </c>
      <c r="F132" t="str">
        <f>IF($A132="","",INDEX('PAX &amp; CREW'!$M$3:$M$62,MATCH($A132,'PAX &amp; CREW'!$AJ$3:$AJ$62,0)))</f>
        <v/>
      </c>
      <c r="G132" s="6" t="str">
        <f>IF($A132="","",INDEX('PAX &amp; CREW'!$P$3:$P$62,MATCH($A132,'PAX &amp; CREW'!$AJ$3:$AJ$62,0)))</f>
        <v/>
      </c>
      <c r="H132" t="str">
        <f>IF($A132="","",INDEX('PAX &amp; CREW'!$Q$3:$Q$62,MATCH($A132,'PAX &amp; CREW'!$AJ$3:$AJ$62,0)))</f>
        <v/>
      </c>
      <c r="I132" t="str">
        <f>IF($A132="","",INDEX('PAX &amp; CREW'!$U$3:$U$62,MATCH($A132,'PAX &amp; CREW'!$AJ$3:$AJ$62,0)))</f>
        <v/>
      </c>
      <c r="J132" t="str">
        <f>IF($A132="","",INDEX('PAX &amp; CREW'!$Z$3:$Z$62,MATCH($A132,'PAX &amp; CREW'!$AJ$3:$AJ$62,0)))</f>
        <v/>
      </c>
      <c r="K132" t="str">
        <f>IF($A132="","",INDEX('PAX &amp; CREW'!$AI$3:$AI$62,MATCH($A132,'PAX &amp; CREW'!$AJ$3:$AJ$62,0)))</f>
        <v/>
      </c>
      <c r="L132" t="str">
        <f>IF($A132="","",INDEX('PAX &amp; CREW'!$AE$3:$AE$62,MATCH($A132,'PAX &amp; CREW'!$AJ$3:$AJ$62,0)))</f>
        <v/>
      </c>
    </row>
    <row r="133" spans="1:12" x14ac:dyDescent="0.3">
      <c r="A133" t="str">
        <f>IF(ROW()-122&gt;COUNT('PAX &amp; CREW'!$AJ$3:$AJ$62),"",ROW()-122)</f>
        <v/>
      </c>
      <c r="B133" t="str">
        <f>IF($A133="","",INDEX('PAX &amp; CREW'!$C$3:$C$62,MATCH($A133,'PAX &amp; CREW'!$AJ$3:$AJ$62,0)))</f>
        <v/>
      </c>
      <c r="C133" t="str">
        <f>IF($A133="","",INDEX('PAX &amp; CREW'!$D$3:$D$62,MATCH($A133,'PAX &amp; CREW'!$AJ$3:$AJ$62,0)))</f>
        <v/>
      </c>
      <c r="D133" t="str">
        <f>IF($A133="","",INDEX('PAX &amp; CREW'!$G$3:$G$62,MATCH($A133,'PAX &amp; CREW'!$AJ$3:$AJ$62,0))&amp;", "&amp;INDEX('PAX &amp; CREW'!$H$3:$H$62,MATCH($A133,'PAX &amp; CREW'!$AJ$3:$AJ$62,0)))</f>
        <v/>
      </c>
      <c r="E133" t="str">
        <f>IF($A133="","",INDEX('PAX &amp; CREW'!$L$3:$L$62,MATCH($A133,'PAX &amp; CREW'!$AJ$3:$AJ$62,0)))</f>
        <v/>
      </c>
      <c r="F133" t="str">
        <f>IF($A133="","",INDEX('PAX &amp; CREW'!$M$3:$M$62,MATCH($A133,'PAX &amp; CREW'!$AJ$3:$AJ$62,0)))</f>
        <v/>
      </c>
      <c r="G133" s="6" t="str">
        <f>IF($A133="","",INDEX('PAX &amp; CREW'!$P$3:$P$62,MATCH($A133,'PAX &amp; CREW'!$AJ$3:$AJ$62,0)))</f>
        <v/>
      </c>
      <c r="H133" t="str">
        <f>IF($A133="","",INDEX('PAX &amp; CREW'!$Q$3:$Q$62,MATCH($A133,'PAX &amp; CREW'!$AJ$3:$AJ$62,0)))</f>
        <v/>
      </c>
      <c r="I133" t="str">
        <f>IF($A133="","",INDEX('PAX &amp; CREW'!$U$3:$U$62,MATCH($A133,'PAX &amp; CREW'!$AJ$3:$AJ$62,0)))</f>
        <v/>
      </c>
      <c r="J133" t="str">
        <f>IF($A133="","",INDEX('PAX &amp; CREW'!$Z$3:$Z$62,MATCH($A133,'PAX &amp; CREW'!$AJ$3:$AJ$62,0)))</f>
        <v/>
      </c>
      <c r="K133" t="str">
        <f>IF($A133="","",INDEX('PAX &amp; CREW'!$AI$3:$AI$62,MATCH($A133,'PAX &amp; CREW'!$AJ$3:$AJ$62,0)))</f>
        <v/>
      </c>
      <c r="L133" t="str">
        <f>IF($A133="","",INDEX('PAX &amp; CREW'!$AE$3:$AE$62,MATCH($A133,'PAX &amp; CREW'!$AJ$3:$AJ$62,0)))</f>
        <v/>
      </c>
    </row>
    <row r="134" spans="1:12" x14ac:dyDescent="0.3">
      <c r="A134" t="str">
        <f>IF(ROW()-122&gt;COUNT('PAX &amp; CREW'!$AJ$3:$AJ$62),"",ROW()-122)</f>
        <v/>
      </c>
      <c r="B134" t="str">
        <f>IF($A134="","",INDEX('PAX &amp; CREW'!$C$3:$C$62,MATCH($A134,'PAX &amp; CREW'!$AJ$3:$AJ$62,0)))</f>
        <v/>
      </c>
      <c r="C134" t="str">
        <f>IF($A134="","",INDEX('PAX &amp; CREW'!$D$3:$D$62,MATCH($A134,'PAX &amp; CREW'!$AJ$3:$AJ$62,0)))</f>
        <v/>
      </c>
      <c r="D134" t="str">
        <f>IF($A134="","",INDEX('PAX &amp; CREW'!$G$3:$G$62,MATCH($A134,'PAX &amp; CREW'!$AJ$3:$AJ$62,0))&amp;", "&amp;INDEX('PAX &amp; CREW'!$H$3:$H$62,MATCH($A134,'PAX &amp; CREW'!$AJ$3:$AJ$62,0)))</f>
        <v/>
      </c>
      <c r="E134" t="str">
        <f>IF($A134="","",INDEX('PAX &amp; CREW'!$L$3:$L$62,MATCH($A134,'PAX &amp; CREW'!$AJ$3:$AJ$62,0)))</f>
        <v/>
      </c>
      <c r="F134" t="str">
        <f>IF($A134="","",INDEX('PAX &amp; CREW'!$M$3:$M$62,MATCH($A134,'PAX &amp; CREW'!$AJ$3:$AJ$62,0)))</f>
        <v/>
      </c>
      <c r="G134" s="6" t="str">
        <f>IF($A134="","",INDEX('PAX &amp; CREW'!$P$3:$P$62,MATCH($A134,'PAX &amp; CREW'!$AJ$3:$AJ$62,0)))</f>
        <v/>
      </c>
      <c r="H134" t="str">
        <f>IF($A134="","",INDEX('PAX &amp; CREW'!$Q$3:$Q$62,MATCH($A134,'PAX &amp; CREW'!$AJ$3:$AJ$62,0)))</f>
        <v/>
      </c>
      <c r="I134" t="str">
        <f>IF($A134="","",INDEX('PAX &amp; CREW'!$U$3:$U$62,MATCH($A134,'PAX &amp; CREW'!$AJ$3:$AJ$62,0)))</f>
        <v/>
      </c>
      <c r="J134" t="str">
        <f>IF($A134="","",INDEX('PAX &amp; CREW'!$Z$3:$Z$62,MATCH($A134,'PAX &amp; CREW'!$AJ$3:$AJ$62,0)))</f>
        <v/>
      </c>
      <c r="K134" t="str">
        <f>IF($A134="","",INDEX('PAX &amp; CREW'!$AI$3:$AI$62,MATCH($A134,'PAX &amp; CREW'!$AJ$3:$AJ$62,0)))</f>
        <v/>
      </c>
      <c r="L134" t="str">
        <f>IF($A134="","",INDEX('PAX &amp; CREW'!$AE$3:$AE$62,MATCH($A134,'PAX &amp; CREW'!$AJ$3:$AJ$62,0)))</f>
        <v/>
      </c>
    </row>
    <row r="135" spans="1:12" x14ac:dyDescent="0.3">
      <c r="A135" t="str">
        <f>IF(ROW()-122&gt;COUNT('PAX &amp; CREW'!$AJ$3:$AJ$62),"",ROW()-122)</f>
        <v/>
      </c>
      <c r="B135" t="str">
        <f>IF($A135="","",INDEX('PAX &amp; CREW'!$C$3:$C$62,MATCH($A135,'PAX &amp; CREW'!$AJ$3:$AJ$62,0)))</f>
        <v/>
      </c>
      <c r="C135" t="str">
        <f>IF($A135="","",INDEX('PAX &amp; CREW'!$D$3:$D$62,MATCH($A135,'PAX &amp; CREW'!$AJ$3:$AJ$62,0)))</f>
        <v/>
      </c>
      <c r="D135" t="str">
        <f>IF($A135="","",INDEX('PAX &amp; CREW'!$G$3:$G$62,MATCH($A135,'PAX &amp; CREW'!$AJ$3:$AJ$62,0))&amp;", "&amp;INDEX('PAX &amp; CREW'!$H$3:$H$62,MATCH($A135,'PAX &amp; CREW'!$AJ$3:$AJ$62,0)))</f>
        <v/>
      </c>
      <c r="E135" t="str">
        <f>IF($A135="","",INDEX('PAX &amp; CREW'!$L$3:$L$62,MATCH($A135,'PAX &amp; CREW'!$AJ$3:$AJ$62,0)))</f>
        <v/>
      </c>
      <c r="F135" t="str">
        <f>IF($A135="","",INDEX('PAX &amp; CREW'!$M$3:$M$62,MATCH($A135,'PAX &amp; CREW'!$AJ$3:$AJ$62,0)))</f>
        <v/>
      </c>
      <c r="G135" s="6" t="str">
        <f>IF($A135="","",INDEX('PAX &amp; CREW'!$P$3:$P$62,MATCH($A135,'PAX &amp; CREW'!$AJ$3:$AJ$62,0)))</f>
        <v/>
      </c>
      <c r="H135" t="str">
        <f>IF($A135="","",INDEX('PAX &amp; CREW'!$Q$3:$Q$62,MATCH($A135,'PAX &amp; CREW'!$AJ$3:$AJ$62,0)))</f>
        <v/>
      </c>
      <c r="I135" t="str">
        <f>IF($A135="","",INDEX('PAX &amp; CREW'!$U$3:$U$62,MATCH($A135,'PAX &amp; CREW'!$AJ$3:$AJ$62,0)))</f>
        <v/>
      </c>
      <c r="J135" t="str">
        <f>IF($A135="","",INDEX('PAX &amp; CREW'!$Z$3:$Z$62,MATCH($A135,'PAX &amp; CREW'!$AJ$3:$AJ$62,0)))</f>
        <v/>
      </c>
      <c r="K135" t="str">
        <f>IF($A135="","",INDEX('PAX &amp; CREW'!$AI$3:$AI$62,MATCH($A135,'PAX &amp; CREW'!$AJ$3:$AJ$62,0)))</f>
        <v/>
      </c>
      <c r="L135" t="str">
        <f>IF($A135="","",INDEX('PAX &amp; CREW'!$AE$3:$AE$62,MATCH($A135,'PAX &amp; CREW'!$AJ$3:$AJ$62,0)))</f>
        <v/>
      </c>
    </row>
    <row r="136" spans="1:12" x14ac:dyDescent="0.3">
      <c r="A136" t="str">
        <f>IF(ROW()-122&gt;COUNT('PAX &amp; CREW'!$AJ$3:$AJ$62),"",ROW()-122)</f>
        <v/>
      </c>
      <c r="B136" t="str">
        <f>IF($A136="","",INDEX('PAX &amp; CREW'!$C$3:$C$62,MATCH($A136,'PAX &amp; CREW'!$AJ$3:$AJ$62,0)))</f>
        <v/>
      </c>
      <c r="C136" t="str">
        <f>IF($A136="","",INDEX('PAX &amp; CREW'!$D$3:$D$62,MATCH($A136,'PAX &amp; CREW'!$AJ$3:$AJ$62,0)))</f>
        <v/>
      </c>
      <c r="D136" t="str">
        <f>IF($A136="","",INDEX('PAX &amp; CREW'!$G$3:$G$62,MATCH($A136,'PAX &amp; CREW'!$AJ$3:$AJ$62,0))&amp;", "&amp;INDEX('PAX &amp; CREW'!$H$3:$H$62,MATCH($A136,'PAX &amp; CREW'!$AJ$3:$AJ$62,0)))</f>
        <v/>
      </c>
      <c r="E136" t="str">
        <f>IF($A136="","",INDEX('PAX &amp; CREW'!$L$3:$L$62,MATCH($A136,'PAX &amp; CREW'!$AJ$3:$AJ$62,0)))</f>
        <v/>
      </c>
      <c r="F136" t="str">
        <f>IF($A136="","",INDEX('PAX &amp; CREW'!$M$3:$M$62,MATCH($A136,'PAX &amp; CREW'!$AJ$3:$AJ$62,0)))</f>
        <v/>
      </c>
      <c r="G136" s="6" t="str">
        <f>IF($A136="","",INDEX('PAX &amp; CREW'!$P$3:$P$62,MATCH($A136,'PAX &amp; CREW'!$AJ$3:$AJ$62,0)))</f>
        <v/>
      </c>
      <c r="H136" t="str">
        <f>IF($A136="","",INDEX('PAX &amp; CREW'!$Q$3:$Q$62,MATCH($A136,'PAX &amp; CREW'!$AJ$3:$AJ$62,0)))</f>
        <v/>
      </c>
      <c r="I136" t="str">
        <f>IF($A136="","",INDEX('PAX &amp; CREW'!$U$3:$U$62,MATCH($A136,'PAX &amp; CREW'!$AJ$3:$AJ$62,0)))</f>
        <v/>
      </c>
      <c r="J136" t="str">
        <f>IF($A136="","",INDEX('PAX &amp; CREW'!$Z$3:$Z$62,MATCH($A136,'PAX &amp; CREW'!$AJ$3:$AJ$62,0)))</f>
        <v/>
      </c>
      <c r="K136" t="str">
        <f>IF($A136="","",INDEX('PAX &amp; CREW'!$AI$3:$AI$62,MATCH($A136,'PAX &amp; CREW'!$AJ$3:$AJ$62,0)))</f>
        <v/>
      </c>
      <c r="L136" t="str">
        <f>IF($A136="","",INDEX('PAX &amp; CREW'!$AE$3:$AE$62,MATCH($A136,'PAX &amp; CREW'!$AJ$3:$AJ$62,0)))</f>
        <v/>
      </c>
    </row>
    <row r="137" spans="1:12" x14ac:dyDescent="0.3">
      <c r="A137" t="str">
        <f>IF(ROW()-122&gt;COUNT('PAX &amp; CREW'!$AJ$3:$AJ$62),"",ROW()-122)</f>
        <v/>
      </c>
      <c r="B137" t="str">
        <f>IF($A137="","",INDEX('PAX &amp; CREW'!$C$3:$C$62,MATCH($A137,'PAX &amp; CREW'!$AJ$3:$AJ$62,0)))</f>
        <v/>
      </c>
      <c r="C137" t="str">
        <f>IF($A137="","",INDEX('PAX &amp; CREW'!$D$3:$D$62,MATCH($A137,'PAX &amp; CREW'!$AJ$3:$AJ$62,0)))</f>
        <v/>
      </c>
      <c r="D137" t="str">
        <f>IF($A137="","",INDEX('PAX &amp; CREW'!$G$3:$G$62,MATCH($A137,'PAX &amp; CREW'!$AJ$3:$AJ$62,0))&amp;", "&amp;INDEX('PAX &amp; CREW'!$H$3:$H$62,MATCH($A137,'PAX &amp; CREW'!$AJ$3:$AJ$62,0)))</f>
        <v/>
      </c>
      <c r="E137" t="str">
        <f>IF($A137="","",INDEX('PAX &amp; CREW'!$L$3:$L$62,MATCH($A137,'PAX &amp; CREW'!$AJ$3:$AJ$62,0)))</f>
        <v/>
      </c>
      <c r="F137" t="str">
        <f>IF($A137="","",INDEX('PAX &amp; CREW'!$M$3:$M$62,MATCH($A137,'PAX &amp; CREW'!$AJ$3:$AJ$62,0)))</f>
        <v/>
      </c>
      <c r="G137" s="6" t="str">
        <f>IF($A137="","",INDEX('PAX &amp; CREW'!$P$3:$P$62,MATCH($A137,'PAX &amp; CREW'!$AJ$3:$AJ$62,0)))</f>
        <v/>
      </c>
      <c r="H137" t="str">
        <f>IF($A137="","",INDEX('PAX &amp; CREW'!$Q$3:$Q$62,MATCH($A137,'PAX &amp; CREW'!$AJ$3:$AJ$62,0)))</f>
        <v/>
      </c>
      <c r="I137" t="str">
        <f>IF($A137="","",INDEX('PAX &amp; CREW'!$U$3:$U$62,MATCH($A137,'PAX &amp; CREW'!$AJ$3:$AJ$62,0)))</f>
        <v/>
      </c>
      <c r="J137" t="str">
        <f>IF($A137="","",INDEX('PAX &amp; CREW'!$Z$3:$Z$62,MATCH($A137,'PAX &amp; CREW'!$AJ$3:$AJ$62,0)))</f>
        <v/>
      </c>
      <c r="K137" t="str">
        <f>IF($A137="","",INDEX('PAX &amp; CREW'!$AI$3:$AI$62,MATCH($A137,'PAX &amp; CREW'!$AJ$3:$AJ$62,0)))</f>
        <v/>
      </c>
      <c r="L137" t="str">
        <f>IF($A137="","",INDEX('PAX &amp; CREW'!$AE$3:$AE$62,MATCH($A137,'PAX &amp; CREW'!$AJ$3:$AJ$62,0)))</f>
        <v/>
      </c>
    </row>
    <row r="138" spans="1:12" x14ac:dyDescent="0.3">
      <c r="A138" t="str">
        <f>IF(ROW()-122&gt;COUNT('PAX &amp; CREW'!$AJ$3:$AJ$62),"",ROW()-122)</f>
        <v/>
      </c>
      <c r="B138" t="str">
        <f>IF($A138="","",INDEX('PAX &amp; CREW'!$C$3:$C$62,MATCH($A138,'PAX &amp; CREW'!$AJ$3:$AJ$62,0)))</f>
        <v/>
      </c>
      <c r="C138" t="str">
        <f>IF($A138="","",INDEX('PAX &amp; CREW'!$D$3:$D$62,MATCH($A138,'PAX &amp; CREW'!$AJ$3:$AJ$62,0)))</f>
        <v/>
      </c>
      <c r="D138" t="str">
        <f>IF($A138="","",INDEX('PAX &amp; CREW'!$G$3:$G$62,MATCH($A138,'PAX &amp; CREW'!$AJ$3:$AJ$62,0))&amp;", "&amp;INDEX('PAX &amp; CREW'!$H$3:$H$62,MATCH($A138,'PAX &amp; CREW'!$AJ$3:$AJ$62,0)))</f>
        <v/>
      </c>
      <c r="E138" t="str">
        <f>IF($A138="","",INDEX('PAX &amp; CREW'!$L$3:$L$62,MATCH($A138,'PAX &amp; CREW'!$AJ$3:$AJ$62,0)))</f>
        <v/>
      </c>
      <c r="F138" t="str">
        <f>IF($A138="","",INDEX('PAX &amp; CREW'!$M$3:$M$62,MATCH($A138,'PAX &amp; CREW'!$AJ$3:$AJ$62,0)))</f>
        <v/>
      </c>
      <c r="G138" s="6" t="str">
        <f>IF($A138="","",INDEX('PAX &amp; CREW'!$P$3:$P$62,MATCH($A138,'PAX &amp; CREW'!$AJ$3:$AJ$62,0)))</f>
        <v/>
      </c>
      <c r="H138" t="str">
        <f>IF($A138="","",INDEX('PAX &amp; CREW'!$Q$3:$Q$62,MATCH($A138,'PAX &amp; CREW'!$AJ$3:$AJ$62,0)))</f>
        <v/>
      </c>
      <c r="I138" t="str">
        <f>IF($A138="","",INDEX('PAX &amp; CREW'!$U$3:$U$62,MATCH($A138,'PAX &amp; CREW'!$AJ$3:$AJ$62,0)))</f>
        <v/>
      </c>
      <c r="J138" t="str">
        <f>IF($A138="","",INDEX('PAX &amp; CREW'!$Z$3:$Z$62,MATCH($A138,'PAX &amp; CREW'!$AJ$3:$AJ$62,0)))</f>
        <v/>
      </c>
      <c r="K138" t="str">
        <f>IF($A138="","",INDEX('PAX &amp; CREW'!$AI$3:$AI$62,MATCH($A138,'PAX &amp; CREW'!$AJ$3:$AJ$62,0)))</f>
        <v/>
      </c>
      <c r="L138" t="str">
        <f>IF($A138="","",INDEX('PAX &amp; CREW'!$AE$3:$AE$62,MATCH($A138,'PAX &amp; CREW'!$AJ$3:$AJ$62,0)))</f>
        <v/>
      </c>
    </row>
    <row r="139" spans="1:12" x14ac:dyDescent="0.3">
      <c r="A139" t="str">
        <f>IF(ROW()-122&gt;COUNT('PAX &amp; CREW'!$AJ$3:$AJ$62),"",ROW()-122)</f>
        <v/>
      </c>
      <c r="B139" t="str">
        <f>IF($A139="","",INDEX('PAX &amp; CREW'!$C$3:$C$62,MATCH($A139,'PAX &amp; CREW'!$AJ$3:$AJ$62,0)))</f>
        <v/>
      </c>
      <c r="C139" t="str">
        <f>IF($A139="","",INDEX('PAX &amp; CREW'!$D$3:$D$62,MATCH($A139,'PAX &amp; CREW'!$AJ$3:$AJ$62,0)))</f>
        <v/>
      </c>
      <c r="D139" t="str">
        <f>IF($A139="","",INDEX('PAX &amp; CREW'!$G$3:$G$62,MATCH($A139,'PAX &amp; CREW'!$AJ$3:$AJ$62,0))&amp;", "&amp;INDEX('PAX &amp; CREW'!$H$3:$H$62,MATCH($A139,'PAX &amp; CREW'!$AJ$3:$AJ$62,0)))</f>
        <v/>
      </c>
      <c r="E139" t="str">
        <f>IF($A139="","",INDEX('PAX &amp; CREW'!$L$3:$L$62,MATCH($A139,'PAX &amp; CREW'!$AJ$3:$AJ$62,0)))</f>
        <v/>
      </c>
      <c r="F139" t="str">
        <f>IF($A139="","",INDEX('PAX &amp; CREW'!$M$3:$M$62,MATCH($A139,'PAX &amp; CREW'!$AJ$3:$AJ$62,0)))</f>
        <v/>
      </c>
      <c r="G139" s="6" t="str">
        <f>IF($A139="","",INDEX('PAX &amp; CREW'!$P$3:$P$62,MATCH($A139,'PAX &amp; CREW'!$AJ$3:$AJ$62,0)))</f>
        <v/>
      </c>
      <c r="H139" t="str">
        <f>IF($A139="","",INDEX('PAX &amp; CREW'!$Q$3:$Q$62,MATCH($A139,'PAX &amp; CREW'!$AJ$3:$AJ$62,0)))</f>
        <v/>
      </c>
      <c r="I139" t="str">
        <f>IF($A139="","",INDEX('PAX &amp; CREW'!$U$3:$U$62,MATCH($A139,'PAX &amp; CREW'!$AJ$3:$AJ$62,0)))</f>
        <v/>
      </c>
      <c r="J139" t="str">
        <f>IF($A139="","",INDEX('PAX &amp; CREW'!$Z$3:$Z$62,MATCH($A139,'PAX &amp; CREW'!$AJ$3:$AJ$62,0)))</f>
        <v/>
      </c>
      <c r="K139" t="str">
        <f>IF($A139="","",INDEX('PAX &amp; CREW'!$AI$3:$AI$62,MATCH($A139,'PAX &amp; CREW'!$AJ$3:$AJ$62,0)))</f>
        <v/>
      </c>
      <c r="L139" t="str">
        <f>IF($A139="","",INDEX('PAX &amp; CREW'!$AE$3:$AE$62,MATCH($A139,'PAX &amp; CREW'!$AJ$3:$AJ$62,0)))</f>
        <v/>
      </c>
    </row>
    <row r="140" spans="1:12" x14ac:dyDescent="0.3">
      <c r="A140" t="str">
        <f>IF(ROW()-122&gt;COUNT('PAX &amp; CREW'!$AJ$3:$AJ$62),"",ROW()-122)</f>
        <v/>
      </c>
      <c r="B140" t="str">
        <f>IF($A140="","",INDEX('PAX &amp; CREW'!$C$3:$C$62,MATCH($A140,'PAX &amp; CREW'!$AJ$3:$AJ$62,0)))</f>
        <v/>
      </c>
      <c r="C140" t="str">
        <f>IF($A140="","",INDEX('PAX &amp; CREW'!$D$3:$D$62,MATCH($A140,'PAX &amp; CREW'!$AJ$3:$AJ$62,0)))</f>
        <v/>
      </c>
      <c r="D140" t="str">
        <f>IF($A140="","",INDEX('PAX &amp; CREW'!$G$3:$G$62,MATCH($A140,'PAX &amp; CREW'!$AJ$3:$AJ$62,0))&amp;", "&amp;INDEX('PAX &amp; CREW'!$H$3:$H$62,MATCH($A140,'PAX &amp; CREW'!$AJ$3:$AJ$62,0)))</f>
        <v/>
      </c>
      <c r="E140" t="str">
        <f>IF($A140="","",INDEX('PAX &amp; CREW'!$L$3:$L$62,MATCH($A140,'PAX &amp; CREW'!$AJ$3:$AJ$62,0)))</f>
        <v/>
      </c>
      <c r="F140" t="str">
        <f>IF($A140="","",INDEX('PAX &amp; CREW'!$M$3:$M$62,MATCH($A140,'PAX &amp; CREW'!$AJ$3:$AJ$62,0)))</f>
        <v/>
      </c>
      <c r="G140" s="6" t="str">
        <f>IF($A140="","",INDEX('PAX &amp; CREW'!$P$3:$P$62,MATCH($A140,'PAX &amp; CREW'!$AJ$3:$AJ$62,0)))</f>
        <v/>
      </c>
      <c r="H140" t="str">
        <f>IF($A140="","",INDEX('PAX &amp; CREW'!$Q$3:$Q$62,MATCH($A140,'PAX &amp; CREW'!$AJ$3:$AJ$62,0)))</f>
        <v/>
      </c>
      <c r="I140" t="str">
        <f>IF($A140="","",INDEX('PAX &amp; CREW'!$U$3:$U$62,MATCH($A140,'PAX &amp; CREW'!$AJ$3:$AJ$62,0)))</f>
        <v/>
      </c>
      <c r="J140" t="str">
        <f>IF($A140="","",INDEX('PAX &amp; CREW'!$Z$3:$Z$62,MATCH($A140,'PAX &amp; CREW'!$AJ$3:$AJ$62,0)))</f>
        <v/>
      </c>
      <c r="K140" t="str">
        <f>IF($A140="","",INDEX('PAX &amp; CREW'!$AI$3:$AI$62,MATCH($A140,'PAX &amp; CREW'!$AJ$3:$AJ$62,0)))</f>
        <v/>
      </c>
      <c r="L140" t="str">
        <f>IF($A140="","",INDEX('PAX &amp; CREW'!$AE$3:$AE$62,MATCH($A140,'PAX &amp; CREW'!$AJ$3:$AJ$62,0)))</f>
        <v/>
      </c>
    </row>
    <row r="141" spans="1:12" x14ac:dyDescent="0.3">
      <c r="A141" t="str">
        <f>IF(ROW()-122&gt;COUNT('PAX &amp; CREW'!$AJ$3:$AJ$62),"",ROW()-122)</f>
        <v/>
      </c>
      <c r="B141" t="str">
        <f>IF($A141="","",INDEX('PAX &amp; CREW'!$C$3:$C$62,MATCH($A141,'PAX &amp; CREW'!$AJ$3:$AJ$62,0)))</f>
        <v/>
      </c>
      <c r="C141" t="str">
        <f>IF($A141="","",INDEX('PAX &amp; CREW'!$D$3:$D$62,MATCH($A141,'PAX &amp; CREW'!$AJ$3:$AJ$62,0)))</f>
        <v/>
      </c>
      <c r="D141" t="str">
        <f>IF($A141="","",INDEX('PAX &amp; CREW'!$G$3:$G$62,MATCH($A141,'PAX &amp; CREW'!$AJ$3:$AJ$62,0))&amp;", "&amp;INDEX('PAX &amp; CREW'!$H$3:$H$62,MATCH($A141,'PAX &amp; CREW'!$AJ$3:$AJ$62,0)))</f>
        <v/>
      </c>
      <c r="E141" t="str">
        <f>IF($A141="","",INDEX('PAX &amp; CREW'!$L$3:$L$62,MATCH($A141,'PAX &amp; CREW'!$AJ$3:$AJ$62,0)))</f>
        <v/>
      </c>
      <c r="F141" t="str">
        <f>IF($A141="","",INDEX('PAX &amp; CREW'!$M$3:$M$62,MATCH($A141,'PAX &amp; CREW'!$AJ$3:$AJ$62,0)))</f>
        <v/>
      </c>
      <c r="G141" s="6" t="str">
        <f>IF($A141="","",INDEX('PAX &amp; CREW'!$P$3:$P$62,MATCH($A141,'PAX &amp; CREW'!$AJ$3:$AJ$62,0)))</f>
        <v/>
      </c>
      <c r="H141" t="str">
        <f>IF($A141="","",INDEX('PAX &amp; CREW'!$Q$3:$Q$62,MATCH($A141,'PAX &amp; CREW'!$AJ$3:$AJ$62,0)))</f>
        <v/>
      </c>
      <c r="I141" t="str">
        <f>IF($A141="","",INDEX('PAX &amp; CREW'!$U$3:$U$62,MATCH($A141,'PAX &amp; CREW'!$AJ$3:$AJ$62,0)))</f>
        <v/>
      </c>
      <c r="J141" t="str">
        <f>IF($A141="","",INDEX('PAX &amp; CREW'!$Z$3:$Z$62,MATCH($A141,'PAX &amp; CREW'!$AJ$3:$AJ$62,0)))</f>
        <v/>
      </c>
      <c r="K141" t="str">
        <f>IF($A141="","",INDEX('PAX &amp; CREW'!$AI$3:$AI$62,MATCH($A141,'PAX &amp; CREW'!$AJ$3:$AJ$62,0)))</f>
        <v/>
      </c>
      <c r="L141" t="str">
        <f>IF($A141="","",INDEX('PAX &amp; CREW'!$AE$3:$AE$62,MATCH($A141,'PAX &amp; CREW'!$AJ$3:$AJ$62,0)))</f>
        <v/>
      </c>
    </row>
    <row r="142" spans="1:12" x14ac:dyDescent="0.3">
      <c r="A142" t="str">
        <f>IF(ROW()-122&gt;COUNT('PAX &amp; CREW'!$AJ$3:$AJ$62),"",ROW()-122)</f>
        <v/>
      </c>
      <c r="B142" t="str">
        <f>IF($A142="","",INDEX('PAX &amp; CREW'!$C$3:$C$62,MATCH($A142,'PAX &amp; CREW'!$AJ$3:$AJ$62,0)))</f>
        <v/>
      </c>
      <c r="C142" t="str">
        <f>IF($A142="","",INDEX('PAX &amp; CREW'!$D$3:$D$62,MATCH($A142,'PAX &amp; CREW'!$AJ$3:$AJ$62,0)))</f>
        <v/>
      </c>
      <c r="D142" t="str">
        <f>IF($A142="","",INDEX('PAX &amp; CREW'!$G$3:$G$62,MATCH($A142,'PAX &amp; CREW'!$AJ$3:$AJ$62,0))&amp;", "&amp;INDEX('PAX &amp; CREW'!$H$3:$H$62,MATCH($A142,'PAX &amp; CREW'!$AJ$3:$AJ$62,0)))</f>
        <v/>
      </c>
      <c r="E142" t="str">
        <f>IF($A142="","",INDEX('PAX &amp; CREW'!$L$3:$L$62,MATCH($A142,'PAX &amp; CREW'!$AJ$3:$AJ$62,0)))</f>
        <v/>
      </c>
      <c r="F142" t="str">
        <f>IF($A142="","",INDEX('PAX &amp; CREW'!$M$3:$M$62,MATCH($A142,'PAX &amp; CREW'!$AJ$3:$AJ$62,0)))</f>
        <v/>
      </c>
      <c r="G142" s="6" t="str">
        <f>IF($A142="","",INDEX('PAX &amp; CREW'!$P$3:$P$62,MATCH($A142,'PAX &amp; CREW'!$AJ$3:$AJ$62,0)))</f>
        <v/>
      </c>
      <c r="H142" t="str">
        <f>IF($A142="","",INDEX('PAX &amp; CREW'!$Q$3:$Q$62,MATCH($A142,'PAX &amp; CREW'!$AJ$3:$AJ$62,0)))</f>
        <v/>
      </c>
      <c r="I142" t="str">
        <f>IF($A142="","",INDEX('PAX &amp; CREW'!$U$3:$U$62,MATCH($A142,'PAX &amp; CREW'!$AJ$3:$AJ$62,0)))</f>
        <v/>
      </c>
      <c r="J142" t="str">
        <f>IF($A142="","",INDEX('PAX &amp; CREW'!$Z$3:$Z$62,MATCH($A142,'PAX &amp; CREW'!$AJ$3:$AJ$62,0)))</f>
        <v/>
      </c>
      <c r="K142" t="str">
        <f>IF($A142="","",INDEX('PAX &amp; CREW'!$AI$3:$AI$62,MATCH($A142,'PAX &amp; CREW'!$AJ$3:$AJ$62,0)))</f>
        <v/>
      </c>
      <c r="L142" t="str">
        <f>IF($A142="","",INDEX('PAX &amp; CREW'!$AE$3:$AE$62,MATCH($A142,'PAX &amp; CREW'!$AJ$3:$AJ$62,0)))</f>
        <v/>
      </c>
    </row>
    <row r="145" spans="1:44" x14ac:dyDescent="0.3">
      <c r="A145" s="25" t="s">
        <v>4720</v>
      </c>
      <c r="B145" s="25"/>
      <c r="C145" s="25"/>
      <c r="D145" s="25"/>
      <c r="E145" s="25"/>
      <c r="F145" s="25"/>
      <c r="G145" s="25"/>
      <c r="H145" s="25"/>
    </row>
    <row r="146" spans="1:44" x14ac:dyDescent="0.3">
      <c r="A146" s="33" t="s">
        <v>4306</v>
      </c>
      <c r="B146" s="33" t="s">
        <v>4692</v>
      </c>
      <c r="C146" s="33" t="s">
        <v>4684</v>
      </c>
      <c r="D146" s="33" t="s">
        <v>4685</v>
      </c>
      <c r="E146" s="33" t="s">
        <v>4686</v>
      </c>
      <c r="F146" s="33" t="s">
        <v>4687</v>
      </c>
      <c r="G146" s="33" t="s">
        <v>4688</v>
      </c>
      <c r="H146" s="33" t="s">
        <v>4693</v>
      </c>
    </row>
    <row r="147" spans="1:44" x14ac:dyDescent="0.3">
      <c r="A147" t="str" cm="1">
        <f t="array" ref="A147">IF(INDEX($B$18:$B$25,ROW()-146)="","",INDEX($A$18:$A$25,ROW()-146))</f>
        <v>L1</v>
      </c>
      <c r="B147" t="str" cm="1">
        <f t="array" ref="B147">IF($A147="","",INDEX($N$18:$N$25,ROW()-146))</f>
        <v>CLI-001</v>
      </c>
      <c r="C147" t="str">
        <f>IF($B147="","",IFERROR(INDEX(Clients!$D:$D,MATCH($B147,Clients!$A:$A,0))&amp;"","UNKNOWN CLIENT ID"))</f>
        <v>JTL AVIATION INC</v>
      </c>
      <c r="D147" t="str">
        <f>IF($B147="","",IFERROR(INDEX(Clients!$E:$E,MATCH($B147,Clients!$A:$A,0))&amp;", "&amp;INDEX(Clients!$G:$G,MATCH($B147,Clients!$A:$A,0))&amp;", "&amp;INDEX(Clients!$H:$H,MATCH($B147,Clients!$A:$A,0)),"UNKNOWN CLIENT ID"))</f>
        <v>12065 PARK VIEW LANE, HOUSTON TX, USA</v>
      </c>
      <c r="E147" t="str">
        <f>IF($B147="","",IFERROR(INDEX(Clients!$K:$K,MATCH($B147,Clients!$A:$A,0))&amp;"","UNKNOWN CLIENT ID"))</f>
        <v>ops@jetelio.com</v>
      </c>
      <c r="F147" t="str">
        <f>IF($B147="","",IFERROR(INDEX(Clients!$M:$M,MATCH($B147,Clients!$A:$A,0))&amp;"","UNKNOWN CLIENT ID"))</f>
        <v>USD</v>
      </c>
      <c r="G147" t="str">
        <f>IF($B147="","",IFERROR(INDEX(Clients!$N:$N,MATCH($B147,Clients!$A:$A,0))&amp;"","UNKNOWN CLIENT ID"))</f>
        <v>NET 30</v>
      </c>
      <c r="H147" t="str">
        <f>IF($A147="","",IF($B147=$F$5,"DEFAULT","OVERRIDE"))</f>
        <v>DEFAULT</v>
      </c>
    </row>
    <row r="148" spans="1:44" x14ac:dyDescent="0.3">
      <c r="A148" t="str" cm="1">
        <f t="array" ref="A148">IF(INDEX($B$18:$B$25,ROW()-146)="","",INDEX($A$18:$A$25,ROW()-146))</f>
        <v>L2</v>
      </c>
      <c r="B148" t="str" cm="1">
        <f t="array" ref="B148">IF($A148="","",INDEX($N$18:$N$25,ROW()-146))</f>
        <v>CLI-001</v>
      </c>
      <c r="C148" t="str">
        <f>IF($B148="","",IFERROR(INDEX(Clients!$D:$D,MATCH($B148,Clients!$A:$A,0))&amp;"","UNKNOWN CLIENT ID"))</f>
        <v>JTL AVIATION INC</v>
      </c>
      <c r="D148" t="str">
        <f>IF($B148="","",IFERROR(INDEX(Clients!$E:$E,MATCH($B148,Clients!$A:$A,0))&amp;", "&amp;INDEX(Clients!$G:$G,MATCH($B148,Clients!$A:$A,0))&amp;", "&amp;INDEX(Clients!$H:$H,MATCH($B148,Clients!$A:$A,0)),"UNKNOWN CLIENT ID"))</f>
        <v>12065 PARK VIEW LANE, HOUSTON TX, USA</v>
      </c>
      <c r="E148" t="str">
        <f>IF($B148="","",IFERROR(INDEX(Clients!$K:$K,MATCH($B148,Clients!$A:$A,0))&amp;"","UNKNOWN CLIENT ID"))</f>
        <v>ops@jetelio.com</v>
      </c>
      <c r="F148" t="str">
        <f>IF($B148="","",IFERROR(INDEX(Clients!$M:$M,MATCH($B148,Clients!$A:$A,0))&amp;"","UNKNOWN CLIENT ID"))</f>
        <v>USD</v>
      </c>
      <c r="G148" t="str">
        <f>IF($B148="","",IFERROR(INDEX(Clients!$N:$N,MATCH($B148,Clients!$A:$A,0))&amp;"","UNKNOWN CLIENT ID"))</f>
        <v>NET 30</v>
      </c>
      <c r="H148" t="str">
        <f t="shared" ref="H148:H154" si="24">IF($A148="","",IF($B148=$F$5,"DEFAULT","OVERRIDE"))</f>
        <v>DEFAULT</v>
      </c>
    </row>
    <row r="149" spans="1:44" x14ac:dyDescent="0.3">
      <c r="A149" t="str" cm="1">
        <f t="array" ref="A149">IF(INDEX($B$18:$B$25,ROW()-146)="","",INDEX($A$18:$A$25,ROW()-146))</f>
        <v>L3</v>
      </c>
      <c r="B149" t="str" cm="1">
        <f t="array" ref="B149">IF($A149="","",INDEX($N$18:$N$25,ROW()-146))</f>
        <v>CLI-001</v>
      </c>
      <c r="C149" t="str">
        <f>IF($B149="","",IFERROR(INDEX(Clients!$D:$D,MATCH($B149,Clients!$A:$A,0))&amp;"","UNKNOWN CLIENT ID"))</f>
        <v>JTL AVIATION INC</v>
      </c>
      <c r="D149" t="str">
        <f>IF($B149="","",IFERROR(INDEX(Clients!$E:$E,MATCH($B149,Clients!$A:$A,0))&amp;", "&amp;INDEX(Clients!$G:$G,MATCH($B149,Clients!$A:$A,0))&amp;", "&amp;INDEX(Clients!$H:$H,MATCH($B149,Clients!$A:$A,0)),"UNKNOWN CLIENT ID"))</f>
        <v>12065 PARK VIEW LANE, HOUSTON TX, USA</v>
      </c>
      <c r="E149" t="str">
        <f>IF($B149="","",IFERROR(INDEX(Clients!$K:$K,MATCH($B149,Clients!$A:$A,0))&amp;"","UNKNOWN CLIENT ID"))</f>
        <v>ops@jetelio.com</v>
      </c>
      <c r="F149" t="str">
        <f>IF($B149="","",IFERROR(INDEX(Clients!$M:$M,MATCH($B149,Clients!$A:$A,0))&amp;"","UNKNOWN CLIENT ID"))</f>
        <v>USD</v>
      </c>
      <c r="G149" t="str">
        <f>IF($B149="","",IFERROR(INDEX(Clients!$N:$N,MATCH($B149,Clients!$A:$A,0))&amp;"","UNKNOWN CLIENT ID"))</f>
        <v>NET 30</v>
      </c>
      <c r="H149" t="str">
        <f t="shared" si="24"/>
        <v>DEFAULT</v>
      </c>
    </row>
    <row r="150" spans="1:44" x14ac:dyDescent="0.3">
      <c r="A150" t="str" cm="1">
        <f t="array" ref="A150">IF(INDEX($B$18:$B$25,ROW()-146)="","",INDEX($A$18:$A$25,ROW()-146))</f>
        <v>L4</v>
      </c>
      <c r="B150" t="str" cm="1">
        <f t="array" ref="B150">IF($A150="","",INDEX($N$18:$N$25,ROW()-146))</f>
        <v>CLI-002</v>
      </c>
      <c r="C150" t="str">
        <f>IF($B150="","",IFERROR(INDEX(Clients!$D:$D,MATCH($B150,Clients!$A:$A,0))&amp;"","UNKNOWN CLIENT ID"))</f>
        <v>JTL AVIATION EUROPE LIMITED</v>
      </c>
      <c r="D150" t="str">
        <f>IF($B150="","",IFERROR(INDEX(Clients!$E:$E,MATCH($B150,Clients!$A:$A,0))&amp;", "&amp;INDEX(Clients!$G:$G,MATCH($B150,Clients!$A:$A,0))&amp;", "&amp;INDEX(Clients!$H:$H,MATCH($B150,Clients!$A:$A,0)),"UNKNOWN CLIENT ID"))</f>
        <v>1 CHARTER HOUSE, BEDFORDSHIRE, UNITED KINGDOM</v>
      </c>
      <c r="E150" t="str">
        <f>IF($B150="","",IFERROR(INDEX(Clients!$K:$K,MATCH($B150,Clients!$A:$A,0))&amp;"","UNKNOWN CLIENT ID"))</f>
        <v>billing.eu@jetelio.com</v>
      </c>
      <c r="F150" t="str">
        <f>IF($B150="","",IFERROR(INDEX(Clients!$M:$M,MATCH($B150,Clients!$A:$A,0))&amp;"","UNKNOWN CLIENT ID"))</f>
        <v>EUR</v>
      </c>
      <c r="G150" t="str">
        <f>IF($B150="","",IFERROR(INDEX(Clients!$N:$N,MATCH($B150,Clients!$A:$A,0))&amp;"","UNKNOWN CLIENT ID"))</f>
        <v>NET 15</v>
      </c>
      <c r="H150" t="str">
        <f t="shared" si="24"/>
        <v>OVERRIDE</v>
      </c>
    </row>
    <row r="151" spans="1:44" x14ac:dyDescent="0.3">
      <c r="A151" t="str" cm="1">
        <f t="array" ref="A151">IF(INDEX($B$18:$B$25,ROW()-146)="","",INDEX($A$18:$A$25,ROW()-146))</f>
        <v/>
      </c>
      <c r="B151" t="str" cm="1">
        <f t="array" ref="B151">IF($A151="","",INDEX($N$18:$N$25,ROW()-146))</f>
        <v/>
      </c>
      <c r="C151" t="str">
        <f>IF($B151="","",IFERROR(INDEX(Clients!$D:$D,MATCH($B151,Clients!$A:$A,0))&amp;"","UNKNOWN CLIENT ID"))</f>
        <v/>
      </c>
      <c r="D151" t="str">
        <f>IF($B151="","",IFERROR(INDEX(Clients!$E:$E,MATCH($B151,Clients!$A:$A,0))&amp;", "&amp;INDEX(Clients!$G:$G,MATCH($B151,Clients!$A:$A,0))&amp;", "&amp;INDEX(Clients!$H:$H,MATCH($B151,Clients!$A:$A,0)),"UNKNOWN CLIENT ID"))</f>
        <v/>
      </c>
      <c r="E151" t="str">
        <f>IF($B151="","",IFERROR(INDEX(Clients!$K:$K,MATCH($B151,Clients!$A:$A,0))&amp;"","UNKNOWN CLIENT ID"))</f>
        <v/>
      </c>
      <c r="F151" t="str">
        <f>IF($B151="","",IFERROR(INDEX(Clients!$M:$M,MATCH($B151,Clients!$A:$A,0))&amp;"","UNKNOWN CLIENT ID"))</f>
        <v/>
      </c>
      <c r="G151" t="str">
        <f>IF($B151="","",IFERROR(INDEX(Clients!$N:$N,MATCH($B151,Clients!$A:$A,0))&amp;"","UNKNOWN CLIENT ID"))</f>
        <v/>
      </c>
      <c r="H151" t="str">
        <f t="shared" si="24"/>
        <v/>
      </c>
    </row>
    <row r="152" spans="1:44" x14ac:dyDescent="0.3">
      <c r="A152" t="str" cm="1">
        <f t="array" ref="A152">IF(INDEX($B$18:$B$25,ROW()-146)="","",INDEX($A$18:$A$25,ROW()-146))</f>
        <v/>
      </c>
      <c r="B152" t="str" cm="1">
        <f t="array" ref="B152">IF($A152="","",INDEX($N$18:$N$25,ROW()-146))</f>
        <v/>
      </c>
      <c r="C152" t="str">
        <f>IF($B152="","",IFERROR(INDEX(Clients!$D:$D,MATCH($B152,Clients!$A:$A,0))&amp;"","UNKNOWN CLIENT ID"))</f>
        <v/>
      </c>
      <c r="D152" t="str">
        <f>IF($B152="","",IFERROR(INDEX(Clients!$E:$E,MATCH($B152,Clients!$A:$A,0))&amp;", "&amp;INDEX(Clients!$G:$G,MATCH($B152,Clients!$A:$A,0))&amp;", "&amp;INDEX(Clients!$H:$H,MATCH($B152,Clients!$A:$A,0)),"UNKNOWN CLIENT ID"))</f>
        <v/>
      </c>
      <c r="E152" t="str">
        <f>IF($B152="","",IFERROR(INDEX(Clients!$K:$K,MATCH($B152,Clients!$A:$A,0))&amp;"","UNKNOWN CLIENT ID"))</f>
        <v/>
      </c>
      <c r="F152" t="str">
        <f>IF($B152="","",IFERROR(INDEX(Clients!$M:$M,MATCH($B152,Clients!$A:$A,0))&amp;"","UNKNOWN CLIENT ID"))</f>
        <v/>
      </c>
      <c r="G152" t="str">
        <f>IF($B152="","",IFERROR(INDEX(Clients!$N:$N,MATCH($B152,Clients!$A:$A,0))&amp;"","UNKNOWN CLIENT ID"))</f>
        <v/>
      </c>
      <c r="H152" t="str">
        <f t="shared" si="24"/>
        <v/>
      </c>
    </row>
    <row r="153" spans="1:44" x14ac:dyDescent="0.3">
      <c r="A153" t="str" cm="1">
        <f t="array" ref="A153">IF(INDEX($B$18:$B$25,ROW()-146)="","",INDEX($A$18:$A$25,ROW()-146))</f>
        <v/>
      </c>
      <c r="B153" t="str" cm="1">
        <f t="array" ref="B153">IF($A153="","",INDEX($N$18:$N$25,ROW()-146))</f>
        <v/>
      </c>
      <c r="C153" t="str">
        <f>IF($B153="","",IFERROR(INDEX(Clients!$D:$D,MATCH($B153,Clients!$A:$A,0))&amp;"","UNKNOWN CLIENT ID"))</f>
        <v/>
      </c>
      <c r="D153" t="str">
        <f>IF($B153="","",IFERROR(INDEX(Clients!$E:$E,MATCH($B153,Clients!$A:$A,0))&amp;", "&amp;INDEX(Clients!$G:$G,MATCH($B153,Clients!$A:$A,0))&amp;", "&amp;INDEX(Clients!$H:$H,MATCH($B153,Clients!$A:$A,0)),"UNKNOWN CLIENT ID"))</f>
        <v/>
      </c>
      <c r="E153" t="str">
        <f>IF($B153="","",IFERROR(INDEX(Clients!$K:$K,MATCH($B153,Clients!$A:$A,0))&amp;"","UNKNOWN CLIENT ID"))</f>
        <v/>
      </c>
      <c r="F153" t="str">
        <f>IF($B153="","",IFERROR(INDEX(Clients!$M:$M,MATCH($B153,Clients!$A:$A,0))&amp;"","UNKNOWN CLIENT ID"))</f>
        <v/>
      </c>
      <c r="G153" t="str">
        <f>IF($B153="","",IFERROR(INDEX(Clients!$N:$N,MATCH($B153,Clients!$A:$A,0))&amp;"","UNKNOWN CLIENT ID"))</f>
        <v/>
      </c>
      <c r="H153" t="str">
        <f t="shared" si="24"/>
        <v/>
      </c>
    </row>
    <row r="154" spans="1:44" x14ac:dyDescent="0.3">
      <c r="A154" t="str" cm="1">
        <f t="array" ref="A154">IF(INDEX($B$18:$B$25,ROW()-146)="","",INDEX($A$18:$A$25,ROW()-146))</f>
        <v/>
      </c>
      <c r="B154" t="str" cm="1">
        <f t="array" ref="B154">IF($A154="","",INDEX($N$18:$N$25,ROW()-146))</f>
        <v/>
      </c>
      <c r="C154" t="str">
        <f>IF($B154="","",IFERROR(INDEX(Clients!$D:$D,MATCH($B154,Clients!$A:$A,0))&amp;"","UNKNOWN CLIENT ID"))</f>
        <v/>
      </c>
      <c r="D154" t="str">
        <f>IF($B154="","",IFERROR(INDEX(Clients!$E:$E,MATCH($B154,Clients!$A:$A,0))&amp;", "&amp;INDEX(Clients!$G:$G,MATCH($B154,Clients!$A:$A,0))&amp;", "&amp;INDEX(Clients!$H:$H,MATCH($B154,Clients!$A:$A,0)),"UNKNOWN CLIENT ID"))</f>
        <v/>
      </c>
      <c r="E154" t="str">
        <f>IF($B154="","",IFERROR(INDEX(Clients!$K:$K,MATCH($B154,Clients!$A:$A,0))&amp;"","UNKNOWN CLIENT ID"))</f>
        <v/>
      </c>
      <c r="F154" t="str">
        <f>IF($B154="","",IFERROR(INDEX(Clients!$M:$M,MATCH($B154,Clients!$A:$A,0))&amp;"","UNKNOWN CLIENT ID"))</f>
        <v/>
      </c>
      <c r="G154" t="str">
        <f>IF($B154="","",IFERROR(INDEX(Clients!$N:$N,MATCH($B154,Clients!$A:$A,0))&amp;"","UNKNOWN CLIENT ID"))</f>
        <v/>
      </c>
      <c r="H154" t="str">
        <f t="shared" si="24"/>
        <v/>
      </c>
    </row>
    <row r="157" spans="1:44" x14ac:dyDescent="0.3">
      <c r="A157" s="59" t="s">
        <v>4850</v>
      </c>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c r="AC157" s="59"/>
      <c r="AD157" s="59"/>
      <c r="AE157" s="59"/>
      <c r="AF157" s="59"/>
      <c r="AG157" s="59"/>
      <c r="AH157" s="59"/>
      <c r="AI157" s="59"/>
      <c r="AJ157" s="59"/>
      <c r="AK157" s="59"/>
      <c r="AL157" s="59"/>
      <c r="AM157" s="59"/>
      <c r="AN157" s="59"/>
      <c r="AO157" s="59"/>
      <c r="AP157" s="59"/>
      <c r="AQ157" s="59"/>
      <c r="AR157" s="59"/>
    </row>
    <row r="158" spans="1:44" x14ac:dyDescent="0.3">
      <c r="A158" s="24" t="s">
        <v>4851</v>
      </c>
      <c r="B158" s="24"/>
      <c r="C158" s="24"/>
      <c r="D158" s="24"/>
      <c r="E158" s="24"/>
      <c r="F158" s="24"/>
      <c r="G158" s="24"/>
      <c r="H158" s="24"/>
      <c r="I158" s="24"/>
      <c r="J158" s="24"/>
      <c r="K158" s="24"/>
      <c r="L158" s="24"/>
      <c r="M158" s="24"/>
      <c r="N158" s="24"/>
      <c r="O158" s="24"/>
      <c r="P158" s="24"/>
      <c r="Q158" s="24"/>
      <c r="R158" s="24"/>
      <c r="S158" s="56" t="s">
        <v>4852</v>
      </c>
      <c r="T158" s="56"/>
      <c r="U158" s="56"/>
      <c r="V158" s="56"/>
      <c r="W158" s="56"/>
      <c r="X158" s="56"/>
      <c r="Y158" s="56"/>
      <c r="Z158" s="56"/>
      <c r="AA158" s="56"/>
      <c r="AB158" s="56"/>
      <c r="AC158" s="56"/>
      <c r="AD158" s="56"/>
      <c r="AE158" s="56"/>
      <c r="AF158" s="56"/>
      <c r="AG158" s="56"/>
      <c r="AH158" s="56"/>
      <c r="AI158" s="56"/>
      <c r="AJ158" s="56"/>
      <c r="AK158" s="56"/>
      <c r="AL158" s="56"/>
      <c r="AM158" s="56"/>
      <c r="AN158" s="56"/>
      <c r="AO158" s="56"/>
      <c r="AP158" s="56"/>
      <c r="AQ158" s="56"/>
      <c r="AR158" s="56"/>
    </row>
    <row r="159" spans="1:44" x14ac:dyDescent="0.3">
      <c r="A159" s="33" t="s">
        <v>4779</v>
      </c>
      <c r="B159" s="33" t="s">
        <v>4780</v>
      </c>
      <c r="C159" s="33" t="s">
        <v>4281</v>
      </c>
      <c r="D159" s="33" t="s">
        <v>4793</v>
      </c>
      <c r="E159" s="33" t="s">
        <v>4781</v>
      </c>
      <c r="F159" s="33" t="s">
        <v>4782</v>
      </c>
      <c r="G159" s="33" t="s">
        <v>4783</v>
      </c>
      <c r="H159" s="33" t="s">
        <v>4784</v>
      </c>
      <c r="I159" s="33" t="s">
        <v>4785</v>
      </c>
      <c r="J159" s="33" t="s">
        <v>3807</v>
      </c>
      <c r="K159" s="33" t="s">
        <v>3808</v>
      </c>
      <c r="L159" s="33" t="s">
        <v>4822</v>
      </c>
      <c r="M159" s="33" t="s">
        <v>4786</v>
      </c>
      <c r="N159" s="33" t="s">
        <v>3836</v>
      </c>
      <c r="O159" s="33" t="s">
        <v>4280</v>
      </c>
      <c r="P159" s="33" t="s">
        <v>4823</v>
      </c>
      <c r="Q159" s="33" t="s">
        <v>4794</v>
      </c>
      <c r="R159" s="33" t="s">
        <v>4824</v>
      </c>
      <c r="S159" s="58" t="s">
        <v>4282</v>
      </c>
      <c r="T159" s="58" t="s">
        <v>4825</v>
      </c>
      <c r="U159" s="58" t="s">
        <v>4283</v>
      </c>
      <c r="V159" s="58" t="s">
        <v>4284</v>
      </c>
      <c r="W159" s="58" t="s">
        <v>4826</v>
      </c>
      <c r="X159" s="58" t="s">
        <v>4827</v>
      </c>
      <c r="Y159" s="58" t="s">
        <v>4285</v>
      </c>
      <c r="Z159" s="58" t="s">
        <v>4286</v>
      </c>
      <c r="AA159" s="58" t="s">
        <v>4828</v>
      </c>
      <c r="AB159" s="58" t="s">
        <v>4787</v>
      </c>
      <c r="AC159" s="58" t="s">
        <v>4287</v>
      </c>
      <c r="AD159" s="58" t="s">
        <v>4788</v>
      </c>
      <c r="AE159" s="58" t="s">
        <v>4789</v>
      </c>
      <c r="AF159" s="58" t="s">
        <v>4790</v>
      </c>
      <c r="AG159" s="58" t="s">
        <v>4829</v>
      </c>
      <c r="AH159" s="58" t="s">
        <v>4791</v>
      </c>
      <c r="AI159" s="58" t="s">
        <v>4792</v>
      </c>
      <c r="AJ159" s="58" t="s">
        <v>4830</v>
      </c>
      <c r="AK159" s="58" t="s">
        <v>4831</v>
      </c>
      <c r="AL159" s="58" t="s">
        <v>4832</v>
      </c>
      <c r="AM159" s="58" t="s">
        <v>4833</v>
      </c>
      <c r="AN159" s="58" t="s">
        <v>4834</v>
      </c>
      <c r="AO159" s="58" t="s">
        <v>4835</v>
      </c>
      <c r="AP159" s="58" t="s">
        <v>4288</v>
      </c>
      <c r="AQ159" s="58" t="s">
        <v>4836</v>
      </c>
      <c r="AR159" s="58" t="s">
        <v>4837</v>
      </c>
    </row>
    <row r="160" spans="1:44" x14ac:dyDescent="0.3">
      <c r="A160" t="str">
        <f>IF($S160="","",$B$5)</f>
        <v>JTL-2608-001</v>
      </c>
      <c r="B160" t="str">
        <f>IF($S160="","","JTL")</f>
        <v>JTL</v>
      </c>
      <c r="C160" t="str">
        <f>IF($S160="","",IFERROR(INDEX(mayfly!$C:$C,MATCH($B$5,mayfly!$A:$A,0)),"ENQUIRY"))</f>
        <v>ACTIVE</v>
      </c>
      <c r="D160" t="str">
        <f>IF($S160="","",IFERROR(INDEX(mayfly!$D:$D,MATCH($B$5,mayfly!$A:$A,0)),"UNASSIGNED"))</f>
        <v>OPS DESK</v>
      </c>
      <c r="E160" s="6">
        <f ca="1">IF($S160="","",TODAY())</f>
        <v>46243</v>
      </c>
      <c r="F160" t="str">
        <f>IF($S160="","",IF($F$6="","",$F$6))</f>
        <v>JTL AVIATION INC</v>
      </c>
      <c r="G160" t="str">
        <f>IF($S160="","",$B$6)</f>
        <v>JTL AVIATION, INC</v>
      </c>
      <c r="H160" t="str">
        <f>IF($S160="","",IF($F$8="","",$F$8))</f>
        <v>ops@jetelio.com</v>
      </c>
      <c r="I160" t="str">
        <f>IF($S160="","",IF($F$7="","",$F$7))</f>
        <v>12065 PARK VIEW LANE, HOUSTON TX, USA</v>
      </c>
      <c r="J160" t="str">
        <f>IF($S160="","",IFERROR(INDEX(Aircraft!$N:$N,MATCH($B$7,Aircraft!$B:$B,0)),""))</f>
        <v>OPV-21</v>
      </c>
      <c r="K160" t="str">
        <f>IF($S160="","",IF($C$7="","",$C$7))</f>
        <v>OPERATOR NAME NOT SET ON Operators SHEET</v>
      </c>
      <c r="L160" t="str">
        <f>IF($S160="","",$F$5)</f>
        <v>CLI-001</v>
      </c>
      <c r="M160" t="str">
        <f>IF($S160="","",$B$8)</f>
        <v>GLF6</v>
      </c>
      <c r="N160" t="str">
        <f>IF($S160="","",$B$7)</f>
        <v>N450GA</v>
      </c>
      <c r="O160">
        <f>IF($S160="","",COUNTA($G$18:$G$25))</f>
        <v>4</v>
      </c>
      <c r="P160" t="str">
        <f>IF($S160="","",IF(COUNTIF($X$18:$X$25,"NO CONSTRAINT")=COUNTA($G$18:$G$25),"FEASIBLE","REVIEW ROUTE CHECK"))</f>
        <v>FEASIBLE</v>
      </c>
      <c r="Q160" s="6">
        <f ca="1">IF($S160="","",TODAY())</f>
        <v>46243</v>
      </c>
      <c r="R160" t="str">
        <f>IF($S160="","",IF($B$4="","",$B$4))</f>
        <v/>
      </c>
      <c r="S160" cm="1">
        <f t="array" ref="S160">IF(INDEX($B$18:$B$25,ROW()-159)="","",ROW()-159)</f>
        <v>1</v>
      </c>
      <c r="T160" t="str">
        <f>IF($S160="","",$B$5&amp;"-L"&amp;$S160)</f>
        <v>JTL-2608-001-L1</v>
      </c>
      <c r="U160" t="str" cm="1">
        <f t="array" ref="U160">IF($S160="","",INDEX($B$18:$B$25,ROW()-159))</f>
        <v>FALA</v>
      </c>
      <c r="V160" t="str" cm="1">
        <f t="array" ref="V160">IF($S160="","",INDEX($C$18:$C$25,ROW()-159))</f>
        <v>Lanseria International Airport</v>
      </c>
      <c r="W160" t="str" cm="1">
        <f t="array" ref="W160">IF($S160="","",INDEX($D$18:$D$25,ROW()-159))</f>
        <v>South Africa</v>
      </c>
      <c r="X160" s="41" cm="1">
        <f t="array" ref="X160">IF($S160="","",INDEX($E$18:$E$25,ROW()-159)+INDEX($F$18:$F$25,ROW()-159))</f>
        <v>46248.375</v>
      </c>
      <c r="Y160" t="str" cm="1">
        <f t="array" ref="Y160">IF($S160="","",INDEX($G$18:$G$25,ROW()-159))</f>
        <v>FTTJ</v>
      </c>
      <c r="Z160" t="str" cm="1">
        <f t="array" ref="Z160">IF($S160="","",INDEX($H$18:$H$25,ROW()-159))</f>
        <v>N'Djamena International Airport</v>
      </c>
      <c r="AA160" t="str" cm="1">
        <f t="array" ref="AA160">IF($S160="","",INDEX($I$18:$I$25,ROW()-159))</f>
        <v>Chad</v>
      </c>
      <c r="AB160" s="41" cm="1">
        <f t="array" ref="AB160">IF($S160="","",INDEX($L$18:$L$25,ROW()-159)+INDEX($M$18:$M$25,ROW()-159))</f>
        <v>46248.605000000003</v>
      </c>
      <c r="AC160" cm="1">
        <f t="array" ref="AC160">IF($S160="","",INDEX($J$18:$J$25,ROW()-159))</f>
        <v>2407</v>
      </c>
      <c r="AD160" cm="1">
        <f t="array" ref="AD160">IF($S160="","",INDEX($K$18:$K$25,ROW()-159))</f>
        <v>5.52</v>
      </c>
      <c r="AE160" cm="1">
        <f t="array" ref="AE160">IF($S160="","",INDEX($F$102:$F$109,ROW()-159))</f>
        <v>2</v>
      </c>
      <c r="AF160" cm="1">
        <f t="array" ref="AF160">IF($S160="","",INDEX($E$102:$E$109,ROW()-159))</f>
        <v>2</v>
      </c>
      <c r="AG160" cm="1">
        <f t="array" ref="AG160">IF($S160="","",INDEX($G$102:$G$109,ROW()-159))</f>
        <v>4</v>
      </c>
      <c r="AH160" cm="1">
        <f t="array" ref="AH160">IF($S160="","",INDEX($V$18:$V$25,ROW()-159))</f>
        <v>0</v>
      </c>
      <c r="AI160" cm="1">
        <f t="array" ref="AI160">IF($S160="","",INDEX($W$18:$W$25,ROW()-159))</f>
        <v>0</v>
      </c>
      <c r="AJ160" t="str" cm="1">
        <f t="array" ref="AJ160">IF($S160="","",INDEX($X$18:$X$25,ROW()-159))</f>
        <v>NO CONSTRAINT</v>
      </c>
      <c r="AK160" cm="1">
        <f t="array" ref="AK160">IF($S160="","",SUMPRODUCT((INDEX(permit_calc!$R$3:$Y$144,0,ROW()-159)&gt;0)*1))</f>
        <v>7</v>
      </c>
      <c r="AL160" t="str" cm="1">
        <f t="array" ref="AL160">IF($S160="","",_xlfn.TEXTJOIN(", ",TRUE,IF(INDEX(permit_calc!$R$3:$Y$144,0,ROW()-159)&gt;0,permit_calc!$B$3:$B$144,"")))</f>
        <v>Angola, Botswana, Central African Republic, Democratic Republic of the Congo, Namibia, Republic of the Congo, Zambia</v>
      </c>
      <c r="AM160" t="str" cm="1">
        <f t="array" ref="AM160">IF($S160="","",IFERROR(INDEX(countries!$B:$B,MATCH(INDEX($U$18:$U$25,ROW()-159),countries!$D:$D,0)),INDEX($U$18:$U$25,ROW()-159)))</f>
        <v>Chad</v>
      </c>
      <c r="AN160" t="str" cm="1">
        <f t="array" ref="AN160">IF($S160="","",IF(INDEX($T$18:$T$25,ROW()-159)=INDEX($U$18:$U$25,ROW()-159),IFERROR(INDEX(countries!$B:$B,MATCH(INDEX($T$18:$T$25,ROW()-159),countries!$D:$D,0)),INDEX($T$18:$T$25,ROW()-159)),IFERROR(INDEX(countries!$B:$B,MATCH(INDEX($T$18:$T$25,ROW()-159),countries!$D:$D,0)),INDEX($T$18:$T$25,ROW()-159))&amp;", "&amp;IFERROR(INDEX(countries!$B:$B,MATCH(INDEX($U$18:$U$25,ROW()-159),countries!$D:$D,0)),INDEX($U$18:$U$25,ROW()-159))))</f>
        <v>South Africa, Chad</v>
      </c>
      <c r="AO160" t="str">
        <f>IF($S160="","","PENDING")</f>
        <v>PENDING</v>
      </c>
      <c r="AP160" t="str">
        <f>IF($S160="","","PLANNED")</f>
        <v>PLANNED</v>
      </c>
      <c r="AQ160" t="str" cm="1">
        <f t="array" ref="AQ160">IF($S160="","",INDEX($N$18:$N$25,ROW()-159))</f>
        <v>CLI-001</v>
      </c>
      <c r="AR160" t="str">
        <f>IF($S160="","","")</f>
        <v/>
      </c>
    </row>
    <row r="161" spans="1:44" x14ac:dyDescent="0.3">
      <c r="A161" t="str">
        <f t="shared" ref="A161:A167" si="25">IF($S161="","",$B$5)</f>
        <v>JTL-2608-001</v>
      </c>
      <c r="B161" t="str">
        <f t="shared" ref="B161:B167" si="26">IF($S161="","","JTL")</f>
        <v>JTL</v>
      </c>
      <c r="C161" t="str">
        <f>IF($S161="","",IFERROR(INDEX(mayfly!$C:$C,MATCH($B$5,mayfly!$A:$A,0)),"ENQUIRY"))</f>
        <v>ACTIVE</v>
      </c>
      <c r="D161" t="str">
        <f>IF($S161="","",IFERROR(INDEX(mayfly!$D:$D,MATCH($B$5,mayfly!$A:$A,0)),"UNASSIGNED"))</f>
        <v>OPS DESK</v>
      </c>
      <c r="E161" s="6">
        <f t="shared" ref="E161:E167" ca="1" si="27">IF($S161="","",TODAY())</f>
        <v>46243</v>
      </c>
      <c r="F161" t="str">
        <f t="shared" ref="F161:F167" si="28">IF($S161="","",IF($F$6="","",$F$6))</f>
        <v>JTL AVIATION INC</v>
      </c>
      <c r="G161" t="str">
        <f t="shared" ref="G161:G167" si="29">IF($S161="","",$B$6)</f>
        <v>JTL AVIATION, INC</v>
      </c>
      <c r="H161" t="str">
        <f t="shared" ref="H161:H167" si="30">IF($S161="","",IF($F$8="","",$F$8))</f>
        <v>ops@jetelio.com</v>
      </c>
      <c r="I161" t="str">
        <f t="shared" ref="I161:I167" si="31">IF($S161="","",IF($F$7="","",$F$7))</f>
        <v>12065 PARK VIEW LANE, HOUSTON TX, USA</v>
      </c>
      <c r="J161" t="str">
        <f>IF($S161="","",IFERROR(INDEX(Aircraft!$N:$N,MATCH($B$7,Aircraft!$B:$B,0)),""))</f>
        <v>OPV-21</v>
      </c>
      <c r="K161" t="str">
        <f t="shared" ref="K161:K167" si="32">IF($S161="","",IF($C$7="","",$C$7))</f>
        <v>OPERATOR NAME NOT SET ON Operators SHEET</v>
      </c>
      <c r="L161" t="str">
        <f t="shared" ref="L161:L167" si="33">IF($S161="","",$F$5)</f>
        <v>CLI-001</v>
      </c>
      <c r="M161" t="str">
        <f t="shared" ref="M161:M167" si="34">IF($S161="","",$B$8)</f>
        <v>GLF6</v>
      </c>
      <c r="N161" t="str">
        <f t="shared" ref="N161:N167" si="35">IF($S161="","",$B$7)</f>
        <v>N450GA</v>
      </c>
      <c r="O161">
        <f t="shared" ref="O161:O167" si="36">IF($S161="","",COUNTA($G$18:$G$25))</f>
        <v>4</v>
      </c>
      <c r="P161" t="str">
        <f t="shared" ref="P161:P167" si="37">IF($S161="","",IF(COUNTIF($X$18:$X$25,"NO CONSTRAINT")=COUNTA($G$18:$G$25),"FEASIBLE","REVIEW ROUTE CHECK"))</f>
        <v>FEASIBLE</v>
      </c>
      <c r="Q161" s="6">
        <f t="shared" ref="Q161:Q167" ca="1" si="38">IF($S161="","",TODAY())</f>
        <v>46243</v>
      </c>
      <c r="R161" t="str">
        <f t="shared" ref="R161:R167" si="39">IF($S161="","",IF($B$4="","",$B$4))</f>
        <v/>
      </c>
      <c r="S161" cm="1">
        <f t="array" ref="S161">IF(INDEX($B$18:$B$25,ROW()-159)="","",ROW()-159)</f>
        <v>2</v>
      </c>
      <c r="T161" t="str">
        <f t="shared" ref="T161:T167" si="40">IF($S161="","",$B$5&amp;"-L"&amp;$S161)</f>
        <v>JTL-2608-001-L2</v>
      </c>
      <c r="U161" t="str" cm="1">
        <f t="array" ref="U161">IF($S161="","",INDEX($B$18:$B$25,ROW()-159))</f>
        <v>FTTJ</v>
      </c>
      <c r="V161" t="str" cm="1">
        <f t="array" ref="V161">IF($S161="","",INDEX($C$18:$C$25,ROW()-159))</f>
        <v>N'Djamena International Airport</v>
      </c>
      <c r="W161" t="str" cm="1">
        <f t="array" ref="W161">IF($S161="","",INDEX($D$18:$D$25,ROW()-159))</f>
        <v>Chad</v>
      </c>
      <c r="X161" s="41" cm="1">
        <f t="array" ref="X161">IF($S161="","",INDEX($E$18:$E$25,ROW()-159)+INDEX($F$18:$F$25,ROW()-159))</f>
        <v>46250.25</v>
      </c>
      <c r="Y161" t="str" cm="1">
        <f t="array" ref="Y161">IF($S161="","",INDEX($G$18:$G$25,ROW()-159))</f>
        <v>HECA</v>
      </c>
      <c r="Z161" t="str" cm="1">
        <f t="array" ref="Z161">IF($S161="","",INDEX($H$18:$H$25,ROW()-159))</f>
        <v>Cairo International Airport</v>
      </c>
      <c r="AA161" t="str" cm="1">
        <f t="array" ref="AA161">IF($S161="","",INDEX($I$18:$I$25,ROW()-159))</f>
        <v>Egypt</v>
      </c>
      <c r="AB161" s="41" cm="1">
        <f t="array" ref="AB161">IF($S161="","",INDEX($L$18:$L$25,ROW()-159)+INDEX($M$18:$M$25,ROW()-159))</f>
        <v>46250.39166666667</v>
      </c>
      <c r="AC161" cm="1">
        <f t="array" ref="AC161">IF($S161="","",INDEX($J$18:$J$25,ROW()-159))</f>
        <v>1412</v>
      </c>
      <c r="AD161" cm="1">
        <f t="array" ref="AD161">IF($S161="","",INDEX($K$18:$K$25,ROW()-159))</f>
        <v>3.4</v>
      </c>
      <c r="AE161" cm="1">
        <f t="array" ref="AE161">IF($S161="","",INDEX($F$102:$F$109,ROW()-159))</f>
        <v>1</v>
      </c>
      <c r="AF161" cm="1">
        <f t="array" ref="AF161">IF($S161="","",INDEX($E$102:$E$109,ROW()-159))</f>
        <v>2</v>
      </c>
      <c r="AG161" cm="1">
        <f t="array" ref="AG161">IF($S161="","",INDEX($G$102:$G$109,ROW()-159))</f>
        <v>3</v>
      </c>
      <c r="AH161" cm="1">
        <f t="array" ref="AH161">IF($S161="","",INDEX($V$18:$V$25,ROW()-159))</f>
        <v>0</v>
      </c>
      <c r="AI161" cm="1">
        <f t="array" ref="AI161">IF($S161="","",INDEX($W$18:$W$25,ROW()-159))</f>
        <v>0</v>
      </c>
      <c r="AJ161" t="str" cm="1">
        <f t="array" ref="AJ161">IF($S161="","",INDEX($X$18:$X$25,ROW()-159))</f>
        <v>NO CONSTRAINT</v>
      </c>
      <c r="AK161" cm="1">
        <f t="array" ref="AK161">IF($S161="","",SUMPRODUCT((INDEX(permit_calc!$R$3:$Y$144,0,ROW()-159)&gt;0)*1))</f>
        <v>1</v>
      </c>
      <c r="AL161" t="str" cm="1">
        <f t="array" ref="AL161">IF($S161="","",_xlfn.TEXTJOIN(", ",TRUE,IF(INDEX(permit_calc!$R$3:$Y$144,0,ROW()-159)&gt;0,permit_calc!$B$3:$B$144,"")))</f>
        <v>Libya</v>
      </c>
      <c r="AM161" t="str" cm="1">
        <f t="array" ref="AM161">IF($S161="","",IFERROR(INDEX(countries!$B:$B,MATCH(INDEX($U$18:$U$25,ROW()-159),countries!$D:$D,0)),INDEX($U$18:$U$25,ROW()-159)))</f>
        <v>Egypt</v>
      </c>
      <c r="AN161" t="str" cm="1">
        <f t="array" ref="AN161">IF($S161="","",IF(INDEX($T$18:$T$25,ROW()-159)=INDEX($U$18:$U$25,ROW()-159),IFERROR(INDEX(countries!$B:$B,MATCH(INDEX($T$18:$T$25,ROW()-159),countries!$D:$D,0)),INDEX($T$18:$T$25,ROW()-159)),IFERROR(INDEX(countries!$B:$B,MATCH(INDEX($T$18:$T$25,ROW()-159),countries!$D:$D,0)),INDEX($T$18:$T$25,ROW()-159))&amp;", "&amp;IFERROR(INDEX(countries!$B:$B,MATCH(INDEX($U$18:$U$25,ROW()-159),countries!$D:$D,0)),INDEX($U$18:$U$25,ROW()-159))))</f>
        <v>Chad, Egypt</v>
      </c>
      <c r="AO161" t="str">
        <f t="shared" ref="AO161:AO167" si="41">IF($S161="","","PENDING")</f>
        <v>PENDING</v>
      </c>
      <c r="AP161" t="str">
        <f t="shared" ref="AP161:AP167" si="42">IF($S161="","","PLANNED")</f>
        <v>PLANNED</v>
      </c>
      <c r="AQ161" t="str" cm="1">
        <f t="array" ref="AQ161">IF($S161="","",INDEX($N$18:$N$25,ROW()-159))</f>
        <v>CLI-001</v>
      </c>
      <c r="AR161" t="str">
        <f t="shared" ref="AR161:AR167" si="43">IF($S161="","","")</f>
        <v/>
      </c>
    </row>
    <row r="162" spans="1:44" x14ac:dyDescent="0.3">
      <c r="A162" t="str">
        <f t="shared" si="25"/>
        <v>JTL-2608-001</v>
      </c>
      <c r="B162" t="str">
        <f t="shared" si="26"/>
        <v>JTL</v>
      </c>
      <c r="C162" t="str">
        <f>IF($S162="","",IFERROR(INDEX(mayfly!$C:$C,MATCH($B$5,mayfly!$A:$A,0)),"ENQUIRY"))</f>
        <v>ACTIVE</v>
      </c>
      <c r="D162" t="str">
        <f>IF($S162="","",IFERROR(INDEX(mayfly!$D:$D,MATCH($B$5,mayfly!$A:$A,0)),"UNASSIGNED"))</f>
        <v>OPS DESK</v>
      </c>
      <c r="E162" s="6">
        <f t="shared" ca="1" si="27"/>
        <v>46243</v>
      </c>
      <c r="F162" t="str">
        <f t="shared" si="28"/>
        <v>JTL AVIATION INC</v>
      </c>
      <c r="G162" t="str">
        <f t="shared" si="29"/>
        <v>JTL AVIATION, INC</v>
      </c>
      <c r="H162" t="str">
        <f t="shared" si="30"/>
        <v>ops@jetelio.com</v>
      </c>
      <c r="I162" t="str">
        <f t="shared" si="31"/>
        <v>12065 PARK VIEW LANE, HOUSTON TX, USA</v>
      </c>
      <c r="J162" t="str">
        <f>IF($S162="","",IFERROR(INDEX(Aircraft!$N:$N,MATCH($B$7,Aircraft!$B:$B,0)),""))</f>
        <v>OPV-21</v>
      </c>
      <c r="K162" t="str">
        <f t="shared" si="32"/>
        <v>OPERATOR NAME NOT SET ON Operators SHEET</v>
      </c>
      <c r="L162" t="str">
        <f t="shared" si="33"/>
        <v>CLI-001</v>
      </c>
      <c r="M162" t="str">
        <f t="shared" si="34"/>
        <v>GLF6</v>
      </c>
      <c r="N162" t="str">
        <f t="shared" si="35"/>
        <v>N450GA</v>
      </c>
      <c r="O162">
        <f t="shared" si="36"/>
        <v>4</v>
      </c>
      <c r="P162" t="str">
        <f t="shared" si="37"/>
        <v>FEASIBLE</v>
      </c>
      <c r="Q162" s="6">
        <f t="shared" ca="1" si="38"/>
        <v>46243</v>
      </c>
      <c r="R162" t="str">
        <f t="shared" si="39"/>
        <v/>
      </c>
      <c r="S162" cm="1">
        <f t="array" ref="S162">IF(INDEX($B$18:$B$25,ROW()-159)="","",ROW()-159)</f>
        <v>3</v>
      </c>
      <c r="T162" t="str">
        <f t="shared" si="40"/>
        <v>JTL-2608-001-L3</v>
      </c>
      <c r="U162" t="str" cm="1">
        <f t="array" ref="U162">IF($S162="","",INDEX($B$18:$B$25,ROW()-159))</f>
        <v>HECA</v>
      </c>
      <c r="V162" t="str" cm="1">
        <f t="array" ref="V162">IF($S162="","",INDEX($C$18:$C$25,ROW()-159))</f>
        <v>Cairo International Airport</v>
      </c>
      <c r="W162" t="str" cm="1">
        <f t="array" ref="W162">IF($S162="","",INDEX($D$18:$D$25,ROW()-159))</f>
        <v>Egypt</v>
      </c>
      <c r="X162" s="41" cm="1">
        <f t="array" ref="X162">IF($S162="","",INDEX($E$18:$E$25,ROW()-159)+INDEX($F$18:$F$25,ROW()-159))</f>
        <v>46251.166666666664</v>
      </c>
      <c r="Y162" t="str" cm="1">
        <f t="array" ref="Y162">IF($S162="","",INDEX($G$18:$G$25,ROW()-159))</f>
        <v>GMAD</v>
      </c>
      <c r="Z162" t="str" cm="1">
        <f t="array" ref="Z162">IF($S162="","",INDEX($H$18:$H$25,ROW()-159))</f>
        <v>Al Massira Airport</v>
      </c>
      <c r="AA162" t="str" cm="1">
        <f t="array" ref="AA162">IF($S162="","",INDEX($I$18:$I$25,ROW()-159))</f>
        <v>Morocco</v>
      </c>
      <c r="AB162" s="41" cm="1">
        <f t="array" ref="AB162">IF($S162="","",INDEX($L$18:$L$25,ROW()-159)+INDEX($M$18:$M$25,ROW()-159))</f>
        <v>46251.369999999995</v>
      </c>
      <c r="AC162" cm="1">
        <f t="array" ref="AC162">IF($S162="","",INDEX($J$18:$J$25,ROW()-159))</f>
        <v>2106</v>
      </c>
      <c r="AD162" cm="1">
        <f t="array" ref="AD162">IF($S162="","",INDEX($K$18:$K$25,ROW()-159))</f>
        <v>4.88</v>
      </c>
      <c r="AE162" cm="1">
        <f t="array" ref="AE162">IF($S162="","",INDEX($F$102:$F$109,ROW()-159))</f>
        <v>0</v>
      </c>
      <c r="AF162" cm="1">
        <f t="array" ref="AF162">IF($S162="","",INDEX($E$102:$E$109,ROW()-159))</f>
        <v>2</v>
      </c>
      <c r="AG162" cm="1">
        <f t="array" ref="AG162">IF($S162="","",INDEX($G$102:$G$109,ROW()-159))</f>
        <v>2</v>
      </c>
      <c r="AH162" cm="1">
        <f t="array" ref="AH162">IF($S162="","",INDEX($V$18:$V$25,ROW()-159))</f>
        <v>0</v>
      </c>
      <c r="AI162" cm="1">
        <f t="array" ref="AI162">IF($S162="","",INDEX($W$18:$W$25,ROW()-159))</f>
        <v>0</v>
      </c>
      <c r="AJ162" t="str" cm="1">
        <f t="array" ref="AJ162">IF($S162="","",INDEX($X$18:$X$25,ROW()-159))</f>
        <v>NO CONSTRAINT</v>
      </c>
      <c r="AK162" cm="1">
        <f t="array" ref="AK162">IF($S162="","",SUMPRODUCT((INDEX(permit_calc!$R$3:$Y$144,0,ROW()-159)&gt;0)*1))</f>
        <v>3</v>
      </c>
      <c r="AL162" t="str" cm="1">
        <f t="array" ref="AL162">IF($S162="","",_xlfn.TEXTJOIN(", ",TRUE,IF(INDEX(permit_calc!$R$3:$Y$144,0,ROW()-159)&gt;0,permit_calc!$B$3:$B$144,"")))</f>
        <v>Algeria, Libya, Tunisia</v>
      </c>
      <c r="AM162" t="str" cm="1">
        <f t="array" ref="AM162">IF($S162="","",IFERROR(INDEX(countries!$B:$B,MATCH(INDEX($U$18:$U$25,ROW()-159),countries!$D:$D,0)),INDEX($U$18:$U$25,ROW()-159)))</f>
        <v>Morocco</v>
      </c>
      <c r="AN162" t="str" cm="1">
        <f t="array" ref="AN162">IF($S162="","",IF(INDEX($T$18:$T$25,ROW()-159)=INDEX($U$18:$U$25,ROW()-159),IFERROR(INDEX(countries!$B:$B,MATCH(INDEX($T$18:$T$25,ROW()-159),countries!$D:$D,0)),INDEX($T$18:$T$25,ROW()-159)),IFERROR(INDEX(countries!$B:$B,MATCH(INDEX($T$18:$T$25,ROW()-159),countries!$D:$D,0)),INDEX($T$18:$T$25,ROW()-159))&amp;", "&amp;IFERROR(INDEX(countries!$B:$B,MATCH(INDEX($U$18:$U$25,ROW()-159),countries!$D:$D,0)),INDEX($U$18:$U$25,ROW()-159))))</f>
        <v>Egypt, Morocco</v>
      </c>
      <c r="AO162" t="str">
        <f t="shared" si="41"/>
        <v>PENDING</v>
      </c>
      <c r="AP162" t="str">
        <f t="shared" si="42"/>
        <v>PLANNED</v>
      </c>
      <c r="AQ162" t="str" cm="1">
        <f t="array" ref="AQ162">IF($S162="","",INDEX($N$18:$N$25,ROW()-159))</f>
        <v>CLI-001</v>
      </c>
      <c r="AR162" t="str">
        <f t="shared" si="43"/>
        <v/>
      </c>
    </row>
    <row r="163" spans="1:44" x14ac:dyDescent="0.3">
      <c r="A163" t="str">
        <f t="shared" si="25"/>
        <v>JTL-2608-001</v>
      </c>
      <c r="B163" t="str">
        <f t="shared" si="26"/>
        <v>JTL</v>
      </c>
      <c r="C163" t="str">
        <f>IF($S163="","",IFERROR(INDEX(mayfly!$C:$C,MATCH($B$5,mayfly!$A:$A,0)),"ENQUIRY"))</f>
        <v>ACTIVE</v>
      </c>
      <c r="D163" t="str">
        <f>IF($S163="","",IFERROR(INDEX(mayfly!$D:$D,MATCH($B$5,mayfly!$A:$A,0)),"UNASSIGNED"))</f>
        <v>OPS DESK</v>
      </c>
      <c r="E163" s="6">
        <f t="shared" ca="1" si="27"/>
        <v>46243</v>
      </c>
      <c r="F163" t="str">
        <f t="shared" si="28"/>
        <v>JTL AVIATION INC</v>
      </c>
      <c r="G163" t="str">
        <f t="shared" si="29"/>
        <v>JTL AVIATION, INC</v>
      </c>
      <c r="H163" t="str">
        <f t="shared" si="30"/>
        <v>ops@jetelio.com</v>
      </c>
      <c r="I163" t="str">
        <f t="shared" si="31"/>
        <v>12065 PARK VIEW LANE, HOUSTON TX, USA</v>
      </c>
      <c r="J163" t="str">
        <f>IF($S163="","",IFERROR(INDEX(Aircraft!$N:$N,MATCH($B$7,Aircraft!$B:$B,0)),""))</f>
        <v>OPV-21</v>
      </c>
      <c r="K163" t="str">
        <f t="shared" si="32"/>
        <v>OPERATOR NAME NOT SET ON Operators SHEET</v>
      </c>
      <c r="L163" t="str">
        <f t="shared" si="33"/>
        <v>CLI-001</v>
      </c>
      <c r="M163" t="str">
        <f t="shared" si="34"/>
        <v>GLF6</v>
      </c>
      <c r="N163" t="str">
        <f t="shared" si="35"/>
        <v>N450GA</v>
      </c>
      <c r="O163">
        <f t="shared" si="36"/>
        <v>4</v>
      </c>
      <c r="P163" t="str">
        <f t="shared" si="37"/>
        <v>FEASIBLE</v>
      </c>
      <c r="Q163" s="6">
        <f t="shared" ca="1" si="38"/>
        <v>46243</v>
      </c>
      <c r="R163" t="str">
        <f t="shared" si="39"/>
        <v/>
      </c>
      <c r="S163" cm="1">
        <f t="array" ref="S163">IF(INDEX($B$18:$B$25,ROW()-159)="","",ROW()-159)</f>
        <v>4</v>
      </c>
      <c r="T163" t="str">
        <f t="shared" si="40"/>
        <v>JTL-2608-001-L4</v>
      </c>
      <c r="U163" t="str" cm="1">
        <f t="array" ref="U163">IF($S163="","",INDEX($B$18:$B$25,ROW()-159))</f>
        <v>GMAD</v>
      </c>
      <c r="V163" t="str" cm="1">
        <f t="array" ref="V163">IF($S163="","",INDEX($C$18:$C$25,ROW()-159))</f>
        <v>Al Massira Airport</v>
      </c>
      <c r="W163" t="str" cm="1">
        <f t="array" ref="W163">IF($S163="","",INDEX($D$18:$D$25,ROW()-159))</f>
        <v>Morocco</v>
      </c>
      <c r="X163" s="41" cm="1">
        <f t="array" ref="X163">IF($S163="","",INDEX($E$18:$E$25,ROW()-159)+INDEX($F$18:$F$25,ROW()-159))</f>
        <v>46253.041666666664</v>
      </c>
      <c r="Y163" t="str" cm="1">
        <f t="array" ref="Y163">IF($S163="","",INDEX($G$18:$G$25,ROW()-159))</f>
        <v>FAOR</v>
      </c>
      <c r="Z163" t="str" cm="1">
        <f t="array" ref="Z163">IF($S163="","",INDEX($H$18:$H$25,ROW()-159))</f>
        <v>O.R. Tambo International Airport</v>
      </c>
      <c r="AA163" t="str" cm="1">
        <f t="array" ref="AA163">IF($S163="","",INDEX($I$18:$I$25,ROW()-159))</f>
        <v>South Africa</v>
      </c>
      <c r="AB163" s="41" cm="1">
        <f t="array" ref="AB163">IF($S163="","",INDEX($L$18:$L$25,ROW()-159)+INDEX($M$18:$M$25,ROW()-159))</f>
        <v>46253.415000000001</v>
      </c>
      <c r="AC163" cm="1">
        <f t="array" ref="AC163">IF($S163="","",INDEX($J$18:$J$25,ROW()-159))</f>
        <v>4022</v>
      </c>
      <c r="AD163" cm="1">
        <f t="array" ref="AD163">IF($S163="","",INDEX($K$18:$K$25,ROW()-159))</f>
        <v>8.9600000000000009</v>
      </c>
      <c r="AE163" cm="1">
        <f t="array" ref="AE163">IF($S163="","",INDEX($F$102:$F$109,ROW()-159))</f>
        <v>0</v>
      </c>
      <c r="AF163" cm="1">
        <f t="array" ref="AF163">IF($S163="","",INDEX($E$102:$E$109,ROW()-159))</f>
        <v>2</v>
      </c>
      <c r="AG163" cm="1">
        <f t="array" ref="AG163">IF($S163="","",INDEX($G$102:$G$109,ROW()-159))</f>
        <v>2</v>
      </c>
      <c r="AH163" cm="1">
        <f t="array" ref="AH163">IF($S163="","",INDEX($V$18:$V$25,ROW()-159))</f>
        <v>0</v>
      </c>
      <c r="AI163" cm="1">
        <f t="array" ref="AI163">IF($S163="","",INDEX($W$18:$W$25,ROW()-159))</f>
        <v>0</v>
      </c>
      <c r="AJ163" t="str" cm="1">
        <f t="array" ref="AJ163">IF($S163="","",INDEX($X$18:$X$25,ROW()-159))</f>
        <v>NO CONSTRAINT</v>
      </c>
      <c r="AK163" cm="1">
        <f t="array" ref="AK163">IF($S163="","",SUMPRODUCT((INDEX(permit_calc!$R$3:$Y$144,0,ROW()-159)&gt;0)*1))</f>
        <v>12</v>
      </c>
      <c r="AL163" t="str" cm="1">
        <f t="array" ref="AL163">IF($S163="","",_xlfn.TEXTJOIN(", ",TRUE,IF(INDEX(permit_calc!$R$3:$Y$144,0,ROW()-159)&gt;0,permit_calc!$B$3:$B$144,"")))</f>
        <v>Algeria, Angola, Botswana, Cameroon, Democratic Republic of the Congo, Equatorial Guinea, Gabon, Mali, Namibia, Niger, Nigeria, Republic of the Congo</v>
      </c>
      <c r="AM163" t="str" cm="1">
        <f t="array" ref="AM163">IF($S163="","",IFERROR(INDEX(countries!$B:$B,MATCH(INDEX($U$18:$U$25,ROW()-159),countries!$D:$D,0)),INDEX($U$18:$U$25,ROW()-159)))</f>
        <v>South Africa</v>
      </c>
      <c r="AN163" t="str" cm="1">
        <f t="array" ref="AN163">IF($S163="","",IF(INDEX($T$18:$T$25,ROW()-159)=INDEX($U$18:$U$25,ROW()-159),IFERROR(INDEX(countries!$B:$B,MATCH(INDEX($T$18:$T$25,ROW()-159),countries!$D:$D,0)),INDEX($T$18:$T$25,ROW()-159)),IFERROR(INDEX(countries!$B:$B,MATCH(INDEX($T$18:$T$25,ROW()-159),countries!$D:$D,0)),INDEX($T$18:$T$25,ROW()-159))&amp;", "&amp;IFERROR(INDEX(countries!$B:$B,MATCH(INDEX($U$18:$U$25,ROW()-159),countries!$D:$D,0)),INDEX($U$18:$U$25,ROW()-159))))</f>
        <v>Morocco, South Africa</v>
      </c>
      <c r="AO163" t="str">
        <f t="shared" si="41"/>
        <v>PENDING</v>
      </c>
      <c r="AP163" t="str">
        <f t="shared" si="42"/>
        <v>PLANNED</v>
      </c>
      <c r="AQ163" t="str" cm="1">
        <f t="array" ref="AQ163">IF($S163="","",INDEX($N$18:$N$25,ROW()-159))</f>
        <v>CLI-002</v>
      </c>
      <c r="AR163" t="str">
        <f t="shared" si="43"/>
        <v/>
      </c>
    </row>
    <row r="164" spans="1:44" x14ac:dyDescent="0.3">
      <c r="A164" t="str">
        <f t="shared" si="25"/>
        <v/>
      </c>
      <c r="B164" t="str">
        <f t="shared" si="26"/>
        <v/>
      </c>
      <c r="C164" t="str">
        <f>IF($S164="","",IFERROR(INDEX(mayfly!$C:$C,MATCH($B$5,mayfly!$A:$A,0)),"ENQUIRY"))</f>
        <v/>
      </c>
      <c r="D164" t="str">
        <f>IF($S164="","",IFERROR(INDEX(mayfly!$D:$D,MATCH($B$5,mayfly!$A:$A,0)),"UNASSIGNED"))</f>
        <v/>
      </c>
      <c r="E164" s="6" t="str">
        <f t="shared" ca="1" si="27"/>
        <v/>
      </c>
      <c r="F164" t="str">
        <f t="shared" si="28"/>
        <v/>
      </c>
      <c r="G164" t="str">
        <f t="shared" si="29"/>
        <v/>
      </c>
      <c r="H164" t="str">
        <f t="shared" si="30"/>
        <v/>
      </c>
      <c r="I164" t="str">
        <f t="shared" si="31"/>
        <v/>
      </c>
      <c r="J164" t="str">
        <f>IF($S164="","",IFERROR(INDEX(Aircraft!$N:$N,MATCH($B$7,Aircraft!$B:$B,0)),""))</f>
        <v/>
      </c>
      <c r="K164" t="str">
        <f t="shared" si="32"/>
        <v/>
      </c>
      <c r="L164" t="str">
        <f t="shared" si="33"/>
        <v/>
      </c>
      <c r="M164" t="str">
        <f t="shared" si="34"/>
        <v/>
      </c>
      <c r="N164" t="str">
        <f t="shared" si="35"/>
        <v/>
      </c>
      <c r="O164" t="str">
        <f t="shared" si="36"/>
        <v/>
      </c>
      <c r="P164" t="str">
        <f t="shared" si="37"/>
        <v/>
      </c>
      <c r="Q164" s="6" t="str">
        <f t="shared" ca="1" si="38"/>
        <v/>
      </c>
      <c r="R164" t="str">
        <f t="shared" si="39"/>
        <v/>
      </c>
      <c r="S164" t="str" cm="1">
        <f t="array" ref="S164">IF(INDEX($B$18:$B$25,ROW()-159)="","",ROW()-159)</f>
        <v/>
      </c>
      <c r="T164" t="str">
        <f t="shared" si="40"/>
        <v/>
      </c>
      <c r="U164" t="str" cm="1">
        <f t="array" ref="U164">IF($S164="","",INDEX($B$18:$B$25,ROW()-159))</f>
        <v/>
      </c>
      <c r="V164" t="str" cm="1">
        <f t="array" ref="V164">IF($S164="","",INDEX($C$18:$C$25,ROW()-159))</f>
        <v/>
      </c>
      <c r="W164" t="str" cm="1">
        <f t="array" ref="W164">IF($S164="","",INDEX($D$18:$D$25,ROW()-159))</f>
        <v/>
      </c>
      <c r="X164" s="41" t="str" cm="1">
        <f t="array" ref="X164">IF($S164="","",INDEX($E$18:$E$25,ROW()-159)+INDEX($F$18:$F$25,ROW()-159))</f>
        <v/>
      </c>
      <c r="Y164" t="str" cm="1">
        <f t="array" ref="Y164">IF($S164="","",INDEX($G$18:$G$25,ROW()-159))</f>
        <v/>
      </c>
      <c r="Z164" t="str" cm="1">
        <f t="array" ref="Z164">IF($S164="","",INDEX($H$18:$H$25,ROW()-159))</f>
        <v/>
      </c>
      <c r="AA164" t="str" cm="1">
        <f t="array" ref="AA164">IF($S164="","",INDEX($I$18:$I$25,ROW()-159))</f>
        <v/>
      </c>
      <c r="AB164" s="41" t="str" cm="1">
        <f t="array" ref="AB164">IF($S164="","",INDEX($L$18:$L$25,ROW()-159)+INDEX($M$18:$M$25,ROW()-159))</f>
        <v/>
      </c>
      <c r="AC164" t="str" cm="1">
        <f t="array" ref="AC164">IF($S164="","",INDEX($J$18:$J$25,ROW()-159))</f>
        <v/>
      </c>
      <c r="AD164" t="str" cm="1">
        <f t="array" ref="AD164">IF($S164="","",INDEX($K$18:$K$25,ROW()-159))</f>
        <v/>
      </c>
      <c r="AE164" t="str" cm="1">
        <f t="array" ref="AE164">IF($S164="","",INDEX($F$102:$F$109,ROW()-159))</f>
        <v/>
      </c>
      <c r="AF164" t="str" cm="1">
        <f t="array" ref="AF164">IF($S164="","",INDEX($E$102:$E$109,ROW()-159))</f>
        <v/>
      </c>
      <c r="AG164" t="str" cm="1">
        <f t="array" ref="AG164">IF($S164="","",INDEX($G$102:$G$109,ROW()-159))</f>
        <v/>
      </c>
      <c r="AH164" t="str" cm="1">
        <f t="array" ref="AH164">IF($S164="","",INDEX($V$18:$V$25,ROW()-159))</f>
        <v/>
      </c>
      <c r="AI164" t="str" cm="1">
        <f t="array" ref="AI164">IF($S164="","",INDEX($W$18:$W$25,ROW()-159))</f>
        <v/>
      </c>
      <c r="AJ164" t="str" cm="1">
        <f t="array" ref="AJ164">IF($S164="","",INDEX($X$18:$X$25,ROW()-159))</f>
        <v/>
      </c>
      <c r="AK164" t="str" cm="1">
        <f t="array" ref="AK164">IF($S164="","",SUMPRODUCT((INDEX(permit_calc!$R$3:$Y$144,0,ROW()-159)&gt;0)*1))</f>
        <v/>
      </c>
      <c r="AL164" t="str" cm="1">
        <f t="array" ref="AL164">IF($S164="","",_xlfn.TEXTJOIN(", ",TRUE,IF(INDEX(permit_calc!$R$3:$Y$144,0,ROW()-159)&gt;0,permit_calc!$B$3:$B$144,"")))</f>
        <v/>
      </c>
      <c r="AM164" t="str" cm="1">
        <f t="array" ref="AM164">IF($S164="","",IFERROR(INDEX(countries!$B:$B,MATCH(INDEX($U$18:$U$25,ROW()-159),countries!$D:$D,0)),INDEX($U$18:$U$25,ROW()-159)))</f>
        <v/>
      </c>
      <c r="AN164" t="str" cm="1">
        <f t="array" ref="AN164">IF($S164="","",IF(INDEX($T$18:$T$25,ROW()-159)=INDEX($U$18:$U$25,ROW()-159),IFERROR(INDEX(countries!$B:$B,MATCH(INDEX($T$18:$T$25,ROW()-159),countries!$D:$D,0)),INDEX($T$18:$T$25,ROW()-159)),IFERROR(INDEX(countries!$B:$B,MATCH(INDEX($T$18:$T$25,ROW()-159),countries!$D:$D,0)),INDEX($T$18:$T$25,ROW()-159))&amp;", "&amp;IFERROR(INDEX(countries!$B:$B,MATCH(INDEX($U$18:$U$25,ROW()-159),countries!$D:$D,0)),INDEX($U$18:$U$25,ROW()-159))))</f>
        <v/>
      </c>
      <c r="AO164" t="str">
        <f t="shared" si="41"/>
        <v/>
      </c>
      <c r="AP164" t="str">
        <f t="shared" si="42"/>
        <v/>
      </c>
      <c r="AQ164" t="str" cm="1">
        <f t="array" ref="AQ164">IF($S164="","",INDEX($N$18:$N$25,ROW()-159))</f>
        <v/>
      </c>
      <c r="AR164" t="str">
        <f t="shared" si="43"/>
        <v/>
      </c>
    </row>
    <row r="165" spans="1:44" x14ac:dyDescent="0.3">
      <c r="A165" t="str">
        <f t="shared" si="25"/>
        <v/>
      </c>
      <c r="B165" t="str">
        <f t="shared" si="26"/>
        <v/>
      </c>
      <c r="C165" t="str">
        <f>IF($S165="","",IFERROR(INDEX(mayfly!$C:$C,MATCH($B$5,mayfly!$A:$A,0)),"ENQUIRY"))</f>
        <v/>
      </c>
      <c r="D165" t="str">
        <f>IF($S165="","",IFERROR(INDEX(mayfly!$D:$D,MATCH($B$5,mayfly!$A:$A,0)),"UNASSIGNED"))</f>
        <v/>
      </c>
      <c r="E165" s="6" t="str">
        <f t="shared" ca="1" si="27"/>
        <v/>
      </c>
      <c r="F165" t="str">
        <f t="shared" si="28"/>
        <v/>
      </c>
      <c r="G165" t="str">
        <f t="shared" si="29"/>
        <v/>
      </c>
      <c r="H165" t="str">
        <f t="shared" si="30"/>
        <v/>
      </c>
      <c r="I165" t="str">
        <f t="shared" si="31"/>
        <v/>
      </c>
      <c r="J165" t="str">
        <f>IF($S165="","",IFERROR(INDEX(Aircraft!$N:$N,MATCH($B$7,Aircraft!$B:$B,0)),""))</f>
        <v/>
      </c>
      <c r="K165" t="str">
        <f t="shared" si="32"/>
        <v/>
      </c>
      <c r="L165" t="str">
        <f t="shared" si="33"/>
        <v/>
      </c>
      <c r="M165" t="str">
        <f t="shared" si="34"/>
        <v/>
      </c>
      <c r="N165" t="str">
        <f t="shared" si="35"/>
        <v/>
      </c>
      <c r="O165" t="str">
        <f t="shared" si="36"/>
        <v/>
      </c>
      <c r="P165" t="str">
        <f t="shared" si="37"/>
        <v/>
      </c>
      <c r="Q165" s="6" t="str">
        <f t="shared" ca="1" si="38"/>
        <v/>
      </c>
      <c r="R165" t="str">
        <f t="shared" si="39"/>
        <v/>
      </c>
      <c r="S165" t="str" cm="1">
        <f t="array" ref="S165">IF(INDEX($B$18:$B$25,ROW()-159)="","",ROW()-159)</f>
        <v/>
      </c>
      <c r="T165" t="str">
        <f t="shared" si="40"/>
        <v/>
      </c>
      <c r="U165" t="str" cm="1">
        <f t="array" ref="U165">IF($S165="","",INDEX($B$18:$B$25,ROW()-159))</f>
        <v/>
      </c>
      <c r="V165" t="str" cm="1">
        <f t="array" ref="V165">IF($S165="","",INDEX($C$18:$C$25,ROW()-159))</f>
        <v/>
      </c>
      <c r="W165" t="str" cm="1">
        <f t="array" ref="W165">IF($S165="","",INDEX($D$18:$D$25,ROW()-159))</f>
        <v/>
      </c>
      <c r="X165" s="41" t="str" cm="1">
        <f t="array" ref="X165">IF($S165="","",INDEX($E$18:$E$25,ROW()-159)+INDEX($F$18:$F$25,ROW()-159))</f>
        <v/>
      </c>
      <c r="Y165" t="str" cm="1">
        <f t="array" ref="Y165">IF($S165="","",INDEX($G$18:$G$25,ROW()-159))</f>
        <v/>
      </c>
      <c r="Z165" t="str" cm="1">
        <f t="array" ref="Z165">IF($S165="","",INDEX($H$18:$H$25,ROW()-159))</f>
        <v/>
      </c>
      <c r="AA165" t="str" cm="1">
        <f t="array" ref="AA165">IF($S165="","",INDEX($I$18:$I$25,ROW()-159))</f>
        <v/>
      </c>
      <c r="AB165" s="41" t="str" cm="1">
        <f t="array" ref="AB165">IF($S165="","",INDEX($L$18:$L$25,ROW()-159)+INDEX($M$18:$M$25,ROW()-159))</f>
        <v/>
      </c>
      <c r="AC165" t="str" cm="1">
        <f t="array" ref="AC165">IF($S165="","",INDEX($J$18:$J$25,ROW()-159))</f>
        <v/>
      </c>
      <c r="AD165" t="str" cm="1">
        <f t="array" ref="AD165">IF($S165="","",INDEX($K$18:$K$25,ROW()-159))</f>
        <v/>
      </c>
      <c r="AE165" t="str" cm="1">
        <f t="array" ref="AE165">IF($S165="","",INDEX($F$102:$F$109,ROW()-159))</f>
        <v/>
      </c>
      <c r="AF165" t="str" cm="1">
        <f t="array" ref="AF165">IF($S165="","",INDEX($E$102:$E$109,ROW()-159))</f>
        <v/>
      </c>
      <c r="AG165" t="str" cm="1">
        <f t="array" ref="AG165">IF($S165="","",INDEX($G$102:$G$109,ROW()-159))</f>
        <v/>
      </c>
      <c r="AH165" t="str" cm="1">
        <f t="array" ref="AH165">IF($S165="","",INDEX($V$18:$V$25,ROW()-159))</f>
        <v/>
      </c>
      <c r="AI165" t="str" cm="1">
        <f t="array" ref="AI165">IF($S165="","",INDEX($W$18:$W$25,ROW()-159))</f>
        <v/>
      </c>
      <c r="AJ165" t="str" cm="1">
        <f t="array" ref="AJ165">IF($S165="","",INDEX($X$18:$X$25,ROW()-159))</f>
        <v/>
      </c>
      <c r="AK165" t="str" cm="1">
        <f t="array" ref="AK165">IF($S165="","",SUMPRODUCT((INDEX(permit_calc!$R$3:$Y$144,0,ROW()-159)&gt;0)*1))</f>
        <v/>
      </c>
      <c r="AL165" t="str" cm="1">
        <f t="array" ref="AL165">IF($S165="","",_xlfn.TEXTJOIN(", ",TRUE,IF(INDEX(permit_calc!$R$3:$Y$144,0,ROW()-159)&gt;0,permit_calc!$B$3:$B$144,"")))</f>
        <v/>
      </c>
      <c r="AM165" t="str" cm="1">
        <f t="array" ref="AM165">IF($S165="","",IFERROR(INDEX(countries!$B:$B,MATCH(INDEX($U$18:$U$25,ROW()-159),countries!$D:$D,0)),INDEX($U$18:$U$25,ROW()-159)))</f>
        <v/>
      </c>
      <c r="AN165" t="str" cm="1">
        <f t="array" ref="AN165">IF($S165="","",IF(INDEX($T$18:$T$25,ROW()-159)=INDEX($U$18:$U$25,ROW()-159),IFERROR(INDEX(countries!$B:$B,MATCH(INDEX($T$18:$T$25,ROW()-159),countries!$D:$D,0)),INDEX($T$18:$T$25,ROW()-159)),IFERROR(INDEX(countries!$B:$B,MATCH(INDEX($T$18:$T$25,ROW()-159),countries!$D:$D,0)),INDEX($T$18:$T$25,ROW()-159))&amp;", "&amp;IFERROR(INDEX(countries!$B:$B,MATCH(INDEX($U$18:$U$25,ROW()-159),countries!$D:$D,0)),INDEX($U$18:$U$25,ROW()-159))))</f>
        <v/>
      </c>
      <c r="AO165" t="str">
        <f t="shared" si="41"/>
        <v/>
      </c>
      <c r="AP165" t="str">
        <f t="shared" si="42"/>
        <v/>
      </c>
      <c r="AQ165" t="str" cm="1">
        <f t="array" ref="AQ165">IF($S165="","",INDEX($N$18:$N$25,ROW()-159))</f>
        <v/>
      </c>
      <c r="AR165" t="str">
        <f t="shared" si="43"/>
        <v/>
      </c>
    </row>
    <row r="166" spans="1:44" x14ac:dyDescent="0.3">
      <c r="A166" t="str">
        <f t="shared" si="25"/>
        <v/>
      </c>
      <c r="B166" t="str">
        <f t="shared" si="26"/>
        <v/>
      </c>
      <c r="C166" t="str">
        <f>IF($S166="","",IFERROR(INDEX(mayfly!$C:$C,MATCH($B$5,mayfly!$A:$A,0)),"ENQUIRY"))</f>
        <v/>
      </c>
      <c r="D166" t="str">
        <f>IF($S166="","",IFERROR(INDEX(mayfly!$D:$D,MATCH($B$5,mayfly!$A:$A,0)),"UNASSIGNED"))</f>
        <v/>
      </c>
      <c r="E166" s="6" t="str">
        <f t="shared" ca="1" si="27"/>
        <v/>
      </c>
      <c r="F166" t="str">
        <f t="shared" si="28"/>
        <v/>
      </c>
      <c r="G166" t="str">
        <f t="shared" si="29"/>
        <v/>
      </c>
      <c r="H166" t="str">
        <f t="shared" si="30"/>
        <v/>
      </c>
      <c r="I166" t="str">
        <f t="shared" si="31"/>
        <v/>
      </c>
      <c r="J166" t="str">
        <f>IF($S166="","",IFERROR(INDEX(Aircraft!$N:$N,MATCH($B$7,Aircraft!$B:$B,0)),""))</f>
        <v/>
      </c>
      <c r="K166" t="str">
        <f t="shared" si="32"/>
        <v/>
      </c>
      <c r="L166" t="str">
        <f t="shared" si="33"/>
        <v/>
      </c>
      <c r="M166" t="str">
        <f t="shared" si="34"/>
        <v/>
      </c>
      <c r="N166" t="str">
        <f t="shared" si="35"/>
        <v/>
      </c>
      <c r="O166" t="str">
        <f t="shared" si="36"/>
        <v/>
      </c>
      <c r="P166" t="str">
        <f t="shared" si="37"/>
        <v/>
      </c>
      <c r="Q166" s="6" t="str">
        <f t="shared" ca="1" si="38"/>
        <v/>
      </c>
      <c r="R166" t="str">
        <f t="shared" si="39"/>
        <v/>
      </c>
      <c r="S166" t="str" cm="1">
        <f t="array" ref="S166">IF(INDEX($B$18:$B$25,ROW()-159)="","",ROW()-159)</f>
        <v/>
      </c>
      <c r="T166" t="str">
        <f t="shared" si="40"/>
        <v/>
      </c>
      <c r="U166" t="str" cm="1">
        <f t="array" ref="U166">IF($S166="","",INDEX($B$18:$B$25,ROW()-159))</f>
        <v/>
      </c>
      <c r="V166" t="str" cm="1">
        <f t="array" ref="V166">IF($S166="","",INDEX($C$18:$C$25,ROW()-159))</f>
        <v/>
      </c>
      <c r="W166" t="str" cm="1">
        <f t="array" ref="W166">IF($S166="","",INDEX($D$18:$D$25,ROW()-159))</f>
        <v/>
      </c>
      <c r="X166" s="41" t="str" cm="1">
        <f t="array" ref="X166">IF($S166="","",INDEX($E$18:$E$25,ROW()-159)+INDEX($F$18:$F$25,ROW()-159))</f>
        <v/>
      </c>
      <c r="Y166" t="str" cm="1">
        <f t="array" ref="Y166">IF($S166="","",INDEX($G$18:$G$25,ROW()-159))</f>
        <v/>
      </c>
      <c r="Z166" t="str" cm="1">
        <f t="array" ref="Z166">IF($S166="","",INDEX($H$18:$H$25,ROW()-159))</f>
        <v/>
      </c>
      <c r="AA166" t="str" cm="1">
        <f t="array" ref="AA166">IF($S166="","",INDEX($I$18:$I$25,ROW()-159))</f>
        <v/>
      </c>
      <c r="AB166" s="41" t="str" cm="1">
        <f t="array" ref="AB166">IF($S166="","",INDEX($L$18:$L$25,ROW()-159)+INDEX($M$18:$M$25,ROW()-159))</f>
        <v/>
      </c>
      <c r="AC166" t="str" cm="1">
        <f t="array" ref="AC166">IF($S166="","",INDEX($J$18:$J$25,ROW()-159))</f>
        <v/>
      </c>
      <c r="AD166" t="str" cm="1">
        <f t="array" ref="AD166">IF($S166="","",INDEX($K$18:$K$25,ROW()-159))</f>
        <v/>
      </c>
      <c r="AE166" t="str" cm="1">
        <f t="array" ref="AE166">IF($S166="","",INDEX($F$102:$F$109,ROW()-159))</f>
        <v/>
      </c>
      <c r="AF166" t="str" cm="1">
        <f t="array" ref="AF166">IF($S166="","",INDEX($E$102:$E$109,ROW()-159))</f>
        <v/>
      </c>
      <c r="AG166" t="str" cm="1">
        <f t="array" ref="AG166">IF($S166="","",INDEX($G$102:$G$109,ROW()-159))</f>
        <v/>
      </c>
      <c r="AH166" t="str" cm="1">
        <f t="array" ref="AH166">IF($S166="","",INDEX($V$18:$V$25,ROW()-159))</f>
        <v/>
      </c>
      <c r="AI166" t="str" cm="1">
        <f t="array" ref="AI166">IF($S166="","",INDEX($W$18:$W$25,ROW()-159))</f>
        <v/>
      </c>
      <c r="AJ166" t="str" cm="1">
        <f t="array" ref="AJ166">IF($S166="","",INDEX($X$18:$X$25,ROW()-159))</f>
        <v/>
      </c>
      <c r="AK166" t="str" cm="1">
        <f t="array" ref="AK166">IF($S166="","",SUMPRODUCT((INDEX(permit_calc!$R$3:$Y$144,0,ROW()-159)&gt;0)*1))</f>
        <v/>
      </c>
      <c r="AL166" t="str" cm="1">
        <f t="array" ref="AL166">IF($S166="","",_xlfn.TEXTJOIN(", ",TRUE,IF(INDEX(permit_calc!$R$3:$Y$144,0,ROW()-159)&gt;0,permit_calc!$B$3:$B$144,"")))</f>
        <v/>
      </c>
      <c r="AM166" t="str" cm="1">
        <f t="array" ref="AM166">IF($S166="","",IFERROR(INDEX(countries!$B:$B,MATCH(INDEX($U$18:$U$25,ROW()-159),countries!$D:$D,0)),INDEX($U$18:$U$25,ROW()-159)))</f>
        <v/>
      </c>
      <c r="AN166" t="str" cm="1">
        <f t="array" ref="AN166">IF($S166="","",IF(INDEX($T$18:$T$25,ROW()-159)=INDEX($U$18:$U$25,ROW()-159),IFERROR(INDEX(countries!$B:$B,MATCH(INDEX($T$18:$T$25,ROW()-159),countries!$D:$D,0)),INDEX($T$18:$T$25,ROW()-159)),IFERROR(INDEX(countries!$B:$B,MATCH(INDEX($T$18:$T$25,ROW()-159),countries!$D:$D,0)),INDEX($T$18:$T$25,ROW()-159))&amp;", "&amp;IFERROR(INDEX(countries!$B:$B,MATCH(INDEX($U$18:$U$25,ROW()-159),countries!$D:$D,0)),INDEX($U$18:$U$25,ROW()-159))))</f>
        <v/>
      </c>
      <c r="AO166" t="str">
        <f t="shared" si="41"/>
        <v/>
      </c>
      <c r="AP166" t="str">
        <f t="shared" si="42"/>
        <v/>
      </c>
      <c r="AQ166" t="str" cm="1">
        <f t="array" ref="AQ166">IF($S166="","",INDEX($N$18:$N$25,ROW()-159))</f>
        <v/>
      </c>
      <c r="AR166" t="str">
        <f t="shared" si="43"/>
        <v/>
      </c>
    </row>
    <row r="167" spans="1:44" x14ac:dyDescent="0.3">
      <c r="A167" t="str">
        <f t="shared" si="25"/>
        <v/>
      </c>
      <c r="B167" t="str">
        <f t="shared" si="26"/>
        <v/>
      </c>
      <c r="C167" t="str">
        <f>IF($S167="","",IFERROR(INDEX(mayfly!$C:$C,MATCH($B$5,mayfly!$A:$A,0)),"ENQUIRY"))</f>
        <v/>
      </c>
      <c r="D167" t="str">
        <f>IF($S167="","",IFERROR(INDEX(mayfly!$D:$D,MATCH($B$5,mayfly!$A:$A,0)),"UNASSIGNED"))</f>
        <v/>
      </c>
      <c r="E167" s="6" t="str">
        <f t="shared" ca="1" si="27"/>
        <v/>
      </c>
      <c r="F167" t="str">
        <f t="shared" si="28"/>
        <v/>
      </c>
      <c r="G167" t="str">
        <f t="shared" si="29"/>
        <v/>
      </c>
      <c r="H167" t="str">
        <f t="shared" si="30"/>
        <v/>
      </c>
      <c r="I167" t="str">
        <f t="shared" si="31"/>
        <v/>
      </c>
      <c r="J167" t="str">
        <f>IF($S167="","",IFERROR(INDEX(Aircraft!$N:$N,MATCH($B$7,Aircraft!$B:$B,0)),""))</f>
        <v/>
      </c>
      <c r="K167" t="str">
        <f t="shared" si="32"/>
        <v/>
      </c>
      <c r="L167" t="str">
        <f t="shared" si="33"/>
        <v/>
      </c>
      <c r="M167" t="str">
        <f t="shared" si="34"/>
        <v/>
      </c>
      <c r="N167" t="str">
        <f t="shared" si="35"/>
        <v/>
      </c>
      <c r="O167" t="str">
        <f t="shared" si="36"/>
        <v/>
      </c>
      <c r="P167" t="str">
        <f t="shared" si="37"/>
        <v/>
      </c>
      <c r="Q167" s="6" t="str">
        <f t="shared" ca="1" si="38"/>
        <v/>
      </c>
      <c r="R167" t="str">
        <f t="shared" si="39"/>
        <v/>
      </c>
      <c r="S167" t="str" cm="1">
        <f t="array" ref="S167">IF(INDEX($B$18:$B$25,ROW()-159)="","",ROW()-159)</f>
        <v/>
      </c>
      <c r="T167" t="str">
        <f t="shared" si="40"/>
        <v/>
      </c>
      <c r="U167" t="str" cm="1">
        <f t="array" ref="U167">IF($S167="","",INDEX($B$18:$B$25,ROW()-159))</f>
        <v/>
      </c>
      <c r="V167" t="str" cm="1">
        <f t="array" ref="V167">IF($S167="","",INDEX($C$18:$C$25,ROW()-159))</f>
        <v/>
      </c>
      <c r="W167" t="str" cm="1">
        <f t="array" ref="W167">IF($S167="","",INDEX($D$18:$D$25,ROW()-159))</f>
        <v/>
      </c>
      <c r="X167" s="41" t="str" cm="1">
        <f t="array" ref="X167">IF($S167="","",INDEX($E$18:$E$25,ROW()-159)+INDEX($F$18:$F$25,ROW()-159))</f>
        <v/>
      </c>
      <c r="Y167" t="str" cm="1">
        <f t="array" ref="Y167">IF($S167="","",INDEX($G$18:$G$25,ROW()-159))</f>
        <v/>
      </c>
      <c r="Z167" t="str" cm="1">
        <f t="array" ref="Z167">IF($S167="","",INDEX($H$18:$H$25,ROW()-159))</f>
        <v/>
      </c>
      <c r="AA167" t="str" cm="1">
        <f t="array" ref="AA167">IF($S167="","",INDEX($I$18:$I$25,ROW()-159))</f>
        <v/>
      </c>
      <c r="AB167" s="41" t="str" cm="1">
        <f t="array" ref="AB167">IF($S167="","",INDEX($L$18:$L$25,ROW()-159)+INDEX($M$18:$M$25,ROW()-159))</f>
        <v/>
      </c>
      <c r="AC167" t="str" cm="1">
        <f t="array" ref="AC167">IF($S167="","",INDEX($J$18:$J$25,ROW()-159))</f>
        <v/>
      </c>
      <c r="AD167" t="str" cm="1">
        <f t="array" ref="AD167">IF($S167="","",INDEX($K$18:$K$25,ROW()-159))</f>
        <v/>
      </c>
      <c r="AE167" t="str" cm="1">
        <f t="array" ref="AE167">IF($S167="","",INDEX($F$102:$F$109,ROW()-159))</f>
        <v/>
      </c>
      <c r="AF167" t="str" cm="1">
        <f t="array" ref="AF167">IF($S167="","",INDEX($E$102:$E$109,ROW()-159))</f>
        <v/>
      </c>
      <c r="AG167" t="str" cm="1">
        <f t="array" ref="AG167">IF($S167="","",INDEX($G$102:$G$109,ROW()-159))</f>
        <v/>
      </c>
      <c r="AH167" t="str" cm="1">
        <f t="array" ref="AH167">IF($S167="","",INDEX($V$18:$V$25,ROW()-159))</f>
        <v/>
      </c>
      <c r="AI167" t="str" cm="1">
        <f t="array" ref="AI167">IF($S167="","",INDEX($W$18:$W$25,ROW()-159))</f>
        <v/>
      </c>
      <c r="AJ167" t="str" cm="1">
        <f t="array" ref="AJ167">IF($S167="","",INDEX($X$18:$X$25,ROW()-159))</f>
        <v/>
      </c>
      <c r="AK167" t="str" cm="1">
        <f t="array" ref="AK167">IF($S167="","",SUMPRODUCT((INDEX(permit_calc!$R$3:$Y$144,0,ROW()-159)&gt;0)*1))</f>
        <v/>
      </c>
      <c r="AL167" t="str" cm="1">
        <f t="array" ref="AL167">IF($S167="","",_xlfn.TEXTJOIN(", ",TRUE,IF(INDEX(permit_calc!$R$3:$Y$144,0,ROW()-159)&gt;0,permit_calc!$B$3:$B$144,"")))</f>
        <v/>
      </c>
      <c r="AM167" t="str" cm="1">
        <f t="array" ref="AM167">IF($S167="","",IFERROR(INDEX(countries!$B:$B,MATCH(INDEX($U$18:$U$25,ROW()-159),countries!$D:$D,0)),INDEX($U$18:$U$25,ROW()-159)))</f>
        <v/>
      </c>
      <c r="AN167" t="str" cm="1">
        <f t="array" ref="AN167">IF($S167="","",IF(INDEX($T$18:$T$25,ROW()-159)=INDEX($U$18:$U$25,ROW()-159),IFERROR(INDEX(countries!$B:$B,MATCH(INDEX($T$18:$T$25,ROW()-159),countries!$D:$D,0)),INDEX($T$18:$T$25,ROW()-159)),IFERROR(INDEX(countries!$B:$B,MATCH(INDEX($T$18:$T$25,ROW()-159),countries!$D:$D,0)),INDEX($T$18:$T$25,ROW()-159))&amp;", "&amp;IFERROR(INDEX(countries!$B:$B,MATCH(INDEX($U$18:$U$25,ROW()-159),countries!$D:$D,0)),INDEX($U$18:$U$25,ROW()-159))))</f>
        <v/>
      </c>
      <c r="AO167" t="str">
        <f t="shared" si="41"/>
        <v/>
      </c>
      <c r="AP167" t="str">
        <f t="shared" si="42"/>
        <v/>
      </c>
      <c r="AQ167" t="str" cm="1">
        <f t="array" ref="AQ167">IF($S167="","",INDEX($N$18:$N$25,ROW()-159))</f>
        <v/>
      </c>
      <c r="AR167" t="str">
        <f t="shared" si="43"/>
        <v/>
      </c>
    </row>
  </sheetData>
  <conditionalFormatting sqref="L30:L69">
    <cfRule type="containsText" priority="1" operator="containsText" text="Text">
      <formula>NOT(ISERROR(SEARCH("Text",L30)))</formula>
    </cfRule>
    <cfRule type="containsText" priority="2" operator="containsText" text="OVERDUE">
      <formula>NOT(ISERROR(SEARCH("OVERDUE",L30)))</formula>
    </cfRule>
  </conditionalFormatting>
  <dataValidations count="5">
    <dataValidation type="list" allowBlank="1" showInputMessage="1" showErrorMessage="1" sqref="G30:G69" xr:uid="{6A09AE9A-8671-4350-9684-F56BF13F3E59}">
      <formula1>"JTL,OWN,EXCLUDED,THIRD PARTY"</formula1>
    </dataValidation>
    <dataValidation type="list" allowBlank="1" showInputMessage="1" showErrorMessage="1" sqref="H74:V82" xr:uid="{1697BCE1-3243-437D-8465-FE734ABF2781}">
      <formula1>"JTL,OWN,THIRD PARTY"</formula1>
    </dataValidation>
    <dataValidation type="list" allowBlank="1" showInputMessage="1" showErrorMessage="1" sqref="E88:J96" xr:uid="{EDA25F62-B6E7-4BD2-9002-268B1FC87B63}">
      <formula1>"NOT REQUIRED,REQUIRED,VISA ON ARRIVAL,eVISA,TRANSIT ONLY,HELD - VALID,TIWB"</formula1>
    </dataValidation>
    <dataValidation type="list" allowBlank="1" showInputMessage="1" showErrorMessage="1" sqref="W74:W82" xr:uid="{11AC2F11-63B5-4F0D-A5B4-CFC0BCE4D4F7}">
      <formula1>"TURNAROUND,TECH STOP,RON (REMAINING OVERNIGHT),CREW REST STOP,MAINTENANCE STOP,DIVERSION"</formula1>
    </dataValidation>
    <dataValidation type="list" allowBlank="1" showInputMessage="1" showErrorMessage="1" sqref="B5" xr:uid="{6BC7DDE7-4E6D-4513-8798-9553536F1035}">
      <formula1>#REF!</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BCCDBD3-97D5-421D-A98D-33C1F5B9A0C8}">
          <x14:formula1>
            <xm:f>Clients!$A$3:$A$60</xm:f>
          </x14:formula1>
          <xm:sqref>F5 N18:N25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CDD33-A0F4-4F65-B0A6-371A5D8F63E4}">
  <dimension ref="A1:F21"/>
  <sheetViews>
    <sheetView workbookViewId="0">
      <selection activeCell="B15" sqref="B15"/>
    </sheetView>
  </sheetViews>
  <sheetFormatPr defaultRowHeight="14.4" x14ac:dyDescent="0.3"/>
  <cols>
    <col min="1" max="6" width="25.88671875" customWidth="1"/>
  </cols>
  <sheetData>
    <row r="1" spans="1:6" x14ac:dyDescent="0.3">
      <c r="A1" s="1" t="s">
        <v>78</v>
      </c>
      <c r="B1" s="4">
        <v>0</v>
      </c>
    </row>
    <row r="2" spans="1:6" x14ac:dyDescent="0.3">
      <c r="A2" s="1" t="s">
        <v>2283</v>
      </c>
      <c r="B2" s="4" t="s">
        <v>2284</v>
      </c>
    </row>
    <row r="3" spans="1:6" x14ac:dyDescent="0.3">
      <c r="A3" s="1" t="s">
        <v>104</v>
      </c>
    </row>
    <row r="4" spans="1:6" x14ac:dyDescent="0.3">
      <c r="A4" s="2" t="s">
        <v>36</v>
      </c>
      <c r="B4" s="2" t="s">
        <v>55</v>
      </c>
      <c r="C4" s="2" t="s">
        <v>35</v>
      </c>
      <c r="D4" s="2" t="s">
        <v>54</v>
      </c>
      <c r="E4" s="2" t="s">
        <v>105</v>
      </c>
      <c r="F4" s="2" t="s">
        <v>106</v>
      </c>
    </row>
    <row r="5" spans="1:6" x14ac:dyDescent="0.3">
      <c r="A5" t="s">
        <v>107</v>
      </c>
      <c r="B5" t="s">
        <v>108</v>
      </c>
      <c r="C5" t="s">
        <v>82</v>
      </c>
      <c r="D5" t="s">
        <v>108</v>
      </c>
      <c r="E5" t="s">
        <v>95</v>
      </c>
      <c r="F5" t="s">
        <v>103</v>
      </c>
    </row>
    <row r="6" spans="1:6" x14ac:dyDescent="0.3">
      <c r="A6" t="s">
        <v>83</v>
      </c>
      <c r="B6" t="s">
        <v>91</v>
      </c>
      <c r="C6" t="s">
        <v>109</v>
      </c>
      <c r="D6" t="s">
        <v>91</v>
      </c>
      <c r="E6" t="s">
        <v>110</v>
      </c>
      <c r="F6" t="s">
        <v>111</v>
      </c>
    </row>
    <row r="7" spans="1:6" x14ac:dyDescent="0.3">
      <c r="A7" t="s">
        <v>112</v>
      </c>
      <c r="B7" t="s">
        <v>113</v>
      </c>
      <c r="C7" t="s">
        <v>114</v>
      </c>
      <c r="D7" t="s">
        <v>115</v>
      </c>
      <c r="E7" t="s">
        <v>116</v>
      </c>
      <c r="F7" t="s">
        <v>117</v>
      </c>
    </row>
    <row r="8" spans="1:6" x14ac:dyDescent="0.3">
      <c r="A8" t="s">
        <v>118</v>
      </c>
      <c r="C8" t="s">
        <v>119</v>
      </c>
      <c r="E8" t="s">
        <v>120</v>
      </c>
      <c r="F8" t="s">
        <v>121</v>
      </c>
    </row>
    <row r="9" spans="1:6" x14ac:dyDescent="0.3">
      <c r="A9" t="s">
        <v>122</v>
      </c>
      <c r="C9" t="s">
        <v>123</v>
      </c>
      <c r="F9" t="s">
        <v>124</v>
      </c>
    </row>
    <row r="10" spans="1:6" x14ac:dyDescent="0.3">
      <c r="C10" t="s">
        <v>125</v>
      </c>
      <c r="F10" t="s">
        <v>126</v>
      </c>
    </row>
    <row r="11" spans="1:6" x14ac:dyDescent="0.3">
      <c r="C11" t="s">
        <v>127</v>
      </c>
      <c r="F11" t="s">
        <v>128</v>
      </c>
    </row>
    <row r="12" spans="1:6" x14ac:dyDescent="0.3">
      <c r="C12" t="s">
        <v>122</v>
      </c>
      <c r="F12" t="s">
        <v>122</v>
      </c>
    </row>
    <row r="14" spans="1:6" x14ac:dyDescent="0.3">
      <c r="A14" s="105" t="s">
        <v>8513</v>
      </c>
    </row>
    <row r="15" spans="1:6" x14ac:dyDescent="0.3">
      <c r="A15" t="s">
        <v>8514</v>
      </c>
      <c r="B15" s="106">
        <v>72</v>
      </c>
    </row>
    <row r="16" spans="1:6" x14ac:dyDescent="0.3">
      <c r="A16" t="s">
        <v>8515</v>
      </c>
      <c r="B16" s="4">
        <v>24</v>
      </c>
    </row>
    <row r="17" spans="1:2" x14ac:dyDescent="0.3">
      <c r="A17" t="s">
        <v>8516</v>
      </c>
      <c r="B17" s="107">
        <v>0.15</v>
      </c>
    </row>
    <row r="18" spans="1:2" x14ac:dyDescent="0.3">
      <c r="A18" t="s">
        <v>8517</v>
      </c>
      <c r="B18" s="4">
        <v>180</v>
      </c>
    </row>
    <row r="19" spans="1:2" x14ac:dyDescent="0.3">
      <c r="A19" t="s">
        <v>8518</v>
      </c>
      <c r="B19" s="4" t="s">
        <v>8519</v>
      </c>
    </row>
    <row r="20" spans="1:2" x14ac:dyDescent="0.3">
      <c r="A20" t="s">
        <v>8520</v>
      </c>
      <c r="B20" s="4">
        <v>365</v>
      </c>
    </row>
    <row r="21" spans="1:2" x14ac:dyDescent="0.3">
      <c r="A21" t="s">
        <v>8521</v>
      </c>
      <c r="B21" s="108" t="s">
        <v>4583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6D9AB-810F-457E-8556-61833239B2CA}">
  <dimension ref="A1:AY382"/>
  <sheetViews>
    <sheetView workbookViewId="0">
      <pane ySplit="2" topLeftCell="A377" activePane="bottomLeft" state="frozen"/>
      <selection pane="bottomLeft" activeCell="E382" sqref="E382"/>
    </sheetView>
  </sheetViews>
  <sheetFormatPr defaultRowHeight="14.4" x14ac:dyDescent="0.3"/>
  <cols>
    <col min="1" max="4" width="13" customWidth="1"/>
    <col min="5" max="5" width="35.21875" customWidth="1"/>
    <col min="6" max="13" width="20.33203125" customWidth="1"/>
    <col min="14" max="14" width="31.44140625" customWidth="1"/>
    <col min="15" max="46" width="20.33203125" customWidth="1"/>
    <col min="47" max="47" width="48.109375" customWidth="1"/>
    <col min="48" max="48" width="20.33203125" customWidth="1"/>
  </cols>
  <sheetData>
    <row r="1" spans="1:51" x14ac:dyDescent="0.3">
      <c r="A1" s="81" t="s">
        <v>20</v>
      </c>
      <c r="B1" s="81"/>
      <c r="C1" s="81"/>
      <c r="D1" s="81"/>
      <c r="E1" s="82" t="s">
        <v>21</v>
      </c>
      <c r="F1" s="82"/>
      <c r="G1" s="82"/>
      <c r="H1" s="82"/>
      <c r="I1" s="82"/>
      <c r="J1" s="82"/>
      <c r="K1" s="82"/>
      <c r="L1" s="82"/>
      <c r="M1" s="82"/>
      <c r="N1" s="83" t="s">
        <v>22</v>
      </c>
      <c r="O1" s="83"/>
      <c r="P1" s="83"/>
      <c r="Q1" s="83"/>
      <c r="R1" s="83"/>
      <c r="S1" s="83"/>
      <c r="T1" s="83"/>
      <c r="U1" s="83"/>
      <c r="V1" s="83"/>
      <c r="W1" s="84" t="s">
        <v>23</v>
      </c>
      <c r="X1" s="84"/>
      <c r="Y1" s="84"/>
      <c r="Z1" s="84"/>
      <c r="AA1" s="84"/>
      <c r="AB1" s="84"/>
      <c r="AC1" s="84"/>
      <c r="AD1" s="84"/>
      <c r="AE1" s="85" t="s">
        <v>24</v>
      </c>
      <c r="AF1" s="85"/>
      <c r="AG1" s="85"/>
      <c r="AH1" s="85"/>
      <c r="AI1" s="85"/>
      <c r="AJ1" s="86" t="s">
        <v>25</v>
      </c>
      <c r="AK1" s="86"/>
      <c r="AL1" s="86"/>
      <c r="AM1" s="77" t="s">
        <v>26</v>
      </c>
      <c r="AN1" s="77"/>
      <c r="AO1" s="78" t="s">
        <v>27</v>
      </c>
      <c r="AP1" s="78"/>
      <c r="AQ1" s="78"/>
      <c r="AR1" s="78"/>
      <c r="AS1" s="79" t="s">
        <v>28</v>
      </c>
      <c r="AT1" s="79"/>
      <c r="AU1" s="80" t="s">
        <v>29</v>
      </c>
      <c r="AV1" s="80"/>
    </row>
    <row r="2" spans="1:51" ht="42" customHeight="1" x14ac:dyDescent="0.3">
      <c r="A2" s="3" t="s">
        <v>30</v>
      </c>
      <c r="B2" s="3" t="s">
        <v>31</v>
      </c>
      <c r="C2" s="3" t="s">
        <v>32</v>
      </c>
      <c r="D2" s="3" t="s">
        <v>33</v>
      </c>
      <c r="E2" s="3" t="s">
        <v>34</v>
      </c>
      <c r="F2" s="3" t="s">
        <v>35</v>
      </c>
      <c r="G2" s="3" t="s">
        <v>36</v>
      </c>
      <c r="H2" s="3" t="s">
        <v>37</v>
      </c>
      <c r="I2" s="3" t="s">
        <v>38</v>
      </c>
      <c r="J2" s="3" t="s">
        <v>39</v>
      </c>
      <c r="K2" s="3" t="s">
        <v>40</v>
      </c>
      <c r="L2" s="3" t="s">
        <v>41</v>
      </c>
      <c r="M2" s="3" t="s">
        <v>42</v>
      </c>
      <c r="N2" s="3" t="s">
        <v>43</v>
      </c>
      <c r="O2" s="3" t="s">
        <v>44</v>
      </c>
      <c r="P2" s="3" t="s">
        <v>45</v>
      </c>
      <c r="Q2" s="3" t="s">
        <v>46</v>
      </c>
      <c r="R2" s="3" t="s">
        <v>47</v>
      </c>
      <c r="S2" s="3" t="s">
        <v>48</v>
      </c>
      <c r="T2" s="3" t="s">
        <v>49</v>
      </c>
      <c r="U2" s="3" t="s">
        <v>50</v>
      </c>
      <c r="V2" s="3" t="s">
        <v>51</v>
      </c>
      <c r="W2" s="3" t="s">
        <v>52</v>
      </c>
      <c r="X2" s="3" t="s">
        <v>53</v>
      </c>
      <c r="Y2" s="3" t="s">
        <v>54</v>
      </c>
      <c r="Z2" s="3" t="s">
        <v>55</v>
      </c>
      <c r="AA2" s="3" t="s">
        <v>56</v>
      </c>
      <c r="AB2" s="3" t="s">
        <v>57</v>
      </c>
      <c r="AC2" s="3" t="s">
        <v>58</v>
      </c>
      <c r="AD2" s="3" t="s">
        <v>59</v>
      </c>
      <c r="AE2" s="3" t="s">
        <v>60</v>
      </c>
      <c r="AF2" s="3" t="s">
        <v>61</v>
      </c>
      <c r="AG2" s="3" t="s">
        <v>62</v>
      </c>
      <c r="AH2" s="3" t="s">
        <v>63</v>
      </c>
      <c r="AI2" s="3" t="s">
        <v>64</v>
      </c>
      <c r="AJ2" s="3" t="s">
        <v>65</v>
      </c>
      <c r="AK2" s="3" t="s">
        <v>66</v>
      </c>
      <c r="AL2" s="3" t="s">
        <v>67</v>
      </c>
      <c r="AM2" s="3" t="s">
        <v>68</v>
      </c>
      <c r="AN2" s="3" t="s">
        <v>69</v>
      </c>
      <c r="AO2" s="3" t="s">
        <v>70</v>
      </c>
      <c r="AP2" s="3" t="s">
        <v>71</v>
      </c>
      <c r="AQ2" s="3" t="s">
        <v>72</v>
      </c>
      <c r="AR2" s="3" t="s">
        <v>73</v>
      </c>
      <c r="AS2" s="3" t="s">
        <v>74</v>
      </c>
      <c r="AT2" s="3" t="s">
        <v>75</v>
      </c>
      <c r="AU2" s="3" t="s">
        <v>76</v>
      </c>
      <c r="AV2" s="3" t="s">
        <v>77</v>
      </c>
      <c r="AW2" s="1" t="s">
        <v>8530</v>
      </c>
      <c r="AX2" s="1" t="s">
        <v>8531</v>
      </c>
      <c r="AY2" s="1" t="s">
        <v>8532</v>
      </c>
    </row>
    <row r="3" spans="1:51" x14ac:dyDescent="0.3">
      <c r="A3" t="s">
        <v>79</v>
      </c>
      <c r="B3" t="s">
        <v>80</v>
      </c>
      <c r="E3" t="s">
        <v>81</v>
      </c>
      <c r="F3" t="s">
        <v>82</v>
      </c>
      <c r="G3" t="s">
        <v>83</v>
      </c>
      <c r="H3" t="s">
        <v>84</v>
      </c>
      <c r="I3" t="s">
        <v>85</v>
      </c>
      <c r="J3" t="s">
        <v>86</v>
      </c>
      <c r="N3" s="12" t="str">
        <f>IF(OR($O3="",$P3=""),"",TEXT(INT(ROUND(ABS($O3)*3600,0)/3600),"00")&amp;"°"&amp;TEXT(INT(MOD(ROUND(ABS($O3)*3600,0),3600)/60),"00")&amp;"′"&amp;TEXT(MOD(ROUND(ABS($O3)*3600,0),60),"00")&amp;"″"&amp;IF($O3&gt;=0,"N","S")&amp;" "&amp;TEXT(INT(ROUND(ABS($P3)*3600,0)/3600),"000")&amp;"°"&amp;TEXT(INT(MOD(ROUND(ABS($P3)*3600,0),3600)/60),"00")&amp;"′"&amp;TEXT(MOD(ROUND(ABS($P3)*3600,0),60),"00")&amp;"″"&amp;IF($P3&gt;=0,"E","W"))</f>
        <v>17°39′57″N 054°01′30″E</v>
      </c>
      <c r="O3">
        <v>17.665832999999999</v>
      </c>
      <c r="P3">
        <v>54.024999999999999</v>
      </c>
      <c r="Q3" s="13">
        <f>IF($R3="","",ROUND($R3*0.3048,0))</f>
        <v>465</v>
      </c>
      <c r="R3" s="10">
        <v>1526</v>
      </c>
      <c r="S3" t="s">
        <v>87</v>
      </c>
      <c r="T3" t="s">
        <v>88</v>
      </c>
      <c r="U3">
        <v>4</v>
      </c>
      <c r="V3" s="14">
        <f ca="1">IF($U3="","",MOD(NOW()-admin!$B$1/24+$U3/24,1))</f>
        <v>0.77849305554991588</v>
      </c>
      <c r="W3" t="s">
        <v>89</v>
      </c>
      <c r="X3" t="s">
        <v>90</v>
      </c>
      <c r="Y3" t="s">
        <v>91</v>
      </c>
      <c r="Z3" t="s">
        <v>92</v>
      </c>
      <c r="AD3" t="s">
        <v>93</v>
      </c>
      <c r="AE3" t="s">
        <v>94</v>
      </c>
      <c r="AG3" t="s">
        <v>95</v>
      </c>
      <c r="AO3" s="12" t="str">
        <f>IF($A3="","",admin!$B$2&amp;"\Charts\"&amp;$A3)</f>
        <v>C:\Backups\InsiderTechSol\Aviation\Jetelio_v3\.LAYOUT\resources\Charts\OOTH</v>
      </c>
      <c r="AP3" s="12" t="str">
        <f>IF($A3="","",admin!$B$2&amp;"\RunwayDiagrams\"&amp;$A3&amp;".pdf")</f>
        <v>C:\Backups\InsiderTechSol\Aviation\Jetelio_v3\.LAYOUT\resources\RunwayDiagrams\OOTH.pdf</v>
      </c>
      <c r="AQ3" s="12" t="str">
        <f>IF($A3="","",admin!$B$2&amp;"\Images\"&amp;$A3)</f>
        <v>C:\Backups\InsiderTechSol\Aviation\Jetelio_v3\.LAYOUT\resources\Images\OOTH</v>
      </c>
      <c r="AR3" s="12" t="str">
        <f>IF($A3="","",admin!$B$2&amp;"\CityMaps\"&amp;$A3&amp;".png")</f>
        <v>C:\Backups\InsiderTechSol\Aviation\Jetelio_v3\.LAYOUT\resources\CityMaps\OOTH.png</v>
      </c>
      <c r="AS3" s="16" t="str">
        <f>IF($A3="","","VISA sheet")</f>
        <v>VISA sheet</v>
      </c>
      <c r="AT3" s="16" t="str">
        <f>IF($A3="","","Vendors sheet")</f>
        <v>Vendors sheet</v>
      </c>
      <c r="AU3" t="s">
        <v>96</v>
      </c>
      <c r="AV3" s="15">
        <f ca="1">IF($A3="","",TODAY())</f>
        <v>46243</v>
      </c>
      <c r="AX3" s="6"/>
      <c r="AY3" t="str">
        <f>IF($A3="","",IF(OR(TRIM($Y3)="",TRIM($AG3)="",TRIM($X3)=""),"INCOMPLETE - NOT SELECTABLE AS TECH STOP",IF(OR($AW3="",$AX3=""),"UNVERIFIED - ADVISORY ONLY","VERIFIED")))</f>
        <v>UNVERIFIED - ADVISORY ONLY</v>
      </c>
    </row>
    <row r="4" spans="1:51" x14ac:dyDescent="0.3">
      <c r="A4" s="4" t="s">
        <v>129</v>
      </c>
      <c r="B4" s="4" t="s">
        <v>130</v>
      </c>
      <c r="C4" s="4"/>
      <c r="D4" s="4"/>
      <c r="E4" s="4" t="s">
        <v>477</v>
      </c>
      <c r="F4" s="4" t="s">
        <v>82</v>
      </c>
      <c r="G4" s="4"/>
      <c r="H4" s="4" t="s">
        <v>651</v>
      </c>
      <c r="I4" s="4" t="s">
        <v>652</v>
      </c>
      <c r="J4" s="4"/>
      <c r="K4" s="4"/>
      <c r="L4" s="4"/>
      <c r="M4" s="4"/>
      <c r="N4" s="12" t="str">
        <f t="shared" ref="N4:N67" si="0">IF(OR($O4="",$P4=""),"",TEXT(INT(ROUND(ABS($O4)*3600,0)/3600),"00")&amp;"°"&amp;TEXT(INT(MOD(ROUND(ABS($O4)*3600,0),3600)/60),"00")&amp;"′"&amp;TEXT(MOD(ROUND(ABS($O4)*3600,0),60),"00")&amp;"″"&amp;IF($O4&gt;=0,"N","S")&amp;" "&amp;TEXT(INT(ROUND(ABS($P4)*3600,0)/3600),"000")&amp;"°"&amp;TEXT(INT(MOD(ROUND(ABS($P4)*3600,0),3600)/60),"00")&amp;"′"&amp;TEXT(MOD(ROUND(ABS($P4)*3600,0),60),"00")&amp;"″"&amp;IF($P4&gt;=0,"E","W"))</f>
        <v>24°26′27″N 054°38′57″E</v>
      </c>
      <c r="O4" s="7">
        <v>24.44097</v>
      </c>
      <c r="P4" s="7">
        <v>54.649239999999999</v>
      </c>
      <c r="Q4" s="13">
        <f t="shared" ref="Q4:Q67" si="1">IF($R4="","",ROUND($R4*0.3048,0))</f>
        <v>27</v>
      </c>
      <c r="R4" s="11">
        <v>88</v>
      </c>
      <c r="S4" s="4"/>
      <c r="T4" s="4" t="s">
        <v>920</v>
      </c>
      <c r="U4" s="8">
        <v>4</v>
      </c>
      <c r="V4" s="14">
        <f ca="1">IF($U4="","",MOD(NOW()-admin!$B$1/24+$U4/24,1))</f>
        <v>0.77849305554991588</v>
      </c>
      <c r="W4" s="4"/>
      <c r="X4" s="4"/>
      <c r="Y4" s="4"/>
      <c r="Z4" s="4"/>
      <c r="AA4" s="4"/>
      <c r="AB4" s="4"/>
      <c r="AC4" s="4"/>
      <c r="AD4" s="4"/>
      <c r="AE4" s="4" t="s">
        <v>1027</v>
      </c>
      <c r="AF4" s="4"/>
      <c r="AG4" s="4"/>
      <c r="AH4" s="4"/>
      <c r="AI4" s="4"/>
      <c r="AJ4" s="4"/>
      <c r="AK4" s="4"/>
      <c r="AL4" s="4"/>
      <c r="AM4" s="4"/>
      <c r="AN4" s="4"/>
      <c r="AO4" s="12" t="str">
        <f>IF($A4="","",admin!$B$2&amp;"\Charts\"&amp;$A4)</f>
        <v>C:\Backups\InsiderTechSol\Aviation\Jetelio_v3\.LAYOUT\resources\Charts\OMAA</v>
      </c>
      <c r="AP4" s="12" t="str">
        <f>IF($A4="","",admin!$B$2&amp;"\RunwayDiagrams\"&amp;$A4&amp;".pdf")</f>
        <v>C:\Backups\InsiderTechSol\Aviation\Jetelio_v3\.LAYOUT\resources\RunwayDiagrams\OMAA.pdf</v>
      </c>
      <c r="AQ4" s="12" t="str">
        <f>IF($A4="","",admin!$B$2&amp;"\Images\"&amp;$A4)</f>
        <v>C:\Backups\InsiderTechSol\Aviation\Jetelio_v3\.LAYOUT\resources\Images\OMAA</v>
      </c>
      <c r="AR4" s="12" t="str">
        <f>IF($A4="","",admin!$B$2&amp;"\CityMaps\"&amp;$A4&amp;".png")</f>
        <v>C:\Backups\InsiderTechSol\Aviation\Jetelio_v3\.LAYOUT\resources\CityMaps\OMAA.png</v>
      </c>
      <c r="AS4" s="16" t="str">
        <f t="shared" ref="AS4:AS67" si="2">IF($A4="","","VISA sheet")</f>
        <v>VISA sheet</v>
      </c>
      <c r="AT4" s="16" t="str">
        <f t="shared" ref="AT4:AT67" si="3">IF($A4="","","Vendors sheet")</f>
        <v>Vendors sheet</v>
      </c>
      <c r="AU4" s="4"/>
      <c r="AV4" s="15">
        <f t="shared" ref="AV4:AV67" ca="1" si="4">IF($A4="","",TODAY())</f>
        <v>46243</v>
      </c>
      <c r="AX4" s="6"/>
      <c r="AY4" t="str">
        <f t="shared" ref="AY4:AY67" si="5">IF($A4="","",IF(OR(TRIM($Y4)="",TRIM($AG4)="",TRIM($X4)=""),"INCOMPLETE - NOT SELECTABLE AS TECH STOP",IF(OR($AW4="",$AX4=""),"UNVERIFIED - ADVISORY ONLY","VERIFIED")))</f>
        <v>INCOMPLETE - NOT SELECTABLE AS TECH STOP</v>
      </c>
    </row>
    <row r="5" spans="1:51" x14ac:dyDescent="0.3">
      <c r="A5" s="4" t="s">
        <v>131</v>
      </c>
      <c r="B5" s="4" t="s">
        <v>132</v>
      </c>
      <c r="C5" s="4"/>
      <c r="D5" s="4"/>
      <c r="E5" s="4" t="s">
        <v>478</v>
      </c>
      <c r="F5" s="4" t="s">
        <v>82</v>
      </c>
      <c r="G5" s="4"/>
      <c r="H5" s="4" t="s">
        <v>651</v>
      </c>
      <c r="I5" s="4" t="s">
        <v>652</v>
      </c>
      <c r="J5" s="4"/>
      <c r="K5" s="4"/>
      <c r="L5" s="4"/>
      <c r="M5" s="4"/>
      <c r="N5" s="12" t="str">
        <f t="shared" si="0"/>
        <v>24°25′37″N 054°27′36″E</v>
      </c>
      <c r="O5" s="7">
        <v>24.427060000000001</v>
      </c>
      <c r="P5" s="7">
        <v>54.459870000000002</v>
      </c>
      <c r="Q5" s="13">
        <f t="shared" si="1"/>
        <v>5</v>
      </c>
      <c r="R5" s="11">
        <v>16</v>
      </c>
      <c r="S5" s="4"/>
      <c r="T5" s="4" t="s">
        <v>920</v>
      </c>
      <c r="U5" s="8">
        <v>4</v>
      </c>
      <c r="V5" s="14">
        <f ca="1">IF($U5="","",MOD(NOW()-admin!$B$1/24+$U5/24,1))</f>
        <v>0.77849305554991588</v>
      </c>
      <c r="W5" s="4"/>
      <c r="X5" s="4"/>
      <c r="Y5" s="4"/>
      <c r="Z5" s="4"/>
      <c r="AA5" s="4"/>
      <c r="AB5" s="4"/>
      <c r="AC5" s="4"/>
      <c r="AD5" s="4"/>
      <c r="AE5" s="4" t="s">
        <v>1028</v>
      </c>
      <c r="AF5" s="4"/>
      <c r="AG5" s="4"/>
      <c r="AH5" s="4"/>
      <c r="AI5" s="4"/>
      <c r="AJ5" s="4"/>
      <c r="AK5" s="4"/>
      <c r="AL5" s="4"/>
      <c r="AM5" s="4"/>
      <c r="AN5" s="4"/>
      <c r="AO5" s="12" t="str">
        <f>IF($A5="","",admin!$B$2&amp;"\Charts\"&amp;$A5)</f>
        <v>C:\Backups\InsiderTechSol\Aviation\Jetelio_v3\.LAYOUT\resources\Charts\OMAD</v>
      </c>
      <c r="AP5" s="12" t="str">
        <f>IF($A5="","",admin!$B$2&amp;"\RunwayDiagrams\"&amp;$A5&amp;".pdf")</f>
        <v>C:\Backups\InsiderTechSol\Aviation\Jetelio_v3\.LAYOUT\resources\RunwayDiagrams\OMAD.pdf</v>
      </c>
      <c r="AQ5" s="12" t="str">
        <f>IF($A5="","",admin!$B$2&amp;"\Images\"&amp;$A5)</f>
        <v>C:\Backups\InsiderTechSol\Aviation\Jetelio_v3\.LAYOUT\resources\Images\OMAD</v>
      </c>
      <c r="AR5" s="12" t="str">
        <f>IF($A5="","",admin!$B$2&amp;"\CityMaps\"&amp;$A5&amp;".png")</f>
        <v>C:\Backups\InsiderTechSol\Aviation\Jetelio_v3\.LAYOUT\resources\CityMaps\OMAD.png</v>
      </c>
      <c r="AS5" s="16" t="str">
        <f t="shared" si="2"/>
        <v>VISA sheet</v>
      </c>
      <c r="AT5" s="16" t="str">
        <f t="shared" si="3"/>
        <v>Vendors sheet</v>
      </c>
      <c r="AU5" s="4"/>
      <c r="AV5" s="15">
        <f t="shared" ca="1" si="4"/>
        <v>46243</v>
      </c>
      <c r="AX5" s="6"/>
      <c r="AY5" t="str">
        <f t="shared" si="5"/>
        <v>INCOMPLETE - NOT SELECTABLE AS TECH STOP</v>
      </c>
    </row>
    <row r="6" spans="1:51" x14ac:dyDescent="0.3">
      <c r="A6" s="4" t="s">
        <v>133</v>
      </c>
      <c r="B6" s="4" t="s">
        <v>134</v>
      </c>
      <c r="C6" s="4"/>
      <c r="D6" s="4"/>
      <c r="E6" s="4" t="s">
        <v>479</v>
      </c>
      <c r="F6" s="4" t="s">
        <v>82</v>
      </c>
      <c r="G6" s="4"/>
      <c r="H6" s="4" t="s">
        <v>653</v>
      </c>
      <c r="I6" s="4" t="s">
        <v>654</v>
      </c>
      <c r="J6" s="4"/>
      <c r="K6" s="4"/>
      <c r="L6" s="4"/>
      <c r="M6" s="4"/>
      <c r="N6" s="12" t="str">
        <f t="shared" si="0"/>
        <v>34°12′36″N 062°13′42″E</v>
      </c>
      <c r="O6" s="7">
        <v>34.21</v>
      </c>
      <c r="P6" s="7">
        <v>62.228299999999997</v>
      </c>
      <c r="Q6" s="13">
        <f t="shared" si="1"/>
        <v>977</v>
      </c>
      <c r="R6" s="11">
        <v>3206</v>
      </c>
      <c r="S6" s="4"/>
      <c r="T6" s="4" t="s">
        <v>921</v>
      </c>
      <c r="U6" s="8">
        <v>4.5</v>
      </c>
      <c r="V6" s="14">
        <f ca="1">IF($U6="","",MOD(NOW()-admin!$B$1/24+$U6/24,1))</f>
        <v>0.79932638888567453</v>
      </c>
      <c r="W6" s="4"/>
      <c r="X6" s="4"/>
      <c r="Y6" s="4"/>
      <c r="Z6" s="4"/>
      <c r="AA6" s="4"/>
      <c r="AB6" s="4"/>
      <c r="AC6" s="4"/>
      <c r="AD6" s="4"/>
      <c r="AE6" s="4" t="s">
        <v>1029</v>
      </c>
      <c r="AF6" s="4"/>
      <c r="AG6" s="4"/>
      <c r="AH6" s="4"/>
      <c r="AI6" s="4"/>
      <c r="AJ6" s="4"/>
      <c r="AK6" s="4"/>
      <c r="AL6" s="4"/>
      <c r="AM6" s="4"/>
      <c r="AN6" s="4"/>
      <c r="AO6" s="12" t="str">
        <f>IF($A6="","",admin!$B$2&amp;"\Charts\"&amp;$A6)</f>
        <v>C:\Backups\InsiderTechSol\Aviation\Jetelio_v3\.LAYOUT\resources\Charts\OAHR</v>
      </c>
      <c r="AP6" s="12" t="str">
        <f>IF($A6="","",admin!$B$2&amp;"\RunwayDiagrams\"&amp;$A6&amp;".pdf")</f>
        <v>C:\Backups\InsiderTechSol\Aviation\Jetelio_v3\.LAYOUT\resources\RunwayDiagrams\OAHR.pdf</v>
      </c>
      <c r="AQ6" s="12" t="str">
        <f>IF($A6="","",admin!$B$2&amp;"\Images\"&amp;$A6)</f>
        <v>C:\Backups\InsiderTechSol\Aviation\Jetelio_v3\.LAYOUT\resources\Images\OAHR</v>
      </c>
      <c r="AR6" s="12" t="str">
        <f>IF($A6="","",admin!$B$2&amp;"\CityMaps\"&amp;$A6&amp;".png")</f>
        <v>C:\Backups\InsiderTechSol\Aviation\Jetelio_v3\.LAYOUT\resources\CityMaps\OAHR.png</v>
      </c>
      <c r="AS6" s="16" t="str">
        <f t="shared" si="2"/>
        <v>VISA sheet</v>
      </c>
      <c r="AT6" s="16" t="str">
        <f t="shared" si="3"/>
        <v>Vendors sheet</v>
      </c>
      <c r="AU6" s="4"/>
      <c r="AV6" s="15">
        <f t="shared" ca="1" si="4"/>
        <v>46243</v>
      </c>
      <c r="AX6" s="6"/>
      <c r="AY6" t="str">
        <f t="shared" si="5"/>
        <v>INCOMPLETE - NOT SELECTABLE AS TECH STOP</v>
      </c>
    </row>
    <row r="7" spans="1:51" x14ac:dyDescent="0.3">
      <c r="A7" s="4" t="s">
        <v>135</v>
      </c>
      <c r="B7" s="4" t="s">
        <v>136</v>
      </c>
      <c r="C7" s="4"/>
      <c r="D7" s="4"/>
      <c r="E7" s="4" t="s">
        <v>480</v>
      </c>
      <c r="F7" s="4" t="s">
        <v>82</v>
      </c>
      <c r="G7" s="4"/>
      <c r="H7" s="4" t="s">
        <v>653</v>
      </c>
      <c r="I7" s="4" t="s">
        <v>655</v>
      </c>
      <c r="J7" s="4"/>
      <c r="K7" s="4"/>
      <c r="L7" s="4"/>
      <c r="M7" s="4"/>
      <c r="N7" s="12" t="str">
        <f t="shared" si="0"/>
        <v>34°33′57″N 069°12′44″E</v>
      </c>
      <c r="O7" s="7">
        <v>34.565899999999999</v>
      </c>
      <c r="P7" s="7">
        <v>69.212299999999999</v>
      </c>
      <c r="Q7" s="13">
        <f t="shared" si="1"/>
        <v>1791</v>
      </c>
      <c r="R7" s="11">
        <v>5877</v>
      </c>
      <c r="S7" s="4"/>
      <c r="T7" s="4" t="s">
        <v>921</v>
      </c>
      <c r="U7" s="8">
        <v>4.5</v>
      </c>
      <c r="V7" s="14">
        <f ca="1">IF($U7="","",MOD(NOW()-admin!$B$1/24+$U7/24,1))</f>
        <v>0.79932638888567453</v>
      </c>
      <c r="W7" s="4"/>
      <c r="X7" s="4"/>
      <c r="Y7" s="4"/>
      <c r="Z7" s="4"/>
      <c r="AA7" s="4"/>
      <c r="AB7" s="4"/>
      <c r="AC7" s="4"/>
      <c r="AD7" s="4"/>
      <c r="AE7" s="4" t="s">
        <v>1030</v>
      </c>
      <c r="AF7" s="4"/>
      <c r="AG7" s="4"/>
      <c r="AH7" s="4"/>
      <c r="AI7" s="4"/>
      <c r="AJ7" s="4"/>
      <c r="AK7" s="4"/>
      <c r="AL7" s="4"/>
      <c r="AM7" s="4"/>
      <c r="AN7" s="4"/>
      <c r="AO7" s="12" t="str">
        <f>IF($A7="","",admin!$B$2&amp;"\Charts\"&amp;$A7)</f>
        <v>C:\Backups\InsiderTechSol\Aviation\Jetelio_v3\.LAYOUT\resources\Charts\OAKB</v>
      </c>
      <c r="AP7" s="12" t="str">
        <f>IF($A7="","",admin!$B$2&amp;"\RunwayDiagrams\"&amp;$A7&amp;".pdf")</f>
        <v>C:\Backups\InsiderTechSol\Aviation\Jetelio_v3\.LAYOUT\resources\RunwayDiagrams\OAKB.pdf</v>
      </c>
      <c r="AQ7" s="12" t="str">
        <f>IF($A7="","",admin!$B$2&amp;"\Images\"&amp;$A7)</f>
        <v>C:\Backups\InsiderTechSol\Aviation\Jetelio_v3\.LAYOUT\resources\Images\OAKB</v>
      </c>
      <c r="AR7" s="12" t="str">
        <f>IF($A7="","",admin!$B$2&amp;"\CityMaps\"&amp;$A7&amp;".png")</f>
        <v>C:\Backups\InsiderTechSol\Aviation\Jetelio_v3\.LAYOUT\resources\CityMaps\OAKB.png</v>
      </c>
      <c r="AS7" s="16" t="str">
        <f t="shared" si="2"/>
        <v>VISA sheet</v>
      </c>
      <c r="AT7" s="16" t="str">
        <f t="shared" si="3"/>
        <v>Vendors sheet</v>
      </c>
      <c r="AU7" s="4"/>
      <c r="AV7" s="15">
        <f t="shared" ca="1" si="4"/>
        <v>46243</v>
      </c>
      <c r="AX7" s="6"/>
      <c r="AY7" t="str">
        <f t="shared" si="5"/>
        <v>INCOMPLETE - NOT SELECTABLE AS TECH STOP</v>
      </c>
    </row>
    <row r="8" spans="1:51" x14ac:dyDescent="0.3">
      <c r="A8" s="4" t="s">
        <v>137</v>
      </c>
      <c r="B8" s="4" t="s">
        <v>138</v>
      </c>
      <c r="C8" s="4"/>
      <c r="D8" s="4"/>
      <c r="E8" s="4" t="s">
        <v>481</v>
      </c>
      <c r="F8" s="4" t="s">
        <v>82</v>
      </c>
      <c r="G8" s="4"/>
      <c r="H8" s="4" t="s">
        <v>656</v>
      </c>
      <c r="I8" s="4" t="s">
        <v>657</v>
      </c>
      <c r="J8" s="4"/>
      <c r="K8" s="4"/>
      <c r="L8" s="4"/>
      <c r="M8" s="4"/>
      <c r="N8" s="12" t="str">
        <f t="shared" si="0"/>
        <v>17°08′12″N 061°47′34″W</v>
      </c>
      <c r="O8" s="7">
        <v>17.136700000000001</v>
      </c>
      <c r="P8" s="7">
        <v>-61.792700000000004</v>
      </c>
      <c r="Q8" s="13">
        <f t="shared" si="1"/>
        <v>19</v>
      </c>
      <c r="R8" s="11">
        <v>62</v>
      </c>
      <c r="S8" s="4"/>
      <c r="T8" s="4" t="s">
        <v>922</v>
      </c>
      <c r="U8" s="8">
        <v>-4</v>
      </c>
      <c r="V8" s="14">
        <f ca="1">IF($U8="","",MOD(NOW()-admin!$B$1/24+$U8/24,1))</f>
        <v>0.44515972222143319</v>
      </c>
      <c r="W8" s="4"/>
      <c r="X8" s="4"/>
      <c r="Y8" s="4"/>
      <c r="Z8" s="4"/>
      <c r="AA8" s="4"/>
      <c r="AB8" s="4"/>
      <c r="AC8" s="4"/>
      <c r="AD8" s="4"/>
      <c r="AE8" s="4" t="s">
        <v>1031</v>
      </c>
      <c r="AF8" s="4"/>
      <c r="AG8" s="4"/>
      <c r="AH8" s="4"/>
      <c r="AI8" s="4"/>
      <c r="AJ8" s="4"/>
      <c r="AK8" s="4"/>
      <c r="AL8" s="4"/>
      <c r="AM8" s="4"/>
      <c r="AN8" s="4"/>
      <c r="AO8" s="12" t="str">
        <f>IF($A8="","",admin!$B$2&amp;"\Charts\"&amp;$A8)</f>
        <v>C:\Backups\InsiderTechSol\Aviation\Jetelio_v3\.LAYOUT\resources\Charts\TAPA</v>
      </c>
      <c r="AP8" s="12" t="str">
        <f>IF($A8="","",admin!$B$2&amp;"\RunwayDiagrams\"&amp;$A8&amp;".pdf")</f>
        <v>C:\Backups\InsiderTechSol\Aviation\Jetelio_v3\.LAYOUT\resources\RunwayDiagrams\TAPA.pdf</v>
      </c>
      <c r="AQ8" s="12" t="str">
        <f>IF($A8="","",admin!$B$2&amp;"\Images\"&amp;$A8)</f>
        <v>C:\Backups\InsiderTechSol\Aviation\Jetelio_v3\.LAYOUT\resources\Images\TAPA</v>
      </c>
      <c r="AR8" s="12" t="str">
        <f>IF($A8="","",admin!$B$2&amp;"\CityMaps\"&amp;$A8&amp;".png")</f>
        <v>C:\Backups\InsiderTechSol\Aviation\Jetelio_v3\.LAYOUT\resources\CityMaps\TAPA.png</v>
      </c>
      <c r="AS8" s="16" t="str">
        <f t="shared" si="2"/>
        <v>VISA sheet</v>
      </c>
      <c r="AT8" s="16" t="str">
        <f t="shared" si="3"/>
        <v>Vendors sheet</v>
      </c>
      <c r="AU8" s="4"/>
      <c r="AV8" s="15">
        <f t="shared" ca="1" si="4"/>
        <v>46243</v>
      </c>
      <c r="AX8" s="6"/>
      <c r="AY8" t="str">
        <f t="shared" si="5"/>
        <v>INCOMPLETE - NOT SELECTABLE AS TECH STOP</v>
      </c>
    </row>
    <row r="9" spans="1:51" x14ac:dyDescent="0.3">
      <c r="A9" s="4" t="s">
        <v>139</v>
      </c>
      <c r="B9" s="4" t="s">
        <v>140</v>
      </c>
      <c r="C9" s="4"/>
      <c r="D9" s="4"/>
      <c r="E9" s="4" t="s">
        <v>482</v>
      </c>
      <c r="F9" s="4" t="s">
        <v>82</v>
      </c>
      <c r="G9" s="4"/>
      <c r="H9" s="4" t="s">
        <v>658</v>
      </c>
      <c r="I9" s="4" t="s">
        <v>659</v>
      </c>
      <c r="J9" s="4"/>
      <c r="K9" s="4"/>
      <c r="L9" s="4"/>
      <c r="M9" s="4"/>
      <c r="N9" s="12" t="str">
        <f t="shared" si="0"/>
        <v>41°24′53″N 019°43′14″E</v>
      </c>
      <c r="O9" s="7">
        <v>41.414700000000003</v>
      </c>
      <c r="P9" s="7">
        <v>19.720600000000001</v>
      </c>
      <c r="Q9" s="13">
        <f t="shared" si="1"/>
        <v>38</v>
      </c>
      <c r="R9" s="11">
        <v>126</v>
      </c>
      <c r="S9" s="4"/>
      <c r="T9" s="4" t="s">
        <v>923</v>
      </c>
      <c r="U9" s="8">
        <v>1</v>
      </c>
      <c r="V9" s="14">
        <f ca="1">IF($U9="","",MOD(NOW()-admin!$B$1/24+$U9/24,1))</f>
        <v>0.65349305554991588</v>
      </c>
      <c r="W9" s="4"/>
      <c r="X9" s="4"/>
      <c r="Y9" s="4"/>
      <c r="Z9" s="4"/>
      <c r="AA9" s="4"/>
      <c r="AB9" s="4"/>
      <c r="AC9" s="4"/>
      <c r="AD9" s="4"/>
      <c r="AE9" s="4" t="s">
        <v>1032</v>
      </c>
      <c r="AF9" s="4"/>
      <c r="AG9" s="4"/>
      <c r="AH9" s="4"/>
      <c r="AI9" s="4"/>
      <c r="AJ9" s="4"/>
      <c r="AK9" s="4"/>
      <c r="AL9" s="4"/>
      <c r="AM9" s="4"/>
      <c r="AN9" s="4"/>
      <c r="AO9" s="12" t="str">
        <f>IF($A9="","",admin!$B$2&amp;"\Charts\"&amp;$A9)</f>
        <v>C:\Backups\InsiderTechSol\Aviation\Jetelio_v3\.LAYOUT\resources\Charts\LATI</v>
      </c>
      <c r="AP9" s="12" t="str">
        <f>IF($A9="","",admin!$B$2&amp;"\RunwayDiagrams\"&amp;$A9&amp;".pdf")</f>
        <v>C:\Backups\InsiderTechSol\Aviation\Jetelio_v3\.LAYOUT\resources\RunwayDiagrams\LATI.pdf</v>
      </c>
      <c r="AQ9" s="12" t="str">
        <f>IF($A9="","",admin!$B$2&amp;"\Images\"&amp;$A9)</f>
        <v>C:\Backups\InsiderTechSol\Aviation\Jetelio_v3\.LAYOUT\resources\Images\LATI</v>
      </c>
      <c r="AR9" s="12" t="str">
        <f>IF($A9="","",admin!$B$2&amp;"\CityMaps\"&amp;$A9&amp;".png")</f>
        <v>C:\Backups\InsiderTechSol\Aviation\Jetelio_v3\.LAYOUT\resources\CityMaps\LATI.png</v>
      </c>
      <c r="AS9" s="16" t="str">
        <f t="shared" si="2"/>
        <v>VISA sheet</v>
      </c>
      <c r="AT9" s="16" t="str">
        <f t="shared" si="3"/>
        <v>Vendors sheet</v>
      </c>
      <c r="AU9" s="4"/>
      <c r="AV9" s="15">
        <f t="shared" ca="1" si="4"/>
        <v>46243</v>
      </c>
      <c r="AX9" s="6"/>
      <c r="AY9" t="str">
        <f t="shared" si="5"/>
        <v>INCOMPLETE - NOT SELECTABLE AS TECH STOP</v>
      </c>
    </row>
    <row r="10" spans="1:51" x14ac:dyDescent="0.3">
      <c r="A10" s="4" t="s">
        <v>141</v>
      </c>
      <c r="B10" s="4" t="s">
        <v>142</v>
      </c>
      <c r="C10" s="4"/>
      <c r="D10" s="4"/>
      <c r="E10" s="4" t="s">
        <v>483</v>
      </c>
      <c r="F10" s="4" t="s">
        <v>82</v>
      </c>
      <c r="G10" s="4"/>
      <c r="H10" s="4" t="s">
        <v>660</v>
      </c>
      <c r="I10" s="4" t="s">
        <v>661</v>
      </c>
      <c r="J10" s="4"/>
      <c r="K10" s="4"/>
      <c r="L10" s="4"/>
      <c r="M10" s="4"/>
      <c r="N10" s="12" t="str">
        <f t="shared" si="0"/>
        <v>40°45′01″N 043°51′33″E</v>
      </c>
      <c r="O10" s="7">
        <v>40.750399999999999</v>
      </c>
      <c r="P10" s="7">
        <v>43.859299999999998</v>
      </c>
      <c r="Q10" s="13">
        <f t="shared" si="1"/>
        <v>1524</v>
      </c>
      <c r="R10" s="11">
        <v>5000</v>
      </c>
      <c r="S10" s="4"/>
      <c r="T10" s="4" t="s">
        <v>924</v>
      </c>
      <c r="U10" s="8">
        <v>4</v>
      </c>
      <c r="V10" s="14">
        <f ca="1">IF($U10="","",MOD(NOW()-admin!$B$1/24+$U10/24,1))</f>
        <v>0.77849305554991588</v>
      </c>
      <c r="W10" s="4"/>
      <c r="X10" s="4"/>
      <c r="Y10" s="4"/>
      <c r="Z10" s="4"/>
      <c r="AA10" s="4"/>
      <c r="AB10" s="4"/>
      <c r="AC10" s="4"/>
      <c r="AD10" s="4"/>
      <c r="AE10" s="4" t="s">
        <v>1033</v>
      </c>
      <c r="AF10" s="4"/>
      <c r="AG10" s="4"/>
      <c r="AH10" s="4"/>
      <c r="AI10" s="4"/>
      <c r="AJ10" s="4"/>
      <c r="AK10" s="4"/>
      <c r="AL10" s="4"/>
      <c r="AM10" s="4"/>
      <c r="AN10" s="4"/>
      <c r="AO10" s="12" t="str">
        <f>IF($A10="","",admin!$B$2&amp;"\Charts\"&amp;$A10)</f>
        <v>C:\Backups\InsiderTechSol\Aviation\Jetelio_v3\.LAYOUT\resources\Charts\UDSG</v>
      </c>
      <c r="AP10" s="12" t="str">
        <f>IF($A10="","",admin!$B$2&amp;"\RunwayDiagrams\"&amp;$A10&amp;".pdf")</f>
        <v>C:\Backups\InsiderTechSol\Aviation\Jetelio_v3\.LAYOUT\resources\RunwayDiagrams\UDSG.pdf</v>
      </c>
      <c r="AQ10" s="12" t="str">
        <f>IF($A10="","",admin!$B$2&amp;"\Images\"&amp;$A10)</f>
        <v>C:\Backups\InsiderTechSol\Aviation\Jetelio_v3\.LAYOUT\resources\Images\UDSG</v>
      </c>
      <c r="AR10" s="12" t="str">
        <f>IF($A10="","",admin!$B$2&amp;"\CityMaps\"&amp;$A10&amp;".png")</f>
        <v>C:\Backups\InsiderTechSol\Aviation\Jetelio_v3\.LAYOUT\resources\CityMaps\UDSG.png</v>
      </c>
      <c r="AS10" s="16" t="str">
        <f t="shared" si="2"/>
        <v>VISA sheet</v>
      </c>
      <c r="AT10" s="16" t="str">
        <f t="shared" si="3"/>
        <v>Vendors sheet</v>
      </c>
      <c r="AU10" s="4"/>
      <c r="AV10" s="15">
        <f t="shared" ca="1" si="4"/>
        <v>46243</v>
      </c>
      <c r="AX10" s="6"/>
      <c r="AY10" t="str">
        <f t="shared" si="5"/>
        <v>INCOMPLETE - NOT SELECTABLE AS TECH STOP</v>
      </c>
    </row>
    <row r="11" spans="1:51" x14ac:dyDescent="0.3">
      <c r="A11" s="4" t="s">
        <v>143</v>
      </c>
      <c r="B11" s="4" t="s">
        <v>144</v>
      </c>
      <c r="C11" s="4"/>
      <c r="D11" s="4"/>
      <c r="E11" s="4" t="s">
        <v>484</v>
      </c>
      <c r="F11" s="4" t="s">
        <v>82</v>
      </c>
      <c r="G11" s="4"/>
      <c r="H11" s="4" t="s">
        <v>660</v>
      </c>
      <c r="I11" s="4" t="s">
        <v>662</v>
      </c>
      <c r="J11" s="4"/>
      <c r="K11" s="4"/>
      <c r="L11" s="4"/>
      <c r="M11" s="4"/>
      <c r="N11" s="12" t="str">
        <f t="shared" si="0"/>
        <v>40°08′56″N 044°23′52″E</v>
      </c>
      <c r="O11" s="7">
        <v>40.148940000000003</v>
      </c>
      <c r="P11" s="7">
        <v>44.397889999999997</v>
      </c>
      <c r="Q11" s="13">
        <f t="shared" si="1"/>
        <v>865</v>
      </c>
      <c r="R11" s="11">
        <v>2838</v>
      </c>
      <c r="S11" s="4"/>
      <c r="T11" s="4" t="s">
        <v>924</v>
      </c>
      <c r="U11" s="8">
        <v>4</v>
      </c>
      <c r="V11" s="14">
        <f ca="1">IF($U11="","",MOD(NOW()-admin!$B$1/24+$U11/24,1))</f>
        <v>0.77849305554991588</v>
      </c>
      <c r="W11" s="4"/>
      <c r="X11" s="4"/>
      <c r="Y11" s="4"/>
      <c r="Z11" s="4"/>
      <c r="AA11" s="4"/>
      <c r="AB11" s="4"/>
      <c r="AC11" s="4"/>
      <c r="AD11" s="4"/>
      <c r="AE11" s="4" t="s">
        <v>1034</v>
      </c>
      <c r="AF11" s="4"/>
      <c r="AG11" s="4"/>
      <c r="AH11" s="4"/>
      <c r="AI11" s="4"/>
      <c r="AJ11" s="4"/>
      <c r="AK11" s="4"/>
      <c r="AL11" s="4"/>
      <c r="AM11" s="4"/>
      <c r="AN11" s="4"/>
      <c r="AO11" s="12" t="str">
        <f>IF($A11="","",admin!$B$2&amp;"\Charts\"&amp;$A11)</f>
        <v>C:\Backups\InsiderTechSol\Aviation\Jetelio_v3\.LAYOUT\resources\Charts\UDYZ</v>
      </c>
      <c r="AP11" s="12" t="str">
        <f>IF($A11="","",admin!$B$2&amp;"\RunwayDiagrams\"&amp;$A11&amp;".pdf")</f>
        <v>C:\Backups\InsiderTechSol\Aviation\Jetelio_v3\.LAYOUT\resources\RunwayDiagrams\UDYZ.pdf</v>
      </c>
      <c r="AQ11" s="12" t="str">
        <f>IF($A11="","",admin!$B$2&amp;"\Images\"&amp;$A11)</f>
        <v>C:\Backups\InsiderTechSol\Aviation\Jetelio_v3\.LAYOUT\resources\Images\UDYZ</v>
      </c>
      <c r="AR11" s="12" t="str">
        <f>IF($A11="","",admin!$B$2&amp;"\CityMaps\"&amp;$A11&amp;".png")</f>
        <v>C:\Backups\InsiderTechSol\Aviation\Jetelio_v3\.LAYOUT\resources\CityMaps\UDYZ.png</v>
      </c>
      <c r="AS11" s="16" t="str">
        <f t="shared" si="2"/>
        <v>VISA sheet</v>
      </c>
      <c r="AT11" s="16" t="str">
        <f t="shared" si="3"/>
        <v>Vendors sheet</v>
      </c>
      <c r="AU11" s="4"/>
      <c r="AV11" s="15">
        <f t="shared" ca="1" si="4"/>
        <v>46243</v>
      </c>
      <c r="AX11" s="6"/>
      <c r="AY11" t="str">
        <f t="shared" si="5"/>
        <v>INCOMPLETE - NOT SELECTABLE AS TECH STOP</v>
      </c>
    </row>
    <row r="12" spans="1:51" x14ac:dyDescent="0.3">
      <c r="A12" s="4" t="s">
        <v>145</v>
      </c>
      <c r="B12" s="4" t="s">
        <v>146</v>
      </c>
      <c r="C12" s="4"/>
      <c r="D12" s="4"/>
      <c r="E12" s="4" t="s">
        <v>485</v>
      </c>
      <c r="F12" s="4" t="s">
        <v>82</v>
      </c>
      <c r="G12" s="4"/>
      <c r="H12" s="4" t="s">
        <v>663</v>
      </c>
      <c r="I12" s="4" t="s">
        <v>664</v>
      </c>
      <c r="J12" s="4"/>
      <c r="K12" s="4"/>
      <c r="L12" s="4"/>
      <c r="M12" s="4"/>
      <c r="N12" s="12" t="str">
        <f t="shared" si="0"/>
        <v>09°03′03″S 013°29′57″E</v>
      </c>
      <c r="O12" s="7">
        <v>-9.0507299999999997</v>
      </c>
      <c r="P12" s="7">
        <v>13.499079999999999</v>
      </c>
      <c r="Q12" s="13">
        <f t="shared" si="1"/>
        <v>168</v>
      </c>
      <c r="R12" s="11">
        <v>550</v>
      </c>
      <c r="S12" s="4"/>
      <c r="T12" s="4"/>
      <c r="U12" s="8"/>
      <c r="V12" s="14" t="str">
        <f ca="1">IF($U12="","",MOD(NOW()-admin!$B$1/24+$U12/24,1))</f>
        <v/>
      </c>
      <c r="W12" s="4"/>
      <c r="X12" s="4"/>
      <c r="Y12" s="4"/>
      <c r="Z12" s="4"/>
      <c r="AA12" s="4"/>
      <c r="AB12" s="4"/>
      <c r="AC12" s="4"/>
      <c r="AD12" s="4"/>
      <c r="AE12" s="4" t="s">
        <v>1035</v>
      </c>
      <c r="AF12" s="4"/>
      <c r="AG12" s="4"/>
      <c r="AH12" s="4"/>
      <c r="AI12" s="4"/>
      <c r="AJ12" s="4"/>
      <c r="AK12" s="4"/>
      <c r="AL12" s="4"/>
      <c r="AM12" s="4"/>
      <c r="AN12" s="4"/>
      <c r="AO12" s="12" t="str">
        <f>IF($A12="","",admin!$B$2&amp;"\Charts\"&amp;$A12)</f>
        <v>C:\Backups\InsiderTechSol\Aviation\Jetelio_v3\.LAYOUT\resources\Charts\FNBJ</v>
      </c>
      <c r="AP12" s="12" t="str">
        <f>IF($A12="","",admin!$B$2&amp;"\RunwayDiagrams\"&amp;$A12&amp;".pdf")</f>
        <v>C:\Backups\InsiderTechSol\Aviation\Jetelio_v3\.LAYOUT\resources\RunwayDiagrams\FNBJ.pdf</v>
      </c>
      <c r="AQ12" s="12" t="str">
        <f>IF($A12="","",admin!$B$2&amp;"\Images\"&amp;$A12)</f>
        <v>C:\Backups\InsiderTechSol\Aviation\Jetelio_v3\.LAYOUT\resources\Images\FNBJ</v>
      </c>
      <c r="AR12" s="12" t="str">
        <f>IF($A12="","",admin!$B$2&amp;"\CityMaps\"&amp;$A12&amp;".png")</f>
        <v>C:\Backups\InsiderTechSol\Aviation\Jetelio_v3\.LAYOUT\resources\CityMaps\FNBJ.png</v>
      </c>
      <c r="AS12" s="16" t="str">
        <f t="shared" si="2"/>
        <v>VISA sheet</v>
      </c>
      <c r="AT12" s="16" t="str">
        <f t="shared" si="3"/>
        <v>Vendors sheet</v>
      </c>
      <c r="AU12" s="4"/>
      <c r="AV12" s="15">
        <f t="shared" ca="1" si="4"/>
        <v>46243</v>
      </c>
      <c r="AX12" s="6"/>
      <c r="AY12" t="str">
        <f t="shared" si="5"/>
        <v>INCOMPLETE - NOT SELECTABLE AS TECH STOP</v>
      </c>
    </row>
    <row r="13" spans="1:51" x14ac:dyDescent="0.3">
      <c r="A13" s="4" t="s">
        <v>147</v>
      </c>
      <c r="B13" s="4" t="s">
        <v>148</v>
      </c>
      <c r="C13" s="4"/>
      <c r="D13" s="4"/>
      <c r="E13" s="4" t="s">
        <v>486</v>
      </c>
      <c r="F13" s="4" t="s">
        <v>82</v>
      </c>
      <c r="G13" s="4"/>
      <c r="H13" s="4" t="s">
        <v>663</v>
      </c>
      <c r="I13" s="4" t="s">
        <v>664</v>
      </c>
      <c r="J13" s="4"/>
      <c r="K13" s="4"/>
      <c r="L13" s="4"/>
      <c r="M13" s="4"/>
      <c r="N13" s="12" t="str">
        <f t="shared" si="0"/>
        <v>08°51′30″S 013°13′52″E</v>
      </c>
      <c r="O13" s="7">
        <v>-8.8583700000000007</v>
      </c>
      <c r="P13" s="7">
        <v>13.231199999999999</v>
      </c>
      <c r="Q13" s="13">
        <f t="shared" si="1"/>
        <v>74</v>
      </c>
      <c r="R13" s="11">
        <v>243</v>
      </c>
      <c r="S13" s="4"/>
      <c r="T13" s="4" t="s">
        <v>925</v>
      </c>
      <c r="U13" s="8">
        <v>1</v>
      </c>
      <c r="V13" s="14">
        <f ca="1">IF($U13="","",MOD(NOW()-admin!$B$1/24+$U13/24,1))</f>
        <v>0.65349305554991588</v>
      </c>
      <c r="W13" s="4"/>
      <c r="X13" s="4"/>
      <c r="Y13" s="4"/>
      <c r="Z13" s="4"/>
      <c r="AA13" s="4"/>
      <c r="AB13" s="4"/>
      <c r="AC13" s="4"/>
      <c r="AD13" s="4"/>
      <c r="AE13" s="4" t="s">
        <v>1036</v>
      </c>
      <c r="AF13" s="4"/>
      <c r="AG13" s="4"/>
      <c r="AH13" s="4"/>
      <c r="AI13" s="4"/>
      <c r="AJ13" s="4"/>
      <c r="AK13" s="4"/>
      <c r="AL13" s="4"/>
      <c r="AM13" s="4"/>
      <c r="AN13" s="4"/>
      <c r="AO13" s="12" t="str">
        <f>IF($A13="","",admin!$B$2&amp;"\Charts\"&amp;$A13)</f>
        <v>C:\Backups\InsiderTechSol\Aviation\Jetelio_v3\.LAYOUT\resources\Charts\FNLU</v>
      </c>
      <c r="AP13" s="12" t="str">
        <f>IF($A13="","",admin!$B$2&amp;"\RunwayDiagrams\"&amp;$A13&amp;".pdf")</f>
        <v>C:\Backups\InsiderTechSol\Aviation\Jetelio_v3\.LAYOUT\resources\RunwayDiagrams\FNLU.pdf</v>
      </c>
      <c r="AQ13" s="12" t="str">
        <f>IF($A13="","",admin!$B$2&amp;"\Images\"&amp;$A13)</f>
        <v>C:\Backups\InsiderTechSol\Aviation\Jetelio_v3\.LAYOUT\resources\Images\FNLU</v>
      </c>
      <c r="AR13" s="12" t="str">
        <f>IF($A13="","",admin!$B$2&amp;"\CityMaps\"&amp;$A13&amp;".png")</f>
        <v>C:\Backups\InsiderTechSol\Aviation\Jetelio_v3\.LAYOUT\resources\CityMaps\FNLU.png</v>
      </c>
      <c r="AS13" s="16" t="str">
        <f t="shared" si="2"/>
        <v>VISA sheet</v>
      </c>
      <c r="AT13" s="16" t="str">
        <f t="shared" si="3"/>
        <v>Vendors sheet</v>
      </c>
      <c r="AU13" s="4"/>
      <c r="AV13" s="15">
        <f t="shared" ca="1" si="4"/>
        <v>46243</v>
      </c>
      <c r="AX13" s="6"/>
      <c r="AY13" t="str">
        <f t="shared" si="5"/>
        <v>INCOMPLETE - NOT SELECTABLE AS TECH STOP</v>
      </c>
    </row>
    <row r="14" spans="1:51" x14ac:dyDescent="0.3">
      <c r="A14" s="4" t="s">
        <v>149</v>
      </c>
      <c r="B14" s="4" t="s">
        <v>150</v>
      </c>
      <c r="C14" s="4"/>
      <c r="D14" s="4"/>
      <c r="E14" s="4" t="s">
        <v>487</v>
      </c>
      <c r="F14" s="4" t="s">
        <v>82</v>
      </c>
      <c r="G14" s="4"/>
      <c r="H14" s="4" t="s">
        <v>665</v>
      </c>
      <c r="I14" s="4" t="s">
        <v>666</v>
      </c>
      <c r="J14" s="4"/>
      <c r="K14" s="4"/>
      <c r="L14" s="4"/>
      <c r="M14" s="4"/>
      <c r="N14" s="12" t="str">
        <f t="shared" si="0"/>
        <v>32°54′13″S 060°47′06″W</v>
      </c>
      <c r="O14" s="7">
        <v>-32.903599999999997</v>
      </c>
      <c r="P14" s="7">
        <v>-60.784999999999997</v>
      </c>
      <c r="Q14" s="13">
        <f t="shared" si="1"/>
        <v>26</v>
      </c>
      <c r="R14" s="11">
        <v>85</v>
      </c>
      <c r="S14" s="4"/>
      <c r="T14" s="4" t="s">
        <v>926</v>
      </c>
      <c r="U14" s="8">
        <v>-3</v>
      </c>
      <c r="V14" s="14">
        <f ca="1">IF($U14="","",MOD(NOW()-admin!$B$1/24+$U14/24,1))</f>
        <v>0.48682638888567453</v>
      </c>
      <c r="W14" s="4"/>
      <c r="X14" s="4"/>
      <c r="Y14" s="4"/>
      <c r="Z14" s="4"/>
      <c r="AA14" s="4"/>
      <c r="AB14" s="4"/>
      <c r="AC14" s="4"/>
      <c r="AD14" s="4"/>
      <c r="AE14" s="4" t="s">
        <v>1037</v>
      </c>
      <c r="AF14" s="4"/>
      <c r="AG14" s="4"/>
      <c r="AH14" s="4"/>
      <c r="AI14" s="4"/>
      <c r="AJ14" s="4"/>
      <c r="AK14" s="4"/>
      <c r="AL14" s="4"/>
      <c r="AM14" s="4"/>
      <c r="AN14" s="4"/>
      <c r="AO14" s="12" t="str">
        <f>IF($A14="","",admin!$B$2&amp;"\Charts\"&amp;$A14)</f>
        <v>C:\Backups\InsiderTechSol\Aviation\Jetelio_v3\.LAYOUT\resources\Charts\SAAR</v>
      </c>
      <c r="AP14" s="12" t="str">
        <f>IF($A14="","",admin!$B$2&amp;"\RunwayDiagrams\"&amp;$A14&amp;".pdf")</f>
        <v>C:\Backups\InsiderTechSol\Aviation\Jetelio_v3\.LAYOUT\resources\RunwayDiagrams\SAAR.pdf</v>
      </c>
      <c r="AQ14" s="12" t="str">
        <f>IF($A14="","",admin!$B$2&amp;"\Images\"&amp;$A14)</f>
        <v>C:\Backups\InsiderTechSol\Aviation\Jetelio_v3\.LAYOUT\resources\Images\SAAR</v>
      </c>
      <c r="AR14" s="12" t="str">
        <f>IF($A14="","",admin!$B$2&amp;"\CityMaps\"&amp;$A14&amp;".png")</f>
        <v>C:\Backups\InsiderTechSol\Aviation\Jetelio_v3\.LAYOUT\resources\CityMaps\SAAR.png</v>
      </c>
      <c r="AS14" s="16" t="str">
        <f t="shared" si="2"/>
        <v>VISA sheet</v>
      </c>
      <c r="AT14" s="16" t="str">
        <f t="shared" si="3"/>
        <v>Vendors sheet</v>
      </c>
      <c r="AU14" s="4"/>
      <c r="AV14" s="15">
        <f t="shared" ca="1" si="4"/>
        <v>46243</v>
      </c>
      <c r="AX14" s="6"/>
      <c r="AY14" t="str">
        <f t="shared" si="5"/>
        <v>INCOMPLETE - NOT SELECTABLE AS TECH STOP</v>
      </c>
    </row>
    <row r="15" spans="1:51" x14ac:dyDescent="0.3">
      <c r="A15" s="4" t="s">
        <v>151</v>
      </c>
      <c r="B15" s="4" t="s">
        <v>152</v>
      </c>
      <c r="C15" s="4"/>
      <c r="D15" s="4"/>
      <c r="E15" s="4" t="s">
        <v>488</v>
      </c>
      <c r="F15" s="4" t="s">
        <v>82</v>
      </c>
      <c r="G15" s="4"/>
      <c r="H15" s="4" t="s">
        <v>665</v>
      </c>
      <c r="I15" s="4" t="s">
        <v>667</v>
      </c>
      <c r="J15" s="4"/>
      <c r="K15" s="4"/>
      <c r="L15" s="4"/>
      <c r="M15" s="4"/>
      <c r="N15" s="12" t="str">
        <f t="shared" si="0"/>
        <v>34°33′34″S 058°24′56″W</v>
      </c>
      <c r="O15" s="7">
        <v>-34.559420000000003</v>
      </c>
      <c r="P15" s="7">
        <v>-58.41554</v>
      </c>
      <c r="Q15" s="13">
        <f t="shared" si="1"/>
        <v>5</v>
      </c>
      <c r="R15" s="11">
        <v>18</v>
      </c>
      <c r="S15" s="4"/>
      <c r="T15" s="4" t="s">
        <v>927</v>
      </c>
      <c r="U15" s="8">
        <v>-3</v>
      </c>
      <c r="V15" s="14">
        <f ca="1">IF($U15="","",MOD(NOW()-admin!$B$1/24+$U15/24,1))</f>
        <v>0.48682638888567453</v>
      </c>
      <c r="W15" s="4"/>
      <c r="X15" s="4"/>
      <c r="Y15" s="4"/>
      <c r="Z15" s="4"/>
      <c r="AA15" s="4"/>
      <c r="AB15" s="4"/>
      <c r="AC15" s="4"/>
      <c r="AD15" s="4"/>
      <c r="AE15" s="4" t="s">
        <v>1038</v>
      </c>
      <c r="AF15" s="4"/>
      <c r="AG15" s="4"/>
      <c r="AH15" s="4"/>
      <c r="AI15" s="4"/>
      <c r="AJ15" s="4"/>
      <c r="AK15" s="4"/>
      <c r="AL15" s="4"/>
      <c r="AM15" s="4"/>
      <c r="AN15" s="4"/>
      <c r="AO15" s="12" t="str">
        <f>IF($A15="","",admin!$B$2&amp;"\Charts\"&amp;$A15)</f>
        <v>C:\Backups\InsiderTechSol\Aviation\Jetelio_v3\.LAYOUT\resources\Charts\SABE</v>
      </c>
      <c r="AP15" s="12" t="str">
        <f>IF($A15="","",admin!$B$2&amp;"\RunwayDiagrams\"&amp;$A15&amp;".pdf")</f>
        <v>C:\Backups\InsiderTechSol\Aviation\Jetelio_v3\.LAYOUT\resources\RunwayDiagrams\SABE.pdf</v>
      </c>
      <c r="AQ15" s="12" t="str">
        <f>IF($A15="","",admin!$B$2&amp;"\Images\"&amp;$A15)</f>
        <v>C:\Backups\InsiderTechSol\Aviation\Jetelio_v3\.LAYOUT\resources\Images\SABE</v>
      </c>
      <c r="AR15" s="12" t="str">
        <f>IF($A15="","",admin!$B$2&amp;"\CityMaps\"&amp;$A15&amp;".png")</f>
        <v>C:\Backups\InsiderTechSol\Aviation\Jetelio_v3\.LAYOUT\resources\CityMaps\SABE.png</v>
      </c>
      <c r="AS15" s="16" t="str">
        <f t="shared" si="2"/>
        <v>VISA sheet</v>
      </c>
      <c r="AT15" s="16" t="str">
        <f t="shared" si="3"/>
        <v>Vendors sheet</v>
      </c>
      <c r="AU15" s="4"/>
      <c r="AV15" s="15">
        <f t="shared" ca="1" si="4"/>
        <v>46243</v>
      </c>
      <c r="AX15" s="6"/>
      <c r="AY15" t="str">
        <f t="shared" si="5"/>
        <v>INCOMPLETE - NOT SELECTABLE AS TECH STOP</v>
      </c>
    </row>
    <row r="16" spans="1:51" x14ac:dyDescent="0.3">
      <c r="A16" s="4" t="s">
        <v>153</v>
      </c>
      <c r="B16" s="4" t="s">
        <v>154</v>
      </c>
      <c r="C16" s="4"/>
      <c r="D16" s="4"/>
      <c r="E16" s="4" t="s">
        <v>489</v>
      </c>
      <c r="F16" s="4" t="s">
        <v>82</v>
      </c>
      <c r="G16" s="4"/>
      <c r="H16" s="4" t="s">
        <v>668</v>
      </c>
      <c r="I16" s="4" t="s">
        <v>669</v>
      </c>
      <c r="J16" s="4"/>
      <c r="K16" s="4"/>
      <c r="L16" s="4"/>
      <c r="M16" s="4"/>
      <c r="N16" s="12" t="str">
        <f t="shared" si="0"/>
        <v>14°19′52″S 170°42′36″W</v>
      </c>
      <c r="O16" s="7">
        <v>-14.331</v>
      </c>
      <c r="P16" s="7">
        <v>-170.71001000000001</v>
      </c>
      <c r="Q16" s="13">
        <f t="shared" si="1"/>
        <v>10</v>
      </c>
      <c r="R16" s="11">
        <v>32</v>
      </c>
      <c r="S16" s="4"/>
      <c r="T16" s="4" t="s">
        <v>928</v>
      </c>
      <c r="U16" s="8">
        <v>-11</v>
      </c>
      <c r="V16" s="14">
        <f ca="1">IF($U16="","",MOD(NOW()-admin!$B$1/24+$U16/24,1))</f>
        <v>0.15349305554991588</v>
      </c>
      <c r="W16" s="4"/>
      <c r="X16" s="4"/>
      <c r="Y16" s="4"/>
      <c r="Z16" s="4"/>
      <c r="AA16" s="4"/>
      <c r="AB16" s="4"/>
      <c r="AC16" s="4"/>
      <c r="AD16" s="4"/>
      <c r="AE16" s="4" t="s">
        <v>1039</v>
      </c>
      <c r="AF16" s="4"/>
      <c r="AG16" s="4"/>
      <c r="AH16" s="4"/>
      <c r="AI16" s="4"/>
      <c r="AJ16" s="4"/>
      <c r="AK16" s="4"/>
      <c r="AL16" s="4"/>
      <c r="AM16" s="4"/>
      <c r="AN16" s="4"/>
      <c r="AO16" s="12" t="str">
        <f>IF($A16="","",admin!$B$2&amp;"\Charts\"&amp;$A16)</f>
        <v>C:\Backups\InsiderTechSol\Aviation\Jetelio_v3\.LAYOUT\resources\Charts\NSTU</v>
      </c>
      <c r="AP16" s="12" t="str">
        <f>IF($A16="","",admin!$B$2&amp;"\RunwayDiagrams\"&amp;$A16&amp;".pdf")</f>
        <v>C:\Backups\InsiderTechSol\Aviation\Jetelio_v3\.LAYOUT\resources\RunwayDiagrams\NSTU.pdf</v>
      </c>
      <c r="AQ16" s="12" t="str">
        <f>IF($A16="","",admin!$B$2&amp;"\Images\"&amp;$A16)</f>
        <v>C:\Backups\InsiderTechSol\Aviation\Jetelio_v3\.LAYOUT\resources\Images\NSTU</v>
      </c>
      <c r="AR16" s="12" t="str">
        <f>IF($A16="","",admin!$B$2&amp;"\CityMaps\"&amp;$A16&amp;".png")</f>
        <v>C:\Backups\InsiderTechSol\Aviation\Jetelio_v3\.LAYOUT\resources\CityMaps\NSTU.png</v>
      </c>
      <c r="AS16" s="16" t="str">
        <f t="shared" si="2"/>
        <v>VISA sheet</v>
      </c>
      <c r="AT16" s="16" t="str">
        <f t="shared" si="3"/>
        <v>Vendors sheet</v>
      </c>
      <c r="AU16" s="4"/>
      <c r="AV16" s="15">
        <f t="shared" ca="1" si="4"/>
        <v>46243</v>
      </c>
      <c r="AX16" s="6"/>
      <c r="AY16" t="str">
        <f t="shared" si="5"/>
        <v>INCOMPLETE - NOT SELECTABLE AS TECH STOP</v>
      </c>
    </row>
    <row r="17" spans="1:51" x14ac:dyDescent="0.3">
      <c r="A17" s="4" t="s">
        <v>155</v>
      </c>
      <c r="B17" s="4" t="s">
        <v>156</v>
      </c>
      <c r="C17" s="4"/>
      <c r="D17" s="4"/>
      <c r="E17" s="4" t="s">
        <v>490</v>
      </c>
      <c r="F17" s="4" t="s">
        <v>82</v>
      </c>
      <c r="G17" s="4"/>
      <c r="H17" s="4" t="s">
        <v>670</v>
      </c>
      <c r="I17" s="4" t="s">
        <v>671</v>
      </c>
      <c r="J17" s="4"/>
      <c r="K17" s="4"/>
      <c r="L17" s="4"/>
      <c r="M17" s="4"/>
      <c r="N17" s="12" t="str">
        <f t="shared" si="0"/>
        <v>46°59′28″N 015°26′23″E</v>
      </c>
      <c r="O17" s="7">
        <v>46.991100000000003</v>
      </c>
      <c r="P17" s="7">
        <v>15.4396</v>
      </c>
      <c r="Q17" s="13">
        <f t="shared" si="1"/>
        <v>340</v>
      </c>
      <c r="R17" s="11">
        <v>1115</v>
      </c>
      <c r="S17" s="4"/>
      <c r="T17" s="4" t="s">
        <v>929</v>
      </c>
      <c r="U17" s="8">
        <v>1</v>
      </c>
      <c r="V17" s="14">
        <f ca="1">IF($U17="","",MOD(NOW()-admin!$B$1/24+$U17/24,1))</f>
        <v>0.65349305554991588</v>
      </c>
      <c r="W17" s="4"/>
      <c r="X17" s="4"/>
      <c r="Y17" s="4"/>
      <c r="Z17" s="4"/>
      <c r="AA17" s="4"/>
      <c r="AB17" s="4"/>
      <c r="AC17" s="4"/>
      <c r="AD17" s="4"/>
      <c r="AE17" s="4" t="s">
        <v>1040</v>
      </c>
      <c r="AF17" s="4"/>
      <c r="AG17" s="4"/>
      <c r="AH17" s="4"/>
      <c r="AI17" s="4"/>
      <c r="AJ17" s="4"/>
      <c r="AK17" s="4"/>
      <c r="AL17" s="4"/>
      <c r="AM17" s="4"/>
      <c r="AN17" s="4"/>
      <c r="AO17" s="12" t="str">
        <f>IF($A17="","",admin!$B$2&amp;"\Charts\"&amp;$A17)</f>
        <v>C:\Backups\InsiderTechSol\Aviation\Jetelio_v3\.LAYOUT\resources\Charts\LOWG</v>
      </c>
      <c r="AP17" s="12" t="str">
        <f>IF($A17="","",admin!$B$2&amp;"\RunwayDiagrams\"&amp;$A17&amp;".pdf")</f>
        <v>C:\Backups\InsiderTechSol\Aviation\Jetelio_v3\.LAYOUT\resources\RunwayDiagrams\LOWG.pdf</v>
      </c>
      <c r="AQ17" s="12" t="str">
        <f>IF($A17="","",admin!$B$2&amp;"\Images\"&amp;$A17)</f>
        <v>C:\Backups\InsiderTechSol\Aviation\Jetelio_v3\.LAYOUT\resources\Images\LOWG</v>
      </c>
      <c r="AR17" s="12" t="str">
        <f>IF($A17="","",admin!$B$2&amp;"\CityMaps\"&amp;$A17&amp;".png")</f>
        <v>C:\Backups\InsiderTechSol\Aviation\Jetelio_v3\.LAYOUT\resources\CityMaps\LOWG.png</v>
      </c>
      <c r="AS17" s="16" t="str">
        <f t="shared" si="2"/>
        <v>VISA sheet</v>
      </c>
      <c r="AT17" s="16" t="str">
        <f t="shared" si="3"/>
        <v>Vendors sheet</v>
      </c>
      <c r="AU17" s="4"/>
      <c r="AV17" s="15">
        <f t="shared" ca="1" si="4"/>
        <v>46243</v>
      </c>
      <c r="AX17" s="6"/>
      <c r="AY17" t="str">
        <f t="shared" si="5"/>
        <v>INCOMPLETE - NOT SELECTABLE AS TECH STOP</v>
      </c>
    </row>
    <row r="18" spans="1:51" x14ac:dyDescent="0.3">
      <c r="A18" s="4" t="s">
        <v>157</v>
      </c>
      <c r="B18" s="4" t="s">
        <v>158</v>
      </c>
      <c r="C18" s="4"/>
      <c r="D18" s="4"/>
      <c r="E18" s="4" t="s">
        <v>491</v>
      </c>
      <c r="F18" s="4" t="s">
        <v>82</v>
      </c>
      <c r="G18" s="4"/>
      <c r="H18" s="4" t="s">
        <v>670</v>
      </c>
      <c r="I18" s="4" t="s">
        <v>672</v>
      </c>
      <c r="J18" s="4"/>
      <c r="K18" s="4"/>
      <c r="L18" s="4"/>
      <c r="M18" s="4"/>
      <c r="N18" s="12" t="str">
        <f t="shared" si="0"/>
        <v>47°15′37″N 011°20′38″E</v>
      </c>
      <c r="O18" s="7">
        <v>47.260199999999998</v>
      </c>
      <c r="P18" s="7">
        <v>11.343999999999999</v>
      </c>
      <c r="Q18" s="13">
        <f t="shared" si="1"/>
        <v>581</v>
      </c>
      <c r="R18" s="11">
        <v>1907</v>
      </c>
      <c r="S18" s="4"/>
      <c r="T18" s="4" t="s">
        <v>929</v>
      </c>
      <c r="U18" s="8">
        <v>1</v>
      </c>
      <c r="V18" s="14">
        <f ca="1">IF($U18="","",MOD(NOW()-admin!$B$1/24+$U18/24,1))</f>
        <v>0.65349305554991588</v>
      </c>
      <c r="W18" s="4"/>
      <c r="X18" s="4"/>
      <c r="Y18" s="4"/>
      <c r="Z18" s="4"/>
      <c r="AA18" s="4"/>
      <c r="AB18" s="4"/>
      <c r="AC18" s="4"/>
      <c r="AD18" s="4"/>
      <c r="AE18" s="4" t="s">
        <v>1041</v>
      </c>
      <c r="AF18" s="4"/>
      <c r="AG18" s="4"/>
      <c r="AH18" s="4"/>
      <c r="AI18" s="4"/>
      <c r="AJ18" s="4"/>
      <c r="AK18" s="4"/>
      <c r="AL18" s="4"/>
      <c r="AM18" s="4"/>
      <c r="AN18" s="4"/>
      <c r="AO18" s="12" t="str">
        <f>IF($A18="","",admin!$B$2&amp;"\Charts\"&amp;$A18)</f>
        <v>C:\Backups\InsiderTechSol\Aviation\Jetelio_v3\.LAYOUT\resources\Charts\LOWI</v>
      </c>
      <c r="AP18" s="12" t="str">
        <f>IF($A18="","",admin!$B$2&amp;"\RunwayDiagrams\"&amp;$A18&amp;".pdf")</f>
        <v>C:\Backups\InsiderTechSol\Aviation\Jetelio_v3\.LAYOUT\resources\RunwayDiagrams\LOWI.pdf</v>
      </c>
      <c r="AQ18" s="12" t="str">
        <f>IF($A18="","",admin!$B$2&amp;"\Images\"&amp;$A18)</f>
        <v>C:\Backups\InsiderTechSol\Aviation\Jetelio_v3\.LAYOUT\resources\Images\LOWI</v>
      </c>
      <c r="AR18" s="12" t="str">
        <f>IF($A18="","",admin!$B$2&amp;"\CityMaps\"&amp;$A18&amp;".png")</f>
        <v>C:\Backups\InsiderTechSol\Aviation\Jetelio_v3\.LAYOUT\resources\CityMaps\LOWI.png</v>
      </c>
      <c r="AS18" s="16" t="str">
        <f t="shared" si="2"/>
        <v>VISA sheet</v>
      </c>
      <c r="AT18" s="16" t="str">
        <f t="shared" si="3"/>
        <v>Vendors sheet</v>
      </c>
      <c r="AU18" s="4"/>
      <c r="AV18" s="15">
        <f t="shared" ca="1" si="4"/>
        <v>46243</v>
      </c>
      <c r="AX18" s="6"/>
      <c r="AY18" t="str">
        <f t="shared" si="5"/>
        <v>INCOMPLETE - NOT SELECTABLE AS TECH STOP</v>
      </c>
    </row>
    <row r="19" spans="1:51" x14ac:dyDescent="0.3">
      <c r="A19" s="4" t="s">
        <v>159</v>
      </c>
      <c r="B19" s="4" t="s">
        <v>160</v>
      </c>
      <c r="C19" s="4"/>
      <c r="D19" s="4"/>
      <c r="E19" s="4" t="s">
        <v>492</v>
      </c>
      <c r="F19" s="4" t="s">
        <v>82</v>
      </c>
      <c r="G19" s="4"/>
      <c r="H19" s="4" t="s">
        <v>673</v>
      </c>
      <c r="I19" s="4" t="s">
        <v>674</v>
      </c>
      <c r="J19" s="4"/>
      <c r="K19" s="4"/>
      <c r="L19" s="4"/>
      <c r="M19" s="4"/>
      <c r="N19" s="12" t="str">
        <f t="shared" si="0"/>
        <v>27°23′03″S 153°07′01″E</v>
      </c>
      <c r="O19" s="7">
        <v>-27.3842</v>
      </c>
      <c r="P19" s="7">
        <v>153.11699999999999</v>
      </c>
      <c r="Q19" s="13">
        <f t="shared" si="1"/>
        <v>4</v>
      </c>
      <c r="R19" s="11">
        <v>13</v>
      </c>
      <c r="S19" s="4"/>
      <c r="T19" s="4" t="s">
        <v>930</v>
      </c>
      <c r="U19" s="8">
        <v>10</v>
      </c>
      <c r="V19" s="14">
        <f ca="1">IF($U19="","",MOD(NOW()-admin!$B$1/24+$U19/24,1))</f>
        <v>2.849305554991588E-2</v>
      </c>
      <c r="W19" s="4"/>
      <c r="X19" s="4"/>
      <c r="Y19" s="4"/>
      <c r="Z19" s="4"/>
      <c r="AA19" s="4"/>
      <c r="AB19" s="4"/>
      <c r="AC19" s="4"/>
      <c r="AD19" s="4"/>
      <c r="AE19" s="4" t="s">
        <v>1042</v>
      </c>
      <c r="AF19" s="4"/>
      <c r="AG19" s="4"/>
      <c r="AH19" s="4"/>
      <c r="AI19" s="4"/>
      <c r="AJ19" s="4"/>
      <c r="AK19" s="4"/>
      <c r="AL19" s="4"/>
      <c r="AM19" s="4"/>
      <c r="AN19" s="4"/>
      <c r="AO19" s="12" t="str">
        <f>IF($A19="","",admin!$B$2&amp;"\Charts\"&amp;$A19)</f>
        <v>C:\Backups\InsiderTechSol\Aviation\Jetelio_v3\.LAYOUT\resources\Charts\YBBN</v>
      </c>
      <c r="AP19" s="12" t="str">
        <f>IF($A19="","",admin!$B$2&amp;"\RunwayDiagrams\"&amp;$A19&amp;".pdf")</f>
        <v>C:\Backups\InsiderTechSol\Aviation\Jetelio_v3\.LAYOUT\resources\RunwayDiagrams\YBBN.pdf</v>
      </c>
      <c r="AQ19" s="12" t="str">
        <f>IF($A19="","",admin!$B$2&amp;"\Images\"&amp;$A19)</f>
        <v>C:\Backups\InsiderTechSol\Aviation\Jetelio_v3\.LAYOUT\resources\Images\YBBN</v>
      </c>
      <c r="AR19" s="12" t="str">
        <f>IF($A19="","",admin!$B$2&amp;"\CityMaps\"&amp;$A19&amp;".png")</f>
        <v>C:\Backups\InsiderTechSol\Aviation\Jetelio_v3\.LAYOUT\resources\CityMaps\YBBN.png</v>
      </c>
      <c r="AS19" s="16" t="str">
        <f t="shared" si="2"/>
        <v>VISA sheet</v>
      </c>
      <c r="AT19" s="16" t="str">
        <f t="shared" si="3"/>
        <v>Vendors sheet</v>
      </c>
      <c r="AU19" s="4"/>
      <c r="AV19" s="15">
        <f t="shared" ca="1" si="4"/>
        <v>46243</v>
      </c>
      <c r="AX19" s="6"/>
      <c r="AY19" t="str">
        <f t="shared" si="5"/>
        <v>INCOMPLETE - NOT SELECTABLE AS TECH STOP</v>
      </c>
    </row>
    <row r="20" spans="1:51" x14ac:dyDescent="0.3">
      <c r="A20" s="4" t="s">
        <v>161</v>
      </c>
      <c r="B20" s="4" t="s">
        <v>162</v>
      </c>
      <c r="C20" s="4"/>
      <c r="D20" s="4"/>
      <c r="E20" s="4" t="s">
        <v>493</v>
      </c>
      <c r="F20" s="4" t="s">
        <v>82</v>
      </c>
      <c r="G20" s="4"/>
      <c r="H20" s="4" t="s">
        <v>673</v>
      </c>
      <c r="I20" s="4" t="s">
        <v>675</v>
      </c>
      <c r="J20" s="4"/>
      <c r="K20" s="4"/>
      <c r="L20" s="4"/>
      <c r="M20" s="4"/>
      <c r="N20" s="12" t="str">
        <f t="shared" si="0"/>
        <v>28°09′57″S 153°30′24″E</v>
      </c>
      <c r="O20" s="7">
        <v>-28.165959999999998</v>
      </c>
      <c r="P20" s="7">
        <v>153.50664</v>
      </c>
      <c r="Q20" s="13">
        <f t="shared" si="1"/>
        <v>6</v>
      </c>
      <c r="R20" s="11">
        <v>21</v>
      </c>
      <c r="S20" s="4"/>
      <c r="T20" s="4" t="s">
        <v>930</v>
      </c>
      <c r="U20" s="8">
        <v>10</v>
      </c>
      <c r="V20" s="14">
        <f ca="1">IF($U20="","",MOD(NOW()-admin!$B$1/24+$U20/24,1))</f>
        <v>2.849305554991588E-2</v>
      </c>
      <c r="W20" s="4"/>
      <c r="X20" s="4"/>
      <c r="Y20" s="4"/>
      <c r="Z20" s="4"/>
      <c r="AA20" s="4"/>
      <c r="AB20" s="4"/>
      <c r="AC20" s="4"/>
      <c r="AD20" s="4"/>
      <c r="AE20" s="4" t="s">
        <v>1043</v>
      </c>
      <c r="AF20" s="4"/>
      <c r="AG20" s="4"/>
      <c r="AH20" s="4"/>
      <c r="AI20" s="4"/>
      <c r="AJ20" s="4"/>
      <c r="AK20" s="4"/>
      <c r="AL20" s="4"/>
      <c r="AM20" s="4"/>
      <c r="AN20" s="4"/>
      <c r="AO20" s="12" t="str">
        <f>IF($A20="","",admin!$B$2&amp;"\Charts\"&amp;$A20)</f>
        <v>C:\Backups\InsiderTechSol\Aviation\Jetelio_v3\.LAYOUT\resources\Charts\YBCG</v>
      </c>
      <c r="AP20" s="12" t="str">
        <f>IF($A20="","",admin!$B$2&amp;"\RunwayDiagrams\"&amp;$A20&amp;".pdf")</f>
        <v>C:\Backups\InsiderTechSol\Aviation\Jetelio_v3\.LAYOUT\resources\RunwayDiagrams\YBCG.pdf</v>
      </c>
      <c r="AQ20" s="12" t="str">
        <f>IF($A20="","",admin!$B$2&amp;"\Images\"&amp;$A20)</f>
        <v>C:\Backups\InsiderTechSol\Aviation\Jetelio_v3\.LAYOUT\resources\Images\YBCG</v>
      </c>
      <c r="AR20" s="12" t="str">
        <f>IF($A20="","",admin!$B$2&amp;"\CityMaps\"&amp;$A20&amp;".png")</f>
        <v>C:\Backups\InsiderTechSol\Aviation\Jetelio_v3\.LAYOUT\resources\CityMaps\YBCG.png</v>
      </c>
      <c r="AS20" s="16" t="str">
        <f t="shared" si="2"/>
        <v>VISA sheet</v>
      </c>
      <c r="AT20" s="16" t="str">
        <f t="shared" si="3"/>
        <v>Vendors sheet</v>
      </c>
      <c r="AU20" s="4"/>
      <c r="AV20" s="15">
        <f t="shared" ca="1" si="4"/>
        <v>46243</v>
      </c>
      <c r="AX20" s="6"/>
      <c r="AY20" t="str">
        <f t="shared" si="5"/>
        <v>INCOMPLETE - NOT SELECTABLE AS TECH STOP</v>
      </c>
    </row>
    <row r="21" spans="1:51" x14ac:dyDescent="0.3">
      <c r="A21" s="4" t="s">
        <v>163</v>
      </c>
      <c r="B21" s="4" t="s">
        <v>164</v>
      </c>
      <c r="C21" s="4"/>
      <c r="D21" s="4"/>
      <c r="E21" s="4" t="s">
        <v>494</v>
      </c>
      <c r="F21" s="4" t="s">
        <v>82</v>
      </c>
      <c r="G21" s="4"/>
      <c r="H21" s="4" t="s">
        <v>676</v>
      </c>
      <c r="I21" s="4" t="s">
        <v>677</v>
      </c>
      <c r="J21" s="4"/>
      <c r="K21" s="4"/>
      <c r="L21" s="4"/>
      <c r="M21" s="4"/>
      <c r="N21" s="12" t="str">
        <f t="shared" si="0"/>
        <v>12°30′04″N 070°00′51″W</v>
      </c>
      <c r="O21" s="7">
        <v>12.501060000000001</v>
      </c>
      <c r="P21" s="7">
        <v>-70.014279999999999</v>
      </c>
      <c r="Q21" s="13">
        <f t="shared" si="1"/>
        <v>18</v>
      </c>
      <c r="R21" s="11">
        <v>60</v>
      </c>
      <c r="S21" s="4"/>
      <c r="T21" s="4" t="s">
        <v>931</v>
      </c>
      <c r="U21" s="8">
        <v>-4</v>
      </c>
      <c r="V21" s="14">
        <f ca="1">IF($U21="","",MOD(NOW()-admin!$B$1/24+$U21/24,1))</f>
        <v>0.44515972222143319</v>
      </c>
      <c r="W21" s="4"/>
      <c r="X21" s="4"/>
      <c r="Y21" s="4"/>
      <c r="Z21" s="4"/>
      <c r="AA21" s="4"/>
      <c r="AB21" s="4"/>
      <c r="AC21" s="4"/>
      <c r="AD21" s="4"/>
      <c r="AE21" s="4" t="s">
        <v>1044</v>
      </c>
      <c r="AF21" s="4"/>
      <c r="AG21" s="4"/>
      <c r="AH21" s="4"/>
      <c r="AI21" s="4"/>
      <c r="AJ21" s="4"/>
      <c r="AK21" s="4"/>
      <c r="AL21" s="4"/>
      <c r="AM21" s="4"/>
      <c r="AN21" s="4"/>
      <c r="AO21" s="12" t="str">
        <f>IF($A21="","",admin!$B$2&amp;"\Charts\"&amp;$A21)</f>
        <v>C:\Backups\InsiderTechSol\Aviation\Jetelio_v3\.LAYOUT\resources\Charts\TNCA</v>
      </c>
      <c r="AP21" s="12" t="str">
        <f>IF($A21="","",admin!$B$2&amp;"\RunwayDiagrams\"&amp;$A21&amp;".pdf")</f>
        <v>C:\Backups\InsiderTechSol\Aviation\Jetelio_v3\.LAYOUT\resources\RunwayDiagrams\TNCA.pdf</v>
      </c>
      <c r="AQ21" s="12" t="str">
        <f>IF($A21="","",admin!$B$2&amp;"\Images\"&amp;$A21)</f>
        <v>C:\Backups\InsiderTechSol\Aviation\Jetelio_v3\.LAYOUT\resources\Images\TNCA</v>
      </c>
      <c r="AR21" s="12" t="str">
        <f>IF($A21="","",admin!$B$2&amp;"\CityMaps\"&amp;$A21&amp;".png")</f>
        <v>C:\Backups\InsiderTechSol\Aviation\Jetelio_v3\.LAYOUT\resources\CityMaps\TNCA.png</v>
      </c>
      <c r="AS21" s="16" t="str">
        <f t="shared" si="2"/>
        <v>VISA sheet</v>
      </c>
      <c r="AT21" s="16" t="str">
        <f t="shared" si="3"/>
        <v>Vendors sheet</v>
      </c>
      <c r="AU21" s="4"/>
      <c r="AV21" s="15">
        <f t="shared" ca="1" si="4"/>
        <v>46243</v>
      </c>
      <c r="AX21" s="6"/>
      <c r="AY21" t="str">
        <f t="shared" si="5"/>
        <v>INCOMPLETE - NOT SELECTABLE AS TECH STOP</v>
      </c>
    </row>
    <row r="22" spans="1:51" x14ac:dyDescent="0.3">
      <c r="A22" s="4" t="s">
        <v>165</v>
      </c>
      <c r="B22" s="4" t="s">
        <v>166</v>
      </c>
      <c r="C22" s="4"/>
      <c r="D22" s="4"/>
      <c r="E22" s="4" t="s">
        <v>495</v>
      </c>
      <c r="F22" s="4" t="s">
        <v>82</v>
      </c>
      <c r="G22" s="4"/>
      <c r="H22" s="4" t="s">
        <v>678</v>
      </c>
      <c r="I22" s="4" t="s">
        <v>679</v>
      </c>
      <c r="J22" s="4"/>
      <c r="K22" s="4"/>
      <c r="L22" s="4"/>
      <c r="M22" s="4"/>
      <c r="N22" s="12" t="str">
        <f t="shared" si="0"/>
        <v>40°28′22″N 050°03′03″E</v>
      </c>
      <c r="O22" s="7">
        <v>40.47278</v>
      </c>
      <c r="P22" s="7">
        <v>50.050930000000001</v>
      </c>
      <c r="Q22" s="13">
        <f t="shared" si="1"/>
        <v>3</v>
      </c>
      <c r="R22" s="11">
        <v>10</v>
      </c>
      <c r="S22" s="4"/>
      <c r="T22" s="4" t="s">
        <v>932</v>
      </c>
      <c r="U22" s="8">
        <v>4</v>
      </c>
      <c r="V22" s="14">
        <f ca="1">IF($U22="","",MOD(NOW()-admin!$B$1/24+$U22/24,1))</f>
        <v>0.77849305554991588</v>
      </c>
      <c r="W22" s="4"/>
      <c r="X22" s="4"/>
      <c r="Y22" s="4"/>
      <c r="Z22" s="4"/>
      <c r="AA22" s="4"/>
      <c r="AB22" s="4"/>
      <c r="AC22" s="4"/>
      <c r="AD22" s="4"/>
      <c r="AE22" s="4" t="s">
        <v>1045</v>
      </c>
      <c r="AF22" s="4"/>
      <c r="AG22" s="4"/>
      <c r="AH22" s="4"/>
      <c r="AI22" s="4"/>
      <c r="AJ22" s="4"/>
      <c r="AK22" s="4"/>
      <c r="AL22" s="4"/>
      <c r="AM22" s="4"/>
      <c r="AN22" s="4"/>
      <c r="AO22" s="12" t="str">
        <f>IF($A22="","",admin!$B$2&amp;"\Charts\"&amp;$A22)</f>
        <v>C:\Backups\InsiderTechSol\Aviation\Jetelio_v3\.LAYOUT\resources\Charts\UBBB</v>
      </c>
      <c r="AP22" s="12" t="str">
        <f>IF($A22="","",admin!$B$2&amp;"\RunwayDiagrams\"&amp;$A22&amp;".pdf")</f>
        <v>C:\Backups\InsiderTechSol\Aviation\Jetelio_v3\.LAYOUT\resources\RunwayDiagrams\UBBB.pdf</v>
      </c>
      <c r="AQ22" s="12" t="str">
        <f>IF($A22="","",admin!$B$2&amp;"\Images\"&amp;$A22)</f>
        <v>C:\Backups\InsiderTechSol\Aviation\Jetelio_v3\.LAYOUT\resources\Images\UBBB</v>
      </c>
      <c r="AR22" s="12" t="str">
        <f>IF($A22="","",admin!$B$2&amp;"\CityMaps\"&amp;$A22&amp;".png")</f>
        <v>C:\Backups\InsiderTechSol\Aviation\Jetelio_v3\.LAYOUT\resources\CityMaps\UBBB.png</v>
      </c>
      <c r="AS22" s="16" t="str">
        <f t="shared" si="2"/>
        <v>VISA sheet</v>
      </c>
      <c r="AT22" s="16" t="str">
        <f t="shared" si="3"/>
        <v>Vendors sheet</v>
      </c>
      <c r="AU22" s="4"/>
      <c r="AV22" s="15">
        <f t="shared" ca="1" si="4"/>
        <v>46243</v>
      </c>
      <c r="AX22" s="6"/>
      <c r="AY22" t="str">
        <f t="shared" si="5"/>
        <v>INCOMPLETE - NOT SELECTABLE AS TECH STOP</v>
      </c>
    </row>
    <row r="23" spans="1:51" x14ac:dyDescent="0.3">
      <c r="A23" s="4" t="s">
        <v>167</v>
      </c>
      <c r="B23" s="4" t="s">
        <v>168</v>
      </c>
      <c r="C23" s="4"/>
      <c r="D23" s="4"/>
      <c r="E23" s="4" t="s">
        <v>496</v>
      </c>
      <c r="F23" s="4" t="s">
        <v>82</v>
      </c>
      <c r="G23" s="4"/>
      <c r="H23" s="4" t="s">
        <v>678</v>
      </c>
      <c r="I23" s="4" t="s">
        <v>680</v>
      </c>
      <c r="J23" s="4"/>
      <c r="K23" s="4"/>
      <c r="L23" s="4"/>
      <c r="M23" s="4"/>
      <c r="N23" s="12" t="str">
        <f t="shared" si="0"/>
        <v>40°44′19″N 046°19′13″E</v>
      </c>
      <c r="O23" s="7">
        <v>40.738689999999998</v>
      </c>
      <c r="P23" s="7">
        <v>46.32038</v>
      </c>
      <c r="Q23" s="13">
        <f t="shared" si="1"/>
        <v>330</v>
      </c>
      <c r="R23" s="11">
        <v>1083</v>
      </c>
      <c r="S23" s="4"/>
      <c r="T23" s="4" t="s">
        <v>932</v>
      </c>
      <c r="U23" s="8">
        <v>4</v>
      </c>
      <c r="V23" s="14">
        <f ca="1">IF($U23="","",MOD(NOW()-admin!$B$1/24+$U23/24,1))</f>
        <v>0.77849305554991588</v>
      </c>
      <c r="W23" s="4"/>
      <c r="X23" s="4"/>
      <c r="Y23" s="4"/>
      <c r="Z23" s="4"/>
      <c r="AA23" s="4"/>
      <c r="AB23" s="4"/>
      <c r="AC23" s="4"/>
      <c r="AD23" s="4"/>
      <c r="AE23" s="4" t="s">
        <v>1046</v>
      </c>
      <c r="AF23" s="4"/>
      <c r="AG23" s="4"/>
      <c r="AH23" s="4"/>
      <c r="AI23" s="4"/>
      <c r="AJ23" s="4"/>
      <c r="AK23" s="4"/>
      <c r="AL23" s="4"/>
      <c r="AM23" s="4"/>
      <c r="AN23" s="4"/>
      <c r="AO23" s="12" t="str">
        <f>IF($A23="","",admin!$B$2&amp;"\Charts\"&amp;$A23)</f>
        <v>C:\Backups\InsiderTechSol\Aviation\Jetelio_v3\.LAYOUT\resources\Charts\UBBG</v>
      </c>
      <c r="AP23" s="12" t="str">
        <f>IF($A23="","",admin!$B$2&amp;"\RunwayDiagrams\"&amp;$A23&amp;".pdf")</f>
        <v>C:\Backups\InsiderTechSol\Aviation\Jetelio_v3\.LAYOUT\resources\RunwayDiagrams\UBBG.pdf</v>
      </c>
      <c r="AQ23" s="12" t="str">
        <f>IF($A23="","",admin!$B$2&amp;"\Images\"&amp;$A23)</f>
        <v>C:\Backups\InsiderTechSol\Aviation\Jetelio_v3\.LAYOUT\resources\Images\UBBG</v>
      </c>
      <c r="AR23" s="12" t="str">
        <f>IF($A23="","",admin!$B$2&amp;"\CityMaps\"&amp;$A23&amp;".png")</f>
        <v>C:\Backups\InsiderTechSol\Aviation\Jetelio_v3\.LAYOUT\resources\CityMaps\UBBG.png</v>
      </c>
      <c r="AS23" s="16" t="str">
        <f t="shared" si="2"/>
        <v>VISA sheet</v>
      </c>
      <c r="AT23" s="16" t="str">
        <f t="shared" si="3"/>
        <v>Vendors sheet</v>
      </c>
      <c r="AU23" s="4"/>
      <c r="AV23" s="15">
        <f t="shared" ca="1" si="4"/>
        <v>46243</v>
      </c>
      <c r="AX23" s="6"/>
      <c r="AY23" t="str">
        <f t="shared" si="5"/>
        <v>INCOMPLETE - NOT SELECTABLE AS TECH STOP</v>
      </c>
    </row>
    <row r="24" spans="1:51" x14ac:dyDescent="0.3">
      <c r="A24" s="4" t="s">
        <v>169</v>
      </c>
      <c r="B24" s="4" t="s">
        <v>170</v>
      </c>
      <c r="C24" s="4"/>
      <c r="D24" s="4"/>
      <c r="E24" s="4" t="s">
        <v>497</v>
      </c>
      <c r="F24" s="4" t="s">
        <v>82</v>
      </c>
      <c r="G24" s="4"/>
      <c r="H24" s="4" t="s">
        <v>681</v>
      </c>
      <c r="I24" s="4" t="s">
        <v>682</v>
      </c>
      <c r="J24" s="4"/>
      <c r="K24" s="4"/>
      <c r="L24" s="4"/>
      <c r="M24" s="4"/>
      <c r="N24" s="12" t="str">
        <f t="shared" si="0"/>
        <v>44°56′29″N 017°17′51″E</v>
      </c>
      <c r="O24" s="7">
        <v>44.941400000000002</v>
      </c>
      <c r="P24" s="7">
        <v>17.297499999999999</v>
      </c>
      <c r="Q24" s="13">
        <f t="shared" si="1"/>
        <v>122</v>
      </c>
      <c r="R24" s="11">
        <v>400</v>
      </c>
      <c r="S24" s="4"/>
      <c r="T24" s="4" t="s">
        <v>933</v>
      </c>
      <c r="U24" s="8">
        <v>1</v>
      </c>
      <c r="V24" s="14">
        <f ca="1">IF($U24="","",MOD(NOW()-admin!$B$1/24+$U24/24,1))</f>
        <v>0.65349305554991588</v>
      </c>
      <c r="W24" s="4"/>
      <c r="X24" s="4"/>
      <c r="Y24" s="4"/>
      <c r="Z24" s="4"/>
      <c r="AA24" s="4"/>
      <c r="AB24" s="4"/>
      <c r="AC24" s="4"/>
      <c r="AD24" s="4"/>
      <c r="AE24" s="4" t="s">
        <v>1047</v>
      </c>
      <c r="AF24" s="4"/>
      <c r="AG24" s="4"/>
      <c r="AH24" s="4"/>
      <c r="AI24" s="4"/>
      <c r="AJ24" s="4"/>
      <c r="AK24" s="4"/>
      <c r="AL24" s="4"/>
      <c r="AM24" s="4"/>
      <c r="AN24" s="4"/>
      <c r="AO24" s="12" t="str">
        <f>IF($A24="","",admin!$B$2&amp;"\Charts\"&amp;$A24)</f>
        <v>C:\Backups\InsiderTechSol\Aviation\Jetelio_v3\.LAYOUT\resources\Charts\LQBK</v>
      </c>
      <c r="AP24" s="12" t="str">
        <f>IF($A24="","",admin!$B$2&amp;"\RunwayDiagrams\"&amp;$A24&amp;".pdf")</f>
        <v>C:\Backups\InsiderTechSol\Aviation\Jetelio_v3\.LAYOUT\resources\RunwayDiagrams\LQBK.pdf</v>
      </c>
      <c r="AQ24" s="12" t="str">
        <f>IF($A24="","",admin!$B$2&amp;"\Images\"&amp;$A24)</f>
        <v>C:\Backups\InsiderTechSol\Aviation\Jetelio_v3\.LAYOUT\resources\Images\LQBK</v>
      </c>
      <c r="AR24" s="12" t="str">
        <f>IF($A24="","",admin!$B$2&amp;"\CityMaps\"&amp;$A24&amp;".png")</f>
        <v>C:\Backups\InsiderTechSol\Aviation\Jetelio_v3\.LAYOUT\resources\CityMaps\LQBK.png</v>
      </c>
      <c r="AS24" s="16" t="str">
        <f t="shared" si="2"/>
        <v>VISA sheet</v>
      </c>
      <c r="AT24" s="16" t="str">
        <f t="shared" si="3"/>
        <v>Vendors sheet</v>
      </c>
      <c r="AU24" s="4"/>
      <c r="AV24" s="15">
        <f t="shared" ca="1" si="4"/>
        <v>46243</v>
      </c>
      <c r="AX24" s="6"/>
      <c r="AY24" t="str">
        <f t="shared" si="5"/>
        <v>INCOMPLETE - NOT SELECTABLE AS TECH STOP</v>
      </c>
    </row>
    <row r="25" spans="1:51" x14ac:dyDescent="0.3">
      <c r="A25" s="4" t="s">
        <v>171</v>
      </c>
      <c r="B25" s="4" t="s">
        <v>172</v>
      </c>
      <c r="C25" s="4"/>
      <c r="D25" s="4"/>
      <c r="E25" s="4" t="s">
        <v>498</v>
      </c>
      <c r="F25" s="4" t="s">
        <v>82</v>
      </c>
      <c r="G25" s="4"/>
      <c r="H25" s="4" t="s">
        <v>681</v>
      </c>
      <c r="I25" s="4" t="s">
        <v>683</v>
      </c>
      <c r="J25" s="4"/>
      <c r="K25" s="4"/>
      <c r="L25" s="4"/>
      <c r="M25" s="4"/>
      <c r="N25" s="12" t="str">
        <f t="shared" si="0"/>
        <v>43°16′57″N 017°50′46″E</v>
      </c>
      <c r="O25" s="7">
        <v>43.282490000000003</v>
      </c>
      <c r="P25" s="7">
        <v>17.8461</v>
      </c>
      <c r="Q25" s="13">
        <f t="shared" si="1"/>
        <v>48</v>
      </c>
      <c r="R25" s="11">
        <v>156</v>
      </c>
      <c r="S25" s="4"/>
      <c r="T25" s="4" t="s">
        <v>933</v>
      </c>
      <c r="U25" s="8">
        <v>1</v>
      </c>
      <c r="V25" s="14">
        <f ca="1">IF($U25="","",MOD(NOW()-admin!$B$1/24+$U25/24,1))</f>
        <v>0.65349305554991588</v>
      </c>
      <c r="W25" s="4"/>
      <c r="X25" s="4"/>
      <c r="Y25" s="4"/>
      <c r="Z25" s="4"/>
      <c r="AA25" s="4"/>
      <c r="AB25" s="4"/>
      <c r="AC25" s="4"/>
      <c r="AD25" s="4"/>
      <c r="AE25" s="4" t="s">
        <v>1048</v>
      </c>
      <c r="AF25" s="4"/>
      <c r="AG25" s="4"/>
      <c r="AH25" s="4"/>
      <c r="AI25" s="4"/>
      <c r="AJ25" s="4"/>
      <c r="AK25" s="4"/>
      <c r="AL25" s="4"/>
      <c r="AM25" s="4"/>
      <c r="AN25" s="4"/>
      <c r="AO25" s="12" t="str">
        <f>IF($A25="","",admin!$B$2&amp;"\Charts\"&amp;$A25)</f>
        <v>C:\Backups\InsiderTechSol\Aviation\Jetelio_v3\.LAYOUT\resources\Charts\LQMO</v>
      </c>
      <c r="AP25" s="12" t="str">
        <f>IF($A25="","",admin!$B$2&amp;"\RunwayDiagrams\"&amp;$A25&amp;".pdf")</f>
        <v>C:\Backups\InsiderTechSol\Aviation\Jetelio_v3\.LAYOUT\resources\RunwayDiagrams\LQMO.pdf</v>
      </c>
      <c r="AQ25" s="12" t="str">
        <f>IF($A25="","",admin!$B$2&amp;"\Images\"&amp;$A25)</f>
        <v>C:\Backups\InsiderTechSol\Aviation\Jetelio_v3\.LAYOUT\resources\Images\LQMO</v>
      </c>
      <c r="AR25" s="12" t="str">
        <f>IF($A25="","",admin!$B$2&amp;"\CityMaps\"&amp;$A25&amp;".png")</f>
        <v>C:\Backups\InsiderTechSol\Aviation\Jetelio_v3\.LAYOUT\resources\CityMaps\LQMO.png</v>
      </c>
      <c r="AS25" s="16" t="str">
        <f t="shared" si="2"/>
        <v>VISA sheet</v>
      </c>
      <c r="AT25" s="16" t="str">
        <f t="shared" si="3"/>
        <v>Vendors sheet</v>
      </c>
      <c r="AU25" s="4"/>
      <c r="AV25" s="15">
        <f t="shared" ca="1" si="4"/>
        <v>46243</v>
      </c>
      <c r="AX25" s="6"/>
      <c r="AY25" t="str">
        <f t="shared" si="5"/>
        <v>INCOMPLETE - NOT SELECTABLE AS TECH STOP</v>
      </c>
    </row>
    <row r="26" spans="1:51" x14ac:dyDescent="0.3">
      <c r="A26" s="4" t="s">
        <v>173</v>
      </c>
      <c r="B26" s="4" t="s">
        <v>174</v>
      </c>
      <c r="C26" s="4"/>
      <c r="D26" s="4"/>
      <c r="E26" s="4" t="s">
        <v>499</v>
      </c>
      <c r="F26" s="4" t="s">
        <v>82</v>
      </c>
      <c r="G26" s="4"/>
      <c r="H26" s="4" t="s">
        <v>684</v>
      </c>
      <c r="I26" s="4" t="s">
        <v>685</v>
      </c>
      <c r="J26" s="4"/>
      <c r="K26" s="4"/>
      <c r="L26" s="4"/>
      <c r="M26" s="4"/>
      <c r="N26" s="12" t="str">
        <f t="shared" si="0"/>
        <v>13°04′29″N 059°29′28″W</v>
      </c>
      <c r="O26" s="7">
        <v>13.074669999999999</v>
      </c>
      <c r="P26" s="7">
        <v>-59.491030000000002</v>
      </c>
      <c r="Q26" s="13">
        <f t="shared" si="1"/>
        <v>52</v>
      </c>
      <c r="R26" s="11">
        <v>169</v>
      </c>
      <c r="S26" s="4"/>
      <c r="T26" s="4" t="s">
        <v>934</v>
      </c>
      <c r="U26" s="8">
        <v>-4</v>
      </c>
      <c r="V26" s="14">
        <f ca="1">IF($U26="","",MOD(NOW()-admin!$B$1/24+$U26/24,1))</f>
        <v>0.44515972222143319</v>
      </c>
      <c r="W26" s="4"/>
      <c r="X26" s="4"/>
      <c r="Y26" s="4"/>
      <c r="Z26" s="4"/>
      <c r="AA26" s="4"/>
      <c r="AB26" s="4"/>
      <c r="AC26" s="4"/>
      <c r="AD26" s="4"/>
      <c r="AE26" s="4" t="s">
        <v>1049</v>
      </c>
      <c r="AF26" s="4"/>
      <c r="AG26" s="4"/>
      <c r="AH26" s="4"/>
      <c r="AI26" s="4"/>
      <c r="AJ26" s="4"/>
      <c r="AK26" s="4"/>
      <c r="AL26" s="4"/>
      <c r="AM26" s="4"/>
      <c r="AN26" s="4"/>
      <c r="AO26" s="12" t="str">
        <f>IF($A26="","",admin!$B$2&amp;"\Charts\"&amp;$A26)</f>
        <v>C:\Backups\InsiderTechSol\Aviation\Jetelio_v3\.LAYOUT\resources\Charts\TBPB</v>
      </c>
      <c r="AP26" s="12" t="str">
        <f>IF($A26="","",admin!$B$2&amp;"\RunwayDiagrams\"&amp;$A26&amp;".pdf")</f>
        <v>C:\Backups\InsiderTechSol\Aviation\Jetelio_v3\.LAYOUT\resources\RunwayDiagrams\TBPB.pdf</v>
      </c>
      <c r="AQ26" s="12" t="str">
        <f>IF($A26="","",admin!$B$2&amp;"\Images\"&amp;$A26)</f>
        <v>C:\Backups\InsiderTechSol\Aviation\Jetelio_v3\.LAYOUT\resources\Images\TBPB</v>
      </c>
      <c r="AR26" s="12" t="str">
        <f>IF($A26="","",admin!$B$2&amp;"\CityMaps\"&amp;$A26&amp;".png")</f>
        <v>C:\Backups\InsiderTechSol\Aviation\Jetelio_v3\.LAYOUT\resources\CityMaps\TBPB.png</v>
      </c>
      <c r="AS26" s="16" t="str">
        <f t="shared" si="2"/>
        <v>VISA sheet</v>
      </c>
      <c r="AT26" s="16" t="str">
        <f t="shared" si="3"/>
        <v>Vendors sheet</v>
      </c>
      <c r="AU26" s="4"/>
      <c r="AV26" s="15">
        <f t="shared" ca="1" si="4"/>
        <v>46243</v>
      </c>
      <c r="AX26" s="6"/>
      <c r="AY26" t="str">
        <f t="shared" si="5"/>
        <v>INCOMPLETE - NOT SELECTABLE AS TECH STOP</v>
      </c>
    </row>
    <row r="27" spans="1:51" x14ac:dyDescent="0.3">
      <c r="A27" s="4" t="s">
        <v>175</v>
      </c>
      <c r="B27" s="4" t="s">
        <v>176</v>
      </c>
      <c r="C27" s="4"/>
      <c r="D27" s="4"/>
      <c r="E27" s="4" t="s">
        <v>500</v>
      </c>
      <c r="F27" s="4" t="s">
        <v>82</v>
      </c>
      <c r="G27" s="4"/>
      <c r="H27" s="4" t="s">
        <v>686</v>
      </c>
      <c r="I27" s="4" t="s">
        <v>687</v>
      </c>
      <c r="J27" s="4"/>
      <c r="K27" s="4"/>
      <c r="L27" s="4"/>
      <c r="M27" s="4"/>
      <c r="N27" s="12" t="str">
        <f t="shared" si="0"/>
        <v>22°14′59″N 091°48′48″E</v>
      </c>
      <c r="O27" s="7">
        <v>22.249600000000001</v>
      </c>
      <c r="P27" s="7">
        <v>91.813299999999998</v>
      </c>
      <c r="Q27" s="13">
        <f t="shared" si="1"/>
        <v>4</v>
      </c>
      <c r="R27" s="11">
        <v>12</v>
      </c>
      <c r="S27" s="4"/>
      <c r="T27" s="4" t="s">
        <v>935</v>
      </c>
      <c r="U27" s="8">
        <v>6</v>
      </c>
      <c r="V27" s="14">
        <f ca="1">IF($U27="","",MOD(NOW()-admin!$B$1/24+$U27/24,1))</f>
        <v>0.86182638888567453</v>
      </c>
      <c r="W27" s="4"/>
      <c r="X27" s="4"/>
      <c r="Y27" s="4"/>
      <c r="Z27" s="4"/>
      <c r="AA27" s="4"/>
      <c r="AB27" s="4"/>
      <c r="AC27" s="4"/>
      <c r="AD27" s="4"/>
      <c r="AE27" s="4" t="s">
        <v>1050</v>
      </c>
      <c r="AF27" s="4"/>
      <c r="AG27" s="4"/>
      <c r="AH27" s="4"/>
      <c r="AI27" s="4"/>
      <c r="AJ27" s="4"/>
      <c r="AK27" s="4"/>
      <c r="AL27" s="4"/>
      <c r="AM27" s="4"/>
      <c r="AN27" s="4"/>
      <c r="AO27" s="12" t="str">
        <f>IF($A27="","",admin!$B$2&amp;"\Charts\"&amp;$A27)</f>
        <v>C:\Backups\InsiderTechSol\Aviation\Jetelio_v3\.LAYOUT\resources\Charts\VGEG</v>
      </c>
      <c r="AP27" s="12" t="str">
        <f>IF($A27="","",admin!$B$2&amp;"\RunwayDiagrams\"&amp;$A27&amp;".pdf")</f>
        <v>C:\Backups\InsiderTechSol\Aviation\Jetelio_v3\.LAYOUT\resources\RunwayDiagrams\VGEG.pdf</v>
      </c>
      <c r="AQ27" s="12" t="str">
        <f>IF($A27="","",admin!$B$2&amp;"\Images\"&amp;$A27)</f>
        <v>C:\Backups\InsiderTechSol\Aviation\Jetelio_v3\.LAYOUT\resources\Images\VGEG</v>
      </c>
      <c r="AR27" s="12" t="str">
        <f>IF($A27="","",admin!$B$2&amp;"\CityMaps\"&amp;$A27&amp;".png")</f>
        <v>C:\Backups\InsiderTechSol\Aviation\Jetelio_v3\.LAYOUT\resources\CityMaps\VGEG.png</v>
      </c>
      <c r="AS27" s="16" t="str">
        <f t="shared" si="2"/>
        <v>VISA sheet</v>
      </c>
      <c r="AT27" s="16" t="str">
        <f t="shared" si="3"/>
        <v>Vendors sheet</v>
      </c>
      <c r="AU27" s="4"/>
      <c r="AV27" s="15">
        <f t="shared" ca="1" si="4"/>
        <v>46243</v>
      </c>
      <c r="AX27" s="6"/>
      <c r="AY27" t="str">
        <f t="shared" si="5"/>
        <v>INCOMPLETE - NOT SELECTABLE AS TECH STOP</v>
      </c>
    </row>
    <row r="28" spans="1:51" x14ac:dyDescent="0.3">
      <c r="A28" s="4" t="s">
        <v>177</v>
      </c>
      <c r="B28" s="4" t="s">
        <v>178</v>
      </c>
      <c r="C28" s="4"/>
      <c r="D28" s="4"/>
      <c r="E28" s="4" t="s">
        <v>501</v>
      </c>
      <c r="F28" s="4" t="s">
        <v>82</v>
      </c>
      <c r="G28" s="4"/>
      <c r="H28" s="4" t="s">
        <v>686</v>
      </c>
      <c r="I28" s="4" t="s">
        <v>688</v>
      </c>
      <c r="J28" s="4"/>
      <c r="K28" s="4"/>
      <c r="L28" s="4"/>
      <c r="M28" s="4"/>
      <c r="N28" s="12" t="str">
        <f t="shared" si="0"/>
        <v>23°50′36″N 090°23′52″E</v>
      </c>
      <c r="O28" s="7">
        <v>23.843350000000001</v>
      </c>
      <c r="P28" s="7">
        <v>90.397779999999997</v>
      </c>
      <c r="Q28" s="13">
        <f t="shared" si="1"/>
        <v>9</v>
      </c>
      <c r="R28" s="11">
        <v>30</v>
      </c>
      <c r="S28" s="4"/>
      <c r="T28" s="4"/>
      <c r="U28" s="8"/>
      <c r="V28" s="14" t="str">
        <f ca="1">IF($U28="","",MOD(NOW()-admin!$B$1/24+$U28/24,1))</f>
        <v/>
      </c>
      <c r="W28" s="4"/>
      <c r="X28" s="4"/>
      <c r="Y28" s="4"/>
      <c r="Z28" s="4"/>
      <c r="AA28" s="4"/>
      <c r="AB28" s="4"/>
      <c r="AC28" s="4"/>
      <c r="AD28" s="4"/>
      <c r="AE28" s="4" t="s">
        <v>1051</v>
      </c>
      <c r="AF28" s="4"/>
      <c r="AG28" s="4"/>
      <c r="AH28" s="4"/>
      <c r="AI28" s="4"/>
      <c r="AJ28" s="4"/>
      <c r="AK28" s="4"/>
      <c r="AL28" s="4"/>
      <c r="AM28" s="4"/>
      <c r="AN28" s="4"/>
      <c r="AO28" s="12" t="str">
        <f>IF($A28="","",admin!$B$2&amp;"\Charts\"&amp;$A28)</f>
        <v>C:\Backups\InsiderTechSol\Aviation\Jetelio_v3\.LAYOUT\resources\Charts\VGHS</v>
      </c>
      <c r="AP28" s="12" t="str">
        <f>IF($A28="","",admin!$B$2&amp;"\RunwayDiagrams\"&amp;$A28&amp;".pdf")</f>
        <v>C:\Backups\InsiderTechSol\Aviation\Jetelio_v3\.LAYOUT\resources\RunwayDiagrams\VGHS.pdf</v>
      </c>
      <c r="AQ28" s="12" t="str">
        <f>IF($A28="","",admin!$B$2&amp;"\Images\"&amp;$A28)</f>
        <v>C:\Backups\InsiderTechSol\Aviation\Jetelio_v3\.LAYOUT\resources\Images\VGHS</v>
      </c>
      <c r="AR28" s="12" t="str">
        <f>IF($A28="","",admin!$B$2&amp;"\CityMaps\"&amp;$A28&amp;".png")</f>
        <v>C:\Backups\InsiderTechSol\Aviation\Jetelio_v3\.LAYOUT\resources\CityMaps\VGHS.png</v>
      </c>
      <c r="AS28" s="16" t="str">
        <f t="shared" si="2"/>
        <v>VISA sheet</v>
      </c>
      <c r="AT28" s="16" t="str">
        <f t="shared" si="3"/>
        <v>Vendors sheet</v>
      </c>
      <c r="AU28" s="4"/>
      <c r="AV28" s="15">
        <f t="shared" ca="1" si="4"/>
        <v>46243</v>
      </c>
      <c r="AX28" s="6"/>
      <c r="AY28" t="str">
        <f t="shared" si="5"/>
        <v>INCOMPLETE - NOT SELECTABLE AS TECH STOP</v>
      </c>
    </row>
    <row r="29" spans="1:51" x14ac:dyDescent="0.3">
      <c r="A29" s="4" t="s">
        <v>179</v>
      </c>
      <c r="B29" s="4" t="s">
        <v>180</v>
      </c>
      <c r="C29" s="4"/>
      <c r="D29" s="4"/>
      <c r="E29" s="4" t="s">
        <v>502</v>
      </c>
      <c r="F29" s="4" t="s">
        <v>82</v>
      </c>
      <c r="G29" s="4"/>
      <c r="H29" s="4" t="s">
        <v>689</v>
      </c>
      <c r="I29" s="4" t="s">
        <v>690</v>
      </c>
      <c r="J29" s="4"/>
      <c r="K29" s="4"/>
      <c r="L29" s="4"/>
      <c r="M29" s="4"/>
      <c r="N29" s="12" t="str">
        <f t="shared" si="0"/>
        <v>50°54′05″N 004°29′04″E</v>
      </c>
      <c r="O29" s="7">
        <v>50.901400000000002</v>
      </c>
      <c r="P29" s="7">
        <v>4.4844400000000002</v>
      </c>
      <c r="Q29" s="13">
        <f t="shared" si="1"/>
        <v>53</v>
      </c>
      <c r="R29" s="11">
        <v>175</v>
      </c>
      <c r="S29" s="4"/>
      <c r="T29" s="4" t="s">
        <v>936</v>
      </c>
      <c r="U29" s="8">
        <v>1</v>
      </c>
      <c r="V29" s="14">
        <f ca="1">IF($U29="","",MOD(NOW()-admin!$B$1/24+$U29/24,1))</f>
        <v>0.65349305554991588</v>
      </c>
      <c r="W29" s="4"/>
      <c r="X29" s="4"/>
      <c r="Y29" s="4"/>
      <c r="Z29" s="4"/>
      <c r="AA29" s="4"/>
      <c r="AB29" s="4"/>
      <c r="AC29" s="4"/>
      <c r="AD29" s="4"/>
      <c r="AE29" s="4" t="s">
        <v>1052</v>
      </c>
      <c r="AF29" s="4"/>
      <c r="AG29" s="4"/>
      <c r="AH29" s="4"/>
      <c r="AI29" s="4"/>
      <c r="AJ29" s="4"/>
      <c r="AK29" s="4"/>
      <c r="AL29" s="4"/>
      <c r="AM29" s="4"/>
      <c r="AN29" s="4"/>
      <c r="AO29" s="12" t="str">
        <f>IF($A29="","",admin!$B$2&amp;"\Charts\"&amp;$A29)</f>
        <v>C:\Backups\InsiderTechSol\Aviation\Jetelio_v3\.LAYOUT\resources\Charts\EBBR</v>
      </c>
      <c r="AP29" s="12" t="str">
        <f>IF($A29="","",admin!$B$2&amp;"\RunwayDiagrams\"&amp;$A29&amp;".pdf")</f>
        <v>C:\Backups\InsiderTechSol\Aviation\Jetelio_v3\.LAYOUT\resources\RunwayDiagrams\EBBR.pdf</v>
      </c>
      <c r="AQ29" s="12" t="str">
        <f>IF($A29="","",admin!$B$2&amp;"\Images\"&amp;$A29)</f>
        <v>C:\Backups\InsiderTechSol\Aviation\Jetelio_v3\.LAYOUT\resources\Images\EBBR</v>
      </c>
      <c r="AR29" s="12" t="str">
        <f>IF($A29="","",admin!$B$2&amp;"\CityMaps\"&amp;$A29&amp;".png")</f>
        <v>C:\Backups\InsiderTechSol\Aviation\Jetelio_v3\.LAYOUT\resources\CityMaps\EBBR.png</v>
      </c>
      <c r="AS29" s="16" t="str">
        <f t="shared" si="2"/>
        <v>VISA sheet</v>
      </c>
      <c r="AT29" s="16" t="str">
        <f t="shared" si="3"/>
        <v>Vendors sheet</v>
      </c>
      <c r="AU29" s="4"/>
      <c r="AV29" s="15">
        <f t="shared" ca="1" si="4"/>
        <v>46243</v>
      </c>
      <c r="AX29" s="6"/>
      <c r="AY29" t="str">
        <f t="shared" si="5"/>
        <v>INCOMPLETE - NOT SELECTABLE AS TECH STOP</v>
      </c>
    </row>
    <row r="30" spans="1:51" x14ac:dyDescent="0.3">
      <c r="A30" s="4" t="s">
        <v>181</v>
      </c>
      <c r="B30" s="4" t="s">
        <v>182</v>
      </c>
      <c r="C30" s="4"/>
      <c r="D30" s="4"/>
      <c r="E30" s="4" t="s">
        <v>503</v>
      </c>
      <c r="F30" s="4" t="s">
        <v>82</v>
      </c>
      <c r="G30" s="4"/>
      <c r="H30" s="4" t="s">
        <v>689</v>
      </c>
      <c r="I30" s="4" t="s">
        <v>691</v>
      </c>
      <c r="J30" s="4"/>
      <c r="K30" s="4"/>
      <c r="L30" s="4"/>
      <c r="M30" s="4"/>
      <c r="N30" s="12" t="str">
        <f t="shared" si="0"/>
        <v>50°27′43″N 004°27′34″E</v>
      </c>
      <c r="O30" s="7">
        <v>50.461959999999998</v>
      </c>
      <c r="P30" s="7">
        <v>4.4595599999999997</v>
      </c>
      <c r="Q30" s="13">
        <f t="shared" si="1"/>
        <v>187</v>
      </c>
      <c r="R30" s="11">
        <v>614</v>
      </c>
      <c r="S30" s="4"/>
      <c r="T30" s="4" t="s">
        <v>936</v>
      </c>
      <c r="U30" s="8">
        <v>1</v>
      </c>
      <c r="V30" s="14">
        <f ca="1">IF($U30="","",MOD(NOW()-admin!$B$1/24+$U30/24,1))</f>
        <v>0.65349305554991588</v>
      </c>
      <c r="W30" s="4"/>
      <c r="X30" s="4"/>
      <c r="Y30" s="4"/>
      <c r="Z30" s="4"/>
      <c r="AA30" s="4"/>
      <c r="AB30" s="4"/>
      <c r="AC30" s="4"/>
      <c r="AD30" s="4"/>
      <c r="AE30" s="4" t="s">
        <v>1053</v>
      </c>
      <c r="AF30" s="4"/>
      <c r="AG30" s="4"/>
      <c r="AH30" s="4"/>
      <c r="AI30" s="4"/>
      <c r="AJ30" s="4"/>
      <c r="AK30" s="4"/>
      <c r="AL30" s="4"/>
      <c r="AM30" s="4"/>
      <c r="AN30" s="4"/>
      <c r="AO30" s="12" t="str">
        <f>IF($A30="","",admin!$B$2&amp;"\Charts\"&amp;$A30)</f>
        <v>C:\Backups\InsiderTechSol\Aviation\Jetelio_v3\.LAYOUT\resources\Charts\EBCI</v>
      </c>
      <c r="AP30" s="12" t="str">
        <f>IF($A30="","",admin!$B$2&amp;"\RunwayDiagrams\"&amp;$A30&amp;".pdf")</f>
        <v>C:\Backups\InsiderTechSol\Aviation\Jetelio_v3\.LAYOUT\resources\RunwayDiagrams\EBCI.pdf</v>
      </c>
      <c r="AQ30" s="12" t="str">
        <f>IF($A30="","",admin!$B$2&amp;"\Images\"&amp;$A30)</f>
        <v>C:\Backups\InsiderTechSol\Aviation\Jetelio_v3\.LAYOUT\resources\Images\EBCI</v>
      </c>
      <c r="AR30" s="12" t="str">
        <f>IF($A30="","",admin!$B$2&amp;"\CityMaps\"&amp;$A30&amp;".png")</f>
        <v>C:\Backups\InsiderTechSol\Aviation\Jetelio_v3\.LAYOUT\resources\CityMaps\EBCI.png</v>
      </c>
      <c r="AS30" s="16" t="str">
        <f t="shared" si="2"/>
        <v>VISA sheet</v>
      </c>
      <c r="AT30" s="16" t="str">
        <f t="shared" si="3"/>
        <v>Vendors sheet</v>
      </c>
      <c r="AU30" s="4"/>
      <c r="AV30" s="15">
        <f t="shared" ca="1" si="4"/>
        <v>46243</v>
      </c>
      <c r="AX30" s="6"/>
      <c r="AY30" t="str">
        <f t="shared" si="5"/>
        <v>INCOMPLETE - NOT SELECTABLE AS TECH STOP</v>
      </c>
    </row>
    <row r="31" spans="1:51" x14ac:dyDescent="0.3">
      <c r="A31" s="4" t="s">
        <v>183</v>
      </c>
      <c r="B31" s="4" t="s">
        <v>184</v>
      </c>
      <c r="C31" s="4"/>
      <c r="D31" s="4"/>
      <c r="E31" s="4" t="s">
        <v>504</v>
      </c>
      <c r="F31" s="4" t="s">
        <v>82</v>
      </c>
      <c r="G31" s="4"/>
      <c r="H31" s="4" t="s">
        <v>692</v>
      </c>
      <c r="I31" s="4" t="s">
        <v>693</v>
      </c>
      <c r="J31" s="4"/>
      <c r="K31" s="4"/>
      <c r="L31" s="4"/>
      <c r="M31" s="4"/>
      <c r="N31" s="12" t="str">
        <f t="shared" si="0"/>
        <v>12°21′12″N 001°30′45″W</v>
      </c>
      <c r="O31" s="7">
        <v>12.353199999999999</v>
      </c>
      <c r="P31" s="7">
        <v>-1.5124200000000001</v>
      </c>
      <c r="Q31" s="13">
        <f t="shared" si="1"/>
        <v>316</v>
      </c>
      <c r="R31" s="11">
        <v>1037</v>
      </c>
      <c r="S31" s="4"/>
      <c r="T31" s="4" t="s">
        <v>937</v>
      </c>
      <c r="U31" s="8">
        <v>0</v>
      </c>
      <c r="V31" s="14">
        <f ca="1">IF($U31="","",MOD(NOW()-admin!$B$1/24+$U31/24,1))</f>
        <v>0.61182638888567453</v>
      </c>
      <c r="W31" s="4"/>
      <c r="X31" s="4"/>
      <c r="Y31" s="4"/>
      <c r="Z31" s="4"/>
      <c r="AA31" s="4"/>
      <c r="AB31" s="4"/>
      <c r="AC31" s="4"/>
      <c r="AD31" s="4"/>
      <c r="AE31" s="4" t="s">
        <v>1054</v>
      </c>
      <c r="AF31" s="4"/>
      <c r="AG31" s="4"/>
      <c r="AH31" s="4"/>
      <c r="AI31" s="4"/>
      <c r="AJ31" s="4"/>
      <c r="AK31" s="4"/>
      <c r="AL31" s="4"/>
      <c r="AM31" s="4"/>
      <c r="AN31" s="4"/>
      <c r="AO31" s="12" t="str">
        <f>IF($A31="","",admin!$B$2&amp;"\Charts\"&amp;$A31)</f>
        <v>C:\Backups\InsiderTechSol\Aviation\Jetelio_v3\.LAYOUT\resources\Charts\DFFD</v>
      </c>
      <c r="AP31" s="12" t="str">
        <f>IF($A31="","",admin!$B$2&amp;"\RunwayDiagrams\"&amp;$A31&amp;".pdf")</f>
        <v>C:\Backups\InsiderTechSol\Aviation\Jetelio_v3\.LAYOUT\resources\RunwayDiagrams\DFFD.pdf</v>
      </c>
      <c r="AQ31" s="12" t="str">
        <f>IF($A31="","",admin!$B$2&amp;"\Images\"&amp;$A31)</f>
        <v>C:\Backups\InsiderTechSol\Aviation\Jetelio_v3\.LAYOUT\resources\Images\DFFD</v>
      </c>
      <c r="AR31" s="12" t="str">
        <f>IF($A31="","",admin!$B$2&amp;"\CityMaps\"&amp;$A31&amp;".png")</f>
        <v>C:\Backups\InsiderTechSol\Aviation\Jetelio_v3\.LAYOUT\resources\CityMaps\DFFD.png</v>
      </c>
      <c r="AS31" s="16" t="str">
        <f t="shared" si="2"/>
        <v>VISA sheet</v>
      </c>
      <c r="AT31" s="16" t="str">
        <f t="shared" si="3"/>
        <v>Vendors sheet</v>
      </c>
      <c r="AU31" s="4"/>
      <c r="AV31" s="15">
        <f t="shared" ca="1" si="4"/>
        <v>46243</v>
      </c>
      <c r="AX31" s="6"/>
      <c r="AY31" t="str">
        <f t="shared" si="5"/>
        <v>INCOMPLETE - NOT SELECTABLE AS TECH STOP</v>
      </c>
    </row>
    <row r="32" spans="1:51" x14ac:dyDescent="0.3">
      <c r="A32" s="4" t="s">
        <v>185</v>
      </c>
      <c r="B32" s="4" t="s">
        <v>186</v>
      </c>
      <c r="C32" s="4"/>
      <c r="D32" s="4"/>
      <c r="E32" s="4" t="s">
        <v>505</v>
      </c>
      <c r="F32" s="4" t="s">
        <v>82</v>
      </c>
      <c r="G32" s="4"/>
      <c r="H32" s="4" t="s">
        <v>692</v>
      </c>
      <c r="I32" s="4" t="s">
        <v>694</v>
      </c>
      <c r="J32" s="4"/>
      <c r="K32" s="4"/>
      <c r="L32" s="4"/>
      <c r="M32" s="4"/>
      <c r="N32" s="12" t="str">
        <f t="shared" si="0"/>
        <v>11°09′36″N 004°19′51″W</v>
      </c>
      <c r="O32" s="7">
        <v>11.1601</v>
      </c>
      <c r="P32" s="7">
        <v>-4.3309699999999998</v>
      </c>
      <c r="Q32" s="13">
        <f t="shared" si="1"/>
        <v>461</v>
      </c>
      <c r="R32" s="11">
        <v>1511</v>
      </c>
      <c r="S32" s="4"/>
      <c r="T32" s="4" t="s">
        <v>937</v>
      </c>
      <c r="U32" s="8">
        <v>0</v>
      </c>
      <c r="V32" s="14">
        <f ca="1">IF($U32="","",MOD(NOW()-admin!$B$1/24+$U32/24,1))</f>
        <v>0.61182638888567453</v>
      </c>
      <c r="W32" s="4"/>
      <c r="X32" s="4"/>
      <c r="Y32" s="4"/>
      <c r="Z32" s="4"/>
      <c r="AA32" s="4"/>
      <c r="AB32" s="4"/>
      <c r="AC32" s="4"/>
      <c r="AD32" s="4"/>
      <c r="AE32" s="4" t="s">
        <v>1055</v>
      </c>
      <c r="AF32" s="4"/>
      <c r="AG32" s="4"/>
      <c r="AH32" s="4"/>
      <c r="AI32" s="4"/>
      <c r="AJ32" s="4"/>
      <c r="AK32" s="4"/>
      <c r="AL32" s="4"/>
      <c r="AM32" s="4"/>
      <c r="AN32" s="4"/>
      <c r="AO32" s="12" t="str">
        <f>IF($A32="","",admin!$B$2&amp;"\Charts\"&amp;$A32)</f>
        <v>C:\Backups\InsiderTechSol\Aviation\Jetelio_v3\.LAYOUT\resources\Charts\DFOO</v>
      </c>
      <c r="AP32" s="12" t="str">
        <f>IF($A32="","",admin!$B$2&amp;"\RunwayDiagrams\"&amp;$A32&amp;".pdf")</f>
        <v>C:\Backups\InsiderTechSol\Aviation\Jetelio_v3\.LAYOUT\resources\RunwayDiagrams\DFOO.pdf</v>
      </c>
      <c r="AQ32" s="12" t="str">
        <f>IF($A32="","",admin!$B$2&amp;"\Images\"&amp;$A32)</f>
        <v>C:\Backups\InsiderTechSol\Aviation\Jetelio_v3\.LAYOUT\resources\Images\DFOO</v>
      </c>
      <c r="AR32" s="12" t="str">
        <f>IF($A32="","",admin!$B$2&amp;"\CityMaps\"&amp;$A32&amp;".png")</f>
        <v>C:\Backups\InsiderTechSol\Aviation\Jetelio_v3\.LAYOUT\resources\CityMaps\DFOO.png</v>
      </c>
      <c r="AS32" s="16" t="str">
        <f t="shared" si="2"/>
        <v>VISA sheet</v>
      </c>
      <c r="AT32" s="16" t="str">
        <f t="shared" si="3"/>
        <v>Vendors sheet</v>
      </c>
      <c r="AU32" s="4"/>
      <c r="AV32" s="15">
        <f t="shared" ca="1" si="4"/>
        <v>46243</v>
      </c>
      <c r="AX32" s="6"/>
      <c r="AY32" t="str">
        <f t="shared" si="5"/>
        <v>INCOMPLETE - NOT SELECTABLE AS TECH STOP</v>
      </c>
    </row>
    <row r="33" spans="1:51" x14ac:dyDescent="0.3">
      <c r="A33" s="4" t="s">
        <v>187</v>
      </c>
      <c r="B33" s="4" t="s">
        <v>188</v>
      </c>
      <c r="C33" s="4"/>
      <c r="D33" s="4"/>
      <c r="E33" s="4" t="s">
        <v>506</v>
      </c>
      <c r="F33" s="4" t="s">
        <v>82</v>
      </c>
      <c r="G33" s="4"/>
      <c r="H33" s="4" t="s">
        <v>695</v>
      </c>
      <c r="I33" s="4" t="s">
        <v>696</v>
      </c>
      <c r="J33" s="4"/>
      <c r="K33" s="4"/>
      <c r="L33" s="4"/>
      <c r="M33" s="4"/>
      <c r="N33" s="12" t="str">
        <f t="shared" si="0"/>
        <v>42°34′12″N 027°30′55″E</v>
      </c>
      <c r="O33" s="7">
        <v>42.569920000000003</v>
      </c>
      <c r="P33" s="7">
        <v>27.515170000000001</v>
      </c>
      <c r="Q33" s="13">
        <f t="shared" si="1"/>
        <v>41</v>
      </c>
      <c r="R33" s="11">
        <v>135</v>
      </c>
      <c r="S33" s="4"/>
      <c r="T33" s="4" t="s">
        <v>938</v>
      </c>
      <c r="U33" s="8">
        <v>2</v>
      </c>
      <c r="V33" s="14">
        <f ca="1">IF($U33="","",MOD(NOW()-admin!$B$1/24+$U33/24,1))</f>
        <v>0.69515972222143319</v>
      </c>
      <c r="W33" s="4"/>
      <c r="X33" s="4"/>
      <c r="Y33" s="4"/>
      <c r="Z33" s="4"/>
      <c r="AA33" s="4"/>
      <c r="AB33" s="4"/>
      <c r="AC33" s="4"/>
      <c r="AD33" s="4"/>
      <c r="AE33" s="4" t="s">
        <v>1056</v>
      </c>
      <c r="AF33" s="4"/>
      <c r="AG33" s="4"/>
      <c r="AH33" s="4"/>
      <c r="AI33" s="4"/>
      <c r="AJ33" s="4"/>
      <c r="AK33" s="4"/>
      <c r="AL33" s="4"/>
      <c r="AM33" s="4"/>
      <c r="AN33" s="4"/>
      <c r="AO33" s="12" t="str">
        <f>IF($A33="","",admin!$B$2&amp;"\Charts\"&amp;$A33)</f>
        <v>C:\Backups\InsiderTechSol\Aviation\Jetelio_v3\.LAYOUT\resources\Charts\LBBG</v>
      </c>
      <c r="AP33" s="12" t="str">
        <f>IF($A33="","",admin!$B$2&amp;"\RunwayDiagrams\"&amp;$A33&amp;".pdf")</f>
        <v>C:\Backups\InsiderTechSol\Aviation\Jetelio_v3\.LAYOUT\resources\RunwayDiagrams\LBBG.pdf</v>
      </c>
      <c r="AQ33" s="12" t="str">
        <f>IF($A33="","",admin!$B$2&amp;"\Images\"&amp;$A33)</f>
        <v>C:\Backups\InsiderTechSol\Aviation\Jetelio_v3\.LAYOUT\resources\Images\LBBG</v>
      </c>
      <c r="AR33" s="12" t="str">
        <f>IF($A33="","",admin!$B$2&amp;"\CityMaps\"&amp;$A33&amp;".png")</f>
        <v>C:\Backups\InsiderTechSol\Aviation\Jetelio_v3\.LAYOUT\resources\CityMaps\LBBG.png</v>
      </c>
      <c r="AS33" s="16" t="str">
        <f t="shared" si="2"/>
        <v>VISA sheet</v>
      </c>
      <c r="AT33" s="16" t="str">
        <f t="shared" si="3"/>
        <v>Vendors sheet</v>
      </c>
      <c r="AU33" s="4"/>
      <c r="AV33" s="15">
        <f t="shared" ca="1" si="4"/>
        <v>46243</v>
      </c>
      <c r="AX33" s="6"/>
      <c r="AY33" t="str">
        <f t="shared" si="5"/>
        <v>INCOMPLETE - NOT SELECTABLE AS TECH STOP</v>
      </c>
    </row>
    <row r="34" spans="1:51" x14ac:dyDescent="0.3">
      <c r="A34" s="4" t="s">
        <v>189</v>
      </c>
      <c r="B34" s="4" t="s">
        <v>190</v>
      </c>
      <c r="C34" s="4"/>
      <c r="D34" s="4"/>
      <c r="E34" s="4" t="s">
        <v>507</v>
      </c>
      <c r="F34" s="4" t="s">
        <v>82</v>
      </c>
      <c r="G34" s="4"/>
      <c r="H34" s="4" t="s">
        <v>695</v>
      </c>
      <c r="I34" s="4" t="s">
        <v>697</v>
      </c>
      <c r="J34" s="4"/>
      <c r="K34" s="4"/>
      <c r="L34" s="4"/>
      <c r="M34" s="4"/>
      <c r="N34" s="12" t="str">
        <f t="shared" si="0"/>
        <v>42°04′04″N 024°51′03″E</v>
      </c>
      <c r="O34" s="7">
        <v>42.067799999999998</v>
      </c>
      <c r="P34" s="7">
        <v>24.8508</v>
      </c>
      <c r="Q34" s="13">
        <f t="shared" si="1"/>
        <v>182</v>
      </c>
      <c r="R34" s="11">
        <v>597</v>
      </c>
      <c r="S34" s="4"/>
      <c r="T34" s="4" t="s">
        <v>938</v>
      </c>
      <c r="U34" s="8">
        <v>2</v>
      </c>
      <c r="V34" s="14">
        <f ca="1">IF($U34="","",MOD(NOW()-admin!$B$1/24+$U34/24,1))</f>
        <v>0.69515972222143319</v>
      </c>
      <c r="W34" s="4"/>
      <c r="X34" s="4"/>
      <c r="Y34" s="4"/>
      <c r="Z34" s="4"/>
      <c r="AA34" s="4"/>
      <c r="AB34" s="4"/>
      <c r="AC34" s="4"/>
      <c r="AD34" s="4"/>
      <c r="AE34" s="4" t="s">
        <v>1057</v>
      </c>
      <c r="AF34" s="4"/>
      <c r="AG34" s="4"/>
      <c r="AH34" s="4"/>
      <c r="AI34" s="4"/>
      <c r="AJ34" s="4"/>
      <c r="AK34" s="4"/>
      <c r="AL34" s="4"/>
      <c r="AM34" s="4"/>
      <c r="AN34" s="4"/>
      <c r="AO34" s="12" t="str">
        <f>IF($A34="","",admin!$B$2&amp;"\Charts\"&amp;$A34)</f>
        <v>C:\Backups\InsiderTechSol\Aviation\Jetelio_v3\.LAYOUT\resources\Charts\LBPD</v>
      </c>
      <c r="AP34" s="12" t="str">
        <f>IF($A34="","",admin!$B$2&amp;"\RunwayDiagrams\"&amp;$A34&amp;".pdf")</f>
        <v>C:\Backups\InsiderTechSol\Aviation\Jetelio_v3\.LAYOUT\resources\RunwayDiagrams\LBPD.pdf</v>
      </c>
      <c r="AQ34" s="12" t="str">
        <f>IF($A34="","",admin!$B$2&amp;"\Images\"&amp;$A34)</f>
        <v>C:\Backups\InsiderTechSol\Aviation\Jetelio_v3\.LAYOUT\resources\Images\LBPD</v>
      </c>
      <c r="AR34" s="12" t="str">
        <f>IF($A34="","",admin!$B$2&amp;"\CityMaps\"&amp;$A34&amp;".png")</f>
        <v>C:\Backups\InsiderTechSol\Aviation\Jetelio_v3\.LAYOUT\resources\CityMaps\LBPD.png</v>
      </c>
      <c r="AS34" s="16" t="str">
        <f t="shared" si="2"/>
        <v>VISA sheet</v>
      </c>
      <c r="AT34" s="16" t="str">
        <f t="shared" si="3"/>
        <v>Vendors sheet</v>
      </c>
      <c r="AU34" s="4"/>
      <c r="AV34" s="15">
        <f t="shared" ca="1" si="4"/>
        <v>46243</v>
      </c>
      <c r="AX34" s="6"/>
      <c r="AY34" t="str">
        <f t="shared" si="5"/>
        <v>INCOMPLETE - NOT SELECTABLE AS TECH STOP</v>
      </c>
    </row>
    <row r="35" spans="1:51" x14ac:dyDescent="0.3">
      <c r="A35" s="4" t="s">
        <v>191</v>
      </c>
      <c r="B35" s="4" t="s">
        <v>192</v>
      </c>
      <c r="C35" s="4"/>
      <c r="D35" s="4"/>
      <c r="E35" s="4" t="s">
        <v>508</v>
      </c>
      <c r="F35" s="4" t="s">
        <v>82</v>
      </c>
      <c r="G35" s="4"/>
      <c r="H35" s="4" t="s">
        <v>698</v>
      </c>
      <c r="I35" s="4" t="s">
        <v>699</v>
      </c>
      <c r="J35" s="4"/>
      <c r="K35" s="4"/>
      <c r="L35" s="4"/>
      <c r="M35" s="4"/>
      <c r="N35" s="12" t="str">
        <f t="shared" si="0"/>
        <v>26°16′02″N 050°38′16″E</v>
      </c>
      <c r="O35" s="7">
        <v>26.267299999999999</v>
      </c>
      <c r="P35" s="7">
        <v>50.637639999999998</v>
      </c>
      <c r="Q35" s="13">
        <f t="shared" si="1"/>
        <v>2</v>
      </c>
      <c r="R35" s="11">
        <v>6</v>
      </c>
      <c r="S35" s="4"/>
      <c r="T35" s="4" t="s">
        <v>939</v>
      </c>
      <c r="U35" s="8">
        <v>3</v>
      </c>
      <c r="V35" s="14">
        <f ca="1">IF($U35="","",MOD(NOW()-admin!$B$1/24+$U35/24,1))</f>
        <v>0.73682638888567453</v>
      </c>
      <c r="W35" s="4"/>
      <c r="X35" s="4"/>
      <c r="Y35" s="4"/>
      <c r="Z35" s="4"/>
      <c r="AA35" s="4"/>
      <c r="AB35" s="4"/>
      <c r="AC35" s="4"/>
      <c r="AD35" s="4"/>
      <c r="AE35" s="4" t="s">
        <v>1058</v>
      </c>
      <c r="AF35" s="4"/>
      <c r="AG35" s="4"/>
      <c r="AH35" s="4"/>
      <c r="AI35" s="4"/>
      <c r="AJ35" s="4"/>
      <c r="AK35" s="4"/>
      <c r="AL35" s="4"/>
      <c r="AM35" s="4"/>
      <c r="AN35" s="4"/>
      <c r="AO35" s="12" t="str">
        <f>IF($A35="","",admin!$B$2&amp;"\Charts\"&amp;$A35)</f>
        <v>C:\Backups\InsiderTechSol\Aviation\Jetelio_v3\.LAYOUT\resources\Charts\OBBI</v>
      </c>
      <c r="AP35" s="12" t="str">
        <f>IF($A35="","",admin!$B$2&amp;"\RunwayDiagrams\"&amp;$A35&amp;".pdf")</f>
        <v>C:\Backups\InsiderTechSol\Aviation\Jetelio_v3\.LAYOUT\resources\RunwayDiagrams\OBBI.pdf</v>
      </c>
      <c r="AQ35" s="12" t="str">
        <f>IF($A35="","",admin!$B$2&amp;"\Images\"&amp;$A35)</f>
        <v>C:\Backups\InsiderTechSol\Aviation\Jetelio_v3\.LAYOUT\resources\Images\OBBI</v>
      </c>
      <c r="AR35" s="12" t="str">
        <f>IF($A35="","",admin!$B$2&amp;"\CityMaps\"&amp;$A35&amp;".png")</f>
        <v>C:\Backups\InsiderTechSol\Aviation\Jetelio_v3\.LAYOUT\resources\CityMaps\OBBI.png</v>
      </c>
      <c r="AS35" s="16" t="str">
        <f t="shared" si="2"/>
        <v>VISA sheet</v>
      </c>
      <c r="AT35" s="16" t="str">
        <f t="shared" si="3"/>
        <v>Vendors sheet</v>
      </c>
      <c r="AU35" s="4"/>
      <c r="AV35" s="15">
        <f t="shared" ca="1" si="4"/>
        <v>46243</v>
      </c>
      <c r="AX35" s="6"/>
      <c r="AY35" t="str">
        <f t="shared" si="5"/>
        <v>INCOMPLETE - NOT SELECTABLE AS TECH STOP</v>
      </c>
    </row>
    <row r="36" spans="1:51" x14ac:dyDescent="0.3">
      <c r="A36" s="4" t="s">
        <v>193</v>
      </c>
      <c r="B36" s="4" t="s">
        <v>194</v>
      </c>
      <c r="C36" s="4"/>
      <c r="D36" s="4"/>
      <c r="E36" s="4" t="s">
        <v>509</v>
      </c>
      <c r="F36" s="4" t="s">
        <v>82</v>
      </c>
      <c r="G36" s="4"/>
      <c r="H36" s="4" t="s">
        <v>700</v>
      </c>
      <c r="I36" s="4" t="s">
        <v>701</v>
      </c>
      <c r="J36" s="4"/>
      <c r="K36" s="4"/>
      <c r="L36" s="4"/>
      <c r="M36" s="4"/>
      <c r="N36" s="12" t="str">
        <f t="shared" si="0"/>
        <v>03°19′26″S 029°19′07″E</v>
      </c>
      <c r="O36" s="7">
        <v>-3.32402</v>
      </c>
      <c r="P36" s="7">
        <v>29.3185</v>
      </c>
      <c r="Q36" s="13">
        <f t="shared" si="1"/>
        <v>787</v>
      </c>
      <c r="R36" s="11">
        <v>2582</v>
      </c>
      <c r="S36" s="4"/>
      <c r="T36" s="4" t="s">
        <v>940</v>
      </c>
      <c r="U36" s="8">
        <v>2</v>
      </c>
      <c r="V36" s="14">
        <f ca="1">IF($U36="","",MOD(NOW()-admin!$B$1/24+$U36/24,1))</f>
        <v>0.69515972222143319</v>
      </c>
      <c r="W36" s="4"/>
      <c r="X36" s="4"/>
      <c r="Y36" s="4"/>
      <c r="Z36" s="4"/>
      <c r="AA36" s="4"/>
      <c r="AB36" s="4"/>
      <c r="AC36" s="4"/>
      <c r="AD36" s="4"/>
      <c r="AE36" s="4" t="s">
        <v>1059</v>
      </c>
      <c r="AF36" s="4"/>
      <c r="AG36" s="4"/>
      <c r="AH36" s="4"/>
      <c r="AI36" s="4"/>
      <c r="AJ36" s="4"/>
      <c r="AK36" s="4"/>
      <c r="AL36" s="4"/>
      <c r="AM36" s="4"/>
      <c r="AN36" s="4"/>
      <c r="AO36" s="12" t="str">
        <f>IF($A36="","",admin!$B$2&amp;"\Charts\"&amp;$A36)</f>
        <v>C:\Backups\InsiderTechSol\Aviation\Jetelio_v3\.LAYOUT\resources\Charts\HBBA</v>
      </c>
      <c r="AP36" s="12" t="str">
        <f>IF($A36="","",admin!$B$2&amp;"\RunwayDiagrams\"&amp;$A36&amp;".pdf")</f>
        <v>C:\Backups\InsiderTechSol\Aviation\Jetelio_v3\.LAYOUT\resources\RunwayDiagrams\HBBA.pdf</v>
      </c>
      <c r="AQ36" s="12" t="str">
        <f>IF($A36="","",admin!$B$2&amp;"\Images\"&amp;$A36)</f>
        <v>C:\Backups\InsiderTechSol\Aviation\Jetelio_v3\.LAYOUT\resources\Images\HBBA</v>
      </c>
      <c r="AR36" s="12" t="str">
        <f>IF($A36="","",admin!$B$2&amp;"\CityMaps\"&amp;$A36&amp;".png")</f>
        <v>C:\Backups\InsiderTechSol\Aviation\Jetelio_v3\.LAYOUT\resources\CityMaps\HBBA.png</v>
      </c>
      <c r="AS36" s="16" t="str">
        <f t="shared" si="2"/>
        <v>VISA sheet</v>
      </c>
      <c r="AT36" s="16" t="str">
        <f t="shared" si="3"/>
        <v>Vendors sheet</v>
      </c>
      <c r="AU36" s="4"/>
      <c r="AV36" s="15">
        <f t="shared" ca="1" si="4"/>
        <v>46243</v>
      </c>
      <c r="AX36" s="6"/>
      <c r="AY36" t="str">
        <f t="shared" si="5"/>
        <v>INCOMPLETE - NOT SELECTABLE AS TECH STOP</v>
      </c>
    </row>
    <row r="37" spans="1:51" x14ac:dyDescent="0.3">
      <c r="A37" s="4" t="s">
        <v>195</v>
      </c>
      <c r="B37" s="4" t="s">
        <v>196</v>
      </c>
      <c r="C37" s="4"/>
      <c r="D37" s="4"/>
      <c r="E37" s="4" t="s">
        <v>510</v>
      </c>
      <c r="F37" s="4" t="s">
        <v>82</v>
      </c>
      <c r="G37" s="4"/>
      <c r="H37" s="4" t="s">
        <v>702</v>
      </c>
      <c r="I37" s="4" t="s">
        <v>703</v>
      </c>
      <c r="J37" s="4"/>
      <c r="K37" s="4"/>
      <c r="L37" s="4"/>
      <c r="M37" s="4"/>
      <c r="N37" s="12" t="str">
        <f t="shared" si="0"/>
        <v>06°21′26″N 002°23′04″E</v>
      </c>
      <c r="O37" s="7">
        <v>6.3572300000000004</v>
      </c>
      <c r="P37" s="7">
        <v>2.38435</v>
      </c>
      <c r="Q37" s="13">
        <f t="shared" si="1"/>
        <v>6</v>
      </c>
      <c r="R37" s="11">
        <v>19</v>
      </c>
      <c r="S37" s="4"/>
      <c r="T37" s="4" t="s">
        <v>941</v>
      </c>
      <c r="U37" s="8">
        <v>1</v>
      </c>
      <c r="V37" s="14">
        <f ca="1">IF($U37="","",MOD(NOW()-admin!$B$1/24+$U37/24,1))</f>
        <v>0.65349305554991588</v>
      </c>
      <c r="W37" s="4"/>
      <c r="X37" s="4"/>
      <c r="Y37" s="4"/>
      <c r="Z37" s="4"/>
      <c r="AA37" s="4"/>
      <c r="AB37" s="4"/>
      <c r="AC37" s="4"/>
      <c r="AD37" s="4"/>
      <c r="AE37" s="4" t="s">
        <v>1060</v>
      </c>
      <c r="AF37" s="4"/>
      <c r="AG37" s="4"/>
      <c r="AH37" s="4"/>
      <c r="AI37" s="4"/>
      <c r="AJ37" s="4"/>
      <c r="AK37" s="4"/>
      <c r="AL37" s="4"/>
      <c r="AM37" s="4"/>
      <c r="AN37" s="4"/>
      <c r="AO37" s="12" t="str">
        <f>IF($A37="","",admin!$B$2&amp;"\Charts\"&amp;$A37)</f>
        <v>C:\Backups\InsiderTechSol\Aviation\Jetelio_v3\.LAYOUT\resources\Charts\DBBB</v>
      </c>
      <c r="AP37" s="12" t="str">
        <f>IF($A37="","",admin!$B$2&amp;"\RunwayDiagrams\"&amp;$A37&amp;".pdf")</f>
        <v>C:\Backups\InsiderTechSol\Aviation\Jetelio_v3\.LAYOUT\resources\RunwayDiagrams\DBBB.pdf</v>
      </c>
      <c r="AQ37" s="12" t="str">
        <f>IF($A37="","",admin!$B$2&amp;"\Images\"&amp;$A37)</f>
        <v>C:\Backups\InsiderTechSol\Aviation\Jetelio_v3\.LAYOUT\resources\Images\DBBB</v>
      </c>
      <c r="AR37" s="12" t="str">
        <f>IF($A37="","",admin!$B$2&amp;"\CityMaps\"&amp;$A37&amp;".png")</f>
        <v>C:\Backups\InsiderTechSol\Aviation\Jetelio_v3\.LAYOUT\resources\CityMaps\DBBB.png</v>
      </c>
      <c r="AS37" s="16" t="str">
        <f t="shared" si="2"/>
        <v>VISA sheet</v>
      </c>
      <c r="AT37" s="16" t="str">
        <f t="shared" si="3"/>
        <v>Vendors sheet</v>
      </c>
      <c r="AU37" s="4"/>
      <c r="AV37" s="15">
        <f t="shared" ca="1" si="4"/>
        <v>46243</v>
      </c>
      <c r="AX37" s="6"/>
      <c r="AY37" t="str">
        <f t="shared" si="5"/>
        <v>INCOMPLETE - NOT SELECTABLE AS TECH STOP</v>
      </c>
    </row>
    <row r="38" spans="1:51" x14ac:dyDescent="0.3">
      <c r="A38" s="4" t="s">
        <v>197</v>
      </c>
      <c r="B38" s="4" t="s">
        <v>198</v>
      </c>
      <c r="C38" s="4"/>
      <c r="D38" s="4"/>
      <c r="E38" s="4" t="s">
        <v>511</v>
      </c>
      <c r="F38" s="4" t="s">
        <v>82</v>
      </c>
      <c r="G38" s="4"/>
      <c r="H38" s="4" t="s">
        <v>704</v>
      </c>
      <c r="I38" s="4" t="s">
        <v>705</v>
      </c>
      <c r="J38" s="4"/>
      <c r="K38" s="4"/>
      <c r="L38" s="4"/>
      <c r="M38" s="4"/>
      <c r="N38" s="12" t="str">
        <f t="shared" si="0"/>
        <v>32°21′50″N 064°40′42″W</v>
      </c>
      <c r="O38" s="7">
        <v>32.363799999999998</v>
      </c>
      <c r="P38" s="7">
        <v>-64.678240000000002</v>
      </c>
      <c r="Q38" s="13">
        <f t="shared" si="1"/>
        <v>4</v>
      </c>
      <c r="R38" s="11">
        <v>12</v>
      </c>
      <c r="S38" s="4"/>
      <c r="T38" s="4" t="s">
        <v>942</v>
      </c>
      <c r="U38" s="8">
        <v>-4</v>
      </c>
      <c r="V38" s="14">
        <f ca="1">IF($U38="","",MOD(NOW()-admin!$B$1/24+$U38/24,1))</f>
        <v>0.44515972222143319</v>
      </c>
      <c r="W38" s="4"/>
      <c r="X38" s="4"/>
      <c r="Y38" s="4"/>
      <c r="Z38" s="4"/>
      <c r="AA38" s="4"/>
      <c r="AB38" s="4"/>
      <c r="AC38" s="4"/>
      <c r="AD38" s="4"/>
      <c r="AE38" s="4" t="s">
        <v>1061</v>
      </c>
      <c r="AF38" s="4"/>
      <c r="AG38" s="4"/>
      <c r="AH38" s="4"/>
      <c r="AI38" s="4"/>
      <c r="AJ38" s="4"/>
      <c r="AK38" s="4"/>
      <c r="AL38" s="4"/>
      <c r="AM38" s="4"/>
      <c r="AN38" s="4"/>
      <c r="AO38" s="12" t="str">
        <f>IF($A38="","",admin!$B$2&amp;"\Charts\"&amp;$A38)</f>
        <v>C:\Backups\InsiderTechSol\Aviation\Jetelio_v3\.LAYOUT\resources\Charts\TXKF</v>
      </c>
      <c r="AP38" s="12" t="str">
        <f>IF($A38="","",admin!$B$2&amp;"\RunwayDiagrams\"&amp;$A38&amp;".pdf")</f>
        <v>C:\Backups\InsiderTechSol\Aviation\Jetelio_v3\.LAYOUT\resources\RunwayDiagrams\TXKF.pdf</v>
      </c>
      <c r="AQ38" s="12" t="str">
        <f>IF($A38="","",admin!$B$2&amp;"\Images\"&amp;$A38)</f>
        <v>C:\Backups\InsiderTechSol\Aviation\Jetelio_v3\.LAYOUT\resources\Images\TXKF</v>
      </c>
      <c r="AR38" s="12" t="str">
        <f>IF($A38="","",admin!$B$2&amp;"\CityMaps\"&amp;$A38&amp;".png")</f>
        <v>C:\Backups\InsiderTechSol\Aviation\Jetelio_v3\.LAYOUT\resources\CityMaps\TXKF.png</v>
      </c>
      <c r="AS38" s="16" t="str">
        <f t="shared" si="2"/>
        <v>VISA sheet</v>
      </c>
      <c r="AT38" s="16" t="str">
        <f t="shared" si="3"/>
        <v>Vendors sheet</v>
      </c>
      <c r="AU38" s="4"/>
      <c r="AV38" s="15">
        <f t="shared" ca="1" si="4"/>
        <v>46243</v>
      </c>
      <c r="AX38" s="6"/>
      <c r="AY38" t="str">
        <f t="shared" si="5"/>
        <v>INCOMPLETE - NOT SELECTABLE AS TECH STOP</v>
      </c>
    </row>
    <row r="39" spans="1:51" x14ac:dyDescent="0.3">
      <c r="A39" s="4" t="s">
        <v>199</v>
      </c>
      <c r="B39" s="4" t="s">
        <v>200</v>
      </c>
      <c r="C39" s="4"/>
      <c r="D39" s="4"/>
      <c r="E39" s="4" t="s">
        <v>512</v>
      </c>
      <c r="F39" s="4" t="s">
        <v>82</v>
      </c>
      <c r="G39" s="4"/>
      <c r="H39" s="4" t="s">
        <v>706</v>
      </c>
      <c r="I39" s="4" t="s">
        <v>707</v>
      </c>
      <c r="J39" s="4"/>
      <c r="K39" s="4"/>
      <c r="L39" s="4"/>
      <c r="M39" s="4"/>
      <c r="N39" s="12" t="str">
        <f t="shared" si="0"/>
        <v>04°56′39″N 114°55′41″E</v>
      </c>
      <c r="O39" s="7">
        <v>4.9442000000000004</v>
      </c>
      <c r="P39" s="7">
        <v>114.928</v>
      </c>
      <c r="Q39" s="13">
        <f t="shared" si="1"/>
        <v>22</v>
      </c>
      <c r="R39" s="11">
        <v>73</v>
      </c>
      <c r="S39" s="4"/>
      <c r="T39" s="4" t="s">
        <v>943</v>
      </c>
      <c r="U39" s="8">
        <v>8</v>
      </c>
      <c r="V39" s="14">
        <f ca="1">IF($U39="","",MOD(NOW()-admin!$B$1/24+$U39/24,1))</f>
        <v>0.94515972222143319</v>
      </c>
      <c r="W39" s="4"/>
      <c r="X39" s="4"/>
      <c r="Y39" s="4"/>
      <c r="Z39" s="4"/>
      <c r="AA39" s="4"/>
      <c r="AB39" s="4"/>
      <c r="AC39" s="4"/>
      <c r="AD39" s="4"/>
      <c r="AE39" s="4" t="s">
        <v>1062</v>
      </c>
      <c r="AF39" s="4"/>
      <c r="AG39" s="4"/>
      <c r="AH39" s="4"/>
      <c r="AI39" s="4"/>
      <c r="AJ39" s="4"/>
      <c r="AK39" s="4"/>
      <c r="AL39" s="4"/>
      <c r="AM39" s="4"/>
      <c r="AN39" s="4"/>
      <c r="AO39" s="12" t="str">
        <f>IF($A39="","",admin!$B$2&amp;"\Charts\"&amp;$A39)</f>
        <v>C:\Backups\InsiderTechSol\Aviation\Jetelio_v3\.LAYOUT\resources\Charts\WBSB</v>
      </c>
      <c r="AP39" s="12" t="str">
        <f>IF($A39="","",admin!$B$2&amp;"\RunwayDiagrams\"&amp;$A39&amp;".pdf")</f>
        <v>C:\Backups\InsiderTechSol\Aviation\Jetelio_v3\.LAYOUT\resources\RunwayDiagrams\WBSB.pdf</v>
      </c>
      <c r="AQ39" s="12" t="str">
        <f>IF($A39="","",admin!$B$2&amp;"\Images\"&amp;$A39)</f>
        <v>C:\Backups\InsiderTechSol\Aviation\Jetelio_v3\.LAYOUT\resources\Images\WBSB</v>
      </c>
      <c r="AR39" s="12" t="str">
        <f>IF($A39="","",admin!$B$2&amp;"\CityMaps\"&amp;$A39&amp;".png")</f>
        <v>C:\Backups\InsiderTechSol\Aviation\Jetelio_v3\.LAYOUT\resources\CityMaps\WBSB.png</v>
      </c>
      <c r="AS39" s="16" t="str">
        <f t="shared" si="2"/>
        <v>VISA sheet</v>
      </c>
      <c r="AT39" s="16" t="str">
        <f t="shared" si="3"/>
        <v>Vendors sheet</v>
      </c>
      <c r="AU39" s="4"/>
      <c r="AV39" s="15">
        <f t="shared" ca="1" si="4"/>
        <v>46243</v>
      </c>
      <c r="AX39" s="6"/>
      <c r="AY39" t="str">
        <f t="shared" si="5"/>
        <v>INCOMPLETE - NOT SELECTABLE AS TECH STOP</v>
      </c>
    </row>
    <row r="40" spans="1:51" x14ac:dyDescent="0.3">
      <c r="A40" s="4" t="s">
        <v>201</v>
      </c>
      <c r="B40" s="4" t="s">
        <v>202</v>
      </c>
      <c r="C40" s="4"/>
      <c r="D40" s="4"/>
      <c r="E40" s="4" t="s">
        <v>513</v>
      </c>
      <c r="F40" s="4" t="s">
        <v>82</v>
      </c>
      <c r="G40" s="4"/>
      <c r="H40" s="4" t="s">
        <v>708</v>
      </c>
      <c r="I40" s="4" t="s">
        <v>709</v>
      </c>
      <c r="J40" s="4"/>
      <c r="K40" s="4"/>
      <c r="L40" s="4"/>
      <c r="M40" s="4"/>
      <c r="N40" s="12" t="str">
        <f t="shared" si="0"/>
        <v>19°14′49″S 065°08′59″W</v>
      </c>
      <c r="O40" s="7">
        <v>-19.246839999999999</v>
      </c>
      <c r="P40" s="7">
        <v>-65.149609999999996</v>
      </c>
      <c r="Q40" s="13">
        <f t="shared" si="1"/>
        <v>3104</v>
      </c>
      <c r="R40" s="11">
        <v>10184</v>
      </c>
      <c r="S40" s="4"/>
      <c r="T40" s="4"/>
      <c r="U40" s="8"/>
      <c r="V40" s="14" t="str">
        <f ca="1">IF($U40="","",MOD(NOW()-admin!$B$1/24+$U40/24,1))</f>
        <v/>
      </c>
      <c r="W40" s="4"/>
      <c r="X40" s="4"/>
      <c r="Y40" s="4"/>
      <c r="Z40" s="4"/>
      <c r="AA40" s="4"/>
      <c r="AB40" s="4"/>
      <c r="AC40" s="4"/>
      <c r="AD40" s="4"/>
      <c r="AE40" s="4" t="s">
        <v>1063</v>
      </c>
      <c r="AF40" s="4"/>
      <c r="AG40" s="4"/>
      <c r="AH40" s="4"/>
      <c r="AI40" s="4"/>
      <c r="AJ40" s="4"/>
      <c r="AK40" s="4"/>
      <c r="AL40" s="4"/>
      <c r="AM40" s="4"/>
      <c r="AN40" s="4"/>
      <c r="AO40" s="12" t="str">
        <f>IF($A40="","",admin!$B$2&amp;"\Charts\"&amp;$A40)</f>
        <v>C:\Backups\InsiderTechSol\Aviation\Jetelio_v3\.LAYOUT\resources\Charts\SLAL</v>
      </c>
      <c r="AP40" s="12" t="str">
        <f>IF($A40="","",admin!$B$2&amp;"\RunwayDiagrams\"&amp;$A40&amp;".pdf")</f>
        <v>C:\Backups\InsiderTechSol\Aviation\Jetelio_v3\.LAYOUT\resources\RunwayDiagrams\SLAL.pdf</v>
      </c>
      <c r="AQ40" s="12" t="str">
        <f>IF($A40="","",admin!$B$2&amp;"\Images\"&amp;$A40)</f>
        <v>C:\Backups\InsiderTechSol\Aviation\Jetelio_v3\.LAYOUT\resources\Images\SLAL</v>
      </c>
      <c r="AR40" s="12" t="str">
        <f>IF($A40="","",admin!$B$2&amp;"\CityMaps\"&amp;$A40&amp;".png")</f>
        <v>C:\Backups\InsiderTechSol\Aviation\Jetelio_v3\.LAYOUT\resources\CityMaps\SLAL.png</v>
      </c>
      <c r="AS40" s="16" t="str">
        <f t="shared" si="2"/>
        <v>VISA sheet</v>
      </c>
      <c r="AT40" s="16" t="str">
        <f t="shared" si="3"/>
        <v>Vendors sheet</v>
      </c>
      <c r="AU40" s="4"/>
      <c r="AV40" s="15">
        <f t="shared" ca="1" si="4"/>
        <v>46243</v>
      </c>
      <c r="AX40" s="6"/>
      <c r="AY40" t="str">
        <f t="shared" si="5"/>
        <v>INCOMPLETE - NOT SELECTABLE AS TECH STOP</v>
      </c>
    </row>
    <row r="41" spans="1:51" x14ac:dyDescent="0.3">
      <c r="A41" s="4" t="s">
        <v>203</v>
      </c>
      <c r="B41" s="4" t="s">
        <v>204</v>
      </c>
      <c r="C41" s="4"/>
      <c r="D41" s="4"/>
      <c r="E41" s="4" t="s">
        <v>514</v>
      </c>
      <c r="F41" s="4" t="s">
        <v>82</v>
      </c>
      <c r="G41" s="4"/>
      <c r="H41" s="4" t="s">
        <v>708</v>
      </c>
      <c r="I41" s="4" t="s">
        <v>710</v>
      </c>
      <c r="J41" s="4"/>
      <c r="K41" s="4"/>
      <c r="L41" s="4"/>
      <c r="M41" s="4"/>
      <c r="N41" s="12" t="str">
        <f t="shared" si="0"/>
        <v>17°25′16″S 066°10′38″W</v>
      </c>
      <c r="O41" s="7">
        <v>-17.421109999999999</v>
      </c>
      <c r="P41" s="7">
        <v>-66.177099999999996</v>
      </c>
      <c r="Q41" s="13">
        <f t="shared" si="1"/>
        <v>2548</v>
      </c>
      <c r="R41" s="11">
        <v>8360</v>
      </c>
      <c r="S41" s="4"/>
      <c r="T41" s="4" t="s">
        <v>944</v>
      </c>
      <c r="U41" s="8">
        <v>-4</v>
      </c>
      <c r="V41" s="14">
        <f ca="1">IF($U41="","",MOD(NOW()-admin!$B$1/24+$U41/24,1))</f>
        <v>0.44515972222143319</v>
      </c>
      <c r="W41" s="4"/>
      <c r="X41" s="4"/>
      <c r="Y41" s="4"/>
      <c r="Z41" s="4"/>
      <c r="AA41" s="4"/>
      <c r="AB41" s="4"/>
      <c r="AC41" s="4"/>
      <c r="AD41" s="4"/>
      <c r="AE41" s="4" t="s">
        <v>1064</v>
      </c>
      <c r="AF41" s="4"/>
      <c r="AG41" s="4"/>
      <c r="AH41" s="4"/>
      <c r="AI41" s="4"/>
      <c r="AJ41" s="4"/>
      <c r="AK41" s="4"/>
      <c r="AL41" s="4"/>
      <c r="AM41" s="4"/>
      <c r="AN41" s="4"/>
      <c r="AO41" s="12" t="str">
        <f>IF($A41="","",admin!$B$2&amp;"\Charts\"&amp;$A41)</f>
        <v>C:\Backups\InsiderTechSol\Aviation\Jetelio_v3\.LAYOUT\resources\Charts\SLCB</v>
      </c>
      <c r="AP41" s="12" t="str">
        <f>IF($A41="","",admin!$B$2&amp;"\RunwayDiagrams\"&amp;$A41&amp;".pdf")</f>
        <v>C:\Backups\InsiderTechSol\Aviation\Jetelio_v3\.LAYOUT\resources\RunwayDiagrams\SLCB.pdf</v>
      </c>
      <c r="AQ41" s="12" t="str">
        <f>IF($A41="","",admin!$B$2&amp;"\Images\"&amp;$A41)</f>
        <v>C:\Backups\InsiderTechSol\Aviation\Jetelio_v3\.LAYOUT\resources\Images\SLCB</v>
      </c>
      <c r="AR41" s="12" t="str">
        <f>IF($A41="","",admin!$B$2&amp;"\CityMaps\"&amp;$A41&amp;".png")</f>
        <v>C:\Backups\InsiderTechSol\Aviation\Jetelio_v3\.LAYOUT\resources\CityMaps\SLCB.png</v>
      </c>
      <c r="AS41" s="16" t="str">
        <f t="shared" si="2"/>
        <v>VISA sheet</v>
      </c>
      <c r="AT41" s="16" t="str">
        <f t="shared" si="3"/>
        <v>Vendors sheet</v>
      </c>
      <c r="AU41" s="4"/>
      <c r="AV41" s="15">
        <f t="shared" ca="1" si="4"/>
        <v>46243</v>
      </c>
      <c r="AX41" s="6"/>
      <c r="AY41" t="str">
        <f t="shared" si="5"/>
        <v>INCOMPLETE - NOT SELECTABLE AS TECH STOP</v>
      </c>
    </row>
    <row r="42" spans="1:51" x14ac:dyDescent="0.3">
      <c r="A42" s="4" t="s">
        <v>205</v>
      </c>
      <c r="B42" s="4" t="s">
        <v>206</v>
      </c>
      <c r="C42" s="4"/>
      <c r="D42" s="4"/>
      <c r="E42" s="4" t="s">
        <v>515</v>
      </c>
      <c r="F42" s="4" t="s">
        <v>82</v>
      </c>
      <c r="G42" s="4"/>
      <c r="H42" s="4" t="s">
        <v>711</v>
      </c>
      <c r="I42" s="4" t="s">
        <v>712</v>
      </c>
      <c r="J42" s="4"/>
      <c r="K42" s="4"/>
      <c r="L42" s="4"/>
      <c r="M42" s="4"/>
      <c r="N42" s="12" t="str">
        <f t="shared" si="0"/>
        <v>12°07′52″N 068°16′07″W</v>
      </c>
      <c r="O42" s="7">
        <v>12.131</v>
      </c>
      <c r="P42" s="7">
        <v>-68.268500000000003</v>
      </c>
      <c r="Q42" s="13">
        <f t="shared" si="1"/>
        <v>6</v>
      </c>
      <c r="R42" s="11">
        <v>20</v>
      </c>
      <c r="S42" s="4"/>
      <c r="T42" s="4" t="s">
        <v>945</v>
      </c>
      <c r="U42" s="8">
        <v>-4</v>
      </c>
      <c r="V42" s="14">
        <f ca="1">IF($U42="","",MOD(NOW()-admin!$B$1/24+$U42/24,1))</f>
        <v>0.44515972222143319</v>
      </c>
      <c r="W42" s="4"/>
      <c r="X42" s="4"/>
      <c r="Y42" s="4"/>
      <c r="Z42" s="4"/>
      <c r="AA42" s="4"/>
      <c r="AB42" s="4"/>
      <c r="AC42" s="4"/>
      <c r="AD42" s="4"/>
      <c r="AE42" s="4" t="s">
        <v>1065</v>
      </c>
      <c r="AF42" s="4"/>
      <c r="AG42" s="4"/>
      <c r="AH42" s="4"/>
      <c r="AI42" s="4"/>
      <c r="AJ42" s="4"/>
      <c r="AK42" s="4"/>
      <c r="AL42" s="4"/>
      <c r="AM42" s="4"/>
      <c r="AN42" s="4"/>
      <c r="AO42" s="12" t="str">
        <f>IF($A42="","",admin!$B$2&amp;"\Charts\"&amp;$A42)</f>
        <v>C:\Backups\InsiderTechSol\Aviation\Jetelio_v3\.LAYOUT\resources\Charts\TNCB</v>
      </c>
      <c r="AP42" s="12" t="str">
        <f>IF($A42="","",admin!$B$2&amp;"\RunwayDiagrams\"&amp;$A42&amp;".pdf")</f>
        <v>C:\Backups\InsiderTechSol\Aviation\Jetelio_v3\.LAYOUT\resources\RunwayDiagrams\TNCB.pdf</v>
      </c>
      <c r="AQ42" s="12" t="str">
        <f>IF($A42="","",admin!$B$2&amp;"\Images\"&amp;$A42)</f>
        <v>C:\Backups\InsiderTechSol\Aviation\Jetelio_v3\.LAYOUT\resources\Images\TNCB</v>
      </c>
      <c r="AR42" s="12" t="str">
        <f>IF($A42="","",admin!$B$2&amp;"\CityMaps\"&amp;$A42&amp;".png")</f>
        <v>C:\Backups\InsiderTechSol\Aviation\Jetelio_v3\.LAYOUT\resources\CityMaps\TNCB.png</v>
      </c>
      <c r="AS42" s="16" t="str">
        <f t="shared" si="2"/>
        <v>VISA sheet</v>
      </c>
      <c r="AT42" s="16" t="str">
        <f t="shared" si="3"/>
        <v>Vendors sheet</v>
      </c>
      <c r="AU42" s="4"/>
      <c r="AV42" s="15">
        <f t="shared" ca="1" si="4"/>
        <v>46243</v>
      </c>
      <c r="AX42" s="6"/>
      <c r="AY42" t="str">
        <f t="shared" si="5"/>
        <v>INCOMPLETE - NOT SELECTABLE AS TECH STOP</v>
      </c>
    </row>
    <row r="43" spans="1:51" x14ac:dyDescent="0.3">
      <c r="A43" s="4" t="s">
        <v>207</v>
      </c>
      <c r="B43" s="4" t="s">
        <v>208</v>
      </c>
      <c r="C43" s="4"/>
      <c r="D43" s="4"/>
      <c r="E43" s="4" t="s">
        <v>516</v>
      </c>
      <c r="F43" s="4" t="s">
        <v>82</v>
      </c>
      <c r="G43" s="4"/>
      <c r="H43" s="4" t="s">
        <v>713</v>
      </c>
      <c r="I43" s="4" t="s">
        <v>714</v>
      </c>
      <c r="J43" s="4"/>
      <c r="K43" s="4"/>
      <c r="L43" s="4"/>
      <c r="M43" s="4"/>
      <c r="N43" s="12" t="str">
        <f t="shared" si="0"/>
        <v>01°22′45″S 048°28′34″W</v>
      </c>
      <c r="O43" s="7">
        <v>-1.3792800000000001</v>
      </c>
      <c r="P43" s="7">
        <v>-48.476210000000002</v>
      </c>
      <c r="Q43" s="13">
        <f t="shared" si="1"/>
        <v>16</v>
      </c>
      <c r="R43" s="11">
        <v>54</v>
      </c>
      <c r="S43" s="4"/>
      <c r="T43" s="4" t="s">
        <v>946</v>
      </c>
      <c r="U43" s="8">
        <v>-3</v>
      </c>
      <c r="V43" s="14">
        <f ca="1">IF($U43="","",MOD(NOW()-admin!$B$1/24+$U43/24,1))</f>
        <v>0.48682638888567453</v>
      </c>
      <c r="W43" s="4"/>
      <c r="X43" s="4"/>
      <c r="Y43" s="4"/>
      <c r="Z43" s="4"/>
      <c r="AA43" s="4"/>
      <c r="AB43" s="4"/>
      <c r="AC43" s="4"/>
      <c r="AD43" s="4"/>
      <c r="AE43" s="4" t="s">
        <v>1066</v>
      </c>
      <c r="AF43" s="4"/>
      <c r="AG43" s="4"/>
      <c r="AH43" s="4"/>
      <c r="AI43" s="4"/>
      <c r="AJ43" s="4"/>
      <c r="AK43" s="4"/>
      <c r="AL43" s="4"/>
      <c r="AM43" s="4"/>
      <c r="AN43" s="4"/>
      <c r="AO43" s="12" t="str">
        <f>IF($A43="","",admin!$B$2&amp;"\Charts\"&amp;$A43)</f>
        <v>C:\Backups\InsiderTechSol\Aviation\Jetelio_v3\.LAYOUT\resources\Charts\SBBE</v>
      </c>
      <c r="AP43" s="12" t="str">
        <f>IF($A43="","",admin!$B$2&amp;"\RunwayDiagrams\"&amp;$A43&amp;".pdf")</f>
        <v>C:\Backups\InsiderTechSol\Aviation\Jetelio_v3\.LAYOUT\resources\RunwayDiagrams\SBBE.pdf</v>
      </c>
      <c r="AQ43" s="12" t="str">
        <f>IF($A43="","",admin!$B$2&amp;"\Images\"&amp;$A43)</f>
        <v>C:\Backups\InsiderTechSol\Aviation\Jetelio_v3\.LAYOUT\resources\Images\SBBE</v>
      </c>
      <c r="AR43" s="12" t="str">
        <f>IF($A43="","",admin!$B$2&amp;"\CityMaps\"&amp;$A43&amp;".png")</f>
        <v>C:\Backups\InsiderTechSol\Aviation\Jetelio_v3\.LAYOUT\resources\CityMaps\SBBE.png</v>
      </c>
      <c r="AS43" s="16" t="str">
        <f t="shared" si="2"/>
        <v>VISA sheet</v>
      </c>
      <c r="AT43" s="16" t="str">
        <f t="shared" si="3"/>
        <v>Vendors sheet</v>
      </c>
      <c r="AU43" s="4"/>
      <c r="AV43" s="15">
        <f t="shared" ca="1" si="4"/>
        <v>46243</v>
      </c>
      <c r="AX43" s="6"/>
      <c r="AY43" t="str">
        <f t="shared" si="5"/>
        <v>INCOMPLETE - NOT SELECTABLE AS TECH STOP</v>
      </c>
    </row>
    <row r="44" spans="1:51" x14ac:dyDescent="0.3">
      <c r="A44" s="4" t="s">
        <v>209</v>
      </c>
      <c r="B44" s="4" t="s">
        <v>210</v>
      </c>
      <c r="C44" s="4"/>
      <c r="D44" s="4"/>
      <c r="E44" s="4" t="s">
        <v>517</v>
      </c>
      <c r="F44" s="4" t="s">
        <v>82</v>
      </c>
      <c r="G44" s="4"/>
      <c r="H44" s="4" t="s">
        <v>713</v>
      </c>
      <c r="I44" s="4" t="s">
        <v>715</v>
      </c>
      <c r="J44" s="4"/>
      <c r="K44" s="4"/>
      <c r="L44" s="4"/>
      <c r="M44" s="4"/>
      <c r="N44" s="12" t="str">
        <f t="shared" si="0"/>
        <v>15°52′09″S 047°55′15″W</v>
      </c>
      <c r="O44" s="7">
        <v>-15.86917</v>
      </c>
      <c r="P44" s="7">
        <v>-47.920830000000002</v>
      </c>
      <c r="Q44" s="13">
        <f t="shared" si="1"/>
        <v>1066</v>
      </c>
      <c r="R44" s="11">
        <v>3497</v>
      </c>
      <c r="S44" s="4"/>
      <c r="T44" s="4" t="s">
        <v>947</v>
      </c>
      <c r="U44" s="8">
        <v>-3</v>
      </c>
      <c r="V44" s="14">
        <f ca="1">IF($U44="","",MOD(NOW()-admin!$B$1/24+$U44/24,1))</f>
        <v>0.48682638888567453</v>
      </c>
      <c r="W44" s="4"/>
      <c r="X44" s="4"/>
      <c r="Y44" s="4"/>
      <c r="Z44" s="4"/>
      <c r="AA44" s="4"/>
      <c r="AB44" s="4"/>
      <c r="AC44" s="4"/>
      <c r="AD44" s="4"/>
      <c r="AE44" s="4" t="s">
        <v>1067</v>
      </c>
      <c r="AF44" s="4"/>
      <c r="AG44" s="4"/>
      <c r="AH44" s="4"/>
      <c r="AI44" s="4"/>
      <c r="AJ44" s="4"/>
      <c r="AK44" s="4"/>
      <c r="AL44" s="4"/>
      <c r="AM44" s="4"/>
      <c r="AN44" s="4"/>
      <c r="AO44" s="12" t="str">
        <f>IF($A44="","",admin!$B$2&amp;"\Charts\"&amp;$A44)</f>
        <v>C:\Backups\InsiderTechSol\Aviation\Jetelio_v3\.LAYOUT\resources\Charts\SBBR</v>
      </c>
      <c r="AP44" s="12" t="str">
        <f>IF($A44="","",admin!$B$2&amp;"\RunwayDiagrams\"&amp;$A44&amp;".pdf")</f>
        <v>C:\Backups\InsiderTechSol\Aviation\Jetelio_v3\.LAYOUT\resources\RunwayDiagrams\SBBR.pdf</v>
      </c>
      <c r="AQ44" s="12" t="str">
        <f>IF($A44="","",admin!$B$2&amp;"\Images\"&amp;$A44)</f>
        <v>C:\Backups\InsiderTechSol\Aviation\Jetelio_v3\.LAYOUT\resources\Images\SBBR</v>
      </c>
      <c r="AR44" s="12" t="str">
        <f>IF($A44="","",admin!$B$2&amp;"\CityMaps\"&amp;$A44&amp;".png")</f>
        <v>C:\Backups\InsiderTechSol\Aviation\Jetelio_v3\.LAYOUT\resources\CityMaps\SBBR.png</v>
      </c>
      <c r="AS44" s="16" t="str">
        <f t="shared" si="2"/>
        <v>VISA sheet</v>
      </c>
      <c r="AT44" s="16" t="str">
        <f t="shared" si="3"/>
        <v>Vendors sheet</v>
      </c>
      <c r="AU44" s="4"/>
      <c r="AV44" s="15">
        <f t="shared" ca="1" si="4"/>
        <v>46243</v>
      </c>
      <c r="AX44" s="6"/>
      <c r="AY44" t="str">
        <f t="shared" si="5"/>
        <v>INCOMPLETE - NOT SELECTABLE AS TECH STOP</v>
      </c>
    </row>
    <row r="45" spans="1:51" x14ac:dyDescent="0.3">
      <c r="A45" s="4" t="s">
        <v>211</v>
      </c>
      <c r="B45" s="4" t="s">
        <v>212</v>
      </c>
      <c r="C45" s="4"/>
      <c r="D45" s="4"/>
      <c r="E45" s="4" t="s">
        <v>518</v>
      </c>
      <c r="F45" s="4" t="s">
        <v>82</v>
      </c>
      <c r="G45" s="4"/>
      <c r="H45" s="4" t="s">
        <v>716</v>
      </c>
      <c r="I45" s="4" t="s">
        <v>717</v>
      </c>
      <c r="J45" s="4"/>
      <c r="K45" s="4"/>
      <c r="L45" s="4"/>
      <c r="M45" s="4"/>
      <c r="N45" s="12" t="str">
        <f t="shared" si="0"/>
        <v>26°33′29″N 078°41′44″W</v>
      </c>
      <c r="O45" s="7">
        <v>26.558</v>
      </c>
      <c r="P45" s="7">
        <v>-78.695580000000007</v>
      </c>
      <c r="Q45" s="13">
        <f t="shared" si="1"/>
        <v>2</v>
      </c>
      <c r="R45" s="11">
        <v>7</v>
      </c>
      <c r="S45" s="4"/>
      <c r="T45" s="4" t="s">
        <v>948</v>
      </c>
      <c r="U45" s="8">
        <v>-5</v>
      </c>
      <c r="V45" s="14">
        <f ca="1">IF($U45="","",MOD(NOW()-admin!$B$1/24+$U45/24,1))</f>
        <v>0.40349305554991588</v>
      </c>
      <c r="W45" s="4"/>
      <c r="X45" s="4"/>
      <c r="Y45" s="4"/>
      <c r="Z45" s="4"/>
      <c r="AA45" s="4"/>
      <c r="AB45" s="4"/>
      <c r="AC45" s="4"/>
      <c r="AD45" s="4"/>
      <c r="AE45" s="4" t="s">
        <v>1068</v>
      </c>
      <c r="AF45" s="4"/>
      <c r="AG45" s="4"/>
      <c r="AH45" s="4"/>
      <c r="AI45" s="4"/>
      <c r="AJ45" s="4"/>
      <c r="AK45" s="4"/>
      <c r="AL45" s="4"/>
      <c r="AM45" s="4"/>
      <c r="AN45" s="4"/>
      <c r="AO45" s="12" t="str">
        <f>IF($A45="","",admin!$B$2&amp;"\Charts\"&amp;$A45)</f>
        <v>C:\Backups\InsiderTechSol\Aviation\Jetelio_v3\.LAYOUT\resources\Charts\MYGF</v>
      </c>
      <c r="AP45" s="12" t="str">
        <f>IF($A45="","",admin!$B$2&amp;"\RunwayDiagrams\"&amp;$A45&amp;".pdf")</f>
        <v>C:\Backups\InsiderTechSol\Aviation\Jetelio_v3\.LAYOUT\resources\RunwayDiagrams\MYGF.pdf</v>
      </c>
      <c r="AQ45" s="12" t="str">
        <f>IF($A45="","",admin!$B$2&amp;"\Images\"&amp;$A45)</f>
        <v>C:\Backups\InsiderTechSol\Aviation\Jetelio_v3\.LAYOUT\resources\Images\MYGF</v>
      </c>
      <c r="AR45" s="12" t="str">
        <f>IF($A45="","",admin!$B$2&amp;"\CityMaps\"&amp;$A45&amp;".png")</f>
        <v>C:\Backups\InsiderTechSol\Aviation\Jetelio_v3\.LAYOUT\resources\CityMaps\MYGF.png</v>
      </c>
      <c r="AS45" s="16" t="str">
        <f t="shared" si="2"/>
        <v>VISA sheet</v>
      </c>
      <c r="AT45" s="16" t="str">
        <f t="shared" si="3"/>
        <v>Vendors sheet</v>
      </c>
      <c r="AU45" s="4"/>
      <c r="AV45" s="15">
        <f t="shared" ca="1" si="4"/>
        <v>46243</v>
      </c>
      <c r="AX45" s="6"/>
      <c r="AY45" t="str">
        <f t="shared" si="5"/>
        <v>INCOMPLETE - NOT SELECTABLE AS TECH STOP</v>
      </c>
    </row>
    <row r="46" spans="1:51" x14ac:dyDescent="0.3">
      <c r="A46" s="4" t="s">
        <v>213</v>
      </c>
      <c r="B46" s="4" t="s">
        <v>214</v>
      </c>
      <c r="C46" s="4"/>
      <c r="D46" s="4"/>
      <c r="E46" s="4" t="s">
        <v>519</v>
      </c>
      <c r="F46" s="4" t="s">
        <v>82</v>
      </c>
      <c r="G46" s="4"/>
      <c r="H46" s="4" t="s">
        <v>716</v>
      </c>
      <c r="I46" s="4" t="s">
        <v>718</v>
      </c>
      <c r="J46" s="4"/>
      <c r="K46" s="4"/>
      <c r="L46" s="4"/>
      <c r="M46" s="4"/>
      <c r="N46" s="12" t="str">
        <f t="shared" si="0"/>
        <v>25°02′20″N 077°27′58″W</v>
      </c>
      <c r="O46" s="7">
        <v>25.039000000000001</v>
      </c>
      <c r="P46" s="7">
        <v>-77.466200000000001</v>
      </c>
      <c r="Q46" s="13">
        <f t="shared" si="1"/>
        <v>5</v>
      </c>
      <c r="R46" s="11">
        <v>16</v>
      </c>
      <c r="S46" s="4"/>
      <c r="T46" s="4" t="s">
        <v>948</v>
      </c>
      <c r="U46" s="8">
        <v>-5</v>
      </c>
      <c r="V46" s="14">
        <f ca="1">IF($U46="","",MOD(NOW()-admin!$B$1/24+$U46/24,1))</f>
        <v>0.40349305554991588</v>
      </c>
      <c r="W46" s="4"/>
      <c r="X46" s="4"/>
      <c r="Y46" s="4"/>
      <c r="Z46" s="4"/>
      <c r="AA46" s="4"/>
      <c r="AB46" s="4"/>
      <c r="AC46" s="4"/>
      <c r="AD46" s="4"/>
      <c r="AE46" s="4" t="s">
        <v>1069</v>
      </c>
      <c r="AF46" s="4"/>
      <c r="AG46" s="4"/>
      <c r="AH46" s="4"/>
      <c r="AI46" s="4"/>
      <c r="AJ46" s="4"/>
      <c r="AK46" s="4"/>
      <c r="AL46" s="4"/>
      <c r="AM46" s="4"/>
      <c r="AN46" s="4"/>
      <c r="AO46" s="12" t="str">
        <f>IF($A46="","",admin!$B$2&amp;"\Charts\"&amp;$A46)</f>
        <v>C:\Backups\InsiderTechSol\Aviation\Jetelio_v3\.LAYOUT\resources\Charts\MYNN</v>
      </c>
      <c r="AP46" s="12" t="str">
        <f>IF($A46="","",admin!$B$2&amp;"\RunwayDiagrams\"&amp;$A46&amp;".pdf")</f>
        <v>C:\Backups\InsiderTechSol\Aviation\Jetelio_v3\.LAYOUT\resources\RunwayDiagrams\MYNN.pdf</v>
      </c>
      <c r="AQ46" s="12" t="str">
        <f>IF($A46="","",admin!$B$2&amp;"\Images\"&amp;$A46)</f>
        <v>C:\Backups\InsiderTechSol\Aviation\Jetelio_v3\.LAYOUT\resources\Images\MYNN</v>
      </c>
      <c r="AR46" s="12" t="str">
        <f>IF($A46="","",admin!$B$2&amp;"\CityMaps\"&amp;$A46&amp;".png")</f>
        <v>C:\Backups\InsiderTechSol\Aviation\Jetelio_v3\.LAYOUT\resources\CityMaps\MYNN.png</v>
      </c>
      <c r="AS46" s="16" t="str">
        <f t="shared" si="2"/>
        <v>VISA sheet</v>
      </c>
      <c r="AT46" s="16" t="str">
        <f t="shared" si="3"/>
        <v>Vendors sheet</v>
      </c>
      <c r="AU46" s="4"/>
      <c r="AV46" s="15">
        <f t="shared" ca="1" si="4"/>
        <v>46243</v>
      </c>
      <c r="AX46" s="6"/>
      <c r="AY46" t="str">
        <f t="shared" si="5"/>
        <v>INCOMPLETE - NOT SELECTABLE AS TECH STOP</v>
      </c>
    </row>
    <row r="47" spans="1:51" x14ac:dyDescent="0.3">
      <c r="A47" s="4" t="s">
        <v>215</v>
      </c>
      <c r="B47" s="4" t="s">
        <v>216</v>
      </c>
      <c r="C47" s="4"/>
      <c r="D47" s="4"/>
      <c r="E47" s="4" t="s">
        <v>520</v>
      </c>
      <c r="F47" s="4" t="s">
        <v>82</v>
      </c>
      <c r="G47" s="4"/>
      <c r="H47" s="4" t="s">
        <v>719</v>
      </c>
      <c r="I47" s="4" t="s">
        <v>720</v>
      </c>
      <c r="J47" s="4"/>
      <c r="K47" s="4"/>
      <c r="L47" s="4"/>
      <c r="M47" s="4"/>
      <c r="N47" s="12" t="str">
        <f t="shared" si="0"/>
        <v>27°24′12″N 089°25′29″E</v>
      </c>
      <c r="O47" s="7">
        <v>27.403199999999998</v>
      </c>
      <c r="P47" s="7">
        <v>89.424599999999998</v>
      </c>
      <c r="Q47" s="13">
        <f t="shared" si="1"/>
        <v>2245</v>
      </c>
      <c r="R47" s="11">
        <v>7364</v>
      </c>
      <c r="S47" s="4"/>
      <c r="T47" s="4" t="s">
        <v>949</v>
      </c>
      <c r="U47" s="8">
        <v>6</v>
      </c>
      <c r="V47" s="14">
        <f ca="1">IF($U47="","",MOD(NOW()-admin!$B$1/24+$U47/24,1))</f>
        <v>0.86182638888567453</v>
      </c>
      <c r="W47" s="4"/>
      <c r="X47" s="4"/>
      <c r="Y47" s="4"/>
      <c r="Z47" s="4"/>
      <c r="AA47" s="4"/>
      <c r="AB47" s="4"/>
      <c r="AC47" s="4"/>
      <c r="AD47" s="4"/>
      <c r="AE47" s="4" t="s">
        <v>1070</v>
      </c>
      <c r="AF47" s="4"/>
      <c r="AG47" s="4"/>
      <c r="AH47" s="4"/>
      <c r="AI47" s="4"/>
      <c r="AJ47" s="4"/>
      <c r="AK47" s="4"/>
      <c r="AL47" s="4"/>
      <c r="AM47" s="4"/>
      <c r="AN47" s="4"/>
      <c r="AO47" s="12" t="str">
        <f>IF($A47="","",admin!$B$2&amp;"\Charts\"&amp;$A47)</f>
        <v>C:\Backups\InsiderTechSol\Aviation\Jetelio_v3\.LAYOUT\resources\Charts\VQPR</v>
      </c>
      <c r="AP47" s="12" t="str">
        <f>IF($A47="","",admin!$B$2&amp;"\RunwayDiagrams\"&amp;$A47&amp;".pdf")</f>
        <v>C:\Backups\InsiderTechSol\Aviation\Jetelio_v3\.LAYOUT\resources\RunwayDiagrams\VQPR.pdf</v>
      </c>
      <c r="AQ47" s="12" t="str">
        <f>IF($A47="","",admin!$B$2&amp;"\Images\"&amp;$A47)</f>
        <v>C:\Backups\InsiderTechSol\Aviation\Jetelio_v3\.LAYOUT\resources\Images\VQPR</v>
      </c>
      <c r="AR47" s="12" t="str">
        <f>IF($A47="","",admin!$B$2&amp;"\CityMaps\"&amp;$A47&amp;".png")</f>
        <v>C:\Backups\InsiderTechSol\Aviation\Jetelio_v3\.LAYOUT\resources\CityMaps\VQPR.png</v>
      </c>
      <c r="AS47" s="16" t="str">
        <f t="shared" si="2"/>
        <v>VISA sheet</v>
      </c>
      <c r="AT47" s="16" t="str">
        <f t="shared" si="3"/>
        <v>Vendors sheet</v>
      </c>
      <c r="AU47" s="4"/>
      <c r="AV47" s="15">
        <f t="shared" ca="1" si="4"/>
        <v>46243</v>
      </c>
      <c r="AX47" s="6"/>
      <c r="AY47" t="str">
        <f t="shared" si="5"/>
        <v>INCOMPLETE - NOT SELECTABLE AS TECH STOP</v>
      </c>
    </row>
    <row r="48" spans="1:51" x14ac:dyDescent="0.3">
      <c r="A48" s="4" t="s">
        <v>217</v>
      </c>
      <c r="B48" s="4" t="s">
        <v>218</v>
      </c>
      <c r="C48" s="4"/>
      <c r="D48" s="4"/>
      <c r="E48" s="4" t="s">
        <v>521</v>
      </c>
      <c r="F48" s="4" t="s">
        <v>82</v>
      </c>
      <c r="G48" s="4"/>
      <c r="H48" s="4" t="s">
        <v>721</v>
      </c>
      <c r="I48" s="4" t="s">
        <v>722</v>
      </c>
      <c r="J48" s="4"/>
      <c r="K48" s="4"/>
      <c r="L48" s="4"/>
      <c r="M48" s="4"/>
      <c r="N48" s="12" t="str">
        <f t="shared" si="0"/>
        <v>17°49′54″S 025°09′58″E</v>
      </c>
      <c r="O48" s="7">
        <v>-17.83165</v>
      </c>
      <c r="P48" s="7">
        <v>25.16619</v>
      </c>
      <c r="Q48" s="13">
        <f t="shared" si="1"/>
        <v>1002</v>
      </c>
      <c r="R48" s="11">
        <v>3289</v>
      </c>
      <c r="S48" s="4"/>
      <c r="T48" s="4" t="s">
        <v>950</v>
      </c>
      <c r="U48" s="8">
        <v>2</v>
      </c>
      <c r="V48" s="14">
        <f ca="1">IF($U48="","",MOD(NOW()-admin!$B$1/24+$U48/24,1))</f>
        <v>0.69515972222143319</v>
      </c>
      <c r="W48" s="4"/>
      <c r="X48" s="4"/>
      <c r="Y48" s="4"/>
      <c r="Z48" s="4"/>
      <c r="AA48" s="4"/>
      <c r="AB48" s="4"/>
      <c r="AC48" s="4"/>
      <c r="AD48" s="4"/>
      <c r="AE48" s="4" t="s">
        <v>1071</v>
      </c>
      <c r="AF48" s="4"/>
      <c r="AG48" s="4"/>
      <c r="AH48" s="4"/>
      <c r="AI48" s="4"/>
      <c r="AJ48" s="4"/>
      <c r="AK48" s="4"/>
      <c r="AL48" s="4"/>
      <c r="AM48" s="4"/>
      <c r="AN48" s="4"/>
      <c r="AO48" s="12" t="str">
        <f>IF($A48="","",admin!$B$2&amp;"\Charts\"&amp;$A48)</f>
        <v>C:\Backups\InsiderTechSol\Aviation\Jetelio_v3\.LAYOUT\resources\Charts\FBKE</v>
      </c>
      <c r="AP48" s="12" t="str">
        <f>IF($A48="","",admin!$B$2&amp;"\RunwayDiagrams\"&amp;$A48&amp;".pdf")</f>
        <v>C:\Backups\InsiderTechSol\Aviation\Jetelio_v3\.LAYOUT\resources\RunwayDiagrams\FBKE.pdf</v>
      </c>
      <c r="AQ48" s="12" t="str">
        <f>IF($A48="","",admin!$B$2&amp;"\Images\"&amp;$A48)</f>
        <v>C:\Backups\InsiderTechSol\Aviation\Jetelio_v3\.LAYOUT\resources\Images\FBKE</v>
      </c>
      <c r="AR48" s="12" t="str">
        <f>IF($A48="","",admin!$B$2&amp;"\CityMaps\"&amp;$A48&amp;".png")</f>
        <v>C:\Backups\InsiderTechSol\Aviation\Jetelio_v3\.LAYOUT\resources\CityMaps\FBKE.png</v>
      </c>
      <c r="AS48" s="16" t="str">
        <f t="shared" si="2"/>
        <v>VISA sheet</v>
      </c>
      <c r="AT48" s="16" t="str">
        <f t="shared" si="3"/>
        <v>Vendors sheet</v>
      </c>
      <c r="AU48" s="4"/>
      <c r="AV48" s="15">
        <f t="shared" ca="1" si="4"/>
        <v>46243</v>
      </c>
      <c r="AX48" s="6"/>
      <c r="AY48" t="str">
        <f t="shared" si="5"/>
        <v>INCOMPLETE - NOT SELECTABLE AS TECH STOP</v>
      </c>
    </row>
    <row r="49" spans="1:51" x14ac:dyDescent="0.3">
      <c r="A49" s="4" t="s">
        <v>219</v>
      </c>
      <c r="B49" s="4" t="s">
        <v>220</v>
      </c>
      <c r="C49" s="4"/>
      <c r="D49" s="4"/>
      <c r="E49" s="4" t="s">
        <v>522</v>
      </c>
      <c r="F49" s="4" t="s">
        <v>82</v>
      </c>
      <c r="G49" s="4"/>
      <c r="H49" s="4" t="s">
        <v>721</v>
      </c>
      <c r="I49" s="4" t="s">
        <v>723</v>
      </c>
      <c r="J49" s="4"/>
      <c r="K49" s="4"/>
      <c r="L49" s="4"/>
      <c r="M49" s="4"/>
      <c r="N49" s="12" t="str">
        <f t="shared" si="0"/>
        <v>19°58′14″S 023°25′53″E</v>
      </c>
      <c r="O49" s="7">
        <v>-19.970490000000002</v>
      </c>
      <c r="P49" s="7">
        <v>23.43141</v>
      </c>
      <c r="Q49" s="13">
        <f t="shared" si="1"/>
        <v>943</v>
      </c>
      <c r="R49" s="11">
        <v>3093</v>
      </c>
      <c r="S49" s="4"/>
      <c r="T49" s="4" t="s">
        <v>950</v>
      </c>
      <c r="U49" s="8">
        <v>2</v>
      </c>
      <c r="V49" s="14">
        <f ca="1">IF($U49="","",MOD(NOW()-admin!$B$1/24+$U49/24,1))</f>
        <v>0.69515972222143319</v>
      </c>
      <c r="W49" s="4"/>
      <c r="X49" s="4"/>
      <c r="Y49" s="4"/>
      <c r="Z49" s="4"/>
      <c r="AA49" s="4"/>
      <c r="AB49" s="4"/>
      <c r="AC49" s="4"/>
      <c r="AD49" s="4"/>
      <c r="AE49" s="4" t="s">
        <v>1071</v>
      </c>
      <c r="AF49" s="4"/>
      <c r="AG49" s="4"/>
      <c r="AH49" s="4"/>
      <c r="AI49" s="4"/>
      <c r="AJ49" s="4"/>
      <c r="AK49" s="4"/>
      <c r="AL49" s="4"/>
      <c r="AM49" s="4"/>
      <c r="AN49" s="4"/>
      <c r="AO49" s="12" t="str">
        <f>IF($A49="","",admin!$B$2&amp;"\Charts\"&amp;$A49)</f>
        <v>C:\Backups\InsiderTechSol\Aviation\Jetelio_v3\.LAYOUT\resources\Charts\FBMN</v>
      </c>
      <c r="AP49" s="12" t="str">
        <f>IF($A49="","",admin!$B$2&amp;"\RunwayDiagrams\"&amp;$A49&amp;".pdf")</f>
        <v>C:\Backups\InsiderTechSol\Aviation\Jetelio_v3\.LAYOUT\resources\RunwayDiagrams\FBMN.pdf</v>
      </c>
      <c r="AQ49" s="12" t="str">
        <f>IF($A49="","",admin!$B$2&amp;"\Images\"&amp;$A49)</f>
        <v>C:\Backups\InsiderTechSol\Aviation\Jetelio_v3\.LAYOUT\resources\Images\FBMN</v>
      </c>
      <c r="AR49" s="12" t="str">
        <f>IF($A49="","",admin!$B$2&amp;"\CityMaps\"&amp;$A49&amp;".png")</f>
        <v>C:\Backups\InsiderTechSol\Aviation\Jetelio_v3\.LAYOUT\resources\CityMaps\FBMN.png</v>
      </c>
      <c r="AS49" s="16" t="str">
        <f t="shared" si="2"/>
        <v>VISA sheet</v>
      </c>
      <c r="AT49" s="16" t="str">
        <f t="shared" si="3"/>
        <v>Vendors sheet</v>
      </c>
      <c r="AU49" s="4"/>
      <c r="AV49" s="15">
        <f t="shared" ca="1" si="4"/>
        <v>46243</v>
      </c>
      <c r="AX49" s="6"/>
      <c r="AY49" t="str">
        <f t="shared" si="5"/>
        <v>INCOMPLETE - NOT SELECTABLE AS TECH STOP</v>
      </c>
    </row>
    <row r="50" spans="1:51" x14ac:dyDescent="0.3">
      <c r="A50" s="4" t="s">
        <v>221</v>
      </c>
      <c r="B50" s="4" t="s">
        <v>222</v>
      </c>
      <c r="C50" s="4"/>
      <c r="D50" s="4"/>
      <c r="E50" s="4" t="s">
        <v>523</v>
      </c>
      <c r="F50" s="4" t="s">
        <v>82</v>
      </c>
      <c r="G50" s="4"/>
      <c r="H50" s="4" t="s">
        <v>724</v>
      </c>
      <c r="I50" s="4" t="s">
        <v>725</v>
      </c>
      <c r="J50" s="4"/>
      <c r="K50" s="4"/>
      <c r="L50" s="4"/>
      <c r="M50" s="4"/>
      <c r="N50" s="12" t="str">
        <f t="shared" si="0"/>
        <v>52°06′29″N 023°53′48″E</v>
      </c>
      <c r="O50" s="7">
        <v>52.108139999999999</v>
      </c>
      <c r="P50" s="7">
        <v>23.89676</v>
      </c>
      <c r="Q50" s="13">
        <f t="shared" si="1"/>
        <v>143</v>
      </c>
      <c r="R50" s="11">
        <v>468</v>
      </c>
      <c r="S50" s="4"/>
      <c r="T50" s="4" t="s">
        <v>951</v>
      </c>
      <c r="U50" s="8">
        <v>3</v>
      </c>
      <c r="V50" s="14">
        <f ca="1">IF($U50="","",MOD(NOW()-admin!$B$1/24+$U50/24,1))</f>
        <v>0.73682638888567453</v>
      </c>
      <c r="W50" s="4"/>
      <c r="X50" s="4"/>
      <c r="Y50" s="4"/>
      <c r="Z50" s="4"/>
      <c r="AA50" s="4"/>
      <c r="AB50" s="4"/>
      <c r="AC50" s="4"/>
      <c r="AD50" s="4"/>
      <c r="AE50" s="4" t="s">
        <v>1072</v>
      </c>
      <c r="AF50" s="4"/>
      <c r="AG50" s="4"/>
      <c r="AH50" s="4"/>
      <c r="AI50" s="4"/>
      <c r="AJ50" s="4"/>
      <c r="AK50" s="4"/>
      <c r="AL50" s="4"/>
      <c r="AM50" s="4"/>
      <c r="AN50" s="4"/>
      <c r="AO50" s="12" t="str">
        <f>IF($A50="","",admin!$B$2&amp;"\Charts\"&amp;$A50)</f>
        <v>C:\Backups\InsiderTechSol\Aviation\Jetelio_v3\.LAYOUT\resources\Charts\UMBB</v>
      </c>
      <c r="AP50" s="12" t="str">
        <f>IF($A50="","",admin!$B$2&amp;"\RunwayDiagrams\"&amp;$A50&amp;".pdf")</f>
        <v>C:\Backups\InsiderTechSol\Aviation\Jetelio_v3\.LAYOUT\resources\RunwayDiagrams\UMBB.pdf</v>
      </c>
      <c r="AQ50" s="12" t="str">
        <f>IF($A50="","",admin!$B$2&amp;"\Images\"&amp;$A50)</f>
        <v>C:\Backups\InsiderTechSol\Aviation\Jetelio_v3\.LAYOUT\resources\Images\UMBB</v>
      </c>
      <c r="AR50" s="12" t="str">
        <f>IF($A50="","",admin!$B$2&amp;"\CityMaps\"&amp;$A50&amp;".png")</f>
        <v>C:\Backups\InsiderTechSol\Aviation\Jetelio_v3\.LAYOUT\resources\CityMaps\UMBB.png</v>
      </c>
      <c r="AS50" s="16" t="str">
        <f t="shared" si="2"/>
        <v>VISA sheet</v>
      </c>
      <c r="AT50" s="16" t="str">
        <f t="shared" si="3"/>
        <v>Vendors sheet</v>
      </c>
      <c r="AU50" s="4"/>
      <c r="AV50" s="15">
        <f t="shared" ca="1" si="4"/>
        <v>46243</v>
      </c>
      <c r="AX50" s="6"/>
      <c r="AY50" t="str">
        <f t="shared" si="5"/>
        <v>INCOMPLETE - NOT SELECTABLE AS TECH STOP</v>
      </c>
    </row>
    <row r="51" spans="1:51" x14ac:dyDescent="0.3">
      <c r="A51" s="4" t="s">
        <v>223</v>
      </c>
      <c r="B51" s="4" t="s">
        <v>224</v>
      </c>
      <c r="C51" s="4"/>
      <c r="D51" s="4"/>
      <c r="E51" s="4" t="s">
        <v>524</v>
      </c>
      <c r="F51" s="4" t="s">
        <v>82</v>
      </c>
      <c r="G51" s="4"/>
      <c r="H51" s="4" t="s">
        <v>724</v>
      </c>
      <c r="I51" s="4" t="s">
        <v>726</v>
      </c>
      <c r="J51" s="4"/>
      <c r="K51" s="4"/>
      <c r="L51" s="4"/>
      <c r="M51" s="4"/>
      <c r="N51" s="12" t="str">
        <f t="shared" si="0"/>
        <v>53°53′17″N 028°02′24″E</v>
      </c>
      <c r="O51" s="7">
        <v>53.888069999999999</v>
      </c>
      <c r="P51" s="7">
        <v>28.039960000000001</v>
      </c>
      <c r="Q51" s="13">
        <f t="shared" si="1"/>
        <v>204</v>
      </c>
      <c r="R51" s="11">
        <v>670</v>
      </c>
      <c r="S51" s="4"/>
      <c r="T51" s="4" t="s">
        <v>951</v>
      </c>
      <c r="U51" s="8">
        <v>3</v>
      </c>
      <c r="V51" s="14">
        <f ca="1">IF($U51="","",MOD(NOW()-admin!$B$1/24+$U51/24,1))</f>
        <v>0.73682638888567453</v>
      </c>
      <c r="W51" s="4"/>
      <c r="X51" s="4"/>
      <c r="Y51" s="4"/>
      <c r="Z51" s="4"/>
      <c r="AA51" s="4"/>
      <c r="AB51" s="4"/>
      <c r="AC51" s="4"/>
      <c r="AD51" s="4"/>
      <c r="AE51" s="4" t="s">
        <v>1073</v>
      </c>
      <c r="AF51" s="4"/>
      <c r="AG51" s="4"/>
      <c r="AH51" s="4"/>
      <c r="AI51" s="4"/>
      <c r="AJ51" s="4"/>
      <c r="AK51" s="4"/>
      <c r="AL51" s="4"/>
      <c r="AM51" s="4"/>
      <c r="AN51" s="4"/>
      <c r="AO51" s="12" t="str">
        <f>IF($A51="","",admin!$B$2&amp;"\Charts\"&amp;$A51)</f>
        <v>C:\Backups\InsiderTechSol\Aviation\Jetelio_v3\.LAYOUT\resources\Charts\UMMS</v>
      </c>
      <c r="AP51" s="12" t="str">
        <f>IF($A51="","",admin!$B$2&amp;"\RunwayDiagrams\"&amp;$A51&amp;".pdf")</f>
        <v>C:\Backups\InsiderTechSol\Aviation\Jetelio_v3\.LAYOUT\resources\RunwayDiagrams\UMMS.pdf</v>
      </c>
      <c r="AQ51" s="12" t="str">
        <f>IF($A51="","",admin!$B$2&amp;"\Images\"&amp;$A51)</f>
        <v>C:\Backups\InsiderTechSol\Aviation\Jetelio_v3\.LAYOUT\resources\Images\UMMS</v>
      </c>
      <c r="AR51" s="12" t="str">
        <f>IF($A51="","",admin!$B$2&amp;"\CityMaps\"&amp;$A51&amp;".png")</f>
        <v>C:\Backups\InsiderTechSol\Aviation\Jetelio_v3\.LAYOUT\resources\CityMaps\UMMS.png</v>
      </c>
      <c r="AS51" s="16" t="str">
        <f t="shared" si="2"/>
        <v>VISA sheet</v>
      </c>
      <c r="AT51" s="16" t="str">
        <f t="shared" si="3"/>
        <v>Vendors sheet</v>
      </c>
      <c r="AU51" s="4"/>
      <c r="AV51" s="15">
        <f t="shared" ca="1" si="4"/>
        <v>46243</v>
      </c>
      <c r="AX51" s="6"/>
      <c r="AY51" t="str">
        <f t="shared" si="5"/>
        <v>INCOMPLETE - NOT SELECTABLE AS TECH STOP</v>
      </c>
    </row>
    <row r="52" spans="1:51" x14ac:dyDescent="0.3">
      <c r="A52" s="4" t="s">
        <v>225</v>
      </c>
      <c r="B52" s="4" t="s">
        <v>226</v>
      </c>
      <c r="C52" s="4"/>
      <c r="D52" s="4"/>
      <c r="E52" s="4" t="s">
        <v>525</v>
      </c>
      <c r="F52" s="4" t="s">
        <v>82</v>
      </c>
      <c r="G52" s="4"/>
      <c r="H52" s="4" t="s">
        <v>727</v>
      </c>
      <c r="I52" s="4" t="s">
        <v>728</v>
      </c>
      <c r="J52" s="4"/>
      <c r="K52" s="4"/>
      <c r="L52" s="4"/>
      <c r="M52" s="4"/>
      <c r="N52" s="12" t="str">
        <f t="shared" si="0"/>
        <v>17°32′24″N 088°18′13″W</v>
      </c>
      <c r="O52" s="7">
        <v>17.539950000000001</v>
      </c>
      <c r="P52" s="7">
        <v>-88.303560000000004</v>
      </c>
      <c r="Q52" s="13">
        <f t="shared" si="1"/>
        <v>5</v>
      </c>
      <c r="R52" s="11">
        <v>15</v>
      </c>
      <c r="S52" s="4"/>
      <c r="T52" s="4" t="s">
        <v>952</v>
      </c>
      <c r="U52" s="8">
        <v>-6</v>
      </c>
      <c r="V52" s="14">
        <f ca="1">IF($U52="","",MOD(NOW()-admin!$B$1/24+$U52/24,1))</f>
        <v>0.36182638888567453</v>
      </c>
      <c r="W52" s="4"/>
      <c r="X52" s="4"/>
      <c r="Y52" s="4"/>
      <c r="Z52" s="4"/>
      <c r="AA52" s="4"/>
      <c r="AB52" s="4"/>
      <c r="AC52" s="4"/>
      <c r="AD52" s="4"/>
      <c r="AE52" s="4" t="s">
        <v>1074</v>
      </c>
      <c r="AF52" s="4"/>
      <c r="AG52" s="4"/>
      <c r="AH52" s="4"/>
      <c r="AI52" s="4"/>
      <c r="AJ52" s="4"/>
      <c r="AK52" s="4"/>
      <c r="AL52" s="4"/>
      <c r="AM52" s="4"/>
      <c r="AN52" s="4"/>
      <c r="AO52" s="12" t="str">
        <f>IF($A52="","",admin!$B$2&amp;"\Charts\"&amp;$A52)</f>
        <v>C:\Backups\InsiderTechSol\Aviation\Jetelio_v3\.LAYOUT\resources\Charts\MZBZ</v>
      </c>
      <c r="AP52" s="12" t="str">
        <f>IF($A52="","",admin!$B$2&amp;"\RunwayDiagrams\"&amp;$A52&amp;".pdf")</f>
        <v>C:\Backups\InsiderTechSol\Aviation\Jetelio_v3\.LAYOUT\resources\RunwayDiagrams\MZBZ.pdf</v>
      </c>
      <c r="AQ52" s="12" t="str">
        <f>IF($A52="","",admin!$B$2&amp;"\Images\"&amp;$A52)</f>
        <v>C:\Backups\InsiderTechSol\Aviation\Jetelio_v3\.LAYOUT\resources\Images\MZBZ</v>
      </c>
      <c r="AR52" s="12" t="str">
        <f>IF($A52="","",admin!$B$2&amp;"\CityMaps\"&amp;$A52&amp;".png")</f>
        <v>C:\Backups\InsiderTechSol\Aviation\Jetelio_v3\.LAYOUT\resources\CityMaps\MZBZ.png</v>
      </c>
      <c r="AS52" s="16" t="str">
        <f t="shared" si="2"/>
        <v>VISA sheet</v>
      </c>
      <c r="AT52" s="16" t="str">
        <f t="shared" si="3"/>
        <v>Vendors sheet</v>
      </c>
      <c r="AU52" s="4"/>
      <c r="AV52" s="15">
        <f t="shared" ca="1" si="4"/>
        <v>46243</v>
      </c>
      <c r="AX52" s="6"/>
      <c r="AY52" t="str">
        <f t="shared" si="5"/>
        <v>INCOMPLETE - NOT SELECTABLE AS TECH STOP</v>
      </c>
    </row>
    <row r="53" spans="1:51" x14ac:dyDescent="0.3">
      <c r="A53" s="4" t="s">
        <v>227</v>
      </c>
      <c r="B53" s="4" t="s">
        <v>228</v>
      </c>
      <c r="C53" s="4"/>
      <c r="D53" s="4"/>
      <c r="E53" s="4" t="s">
        <v>526</v>
      </c>
      <c r="F53" s="4" t="s">
        <v>82</v>
      </c>
      <c r="G53" s="4"/>
      <c r="H53" s="4" t="s">
        <v>729</v>
      </c>
      <c r="I53" s="4" t="s">
        <v>730</v>
      </c>
      <c r="J53" s="4"/>
      <c r="K53" s="4"/>
      <c r="L53" s="4"/>
      <c r="M53" s="4"/>
      <c r="N53" s="12" t="str">
        <f t="shared" si="0"/>
        <v>53°18′35″N 113°34′48″W</v>
      </c>
      <c r="O53" s="7">
        <v>53.309699999999999</v>
      </c>
      <c r="P53" s="7">
        <v>-113.58</v>
      </c>
      <c r="Q53" s="13">
        <f t="shared" si="1"/>
        <v>723</v>
      </c>
      <c r="R53" s="11">
        <v>2373</v>
      </c>
      <c r="S53" s="4"/>
      <c r="T53" s="4" t="s">
        <v>953</v>
      </c>
      <c r="U53" s="8">
        <v>-7</v>
      </c>
      <c r="V53" s="14">
        <f ca="1">IF($U53="","",MOD(NOW()-admin!$B$1/24+$U53/24,1))</f>
        <v>0.32015972222143319</v>
      </c>
      <c r="W53" s="4"/>
      <c r="X53" s="4"/>
      <c r="Y53" s="4"/>
      <c r="Z53" s="4"/>
      <c r="AA53" s="4"/>
      <c r="AB53" s="4"/>
      <c r="AC53" s="4"/>
      <c r="AD53" s="4"/>
      <c r="AE53" s="4" t="s">
        <v>1075</v>
      </c>
      <c r="AF53" s="4"/>
      <c r="AG53" s="4"/>
      <c r="AH53" s="4"/>
      <c r="AI53" s="4"/>
      <c r="AJ53" s="4"/>
      <c r="AK53" s="4"/>
      <c r="AL53" s="4"/>
      <c r="AM53" s="4"/>
      <c r="AN53" s="4"/>
      <c r="AO53" s="12" t="str">
        <f>IF($A53="","",admin!$B$2&amp;"\Charts\"&amp;$A53)</f>
        <v>C:\Backups\InsiderTechSol\Aviation\Jetelio_v3\.LAYOUT\resources\Charts\CYEG</v>
      </c>
      <c r="AP53" s="12" t="str">
        <f>IF($A53="","",admin!$B$2&amp;"\RunwayDiagrams\"&amp;$A53&amp;".pdf")</f>
        <v>C:\Backups\InsiderTechSol\Aviation\Jetelio_v3\.LAYOUT\resources\RunwayDiagrams\CYEG.pdf</v>
      </c>
      <c r="AQ53" s="12" t="str">
        <f>IF($A53="","",admin!$B$2&amp;"\Images\"&amp;$A53)</f>
        <v>C:\Backups\InsiderTechSol\Aviation\Jetelio_v3\.LAYOUT\resources\Images\CYEG</v>
      </c>
      <c r="AR53" s="12" t="str">
        <f>IF($A53="","",admin!$B$2&amp;"\CityMaps\"&amp;$A53&amp;".png")</f>
        <v>C:\Backups\InsiderTechSol\Aviation\Jetelio_v3\.LAYOUT\resources\CityMaps\CYEG.png</v>
      </c>
      <c r="AS53" s="16" t="str">
        <f t="shared" si="2"/>
        <v>VISA sheet</v>
      </c>
      <c r="AT53" s="16" t="str">
        <f t="shared" si="3"/>
        <v>Vendors sheet</v>
      </c>
      <c r="AU53" s="4"/>
      <c r="AV53" s="15">
        <f t="shared" ca="1" si="4"/>
        <v>46243</v>
      </c>
      <c r="AX53" s="6"/>
      <c r="AY53" t="str">
        <f t="shared" si="5"/>
        <v>INCOMPLETE - NOT SELECTABLE AS TECH STOP</v>
      </c>
    </row>
    <row r="54" spans="1:51" x14ac:dyDescent="0.3">
      <c r="A54" s="4" t="s">
        <v>229</v>
      </c>
      <c r="B54" s="4" t="s">
        <v>230</v>
      </c>
      <c r="C54" s="4"/>
      <c r="D54" s="4"/>
      <c r="E54" s="4" t="s">
        <v>527</v>
      </c>
      <c r="F54" s="4" t="s">
        <v>82</v>
      </c>
      <c r="G54" s="4"/>
      <c r="H54" s="4" t="s">
        <v>729</v>
      </c>
      <c r="I54" s="4" t="s">
        <v>731</v>
      </c>
      <c r="J54" s="4"/>
      <c r="K54" s="4"/>
      <c r="L54" s="4"/>
      <c r="M54" s="4"/>
      <c r="N54" s="12" t="str">
        <f t="shared" si="0"/>
        <v>44°52′51″N 063°30′31″W</v>
      </c>
      <c r="O54" s="7">
        <v>44.880800000000001</v>
      </c>
      <c r="P54" s="7">
        <v>-63.508600000000001</v>
      </c>
      <c r="Q54" s="13">
        <f t="shared" si="1"/>
        <v>145</v>
      </c>
      <c r="R54" s="11">
        <v>477</v>
      </c>
      <c r="S54" s="4"/>
      <c r="T54" s="4" t="s">
        <v>954</v>
      </c>
      <c r="U54" s="8">
        <v>-4</v>
      </c>
      <c r="V54" s="14">
        <f ca="1">IF($U54="","",MOD(NOW()-admin!$B$1/24+$U54/24,1))</f>
        <v>0.44515972222143319</v>
      </c>
      <c r="W54" s="4"/>
      <c r="X54" s="4"/>
      <c r="Y54" s="4"/>
      <c r="Z54" s="4"/>
      <c r="AA54" s="4"/>
      <c r="AB54" s="4"/>
      <c r="AC54" s="4"/>
      <c r="AD54" s="4"/>
      <c r="AE54" s="4" t="s">
        <v>1076</v>
      </c>
      <c r="AF54" s="4"/>
      <c r="AG54" s="4"/>
      <c r="AH54" s="4"/>
      <c r="AI54" s="4"/>
      <c r="AJ54" s="4"/>
      <c r="AK54" s="4"/>
      <c r="AL54" s="4"/>
      <c r="AM54" s="4"/>
      <c r="AN54" s="4"/>
      <c r="AO54" s="12" t="str">
        <f>IF($A54="","",admin!$B$2&amp;"\Charts\"&amp;$A54)</f>
        <v>C:\Backups\InsiderTechSol\Aviation\Jetelio_v3\.LAYOUT\resources\Charts\CYHZ</v>
      </c>
      <c r="AP54" s="12" t="str">
        <f>IF($A54="","",admin!$B$2&amp;"\RunwayDiagrams\"&amp;$A54&amp;".pdf")</f>
        <v>C:\Backups\InsiderTechSol\Aviation\Jetelio_v3\.LAYOUT\resources\RunwayDiagrams\CYHZ.pdf</v>
      </c>
      <c r="AQ54" s="12" t="str">
        <f>IF($A54="","",admin!$B$2&amp;"\Images\"&amp;$A54)</f>
        <v>C:\Backups\InsiderTechSol\Aviation\Jetelio_v3\.LAYOUT\resources\Images\CYHZ</v>
      </c>
      <c r="AR54" s="12" t="str">
        <f>IF($A54="","",admin!$B$2&amp;"\CityMaps\"&amp;$A54&amp;".png")</f>
        <v>C:\Backups\InsiderTechSol\Aviation\Jetelio_v3\.LAYOUT\resources\CityMaps\CYHZ.png</v>
      </c>
      <c r="AS54" s="16" t="str">
        <f t="shared" si="2"/>
        <v>VISA sheet</v>
      </c>
      <c r="AT54" s="16" t="str">
        <f t="shared" si="3"/>
        <v>Vendors sheet</v>
      </c>
      <c r="AU54" s="4"/>
      <c r="AV54" s="15">
        <f t="shared" ca="1" si="4"/>
        <v>46243</v>
      </c>
      <c r="AX54" s="6"/>
      <c r="AY54" t="str">
        <f t="shared" si="5"/>
        <v>INCOMPLETE - NOT SELECTABLE AS TECH STOP</v>
      </c>
    </row>
    <row r="55" spans="1:51" x14ac:dyDescent="0.3">
      <c r="A55" s="4" t="s">
        <v>231</v>
      </c>
      <c r="B55" s="4" t="s">
        <v>232</v>
      </c>
      <c r="C55" s="4"/>
      <c r="D55" s="4"/>
      <c r="E55" s="4" t="s">
        <v>528</v>
      </c>
      <c r="F55" s="4" t="s">
        <v>82</v>
      </c>
      <c r="G55" s="4"/>
      <c r="H55" s="4" t="s">
        <v>732</v>
      </c>
      <c r="I55" s="4" t="s">
        <v>733</v>
      </c>
      <c r="J55" s="4"/>
      <c r="K55" s="4"/>
      <c r="L55" s="4"/>
      <c r="M55" s="4"/>
      <c r="N55" s="12" t="str">
        <f t="shared" si="0"/>
        <v>12°11′32″S 096°50′03″E</v>
      </c>
      <c r="O55" s="7">
        <v>-12.192220000000001</v>
      </c>
      <c r="P55" s="7">
        <v>96.834100000000007</v>
      </c>
      <c r="Q55" s="13">
        <f t="shared" si="1"/>
        <v>3</v>
      </c>
      <c r="R55" s="11">
        <v>10</v>
      </c>
      <c r="S55" s="4"/>
      <c r="T55" s="4" t="s">
        <v>955</v>
      </c>
      <c r="U55" s="8">
        <v>6.5</v>
      </c>
      <c r="V55" s="14">
        <f ca="1">IF($U55="","",MOD(NOW()-admin!$B$1/24+$U55/24,1))</f>
        <v>0.88265972222143319</v>
      </c>
      <c r="W55" s="4"/>
      <c r="X55" s="4"/>
      <c r="Y55" s="4"/>
      <c r="Z55" s="4"/>
      <c r="AA55" s="4"/>
      <c r="AB55" s="4"/>
      <c r="AC55" s="4"/>
      <c r="AD55" s="4"/>
      <c r="AE55" s="4" t="s">
        <v>1077</v>
      </c>
      <c r="AF55" s="4"/>
      <c r="AG55" s="4"/>
      <c r="AH55" s="4"/>
      <c r="AI55" s="4"/>
      <c r="AJ55" s="4"/>
      <c r="AK55" s="4"/>
      <c r="AL55" s="4"/>
      <c r="AM55" s="4"/>
      <c r="AN55" s="4"/>
      <c r="AO55" s="12" t="str">
        <f>IF($A55="","",admin!$B$2&amp;"\Charts\"&amp;$A55)</f>
        <v>C:\Backups\InsiderTechSol\Aviation\Jetelio_v3\.LAYOUT\resources\Charts\YPCC</v>
      </c>
      <c r="AP55" s="12" t="str">
        <f>IF($A55="","",admin!$B$2&amp;"\RunwayDiagrams\"&amp;$A55&amp;".pdf")</f>
        <v>C:\Backups\InsiderTechSol\Aviation\Jetelio_v3\.LAYOUT\resources\RunwayDiagrams\YPCC.pdf</v>
      </c>
      <c r="AQ55" s="12" t="str">
        <f>IF($A55="","",admin!$B$2&amp;"\Images\"&amp;$A55)</f>
        <v>C:\Backups\InsiderTechSol\Aviation\Jetelio_v3\.LAYOUT\resources\Images\YPCC</v>
      </c>
      <c r="AR55" s="12" t="str">
        <f>IF($A55="","",admin!$B$2&amp;"\CityMaps\"&amp;$A55&amp;".png")</f>
        <v>C:\Backups\InsiderTechSol\Aviation\Jetelio_v3\.LAYOUT\resources\CityMaps\YPCC.png</v>
      </c>
      <c r="AS55" s="16" t="str">
        <f t="shared" si="2"/>
        <v>VISA sheet</v>
      </c>
      <c r="AT55" s="16" t="str">
        <f t="shared" si="3"/>
        <v>Vendors sheet</v>
      </c>
      <c r="AU55" s="4"/>
      <c r="AV55" s="15">
        <f t="shared" ca="1" si="4"/>
        <v>46243</v>
      </c>
      <c r="AX55" s="6"/>
      <c r="AY55" t="str">
        <f t="shared" si="5"/>
        <v>INCOMPLETE - NOT SELECTABLE AS TECH STOP</v>
      </c>
    </row>
    <row r="56" spans="1:51" x14ac:dyDescent="0.3">
      <c r="A56" s="4" t="s">
        <v>233</v>
      </c>
      <c r="B56" s="4" t="s">
        <v>234</v>
      </c>
      <c r="C56" s="4"/>
      <c r="D56" s="4"/>
      <c r="E56" s="4" t="s">
        <v>529</v>
      </c>
      <c r="F56" s="4" t="s">
        <v>82</v>
      </c>
      <c r="G56" s="4"/>
      <c r="H56" s="4" t="s">
        <v>734</v>
      </c>
      <c r="I56" s="4" t="s">
        <v>735</v>
      </c>
      <c r="J56" s="4"/>
      <c r="K56" s="4"/>
      <c r="L56" s="4"/>
      <c r="M56" s="4"/>
      <c r="N56" s="12" t="str">
        <f t="shared" si="0"/>
        <v>04°23′09″S 015°26′41″E</v>
      </c>
      <c r="O56" s="7">
        <v>-4.3857499999999998</v>
      </c>
      <c r="P56" s="7">
        <v>15.444599999999999</v>
      </c>
      <c r="Q56" s="13">
        <f t="shared" si="1"/>
        <v>313</v>
      </c>
      <c r="R56" s="11">
        <v>1027</v>
      </c>
      <c r="S56" s="4"/>
      <c r="T56" s="4" t="s">
        <v>956</v>
      </c>
      <c r="U56" s="8">
        <v>1</v>
      </c>
      <c r="V56" s="14">
        <f ca="1">IF($U56="","",MOD(NOW()-admin!$B$1/24+$U56/24,1))</f>
        <v>0.65349305554991588</v>
      </c>
      <c r="W56" s="4"/>
      <c r="X56" s="4"/>
      <c r="Y56" s="4"/>
      <c r="Z56" s="4"/>
      <c r="AA56" s="4"/>
      <c r="AB56" s="4"/>
      <c r="AC56" s="4"/>
      <c r="AD56" s="4"/>
      <c r="AE56" s="4" t="s">
        <v>1078</v>
      </c>
      <c r="AF56" s="4"/>
      <c r="AG56" s="4"/>
      <c r="AH56" s="4"/>
      <c r="AI56" s="4"/>
      <c r="AJ56" s="4"/>
      <c r="AK56" s="4"/>
      <c r="AL56" s="4"/>
      <c r="AM56" s="4"/>
      <c r="AN56" s="4"/>
      <c r="AO56" s="12" t="str">
        <f>IF($A56="","",admin!$B$2&amp;"\Charts\"&amp;$A56)</f>
        <v>C:\Backups\InsiderTechSol\Aviation\Jetelio_v3\.LAYOUT\resources\Charts\FZAA</v>
      </c>
      <c r="AP56" s="12" t="str">
        <f>IF($A56="","",admin!$B$2&amp;"\RunwayDiagrams\"&amp;$A56&amp;".pdf")</f>
        <v>C:\Backups\InsiderTechSol\Aviation\Jetelio_v3\.LAYOUT\resources\RunwayDiagrams\FZAA.pdf</v>
      </c>
      <c r="AQ56" s="12" t="str">
        <f>IF($A56="","",admin!$B$2&amp;"\Images\"&amp;$A56)</f>
        <v>C:\Backups\InsiderTechSol\Aviation\Jetelio_v3\.LAYOUT\resources\Images\FZAA</v>
      </c>
      <c r="AR56" s="12" t="str">
        <f>IF($A56="","",admin!$B$2&amp;"\CityMaps\"&amp;$A56&amp;".png")</f>
        <v>C:\Backups\InsiderTechSol\Aviation\Jetelio_v3\.LAYOUT\resources\CityMaps\FZAA.png</v>
      </c>
      <c r="AS56" s="16" t="str">
        <f t="shared" si="2"/>
        <v>VISA sheet</v>
      </c>
      <c r="AT56" s="16" t="str">
        <f t="shared" si="3"/>
        <v>Vendors sheet</v>
      </c>
      <c r="AU56" s="4"/>
      <c r="AV56" s="15">
        <f t="shared" ca="1" si="4"/>
        <v>46243</v>
      </c>
      <c r="AX56" s="6"/>
      <c r="AY56" t="str">
        <f t="shared" si="5"/>
        <v>INCOMPLETE - NOT SELECTABLE AS TECH STOP</v>
      </c>
    </row>
    <row r="57" spans="1:51" x14ac:dyDescent="0.3">
      <c r="A57" s="4" t="s">
        <v>235</v>
      </c>
      <c r="B57" s="4" t="s">
        <v>236</v>
      </c>
      <c r="C57" s="4"/>
      <c r="D57" s="4"/>
      <c r="E57" s="4" t="s">
        <v>530</v>
      </c>
      <c r="F57" s="4" t="s">
        <v>82</v>
      </c>
      <c r="G57" s="4"/>
      <c r="H57" s="4" t="s">
        <v>734</v>
      </c>
      <c r="I57" s="4" t="s">
        <v>736</v>
      </c>
      <c r="J57" s="4"/>
      <c r="K57" s="4"/>
      <c r="L57" s="4"/>
      <c r="M57" s="4"/>
      <c r="N57" s="12" t="str">
        <f t="shared" si="0"/>
        <v>00°28′54″N 025°20′17″E</v>
      </c>
      <c r="O57" s="7">
        <v>0.48164000000000001</v>
      </c>
      <c r="P57" s="7">
        <v>25.338000000000001</v>
      </c>
      <c r="Q57" s="13">
        <f t="shared" si="1"/>
        <v>432</v>
      </c>
      <c r="R57" s="11">
        <v>1417</v>
      </c>
      <c r="S57" s="4"/>
      <c r="T57" s="4" t="s">
        <v>957</v>
      </c>
      <c r="U57" s="8">
        <v>2</v>
      </c>
      <c r="V57" s="14">
        <f ca="1">IF($U57="","",MOD(NOW()-admin!$B$1/24+$U57/24,1))</f>
        <v>0.69515972222143319</v>
      </c>
      <c r="W57" s="4"/>
      <c r="X57" s="4"/>
      <c r="Y57" s="4"/>
      <c r="Z57" s="4"/>
      <c r="AA57" s="4"/>
      <c r="AB57" s="4"/>
      <c r="AC57" s="4"/>
      <c r="AD57" s="4"/>
      <c r="AE57" s="4" t="s">
        <v>1079</v>
      </c>
      <c r="AF57" s="4"/>
      <c r="AG57" s="4"/>
      <c r="AH57" s="4"/>
      <c r="AI57" s="4"/>
      <c r="AJ57" s="4"/>
      <c r="AK57" s="4"/>
      <c r="AL57" s="4"/>
      <c r="AM57" s="4"/>
      <c r="AN57" s="4"/>
      <c r="AO57" s="12" t="str">
        <f>IF($A57="","",admin!$B$2&amp;"\Charts\"&amp;$A57)</f>
        <v>C:\Backups\InsiderTechSol\Aviation\Jetelio_v3\.LAYOUT\resources\Charts\FZIC</v>
      </c>
      <c r="AP57" s="12" t="str">
        <f>IF($A57="","",admin!$B$2&amp;"\RunwayDiagrams\"&amp;$A57&amp;".pdf")</f>
        <v>C:\Backups\InsiderTechSol\Aviation\Jetelio_v3\.LAYOUT\resources\RunwayDiagrams\FZIC.pdf</v>
      </c>
      <c r="AQ57" s="12" t="str">
        <f>IF($A57="","",admin!$B$2&amp;"\Images\"&amp;$A57)</f>
        <v>C:\Backups\InsiderTechSol\Aviation\Jetelio_v3\.LAYOUT\resources\Images\FZIC</v>
      </c>
      <c r="AR57" s="12" t="str">
        <f>IF($A57="","",admin!$B$2&amp;"\CityMaps\"&amp;$A57&amp;".png")</f>
        <v>C:\Backups\InsiderTechSol\Aviation\Jetelio_v3\.LAYOUT\resources\CityMaps\FZIC.png</v>
      </c>
      <c r="AS57" s="16" t="str">
        <f t="shared" si="2"/>
        <v>VISA sheet</v>
      </c>
      <c r="AT57" s="16" t="str">
        <f t="shared" si="3"/>
        <v>Vendors sheet</v>
      </c>
      <c r="AU57" s="4"/>
      <c r="AV57" s="15">
        <f t="shared" ca="1" si="4"/>
        <v>46243</v>
      </c>
      <c r="AX57" s="6"/>
      <c r="AY57" t="str">
        <f t="shared" si="5"/>
        <v>INCOMPLETE - NOT SELECTABLE AS TECH STOP</v>
      </c>
    </row>
    <row r="58" spans="1:51" x14ac:dyDescent="0.3">
      <c r="A58" s="4" t="s">
        <v>237</v>
      </c>
      <c r="B58" s="4" t="s">
        <v>238</v>
      </c>
      <c r="C58" s="4"/>
      <c r="D58" s="4"/>
      <c r="E58" s="4" t="s">
        <v>531</v>
      </c>
      <c r="F58" s="4" t="s">
        <v>82</v>
      </c>
      <c r="G58" s="4"/>
      <c r="H58" s="4" t="s">
        <v>737</v>
      </c>
      <c r="I58" s="4" t="s">
        <v>738</v>
      </c>
      <c r="J58" s="4"/>
      <c r="K58" s="4"/>
      <c r="L58" s="4"/>
      <c r="M58" s="4"/>
      <c r="N58" s="12" t="str">
        <f t="shared" si="0"/>
        <v>04°23′55″N 018°31′08″E</v>
      </c>
      <c r="O58" s="7">
        <v>4.3984800000000002</v>
      </c>
      <c r="P58" s="7">
        <v>18.518799999999999</v>
      </c>
      <c r="Q58" s="13">
        <f t="shared" si="1"/>
        <v>368</v>
      </c>
      <c r="R58" s="11">
        <v>1208</v>
      </c>
      <c r="S58" s="4"/>
      <c r="T58" s="4" t="s">
        <v>958</v>
      </c>
      <c r="U58" s="8">
        <v>1</v>
      </c>
      <c r="V58" s="14">
        <f ca="1">IF($U58="","",MOD(NOW()-admin!$B$1/24+$U58/24,1))</f>
        <v>0.65349305554991588</v>
      </c>
      <c r="W58" s="4"/>
      <c r="X58" s="4"/>
      <c r="Y58" s="4"/>
      <c r="Z58" s="4"/>
      <c r="AA58" s="4"/>
      <c r="AB58" s="4"/>
      <c r="AC58" s="4"/>
      <c r="AD58" s="4"/>
      <c r="AE58" s="4" t="s">
        <v>1080</v>
      </c>
      <c r="AF58" s="4"/>
      <c r="AG58" s="4"/>
      <c r="AH58" s="4"/>
      <c r="AI58" s="4"/>
      <c r="AJ58" s="4"/>
      <c r="AK58" s="4"/>
      <c r="AL58" s="4"/>
      <c r="AM58" s="4"/>
      <c r="AN58" s="4"/>
      <c r="AO58" s="12" t="str">
        <f>IF($A58="","",admin!$B$2&amp;"\Charts\"&amp;$A58)</f>
        <v>C:\Backups\InsiderTechSol\Aviation\Jetelio_v3\.LAYOUT\resources\Charts\FEFF</v>
      </c>
      <c r="AP58" s="12" t="str">
        <f>IF($A58="","",admin!$B$2&amp;"\RunwayDiagrams\"&amp;$A58&amp;".pdf")</f>
        <v>C:\Backups\InsiderTechSol\Aviation\Jetelio_v3\.LAYOUT\resources\RunwayDiagrams\FEFF.pdf</v>
      </c>
      <c r="AQ58" s="12" t="str">
        <f>IF($A58="","",admin!$B$2&amp;"\Images\"&amp;$A58)</f>
        <v>C:\Backups\InsiderTechSol\Aviation\Jetelio_v3\.LAYOUT\resources\Images\FEFF</v>
      </c>
      <c r="AR58" s="12" t="str">
        <f>IF($A58="","",admin!$B$2&amp;"\CityMaps\"&amp;$A58&amp;".png")</f>
        <v>C:\Backups\InsiderTechSol\Aviation\Jetelio_v3\.LAYOUT\resources\CityMaps\FEFF.png</v>
      </c>
      <c r="AS58" s="16" t="str">
        <f t="shared" si="2"/>
        <v>VISA sheet</v>
      </c>
      <c r="AT58" s="16" t="str">
        <f t="shared" si="3"/>
        <v>Vendors sheet</v>
      </c>
      <c r="AU58" s="4"/>
      <c r="AV58" s="15">
        <f t="shared" ca="1" si="4"/>
        <v>46243</v>
      </c>
      <c r="AX58" s="6"/>
      <c r="AY58" t="str">
        <f t="shared" si="5"/>
        <v>INCOMPLETE - NOT SELECTABLE AS TECH STOP</v>
      </c>
    </row>
    <row r="59" spans="1:51" x14ac:dyDescent="0.3">
      <c r="A59" s="4" t="s">
        <v>239</v>
      </c>
      <c r="B59" s="4" t="s">
        <v>240</v>
      </c>
      <c r="C59" s="4"/>
      <c r="D59" s="4"/>
      <c r="E59" s="4" t="s">
        <v>532</v>
      </c>
      <c r="F59" s="4" t="s">
        <v>82</v>
      </c>
      <c r="G59" s="4"/>
      <c r="H59" s="4" t="s">
        <v>739</v>
      </c>
      <c r="I59" s="4" t="s">
        <v>740</v>
      </c>
      <c r="J59" s="4"/>
      <c r="K59" s="4"/>
      <c r="L59" s="4"/>
      <c r="M59" s="4"/>
      <c r="N59" s="12" t="str">
        <f t="shared" si="0"/>
        <v>04°15′06″S 015°15′11″E</v>
      </c>
      <c r="O59" s="7">
        <v>-4.2516999999999996</v>
      </c>
      <c r="P59" s="7">
        <v>15.253</v>
      </c>
      <c r="Q59" s="13">
        <f t="shared" si="1"/>
        <v>319</v>
      </c>
      <c r="R59" s="11">
        <v>1048</v>
      </c>
      <c r="S59" s="4"/>
      <c r="T59" s="4" t="s">
        <v>959</v>
      </c>
      <c r="U59" s="8">
        <v>1</v>
      </c>
      <c r="V59" s="14">
        <f ca="1">IF($U59="","",MOD(NOW()-admin!$B$1/24+$U59/24,1))</f>
        <v>0.65349305554991588</v>
      </c>
      <c r="W59" s="4"/>
      <c r="X59" s="4"/>
      <c r="Y59" s="4"/>
      <c r="Z59" s="4"/>
      <c r="AA59" s="4"/>
      <c r="AB59" s="4"/>
      <c r="AC59" s="4"/>
      <c r="AD59" s="4"/>
      <c r="AE59" s="4" t="s">
        <v>1081</v>
      </c>
      <c r="AF59" s="4"/>
      <c r="AG59" s="4"/>
      <c r="AH59" s="4"/>
      <c r="AI59" s="4"/>
      <c r="AJ59" s="4"/>
      <c r="AK59" s="4"/>
      <c r="AL59" s="4"/>
      <c r="AM59" s="4"/>
      <c r="AN59" s="4"/>
      <c r="AO59" s="12" t="str">
        <f>IF($A59="","",admin!$B$2&amp;"\Charts\"&amp;$A59)</f>
        <v>C:\Backups\InsiderTechSol\Aviation\Jetelio_v3\.LAYOUT\resources\Charts\FCBB</v>
      </c>
      <c r="AP59" s="12" t="str">
        <f>IF($A59="","",admin!$B$2&amp;"\RunwayDiagrams\"&amp;$A59&amp;".pdf")</f>
        <v>C:\Backups\InsiderTechSol\Aviation\Jetelio_v3\.LAYOUT\resources\RunwayDiagrams\FCBB.pdf</v>
      </c>
      <c r="AQ59" s="12" t="str">
        <f>IF($A59="","",admin!$B$2&amp;"\Images\"&amp;$A59)</f>
        <v>C:\Backups\InsiderTechSol\Aviation\Jetelio_v3\.LAYOUT\resources\Images\FCBB</v>
      </c>
      <c r="AR59" s="12" t="str">
        <f>IF($A59="","",admin!$B$2&amp;"\CityMaps\"&amp;$A59&amp;".png")</f>
        <v>C:\Backups\InsiderTechSol\Aviation\Jetelio_v3\.LAYOUT\resources\CityMaps\FCBB.png</v>
      </c>
      <c r="AS59" s="16" t="str">
        <f t="shared" si="2"/>
        <v>VISA sheet</v>
      </c>
      <c r="AT59" s="16" t="str">
        <f t="shared" si="3"/>
        <v>Vendors sheet</v>
      </c>
      <c r="AU59" s="4"/>
      <c r="AV59" s="15">
        <f t="shared" ca="1" si="4"/>
        <v>46243</v>
      </c>
      <c r="AX59" s="6"/>
      <c r="AY59" t="str">
        <f t="shared" si="5"/>
        <v>INCOMPLETE - NOT SELECTABLE AS TECH STOP</v>
      </c>
    </row>
    <row r="60" spans="1:51" x14ac:dyDescent="0.3">
      <c r="A60" s="4" t="s">
        <v>241</v>
      </c>
      <c r="B60" s="4" t="s">
        <v>242</v>
      </c>
      <c r="C60" s="4"/>
      <c r="D60" s="4"/>
      <c r="E60" s="4" t="s">
        <v>533</v>
      </c>
      <c r="F60" s="4" t="s">
        <v>82</v>
      </c>
      <c r="G60" s="4"/>
      <c r="H60" s="4" t="s">
        <v>739</v>
      </c>
      <c r="I60" s="4" t="s">
        <v>741</v>
      </c>
      <c r="J60" s="4"/>
      <c r="K60" s="4"/>
      <c r="L60" s="4"/>
      <c r="M60" s="4"/>
      <c r="N60" s="12" t="str">
        <f t="shared" si="0"/>
        <v>04°48′58″S 011°53′12″E</v>
      </c>
      <c r="O60" s="7">
        <v>-4.8160299999999996</v>
      </c>
      <c r="P60" s="7">
        <v>11.8866</v>
      </c>
      <c r="Q60" s="13">
        <f t="shared" si="1"/>
        <v>17</v>
      </c>
      <c r="R60" s="11">
        <v>55</v>
      </c>
      <c r="S60" s="4"/>
      <c r="T60" s="4" t="s">
        <v>959</v>
      </c>
      <c r="U60" s="8">
        <v>1</v>
      </c>
      <c r="V60" s="14">
        <f ca="1">IF($U60="","",MOD(NOW()-admin!$B$1/24+$U60/24,1))</f>
        <v>0.65349305554991588</v>
      </c>
      <c r="W60" s="4"/>
      <c r="X60" s="4"/>
      <c r="Y60" s="4"/>
      <c r="Z60" s="4"/>
      <c r="AA60" s="4"/>
      <c r="AB60" s="4"/>
      <c r="AC60" s="4"/>
      <c r="AD60" s="4"/>
      <c r="AE60" s="4" t="s">
        <v>1082</v>
      </c>
      <c r="AF60" s="4"/>
      <c r="AG60" s="4"/>
      <c r="AH60" s="4"/>
      <c r="AI60" s="4"/>
      <c r="AJ60" s="4"/>
      <c r="AK60" s="4"/>
      <c r="AL60" s="4"/>
      <c r="AM60" s="4"/>
      <c r="AN60" s="4"/>
      <c r="AO60" s="12" t="str">
        <f>IF($A60="","",admin!$B$2&amp;"\Charts\"&amp;$A60)</f>
        <v>C:\Backups\InsiderTechSol\Aviation\Jetelio_v3\.LAYOUT\resources\Charts\FCPP</v>
      </c>
      <c r="AP60" s="12" t="str">
        <f>IF($A60="","",admin!$B$2&amp;"\RunwayDiagrams\"&amp;$A60&amp;".pdf")</f>
        <v>C:\Backups\InsiderTechSol\Aviation\Jetelio_v3\.LAYOUT\resources\RunwayDiagrams\FCPP.pdf</v>
      </c>
      <c r="AQ60" s="12" t="str">
        <f>IF($A60="","",admin!$B$2&amp;"\Images\"&amp;$A60)</f>
        <v>C:\Backups\InsiderTechSol\Aviation\Jetelio_v3\.LAYOUT\resources\Images\FCPP</v>
      </c>
      <c r="AR60" s="12" t="str">
        <f>IF($A60="","",admin!$B$2&amp;"\CityMaps\"&amp;$A60&amp;".png")</f>
        <v>C:\Backups\InsiderTechSol\Aviation\Jetelio_v3\.LAYOUT\resources\CityMaps\FCPP.png</v>
      </c>
      <c r="AS60" s="16" t="str">
        <f t="shared" si="2"/>
        <v>VISA sheet</v>
      </c>
      <c r="AT60" s="16" t="str">
        <f t="shared" si="3"/>
        <v>Vendors sheet</v>
      </c>
      <c r="AU60" s="4"/>
      <c r="AV60" s="15">
        <f t="shared" ca="1" si="4"/>
        <v>46243</v>
      </c>
      <c r="AX60" s="6"/>
      <c r="AY60" t="str">
        <f t="shared" si="5"/>
        <v>INCOMPLETE - NOT SELECTABLE AS TECH STOP</v>
      </c>
    </row>
    <row r="61" spans="1:51" x14ac:dyDescent="0.3">
      <c r="A61" s="4" t="s">
        <v>243</v>
      </c>
      <c r="B61" s="4" t="s">
        <v>244</v>
      </c>
      <c r="C61" s="4"/>
      <c r="D61" s="4"/>
      <c r="E61" s="4" t="s">
        <v>534</v>
      </c>
      <c r="F61" s="4" t="s">
        <v>82</v>
      </c>
      <c r="G61" s="4"/>
      <c r="H61" s="4" t="s">
        <v>742</v>
      </c>
      <c r="I61" s="4" t="s">
        <v>743</v>
      </c>
      <c r="J61" s="4"/>
      <c r="K61" s="4"/>
      <c r="L61" s="4"/>
      <c r="M61" s="4"/>
      <c r="N61" s="12" t="str">
        <f t="shared" si="0"/>
        <v>46°14′17″N 006°06′32″E</v>
      </c>
      <c r="O61" s="7">
        <v>46.238100000000003</v>
      </c>
      <c r="P61" s="7">
        <v>6.1089500000000001</v>
      </c>
      <c r="Q61" s="13">
        <f t="shared" si="1"/>
        <v>430</v>
      </c>
      <c r="R61" s="11">
        <v>1411</v>
      </c>
      <c r="S61" s="4"/>
      <c r="T61" s="4" t="s">
        <v>960</v>
      </c>
      <c r="U61" s="8">
        <v>1</v>
      </c>
      <c r="V61" s="14">
        <f ca="1">IF($U61="","",MOD(NOW()-admin!$B$1/24+$U61/24,1))</f>
        <v>0.65349305554991588</v>
      </c>
      <c r="W61" s="4"/>
      <c r="X61" s="4"/>
      <c r="Y61" s="4"/>
      <c r="Z61" s="4"/>
      <c r="AA61" s="4"/>
      <c r="AB61" s="4"/>
      <c r="AC61" s="4"/>
      <c r="AD61" s="4"/>
      <c r="AE61" s="4" t="s">
        <v>1083</v>
      </c>
      <c r="AF61" s="4"/>
      <c r="AG61" s="4"/>
      <c r="AH61" s="4"/>
      <c r="AI61" s="4"/>
      <c r="AJ61" s="4"/>
      <c r="AK61" s="4"/>
      <c r="AL61" s="4"/>
      <c r="AM61" s="4"/>
      <c r="AN61" s="4"/>
      <c r="AO61" s="12" t="str">
        <f>IF($A61="","",admin!$B$2&amp;"\Charts\"&amp;$A61)</f>
        <v>C:\Backups\InsiderTechSol\Aviation\Jetelio_v3\.LAYOUT\resources\Charts\LSGG</v>
      </c>
      <c r="AP61" s="12" t="str">
        <f>IF($A61="","",admin!$B$2&amp;"\RunwayDiagrams\"&amp;$A61&amp;".pdf")</f>
        <v>C:\Backups\InsiderTechSol\Aviation\Jetelio_v3\.LAYOUT\resources\RunwayDiagrams\LSGG.pdf</v>
      </c>
      <c r="AQ61" s="12" t="str">
        <f>IF($A61="","",admin!$B$2&amp;"\Images\"&amp;$A61)</f>
        <v>C:\Backups\InsiderTechSol\Aviation\Jetelio_v3\.LAYOUT\resources\Images\LSGG</v>
      </c>
      <c r="AR61" s="12" t="str">
        <f>IF($A61="","",admin!$B$2&amp;"\CityMaps\"&amp;$A61&amp;".png")</f>
        <v>C:\Backups\InsiderTechSol\Aviation\Jetelio_v3\.LAYOUT\resources\CityMaps\LSGG.png</v>
      </c>
      <c r="AS61" s="16" t="str">
        <f t="shared" si="2"/>
        <v>VISA sheet</v>
      </c>
      <c r="AT61" s="16" t="str">
        <f t="shared" si="3"/>
        <v>Vendors sheet</v>
      </c>
      <c r="AU61" s="4"/>
      <c r="AV61" s="15">
        <f t="shared" ca="1" si="4"/>
        <v>46243</v>
      </c>
      <c r="AX61" s="6"/>
      <c r="AY61" t="str">
        <f t="shared" si="5"/>
        <v>INCOMPLETE - NOT SELECTABLE AS TECH STOP</v>
      </c>
    </row>
    <row r="62" spans="1:51" x14ac:dyDescent="0.3">
      <c r="A62" s="4" t="s">
        <v>245</v>
      </c>
      <c r="B62" s="4" t="s">
        <v>246</v>
      </c>
      <c r="C62" s="4"/>
      <c r="D62" s="4"/>
      <c r="E62" s="4" t="s">
        <v>535</v>
      </c>
      <c r="F62" s="4" t="s">
        <v>82</v>
      </c>
      <c r="G62" s="4"/>
      <c r="H62" s="4" t="s">
        <v>742</v>
      </c>
      <c r="I62" s="4" t="s">
        <v>744</v>
      </c>
      <c r="J62" s="4"/>
      <c r="K62" s="4"/>
      <c r="L62" s="4"/>
      <c r="M62" s="4"/>
      <c r="N62" s="12" t="str">
        <f t="shared" si="0"/>
        <v>47°27′29″N 008°32′53″E</v>
      </c>
      <c r="O62" s="7">
        <v>47.458060000000003</v>
      </c>
      <c r="P62" s="7">
        <v>8.5480599999999995</v>
      </c>
      <c r="Q62" s="13">
        <f t="shared" si="1"/>
        <v>432</v>
      </c>
      <c r="R62" s="11">
        <v>1417</v>
      </c>
      <c r="S62" s="4"/>
      <c r="T62" s="4" t="s">
        <v>961</v>
      </c>
      <c r="U62" s="8">
        <v>1</v>
      </c>
      <c r="V62" s="14">
        <f ca="1">IF($U62="","",MOD(NOW()-admin!$B$1/24+$U62/24,1))</f>
        <v>0.65349305554991588</v>
      </c>
      <c r="W62" s="4"/>
      <c r="X62" s="4"/>
      <c r="Y62" s="4"/>
      <c r="Z62" s="4"/>
      <c r="AA62" s="4"/>
      <c r="AB62" s="4"/>
      <c r="AC62" s="4"/>
      <c r="AD62" s="4"/>
      <c r="AE62" s="4" t="s">
        <v>1084</v>
      </c>
      <c r="AF62" s="4"/>
      <c r="AG62" s="4"/>
      <c r="AH62" s="4"/>
      <c r="AI62" s="4"/>
      <c r="AJ62" s="4"/>
      <c r="AK62" s="4"/>
      <c r="AL62" s="4"/>
      <c r="AM62" s="4"/>
      <c r="AN62" s="4"/>
      <c r="AO62" s="12" t="str">
        <f>IF($A62="","",admin!$B$2&amp;"\Charts\"&amp;$A62)</f>
        <v>C:\Backups\InsiderTechSol\Aviation\Jetelio_v3\.LAYOUT\resources\Charts\LSZH</v>
      </c>
      <c r="AP62" s="12" t="str">
        <f>IF($A62="","",admin!$B$2&amp;"\RunwayDiagrams\"&amp;$A62&amp;".pdf")</f>
        <v>C:\Backups\InsiderTechSol\Aviation\Jetelio_v3\.LAYOUT\resources\RunwayDiagrams\LSZH.pdf</v>
      </c>
      <c r="AQ62" s="12" t="str">
        <f>IF($A62="","",admin!$B$2&amp;"\Images\"&amp;$A62)</f>
        <v>C:\Backups\InsiderTechSol\Aviation\Jetelio_v3\.LAYOUT\resources\Images\LSZH</v>
      </c>
      <c r="AR62" s="12" t="str">
        <f>IF($A62="","",admin!$B$2&amp;"\CityMaps\"&amp;$A62&amp;".png")</f>
        <v>C:\Backups\InsiderTechSol\Aviation\Jetelio_v3\.LAYOUT\resources\CityMaps\LSZH.png</v>
      </c>
      <c r="AS62" s="16" t="str">
        <f t="shared" si="2"/>
        <v>VISA sheet</v>
      </c>
      <c r="AT62" s="16" t="str">
        <f t="shared" si="3"/>
        <v>Vendors sheet</v>
      </c>
      <c r="AU62" s="4"/>
      <c r="AV62" s="15">
        <f t="shared" ca="1" si="4"/>
        <v>46243</v>
      </c>
      <c r="AX62" s="6"/>
      <c r="AY62" t="str">
        <f t="shared" si="5"/>
        <v>INCOMPLETE - NOT SELECTABLE AS TECH STOP</v>
      </c>
    </row>
    <row r="63" spans="1:51" x14ac:dyDescent="0.3">
      <c r="A63" s="4" t="s">
        <v>247</v>
      </c>
      <c r="B63" s="4" t="s">
        <v>248</v>
      </c>
      <c r="C63" s="4"/>
      <c r="D63" s="4"/>
      <c r="E63" s="4" t="s">
        <v>536</v>
      </c>
      <c r="F63" s="4" t="s">
        <v>82</v>
      </c>
      <c r="G63" s="4"/>
      <c r="H63" s="4" t="s">
        <v>745</v>
      </c>
      <c r="I63" s="4" t="s">
        <v>746</v>
      </c>
      <c r="J63" s="4"/>
      <c r="K63" s="4"/>
      <c r="L63" s="4"/>
      <c r="M63" s="4"/>
      <c r="N63" s="12" t="str">
        <f t="shared" si="0"/>
        <v>05°15′41″N 003°55′35″W</v>
      </c>
      <c r="O63" s="7">
        <v>5.2613899999999996</v>
      </c>
      <c r="P63" s="7">
        <v>-3.9262899999999998</v>
      </c>
      <c r="Q63" s="13">
        <f t="shared" si="1"/>
        <v>6</v>
      </c>
      <c r="R63" s="11">
        <v>21</v>
      </c>
      <c r="S63" s="4"/>
      <c r="T63" s="4" t="s">
        <v>962</v>
      </c>
      <c r="U63" s="8">
        <v>0</v>
      </c>
      <c r="V63" s="14">
        <f ca="1">IF($U63="","",MOD(NOW()-admin!$B$1/24+$U63/24,1))</f>
        <v>0.61182638888567453</v>
      </c>
      <c r="W63" s="4"/>
      <c r="X63" s="4"/>
      <c r="Y63" s="4"/>
      <c r="Z63" s="4"/>
      <c r="AA63" s="4"/>
      <c r="AB63" s="4"/>
      <c r="AC63" s="4"/>
      <c r="AD63" s="4"/>
      <c r="AE63" s="4" t="s">
        <v>1085</v>
      </c>
      <c r="AF63" s="4"/>
      <c r="AG63" s="4"/>
      <c r="AH63" s="4"/>
      <c r="AI63" s="4"/>
      <c r="AJ63" s="4"/>
      <c r="AK63" s="4"/>
      <c r="AL63" s="4"/>
      <c r="AM63" s="4"/>
      <c r="AN63" s="4"/>
      <c r="AO63" s="12" t="str">
        <f>IF($A63="","",admin!$B$2&amp;"\Charts\"&amp;$A63)</f>
        <v>C:\Backups\InsiderTechSol\Aviation\Jetelio_v3\.LAYOUT\resources\Charts\DIAP</v>
      </c>
      <c r="AP63" s="12" t="str">
        <f>IF($A63="","",admin!$B$2&amp;"\RunwayDiagrams\"&amp;$A63&amp;".pdf")</f>
        <v>C:\Backups\InsiderTechSol\Aviation\Jetelio_v3\.LAYOUT\resources\RunwayDiagrams\DIAP.pdf</v>
      </c>
      <c r="AQ63" s="12" t="str">
        <f>IF($A63="","",admin!$B$2&amp;"\Images\"&amp;$A63)</f>
        <v>C:\Backups\InsiderTechSol\Aviation\Jetelio_v3\.LAYOUT\resources\Images\DIAP</v>
      </c>
      <c r="AR63" s="12" t="str">
        <f>IF($A63="","",admin!$B$2&amp;"\CityMaps\"&amp;$A63&amp;".png")</f>
        <v>C:\Backups\InsiderTechSol\Aviation\Jetelio_v3\.LAYOUT\resources\CityMaps\DIAP.png</v>
      </c>
      <c r="AS63" s="16" t="str">
        <f t="shared" si="2"/>
        <v>VISA sheet</v>
      </c>
      <c r="AT63" s="16" t="str">
        <f t="shared" si="3"/>
        <v>Vendors sheet</v>
      </c>
      <c r="AU63" s="4"/>
      <c r="AV63" s="15">
        <f t="shared" ca="1" si="4"/>
        <v>46243</v>
      </c>
      <c r="AX63" s="6"/>
      <c r="AY63" t="str">
        <f t="shared" si="5"/>
        <v>INCOMPLETE - NOT SELECTABLE AS TECH STOP</v>
      </c>
    </row>
    <row r="64" spans="1:51" x14ac:dyDescent="0.3">
      <c r="A64" s="4" t="s">
        <v>249</v>
      </c>
      <c r="B64" s="4" t="s">
        <v>250</v>
      </c>
      <c r="C64" s="4"/>
      <c r="D64" s="4"/>
      <c r="E64" s="4" t="s">
        <v>537</v>
      </c>
      <c r="F64" s="4" t="s">
        <v>82</v>
      </c>
      <c r="G64" s="4"/>
      <c r="H64" s="4" t="s">
        <v>745</v>
      </c>
      <c r="I64" s="4" t="s">
        <v>747</v>
      </c>
      <c r="J64" s="4"/>
      <c r="K64" s="4"/>
      <c r="L64" s="4"/>
      <c r="M64" s="4"/>
      <c r="N64" s="12" t="str">
        <f t="shared" si="0"/>
        <v>06°54′11″N 005°21′56″W</v>
      </c>
      <c r="O64" s="7">
        <v>6.9031700000000003</v>
      </c>
      <c r="P64" s="7">
        <v>-5.3655799999999996</v>
      </c>
      <c r="Q64" s="13">
        <f t="shared" si="1"/>
        <v>213</v>
      </c>
      <c r="R64" s="11">
        <v>699</v>
      </c>
      <c r="S64" s="4"/>
      <c r="T64" s="4" t="s">
        <v>962</v>
      </c>
      <c r="U64" s="8">
        <v>0</v>
      </c>
      <c r="V64" s="14">
        <f ca="1">IF($U64="","",MOD(NOW()-admin!$B$1/24+$U64/24,1))</f>
        <v>0.61182638888567453</v>
      </c>
      <c r="W64" s="4"/>
      <c r="X64" s="4"/>
      <c r="Y64" s="4"/>
      <c r="Z64" s="4"/>
      <c r="AA64" s="4"/>
      <c r="AB64" s="4"/>
      <c r="AC64" s="4"/>
      <c r="AD64" s="4"/>
      <c r="AE64" s="4" t="s">
        <v>1086</v>
      </c>
      <c r="AF64" s="4"/>
      <c r="AG64" s="4"/>
      <c r="AH64" s="4"/>
      <c r="AI64" s="4"/>
      <c r="AJ64" s="4"/>
      <c r="AK64" s="4"/>
      <c r="AL64" s="4"/>
      <c r="AM64" s="4"/>
      <c r="AN64" s="4"/>
      <c r="AO64" s="12" t="str">
        <f>IF($A64="","",admin!$B$2&amp;"\Charts\"&amp;$A64)</f>
        <v>C:\Backups\InsiderTechSol\Aviation\Jetelio_v3\.LAYOUT\resources\Charts\DIYO</v>
      </c>
      <c r="AP64" s="12" t="str">
        <f>IF($A64="","",admin!$B$2&amp;"\RunwayDiagrams\"&amp;$A64&amp;".pdf")</f>
        <v>C:\Backups\InsiderTechSol\Aviation\Jetelio_v3\.LAYOUT\resources\RunwayDiagrams\DIYO.pdf</v>
      </c>
      <c r="AQ64" s="12" t="str">
        <f>IF($A64="","",admin!$B$2&amp;"\Images\"&amp;$A64)</f>
        <v>C:\Backups\InsiderTechSol\Aviation\Jetelio_v3\.LAYOUT\resources\Images\DIYO</v>
      </c>
      <c r="AR64" s="12" t="str">
        <f>IF($A64="","",admin!$B$2&amp;"\CityMaps\"&amp;$A64&amp;".png")</f>
        <v>C:\Backups\InsiderTechSol\Aviation\Jetelio_v3\.LAYOUT\resources\CityMaps\DIYO.png</v>
      </c>
      <c r="AS64" s="16" t="str">
        <f t="shared" si="2"/>
        <v>VISA sheet</v>
      </c>
      <c r="AT64" s="16" t="str">
        <f t="shared" si="3"/>
        <v>Vendors sheet</v>
      </c>
      <c r="AU64" s="4"/>
      <c r="AV64" s="15">
        <f t="shared" ca="1" si="4"/>
        <v>46243</v>
      </c>
      <c r="AX64" s="6"/>
      <c r="AY64" t="str">
        <f t="shared" si="5"/>
        <v>INCOMPLETE - NOT SELECTABLE AS TECH STOP</v>
      </c>
    </row>
    <row r="65" spans="1:51" x14ac:dyDescent="0.3">
      <c r="A65" s="4" t="s">
        <v>251</v>
      </c>
      <c r="B65" s="4" t="s">
        <v>252</v>
      </c>
      <c r="C65" s="4"/>
      <c r="D65" s="4"/>
      <c r="E65" s="4" t="s">
        <v>538</v>
      </c>
      <c r="F65" s="4" t="s">
        <v>82</v>
      </c>
      <c r="G65" s="4"/>
      <c r="H65" s="4" t="s">
        <v>748</v>
      </c>
      <c r="I65" s="4" t="s">
        <v>749</v>
      </c>
      <c r="J65" s="4"/>
      <c r="K65" s="4"/>
      <c r="L65" s="4"/>
      <c r="M65" s="4"/>
      <c r="N65" s="12" t="str">
        <f t="shared" si="0"/>
        <v>21°12′10″S 159°48′22″W</v>
      </c>
      <c r="O65" s="7">
        <v>-21.2027</v>
      </c>
      <c r="P65" s="7">
        <v>-159.80600000000001</v>
      </c>
      <c r="Q65" s="13">
        <f t="shared" si="1"/>
        <v>6</v>
      </c>
      <c r="R65" s="11">
        <v>19</v>
      </c>
      <c r="S65" s="4"/>
      <c r="T65" s="4" t="s">
        <v>963</v>
      </c>
      <c r="U65" s="8">
        <v>-10</v>
      </c>
      <c r="V65" s="14">
        <f ca="1">IF($U65="","",MOD(NOW()-admin!$B$1/24+$U65/24,1))</f>
        <v>0.19515972222143319</v>
      </c>
      <c r="W65" s="4"/>
      <c r="X65" s="4"/>
      <c r="Y65" s="4"/>
      <c r="Z65" s="4"/>
      <c r="AA65" s="4"/>
      <c r="AB65" s="4"/>
      <c r="AC65" s="4"/>
      <c r="AD65" s="4"/>
      <c r="AE65" s="4" t="s">
        <v>1087</v>
      </c>
      <c r="AF65" s="4"/>
      <c r="AG65" s="4"/>
      <c r="AH65" s="4"/>
      <c r="AI65" s="4"/>
      <c r="AJ65" s="4"/>
      <c r="AK65" s="4"/>
      <c r="AL65" s="4"/>
      <c r="AM65" s="4"/>
      <c r="AN65" s="4"/>
      <c r="AO65" s="12" t="str">
        <f>IF($A65="","",admin!$B$2&amp;"\Charts\"&amp;$A65)</f>
        <v>C:\Backups\InsiderTechSol\Aviation\Jetelio_v3\.LAYOUT\resources\Charts\NCRG</v>
      </c>
      <c r="AP65" s="12" t="str">
        <f>IF($A65="","",admin!$B$2&amp;"\RunwayDiagrams\"&amp;$A65&amp;".pdf")</f>
        <v>C:\Backups\InsiderTechSol\Aviation\Jetelio_v3\.LAYOUT\resources\RunwayDiagrams\NCRG.pdf</v>
      </c>
      <c r="AQ65" s="12" t="str">
        <f>IF($A65="","",admin!$B$2&amp;"\Images\"&amp;$A65)</f>
        <v>C:\Backups\InsiderTechSol\Aviation\Jetelio_v3\.LAYOUT\resources\Images\NCRG</v>
      </c>
      <c r="AR65" s="12" t="str">
        <f>IF($A65="","",admin!$B$2&amp;"\CityMaps\"&amp;$A65&amp;".png")</f>
        <v>C:\Backups\InsiderTechSol\Aviation\Jetelio_v3\.LAYOUT\resources\CityMaps\NCRG.png</v>
      </c>
      <c r="AS65" s="16" t="str">
        <f t="shared" si="2"/>
        <v>VISA sheet</v>
      </c>
      <c r="AT65" s="16" t="str">
        <f t="shared" si="3"/>
        <v>Vendors sheet</v>
      </c>
      <c r="AU65" s="4"/>
      <c r="AV65" s="15">
        <f t="shared" ca="1" si="4"/>
        <v>46243</v>
      </c>
      <c r="AX65" s="6"/>
      <c r="AY65" t="str">
        <f t="shared" si="5"/>
        <v>INCOMPLETE - NOT SELECTABLE AS TECH STOP</v>
      </c>
    </row>
    <row r="66" spans="1:51" x14ac:dyDescent="0.3">
      <c r="A66" s="4" t="s">
        <v>253</v>
      </c>
      <c r="B66" s="4" t="s">
        <v>254</v>
      </c>
      <c r="C66" s="4"/>
      <c r="D66" s="4"/>
      <c r="E66" s="4" t="s">
        <v>539</v>
      </c>
      <c r="F66" s="4" t="s">
        <v>82</v>
      </c>
      <c r="G66" s="4"/>
      <c r="H66" s="4" t="s">
        <v>750</v>
      </c>
      <c r="I66" s="4" t="s">
        <v>751</v>
      </c>
      <c r="J66" s="4"/>
      <c r="K66" s="4"/>
      <c r="L66" s="4"/>
      <c r="M66" s="4"/>
      <c r="N66" s="12" t="str">
        <f t="shared" si="0"/>
        <v>53°00′09″S 070°51′17″W</v>
      </c>
      <c r="O66" s="7">
        <v>-53.002600000000001</v>
      </c>
      <c r="P66" s="7">
        <v>-70.854600000000005</v>
      </c>
      <c r="Q66" s="13">
        <f t="shared" si="1"/>
        <v>42</v>
      </c>
      <c r="R66" s="11">
        <v>139</v>
      </c>
      <c r="S66" s="4"/>
      <c r="T66" s="4" t="s">
        <v>964</v>
      </c>
      <c r="U66" s="8">
        <v>-4</v>
      </c>
      <c r="V66" s="14">
        <f ca="1">IF($U66="","",MOD(NOW()-admin!$B$1/24+$U66/24,1))</f>
        <v>0.44515972222143319</v>
      </c>
      <c r="W66" s="4"/>
      <c r="X66" s="4"/>
      <c r="Y66" s="4"/>
      <c r="Z66" s="4"/>
      <c r="AA66" s="4"/>
      <c r="AB66" s="4"/>
      <c r="AC66" s="4"/>
      <c r="AD66" s="4"/>
      <c r="AE66" s="4" t="s">
        <v>1088</v>
      </c>
      <c r="AF66" s="4"/>
      <c r="AG66" s="4"/>
      <c r="AH66" s="4"/>
      <c r="AI66" s="4"/>
      <c r="AJ66" s="4"/>
      <c r="AK66" s="4"/>
      <c r="AL66" s="4"/>
      <c r="AM66" s="4"/>
      <c r="AN66" s="4"/>
      <c r="AO66" s="12" t="str">
        <f>IF($A66="","",admin!$B$2&amp;"\Charts\"&amp;$A66)</f>
        <v>C:\Backups\InsiderTechSol\Aviation\Jetelio_v3\.LAYOUT\resources\Charts\SCCI</v>
      </c>
      <c r="AP66" s="12" t="str">
        <f>IF($A66="","",admin!$B$2&amp;"\RunwayDiagrams\"&amp;$A66&amp;".pdf")</f>
        <v>C:\Backups\InsiderTechSol\Aviation\Jetelio_v3\.LAYOUT\resources\RunwayDiagrams\SCCI.pdf</v>
      </c>
      <c r="AQ66" s="12" t="str">
        <f>IF($A66="","",admin!$B$2&amp;"\Images\"&amp;$A66)</f>
        <v>C:\Backups\InsiderTechSol\Aviation\Jetelio_v3\.LAYOUT\resources\Images\SCCI</v>
      </c>
      <c r="AR66" s="12" t="str">
        <f>IF($A66="","",admin!$B$2&amp;"\CityMaps\"&amp;$A66&amp;".png")</f>
        <v>C:\Backups\InsiderTechSol\Aviation\Jetelio_v3\.LAYOUT\resources\CityMaps\SCCI.png</v>
      </c>
      <c r="AS66" s="16" t="str">
        <f t="shared" si="2"/>
        <v>VISA sheet</v>
      </c>
      <c r="AT66" s="16" t="str">
        <f t="shared" si="3"/>
        <v>Vendors sheet</v>
      </c>
      <c r="AU66" s="4"/>
      <c r="AV66" s="15">
        <f t="shared" ca="1" si="4"/>
        <v>46243</v>
      </c>
      <c r="AX66" s="6"/>
      <c r="AY66" t="str">
        <f t="shared" si="5"/>
        <v>INCOMPLETE - NOT SELECTABLE AS TECH STOP</v>
      </c>
    </row>
    <row r="67" spans="1:51" x14ac:dyDescent="0.3">
      <c r="A67" s="4" t="s">
        <v>255</v>
      </c>
      <c r="B67" s="4" t="s">
        <v>256</v>
      </c>
      <c r="C67" s="4"/>
      <c r="D67" s="4"/>
      <c r="E67" s="4" t="s">
        <v>540</v>
      </c>
      <c r="F67" s="4" t="s">
        <v>82</v>
      </c>
      <c r="G67" s="4"/>
      <c r="H67" s="4" t="s">
        <v>750</v>
      </c>
      <c r="I67" s="4" t="s">
        <v>752</v>
      </c>
      <c r="J67" s="4"/>
      <c r="K67" s="4"/>
      <c r="L67" s="4"/>
      <c r="M67" s="4"/>
      <c r="N67" s="12" t="str">
        <f t="shared" si="0"/>
        <v>20°32′11″S 070°10′53″W</v>
      </c>
      <c r="O67" s="7">
        <v>-20.536269999999998</v>
      </c>
      <c r="P67" s="7">
        <v>-70.181370000000001</v>
      </c>
      <c r="Q67" s="13">
        <f t="shared" si="1"/>
        <v>47</v>
      </c>
      <c r="R67" s="11">
        <v>155</v>
      </c>
      <c r="S67" s="4"/>
      <c r="T67" s="4" t="s">
        <v>964</v>
      </c>
      <c r="U67" s="8">
        <v>-4</v>
      </c>
      <c r="V67" s="14">
        <f ca="1">IF($U67="","",MOD(NOW()-admin!$B$1/24+$U67/24,1))</f>
        <v>0.44515972222143319</v>
      </c>
      <c r="W67" s="4"/>
      <c r="X67" s="4"/>
      <c r="Y67" s="4"/>
      <c r="Z67" s="4"/>
      <c r="AA67" s="4"/>
      <c r="AB67" s="4"/>
      <c r="AC67" s="4"/>
      <c r="AD67" s="4"/>
      <c r="AE67" s="4" t="s">
        <v>1089</v>
      </c>
      <c r="AF67" s="4"/>
      <c r="AG67" s="4"/>
      <c r="AH67" s="4"/>
      <c r="AI67" s="4"/>
      <c r="AJ67" s="4"/>
      <c r="AK67" s="4"/>
      <c r="AL67" s="4"/>
      <c r="AM67" s="4"/>
      <c r="AN67" s="4"/>
      <c r="AO67" s="12" t="str">
        <f>IF($A67="","",admin!$B$2&amp;"\Charts\"&amp;$A67)</f>
        <v>C:\Backups\InsiderTechSol\Aviation\Jetelio_v3\.LAYOUT\resources\Charts\SCDA</v>
      </c>
      <c r="AP67" s="12" t="str">
        <f>IF($A67="","",admin!$B$2&amp;"\RunwayDiagrams\"&amp;$A67&amp;".pdf")</f>
        <v>C:\Backups\InsiderTechSol\Aviation\Jetelio_v3\.LAYOUT\resources\RunwayDiagrams\SCDA.pdf</v>
      </c>
      <c r="AQ67" s="12" t="str">
        <f>IF($A67="","",admin!$B$2&amp;"\Images\"&amp;$A67)</f>
        <v>C:\Backups\InsiderTechSol\Aviation\Jetelio_v3\.LAYOUT\resources\Images\SCDA</v>
      </c>
      <c r="AR67" s="12" t="str">
        <f>IF($A67="","",admin!$B$2&amp;"\CityMaps\"&amp;$A67&amp;".png")</f>
        <v>C:\Backups\InsiderTechSol\Aviation\Jetelio_v3\.LAYOUT\resources\CityMaps\SCDA.png</v>
      </c>
      <c r="AS67" s="16" t="str">
        <f t="shared" si="2"/>
        <v>VISA sheet</v>
      </c>
      <c r="AT67" s="16" t="str">
        <f t="shared" si="3"/>
        <v>Vendors sheet</v>
      </c>
      <c r="AU67" s="4"/>
      <c r="AV67" s="15">
        <f t="shared" ca="1" si="4"/>
        <v>46243</v>
      </c>
      <c r="AX67" s="6"/>
      <c r="AY67" t="str">
        <f t="shared" si="5"/>
        <v>INCOMPLETE - NOT SELECTABLE AS TECH STOP</v>
      </c>
    </row>
    <row r="68" spans="1:51" x14ac:dyDescent="0.3">
      <c r="A68" s="4" t="s">
        <v>257</v>
      </c>
      <c r="B68" s="4" t="s">
        <v>258</v>
      </c>
      <c r="C68" s="4"/>
      <c r="D68" s="4"/>
      <c r="E68" s="4" t="s">
        <v>541</v>
      </c>
      <c r="F68" s="4" t="s">
        <v>82</v>
      </c>
      <c r="G68" s="4"/>
      <c r="H68" s="4" t="s">
        <v>753</v>
      </c>
      <c r="I68" s="4" t="s">
        <v>754</v>
      </c>
      <c r="J68" s="4"/>
      <c r="K68" s="4"/>
      <c r="L68" s="4"/>
      <c r="M68" s="4"/>
      <c r="N68" s="12" t="str">
        <f t="shared" ref="N68:N131" si="6">IF(OR($O68="",$P68=""),"",TEXT(INT(ROUND(ABS($O68)*3600,0)/3600),"00")&amp;"°"&amp;TEXT(INT(MOD(ROUND(ABS($O68)*3600,0),3600)/60),"00")&amp;"′"&amp;TEXT(MOD(ROUND(ABS($O68)*3600,0),60),"00")&amp;"″"&amp;IF($O68&gt;=0,"N","S")&amp;" "&amp;TEXT(INT(ROUND(ABS($P68)*3600,0)/3600),"000")&amp;"°"&amp;TEXT(INT(MOD(ROUND(ABS($P68)*3600,0),3600)/60),"00")&amp;"′"&amp;TEXT(MOD(ROUND(ABS($P68)*3600,0),60),"00")&amp;"″"&amp;IF($P68&gt;=0,"E","W"))</f>
        <v>04°00′22″N 009°43′10″E</v>
      </c>
      <c r="O68" s="7">
        <v>4.0060799999999999</v>
      </c>
      <c r="P68" s="7">
        <v>9.7194800000000008</v>
      </c>
      <c r="Q68" s="13">
        <f t="shared" ref="Q68:Q131" si="7">IF($R68="","",ROUND($R68*0.3048,0))</f>
        <v>10</v>
      </c>
      <c r="R68" s="11">
        <v>33</v>
      </c>
      <c r="S68" s="4"/>
      <c r="T68" s="4" t="s">
        <v>965</v>
      </c>
      <c r="U68" s="8">
        <v>1</v>
      </c>
      <c r="V68" s="14">
        <f ca="1">IF($U68="","",MOD(NOW()-admin!$B$1/24+$U68/24,1))</f>
        <v>0.65349305554991588</v>
      </c>
      <c r="W68" s="4"/>
      <c r="X68" s="4"/>
      <c r="Y68" s="4"/>
      <c r="Z68" s="4"/>
      <c r="AA68" s="4"/>
      <c r="AB68" s="4"/>
      <c r="AC68" s="4"/>
      <c r="AD68" s="4"/>
      <c r="AE68" s="4" t="s">
        <v>1090</v>
      </c>
      <c r="AF68" s="4"/>
      <c r="AG68" s="4"/>
      <c r="AH68" s="4"/>
      <c r="AI68" s="4"/>
      <c r="AJ68" s="4"/>
      <c r="AK68" s="4"/>
      <c r="AL68" s="4"/>
      <c r="AM68" s="4"/>
      <c r="AN68" s="4"/>
      <c r="AO68" s="12" t="str">
        <f>IF($A68="","",admin!$B$2&amp;"\Charts\"&amp;$A68)</f>
        <v>C:\Backups\InsiderTechSol\Aviation\Jetelio_v3\.LAYOUT\resources\Charts\FKKD</v>
      </c>
      <c r="AP68" s="12" t="str">
        <f>IF($A68="","",admin!$B$2&amp;"\RunwayDiagrams\"&amp;$A68&amp;".pdf")</f>
        <v>C:\Backups\InsiderTechSol\Aviation\Jetelio_v3\.LAYOUT\resources\RunwayDiagrams\FKKD.pdf</v>
      </c>
      <c r="AQ68" s="12" t="str">
        <f>IF($A68="","",admin!$B$2&amp;"\Images\"&amp;$A68)</f>
        <v>C:\Backups\InsiderTechSol\Aviation\Jetelio_v3\.LAYOUT\resources\Images\FKKD</v>
      </c>
      <c r="AR68" s="12" t="str">
        <f>IF($A68="","",admin!$B$2&amp;"\CityMaps\"&amp;$A68&amp;".png")</f>
        <v>C:\Backups\InsiderTechSol\Aviation\Jetelio_v3\.LAYOUT\resources\CityMaps\FKKD.png</v>
      </c>
      <c r="AS68" s="16" t="str">
        <f t="shared" ref="AS68:AS131" si="8">IF($A68="","","VISA sheet")</f>
        <v>VISA sheet</v>
      </c>
      <c r="AT68" s="16" t="str">
        <f t="shared" ref="AT68:AT131" si="9">IF($A68="","","Vendors sheet")</f>
        <v>Vendors sheet</v>
      </c>
      <c r="AU68" s="4"/>
      <c r="AV68" s="15">
        <f t="shared" ref="AV68:AV131" ca="1" si="10">IF($A68="","",TODAY())</f>
        <v>46243</v>
      </c>
      <c r="AX68" s="6"/>
      <c r="AY68" t="str">
        <f t="shared" ref="AY68:AY131" si="11">IF($A68="","",IF(OR(TRIM($Y68)="",TRIM($AG68)="",TRIM($X68)=""),"INCOMPLETE - NOT SELECTABLE AS TECH STOP",IF(OR($AW68="",$AX68=""),"UNVERIFIED - ADVISORY ONLY","VERIFIED")))</f>
        <v>INCOMPLETE - NOT SELECTABLE AS TECH STOP</v>
      </c>
    </row>
    <row r="69" spans="1:51" x14ac:dyDescent="0.3">
      <c r="A69" s="4" t="s">
        <v>259</v>
      </c>
      <c r="B69" s="4" t="s">
        <v>260</v>
      </c>
      <c r="C69" s="4"/>
      <c r="D69" s="4"/>
      <c r="E69" s="4" t="s">
        <v>542</v>
      </c>
      <c r="F69" s="4" t="s">
        <v>82</v>
      </c>
      <c r="G69" s="4"/>
      <c r="H69" s="4" t="s">
        <v>753</v>
      </c>
      <c r="I69" s="4" t="s">
        <v>755</v>
      </c>
      <c r="J69" s="4"/>
      <c r="K69" s="4"/>
      <c r="L69" s="4"/>
      <c r="M69" s="4"/>
      <c r="N69" s="12" t="str">
        <f t="shared" si="6"/>
        <v>09°20′05″N 013°22′20″E</v>
      </c>
      <c r="O69" s="7">
        <v>9.3347899999999999</v>
      </c>
      <c r="P69" s="7">
        <v>13.37213</v>
      </c>
      <c r="Q69" s="13">
        <f t="shared" si="7"/>
        <v>242</v>
      </c>
      <c r="R69" s="11">
        <v>794</v>
      </c>
      <c r="S69" s="4"/>
      <c r="T69" s="4" t="s">
        <v>965</v>
      </c>
      <c r="U69" s="8">
        <v>1</v>
      </c>
      <c r="V69" s="14">
        <f ca="1">IF($U69="","",MOD(NOW()-admin!$B$1/24+$U69/24,1))</f>
        <v>0.65349305554991588</v>
      </c>
      <c r="W69" s="4"/>
      <c r="X69" s="4"/>
      <c r="Y69" s="4"/>
      <c r="Z69" s="4"/>
      <c r="AA69" s="4"/>
      <c r="AB69" s="4"/>
      <c r="AC69" s="4"/>
      <c r="AD69" s="4"/>
      <c r="AE69" s="4" t="s">
        <v>1091</v>
      </c>
      <c r="AF69" s="4"/>
      <c r="AG69" s="4"/>
      <c r="AH69" s="4"/>
      <c r="AI69" s="4"/>
      <c r="AJ69" s="4"/>
      <c r="AK69" s="4"/>
      <c r="AL69" s="4"/>
      <c r="AM69" s="4"/>
      <c r="AN69" s="4"/>
      <c r="AO69" s="12" t="str">
        <f>IF($A69="","",admin!$B$2&amp;"\Charts\"&amp;$A69)</f>
        <v>C:\Backups\InsiderTechSol\Aviation\Jetelio_v3\.LAYOUT\resources\Charts\FKKR</v>
      </c>
      <c r="AP69" s="12" t="str">
        <f>IF($A69="","",admin!$B$2&amp;"\RunwayDiagrams\"&amp;$A69&amp;".pdf")</f>
        <v>C:\Backups\InsiderTechSol\Aviation\Jetelio_v3\.LAYOUT\resources\RunwayDiagrams\FKKR.pdf</v>
      </c>
      <c r="AQ69" s="12" t="str">
        <f>IF($A69="","",admin!$B$2&amp;"\Images\"&amp;$A69)</f>
        <v>C:\Backups\InsiderTechSol\Aviation\Jetelio_v3\.LAYOUT\resources\Images\FKKR</v>
      </c>
      <c r="AR69" s="12" t="str">
        <f>IF($A69="","",admin!$B$2&amp;"\CityMaps\"&amp;$A69&amp;".png")</f>
        <v>C:\Backups\InsiderTechSol\Aviation\Jetelio_v3\.LAYOUT\resources\CityMaps\FKKR.png</v>
      </c>
      <c r="AS69" s="16" t="str">
        <f t="shared" si="8"/>
        <v>VISA sheet</v>
      </c>
      <c r="AT69" s="16" t="str">
        <f t="shared" si="9"/>
        <v>Vendors sheet</v>
      </c>
      <c r="AU69" s="4"/>
      <c r="AV69" s="15">
        <f t="shared" ca="1" si="10"/>
        <v>46243</v>
      </c>
      <c r="AX69" s="6"/>
      <c r="AY69" t="str">
        <f t="shared" si="11"/>
        <v>INCOMPLETE - NOT SELECTABLE AS TECH STOP</v>
      </c>
    </row>
    <row r="70" spans="1:51" x14ac:dyDescent="0.3">
      <c r="A70" s="4" t="s">
        <v>261</v>
      </c>
      <c r="B70" s="4" t="s">
        <v>262</v>
      </c>
      <c r="C70" s="4"/>
      <c r="D70" s="4"/>
      <c r="E70" s="4" t="s">
        <v>543</v>
      </c>
      <c r="F70" s="4" t="s">
        <v>82</v>
      </c>
      <c r="G70" s="4"/>
      <c r="H70" s="4" t="s">
        <v>756</v>
      </c>
      <c r="I70" s="4" t="s">
        <v>757</v>
      </c>
      <c r="J70" s="4"/>
      <c r="K70" s="4"/>
      <c r="L70" s="4"/>
      <c r="M70" s="4"/>
      <c r="N70" s="12" t="str">
        <f t="shared" si="6"/>
        <v>40°04′38″N 116°35′48″E</v>
      </c>
      <c r="O70" s="7">
        <v>40.077350000000003</v>
      </c>
      <c r="P70" s="7">
        <v>116.5967</v>
      </c>
      <c r="Q70" s="13">
        <f t="shared" si="7"/>
        <v>35</v>
      </c>
      <c r="R70" s="11">
        <v>116</v>
      </c>
      <c r="S70" s="4"/>
      <c r="T70" s="4" t="s">
        <v>966</v>
      </c>
      <c r="U70" s="8">
        <v>8</v>
      </c>
      <c r="V70" s="14">
        <f ca="1">IF($U70="","",MOD(NOW()-admin!$B$1/24+$U70/24,1))</f>
        <v>0.94515972222143319</v>
      </c>
      <c r="W70" s="4"/>
      <c r="X70" s="4"/>
      <c r="Y70" s="4"/>
      <c r="Z70" s="4"/>
      <c r="AA70" s="4"/>
      <c r="AB70" s="4"/>
      <c r="AC70" s="4"/>
      <c r="AD70" s="4"/>
      <c r="AE70" s="4" t="s">
        <v>1092</v>
      </c>
      <c r="AF70" s="4"/>
      <c r="AG70" s="4"/>
      <c r="AH70" s="4"/>
      <c r="AI70" s="4"/>
      <c r="AJ70" s="4"/>
      <c r="AK70" s="4"/>
      <c r="AL70" s="4"/>
      <c r="AM70" s="4"/>
      <c r="AN70" s="4"/>
      <c r="AO70" s="12" t="str">
        <f>IF($A70="","",admin!$B$2&amp;"\Charts\"&amp;$A70)</f>
        <v>C:\Backups\InsiderTechSol\Aviation\Jetelio_v3\.LAYOUT\resources\Charts\ZBAA</v>
      </c>
      <c r="AP70" s="12" t="str">
        <f>IF($A70="","",admin!$B$2&amp;"\RunwayDiagrams\"&amp;$A70&amp;".pdf")</f>
        <v>C:\Backups\InsiderTechSol\Aviation\Jetelio_v3\.LAYOUT\resources\RunwayDiagrams\ZBAA.pdf</v>
      </c>
      <c r="AQ70" s="12" t="str">
        <f>IF($A70="","",admin!$B$2&amp;"\Images\"&amp;$A70)</f>
        <v>C:\Backups\InsiderTechSol\Aviation\Jetelio_v3\.LAYOUT\resources\Images\ZBAA</v>
      </c>
      <c r="AR70" s="12" t="str">
        <f>IF($A70="","",admin!$B$2&amp;"\CityMaps\"&amp;$A70&amp;".png")</f>
        <v>C:\Backups\InsiderTechSol\Aviation\Jetelio_v3\.LAYOUT\resources\CityMaps\ZBAA.png</v>
      </c>
      <c r="AS70" s="16" t="str">
        <f t="shared" si="8"/>
        <v>VISA sheet</v>
      </c>
      <c r="AT70" s="16" t="str">
        <f t="shared" si="9"/>
        <v>Vendors sheet</v>
      </c>
      <c r="AU70" s="4"/>
      <c r="AV70" s="15">
        <f t="shared" ca="1" si="10"/>
        <v>46243</v>
      </c>
      <c r="AX70" s="6"/>
      <c r="AY70" t="str">
        <f t="shared" si="11"/>
        <v>INCOMPLETE - NOT SELECTABLE AS TECH STOP</v>
      </c>
    </row>
    <row r="71" spans="1:51" x14ac:dyDescent="0.3">
      <c r="A71" s="4" t="s">
        <v>263</v>
      </c>
      <c r="B71" s="4" t="s">
        <v>264</v>
      </c>
      <c r="C71" s="4"/>
      <c r="D71" s="4"/>
      <c r="E71" s="4" t="s">
        <v>544</v>
      </c>
      <c r="F71" s="4" t="s">
        <v>82</v>
      </c>
      <c r="G71" s="4"/>
      <c r="H71" s="4" t="s">
        <v>756</v>
      </c>
      <c r="I71" s="4" t="s">
        <v>757</v>
      </c>
      <c r="J71" s="4"/>
      <c r="K71" s="4"/>
      <c r="L71" s="4"/>
      <c r="M71" s="4"/>
      <c r="N71" s="12" t="str">
        <f t="shared" si="6"/>
        <v>39°30′05″N 116°24′50″E</v>
      </c>
      <c r="O71" s="7">
        <v>39.501289999999997</v>
      </c>
      <c r="P71" s="7">
        <v>116.41397000000001</v>
      </c>
      <c r="Q71" s="13">
        <f t="shared" si="7"/>
        <v>30</v>
      </c>
      <c r="R71" s="11">
        <v>98</v>
      </c>
      <c r="S71" s="4"/>
      <c r="T71" s="4"/>
      <c r="U71" s="8">
        <v>8</v>
      </c>
      <c r="V71" s="14">
        <f ca="1">IF($U71="","",MOD(NOW()-admin!$B$1/24+$U71/24,1))</f>
        <v>0.94515972222143319</v>
      </c>
      <c r="W71" s="4"/>
      <c r="X71" s="4"/>
      <c r="Y71" s="4"/>
      <c r="Z71" s="4"/>
      <c r="AA71" s="4"/>
      <c r="AB71" s="4"/>
      <c r="AC71" s="4"/>
      <c r="AD71" s="4"/>
      <c r="AE71" s="4" t="s">
        <v>1093</v>
      </c>
      <c r="AF71" s="4"/>
      <c r="AG71" s="4"/>
      <c r="AH71" s="4"/>
      <c r="AI71" s="4"/>
      <c r="AJ71" s="4"/>
      <c r="AK71" s="4"/>
      <c r="AL71" s="4"/>
      <c r="AM71" s="4"/>
      <c r="AN71" s="4"/>
      <c r="AO71" s="12" t="str">
        <f>IF($A71="","",admin!$B$2&amp;"\Charts\"&amp;$A71)</f>
        <v>C:\Backups\InsiderTechSol\Aviation\Jetelio_v3\.LAYOUT\resources\Charts\ZBAD</v>
      </c>
      <c r="AP71" s="12" t="str">
        <f>IF($A71="","",admin!$B$2&amp;"\RunwayDiagrams\"&amp;$A71&amp;".pdf")</f>
        <v>C:\Backups\InsiderTechSol\Aviation\Jetelio_v3\.LAYOUT\resources\RunwayDiagrams\ZBAD.pdf</v>
      </c>
      <c r="AQ71" s="12" t="str">
        <f>IF($A71="","",admin!$B$2&amp;"\Images\"&amp;$A71)</f>
        <v>C:\Backups\InsiderTechSol\Aviation\Jetelio_v3\.LAYOUT\resources\Images\ZBAD</v>
      </c>
      <c r="AR71" s="12" t="str">
        <f>IF($A71="","",admin!$B$2&amp;"\CityMaps\"&amp;$A71&amp;".png")</f>
        <v>C:\Backups\InsiderTechSol\Aviation\Jetelio_v3\.LAYOUT\resources\CityMaps\ZBAD.png</v>
      </c>
      <c r="AS71" s="16" t="str">
        <f t="shared" si="8"/>
        <v>VISA sheet</v>
      </c>
      <c r="AT71" s="16" t="str">
        <f t="shared" si="9"/>
        <v>Vendors sheet</v>
      </c>
      <c r="AU71" s="4"/>
      <c r="AV71" s="15">
        <f t="shared" ca="1" si="10"/>
        <v>46243</v>
      </c>
      <c r="AX71" s="6"/>
      <c r="AY71" t="str">
        <f t="shared" si="11"/>
        <v>INCOMPLETE - NOT SELECTABLE AS TECH STOP</v>
      </c>
    </row>
    <row r="72" spans="1:51" x14ac:dyDescent="0.3">
      <c r="A72" s="4" t="s">
        <v>265</v>
      </c>
      <c r="B72" s="4" t="s">
        <v>266</v>
      </c>
      <c r="C72" s="4"/>
      <c r="D72" s="4"/>
      <c r="E72" s="4" t="s">
        <v>545</v>
      </c>
      <c r="F72" s="4" t="s">
        <v>82</v>
      </c>
      <c r="G72" s="4"/>
      <c r="H72" s="4" t="s">
        <v>758</v>
      </c>
      <c r="I72" s="4" t="s">
        <v>759</v>
      </c>
      <c r="J72" s="4"/>
      <c r="K72" s="4"/>
      <c r="L72" s="4"/>
      <c r="M72" s="4"/>
      <c r="N72" s="12" t="str">
        <f t="shared" si="6"/>
        <v>04°42′06″N 074°08′49″W</v>
      </c>
      <c r="O72" s="7">
        <v>4.7015900000000004</v>
      </c>
      <c r="P72" s="7">
        <v>-74.146900000000002</v>
      </c>
      <c r="Q72" s="13">
        <f t="shared" si="7"/>
        <v>2548</v>
      </c>
      <c r="R72" s="11">
        <v>8361</v>
      </c>
      <c r="S72" s="4"/>
      <c r="T72" s="4" t="s">
        <v>967</v>
      </c>
      <c r="U72" s="8">
        <v>-5</v>
      </c>
      <c r="V72" s="14">
        <f ca="1">IF($U72="","",MOD(NOW()-admin!$B$1/24+$U72/24,1))</f>
        <v>0.40349305554991588</v>
      </c>
      <c r="W72" s="4"/>
      <c r="X72" s="4"/>
      <c r="Y72" s="4"/>
      <c r="Z72" s="4"/>
      <c r="AA72" s="4"/>
      <c r="AB72" s="4"/>
      <c r="AC72" s="4"/>
      <c r="AD72" s="4"/>
      <c r="AE72" s="4" t="s">
        <v>1094</v>
      </c>
      <c r="AF72" s="4"/>
      <c r="AG72" s="4"/>
      <c r="AH72" s="4"/>
      <c r="AI72" s="4"/>
      <c r="AJ72" s="4"/>
      <c r="AK72" s="4"/>
      <c r="AL72" s="4"/>
      <c r="AM72" s="4"/>
      <c r="AN72" s="4"/>
      <c r="AO72" s="12" t="str">
        <f>IF($A72="","",admin!$B$2&amp;"\Charts\"&amp;$A72)</f>
        <v>C:\Backups\InsiderTechSol\Aviation\Jetelio_v3\.LAYOUT\resources\Charts\SKBO</v>
      </c>
      <c r="AP72" s="12" t="str">
        <f>IF($A72="","",admin!$B$2&amp;"\RunwayDiagrams\"&amp;$A72&amp;".pdf")</f>
        <v>C:\Backups\InsiderTechSol\Aviation\Jetelio_v3\.LAYOUT\resources\RunwayDiagrams\SKBO.pdf</v>
      </c>
      <c r="AQ72" s="12" t="str">
        <f>IF($A72="","",admin!$B$2&amp;"\Images\"&amp;$A72)</f>
        <v>C:\Backups\InsiderTechSol\Aviation\Jetelio_v3\.LAYOUT\resources\Images\SKBO</v>
      </c>
      <c r="AR72" s="12" t="str">
        <f>IF($A72="","",admin!$B$2&amp;"\CityMaps\"&amp;$A72&amp;".png")</f>
        <v>C:\Backups\InsiderTechSol\Aviation\Jetelio_v3\.LAYOUT\resources\CityMaps\SKBO.png</v>
      </c>
      <c r="AS72" s="16" t="str">
        <f t="shared" si="8"/>
        <v>VISA sheet</v>
      </c>
      <c r="AT72" s="16" t="str">
        <f t="shared" si="9"/>
        <v>Vendors sheet</v>
      </c>
      <c r="AU72" s="4"/>
      <c r="AV72" s="15">
        <f t="shared" ca="1" si="10"/>
        <v>46243</v>
      </c>
      <c r="AX72" s="6"/>
      <c r="AY72" t="str">
        <f t="shared" si="11"/>
        <v>INCOMPLETE - NOT SELECTABLE AS TECH STOP</v>
      </c>
    </row>
    <row r="73" spans="1:51" x14ac:dyDescent="0.3">
      <c r="A73" s="4" t="s">
        <v>267</v>
      </c>
      <c r="B73" s="4" t="s">
        <v>268</v>
      </c>
      <c r="C73" s="4"/>
      <c r="D73" s="4"/>
      <c r="E73" s="4" t="s">
        <v>546</v>
      </c>
      <c r="F73" s="4" t="s">
        <v>82</v>
      </c>
      <c r="G73" s="4"/>
      <c r="H73" s="4" t="s">
        <v>758</v>
      </c>
      <c r="I73" s="4" t="s">
        <v>760</v>
      </c>
      <c r="J73" s="4"/>
      <c r="K73" s="4"/>
      <c r="L73" s="4"/>
      <c r="M73" s="4"/>
      <c r="N73" s="12" t="str">
        <f t="shared" si="6"/>
        <v>10°53′23″N 074°46′51″W</v>
      </c>
      <c r="O73" s="7">
        <v>10.8896</v>
      </c>
      <c r="P73" s="7">
        <v>-74.780799999999999</v>
      </c>
      <c r="Q73" s="13">
        <f t="shared" si="7"/>
        <v>30</v>
      </c>
      <c r="R73" s="11">
        <v>98</v>
      </c>
      <c r="S73" s="4"/>
      <c r="T73" s="4" t="s">
        <v>967</v>
      </c>
      <c r="U73" s="8">
        <v>-5</v>
      </c>
      <c r="V73" s="14">
        <f ca="1">IF($U73="","",MOD(NOW()-admin!$B$1/24+$U73/24,1))</f>
        <v>0.40349305554991588</v>
      </c>
      <c r="W73" s="4"/>
      <c r="X73" s="4"/>
      <c r="Y73" s="4"/>
      <c r="Z73" s="4"/>
      <c r="AA73" s="4"/>
      <c r="AB73" s="4"/>
      <c r="AC73" s="4"/>
      <c r="AD73" s="4"/>
      <c r="AE73" s="4" t="s">
        <v>1095</v>
      </c>
      <c r="AF73" s="4"/>
      <c r="AG73" s="4"/>
      <c r="AH73" s="4"/>
      <c r="AI73" s="4"/>
      <c r="AJ73" s="4"/>
      <c r="AK73" s="4"/>
      <c r="AL73" s="4"/>
      <c r="AM73" s="4"/>
      <c r="AN73" s="4"/>
      <c r="AO73" s="12" t="str">
        <f>IF($A73="","",admin!$B$2&amp;"\Charts\"&amp;$A73)</f>
        <v>C:\Backups\InsiderTechSol\Aviation\Jetelio_v3\.LAYOUT\resources\Charts\SKBQ</v>
      </c>
      <c r="AP73" s="12" t="str">
        <f>IF($A73="","",admin!$B$2&amp;"\RunwayDiagrams\"&amp;$A73&amp;".pdf")</f>
        <v>C:\Backups\InsiderTechSol\Aviation\Jetelio_v3\.LAYOUT\resources\RunwayDiagrams\SKBQ.pdf</v>
      </c>
      <c r="AQ73" s="12" t="str">
        <f>IF($A73="","",admin!$B$2&amp;"\Images\"&amp;$A73)</f>
        <v>C:\Backups\InsiderTechSol\Aviation\Jetelio_v3\.LAYOUT\resources\Images\SKBQ</v>
      </c>
      <c r="AR73" s="12" t="str">
        <f>IF($A73="","",admin!$B$2&amp;"\CityMaps\"&amp;$A73&amp;".png")</f>
        <v>C:\Backups\InsiderTechSol\Aviation\Jetelio_v3\.LAYOUT\resources\CityMaps\SKBQ.png</v>
      </c>
      <c r="AS73" s="16" t="str">
        <f t="shared" si="8"/>
        <v>VISA sheet</v>
      </c>
      <c r="AT73" s="16" t="str">
        <f t="shared" si="9"/>
        <v>Vendors sheet</v>
      </c>
      <c r="AU73" s="4"/>
      <c r="AV73" s="15">
        <f t="shared" ca="1" si="10"/>
        <v>46243</v>
      </c>
      <c r="AX73" s="6"/>
      <c r="AY73" t="str">
        <f t="shared" si="11"/>
        <v>INCOMPLETE - NOT SELECTABLE AS TECH STOP</v>
      </c>
    </row>
    <row r="74" spans="1:51" x14ac:dyDescent="0.3">
      <c r="A74" s="4" t="s">
        <v>269</v>
      </c>
      <c r="B74" s="4" t="s">
        <v>270</v>
      </c>
      <c r="C74" s="4"/>
      <c r="D74" s="4"/>
      <c r="E74" s="4" t="s">
        <v>547</v>
      </c>
      <c r="F74" s="4" t="s">
        <v>82</v>
      </c>
      <c r="G74" s="4"/>
      <c r="H74" s="4" t="s">
        <v>761</v>
      </c>
      <c r="I74" s="4" t="s">
        <v>762</v>
      </c>
      <c r="J74" s="4"/>
      <c r="K74" s="4"/>
      <c r="L74" s="4"/>
      <c r="M74" s="4"/>
      <c r="N74" s="12" t="str">
        <f t="shared" si="6"/>
        <v>10°35′36″N 085°32′40″W</v>
      </c>
      <c r="O74" s="7">
        <v>10.593299999999999</v>
      </c>
      <c r="P74" s="7">
        <v>-85.544399999999996</v>
      </c>
      <c r="Q74" s="13">
        <f t="shared" si="7"/>
        <v>82</v>
      </c>
      <c r="R74" s="11">
        <v>270</v>
      </c>
      <c r="S74" s="4"/>
      <c r="T74" s="4" t="s">
        <v>968</v>
      </c>
      <c r="U74" s="8">
        <v>-6</v>
      </c>
      <c r="V74" s="14">
        <f ca="1">IF($U74="","",MOD(NOW()-admin!$B$1/24+$U74/24,1))</f>
        <v>0.36182638888567453</v>
      </c>
      <c r="W74" s="4"/>
      <c r="X74" s="4"/>
      <c r="Y74" s="4"/>
      <c r="Z74" s="4"/>
      <c r="AA74" s="4"/>
      <c r="AB74" s="4"/>
      <c r="AC74" s="4"/>
      <c r="AD74" s="4"/>
      <c r="AE74" s="4" t="s">
        <v>1096</v>
      </c>
      <c r="AF74" s="4"/>
      <c r="AG74" s="4"/>
      <c r="AH74" s="4"/>
      <c r="AI74" s="4"/>
      <c r="AJ74" s="4"/>
      <c r="AK74" s="4"/>
      <c r="AL74" s="4"/>
      <c r="AM74" s="4"/>
      <c r="AN74" s="4"/>
      <c r="AO74" s="12" t="str">
        <f>IF($A74="","",admin!$B$2&amp;"\Charts\"&amp;$A74)</f>
        <v>C:\Backups\InsiderTechSol\Aviation\Jetelio_v3\.LAYOUT\resources\Charts\MRLB</v>
      </c>
      <c r="AP74" s="12" t="str">
        <f>IF($A74="","",admin!$B$2&amp;"\RunwayDiagrams\"&amp;$A74&amp;".pdf")</f>
        <v>C:\Backups\InsiderTechSol\Aviation\Jetelio_v3\.LAYOUT\resources\RunwayDiagrams\MRLB.pdf</v>
      </c>
      <c r="AQ74" s="12" t="str">
        <f>IF($A74="","",admin!$B$2&amp;"\Images\"&amp;$A74)</f>
        <v>C:\Backups\InsiderTechSol\Aviation\Jetelio_v3\.LAYOUT\resources\Images\MRLB</v>
      </c>
      <c r="AR74" s="12" t="str">
        <f>IF($A74="","",admin!$B$2&amp;"\CityMaps\"&amp;$A74&amp;".png")</f>
        <v>C:\Backups\InsiderTechSol\Aviation\Jetelio_v3\.LAYOUT\resources\CityMaps\MRLB.png</v>
      </c>
      <c r="AS74" s="16" t="str">
        <f t="shared" si="8"/>
        <v>VISA sheet</v>
      </c>
      <c r="AT74" s="16" t="str">
        <f t="shared" si="9"/>
        <v>Vendors sheet</v>
      </c>
      <c r="AU74" s="4"/>
      <c r="AV74" s="15">
        <f t="shared" ca="1" si="10"/>
        <v>46243</v>
      </c>
      <c r="AX74" s="6"/>
      <c r="AY74" t="str">
        <f t="shared" si="11"/>
        <v>INCOMPLETE - NOT SELECTABLE AS TECH STOP</v>
      </c>
    </row>
    <row r="75" spans="1:51" x14ac:dyDescent="0.3">
      <c r="A75" s="4" t="s">
        <v>271</v>
      </c>
      <c r="B75" s="4" t="s">
        <v>272</v>
      </c>
      <c r="C75" s="4"/>
      <c r="D75" s="4"/>
      <c r="E75" s="4" t="s">
        <v>548</v>
      </c>
      <c r="F75" s="4" t="s">
        <v>82</v>
      </c>
      <c r="G75" s="4"/>
      <c r="H75" s="4" t="s">
        <v>761</v>
      </c>
      <c r="I75" s="4" t="s">
        <v>763</v>
      </c>
      <c r="J75" s="4"/>
      <c r="K75" s="4"/>
      <c r="L75" s="4"/>
      <c r="M75" s="4"/>
      <c r="N75" s="12" t="str">
        <f t="shared" si="6"/>
        <v>09°59′38″N 084°12′32″W</v>
      </c>
      <c r="O75" s="7">
        <v>9.9938599999999997</v>
      </c>
      <c r="P75" s="7">
        <v>-84.208799999999997</v>
      </c>
      <c r="Q75" s="13">
        <f t="shared" si="7"/>
        <v>921</v>
      </c>
      <c r="R75" s="11">
        <v>3021</v>
      </c>
      <c r="S75" s="4"/>
      <c r="T75" s="4" t="s">
        <v>968</v>
      </c>
      <c r="U75" s="8">
        <v>-6</v>
      </c>
      <c r="V75" s="14">
        <f ca="1">IF($U75="","",MOD(NOW()-admin!$B$1/24+$U75/24,1))</f>
        <v>0.36182638888567453</v>
      </c>
      <c r="W75" s="4"/>
      <c r="X75" s="4"/>
      <c r="Y75" s="4"/>
      <c r="Z75" s="4"/>
      <c r="AA75" s="4"/>
      <c r="AB75" s="4"/>
      <c r="AC75" s="4"/>
      <c r="AD75" s="4"/>
      <c r="AE75" s="4" t="s">
        <v>1097</v>
      </c>
      <c r="AF75" s="4"/>
      <c r="AG75" s="4"/>
      <c r="AH75" s="4"/>
      <c r="AI75" s="4"/>
      <c r="AJ75" s="4"/>
      <c r="AK75" s="4"/>
      <c r="AL75" s="4"/>
      <c r="AM75" s="4"/>
      <c r="AN75" s="4"/>
      <c r="AO75" s="12" t="str">
        <f>IF($A75="","",admin!$B$2&amp;"\Charts\"&amp;$A75)</f>
        <v>C:\Backups\InsiderTechSol\Aviation\Jetelio_v3\.LAYOUT\resources\Charts\MROC</v>
      </c>
      <c r="AP75" s="12" t="str">
        <f>IF($A75="","",admin!$B$2&amp;"\RunwayDiagrams\"&amp;$A75&amp;".pdf")</f>
        <v>C:\Backups\InsiderTechSol\Aviation\Jetelio_v3\.LAYOUT\resources\RunwayDiagrams\MROC.pdf</v>
      </c>
      <c r="AQ75" s="12" t="str">
        <f>IF($A75="","",admin!$B$2&amp;"\Images\"&amp;$A75)</f>
        <v>C:\Backups\InsiderTechSol\Aviation\Jetelio_v3\.LAYOUT\resources\Images\MROC</v>
      </c>
      <c r="AR75" s="12" t="str">
        <f>IF($A75="","",admin!$B$2&amp;"\CityMaps\"&amp;$A75&amp;".png")</f>
        <v>C:\Backups\InsiderTechSol\Aviation\Jetelio_v3\.LAYOUT\resources\CityMaps\MROC.png</v>
      </c>
      <c r="AS75" s="16" t="str">
        <f t="shared" si="8"/>
        <v>VISA sheet</v>
      </c>
      <c r="AT75" s="16" t="str">
        <f t="shared" si="9"/>
        <v>Vendors sheet</v>
      </c>
      <c r="AU75" s="4"/>
      <c r="AV75" s="15">
        <f t="shared" ca="1" si="10"/>
        <v>46243</v>
      </c>
      <c r="AX75" s="6"/>
      <c r="AY75" t="str">
        <f t="shared" si="11"/>
        <v>INCOMPLETE - NOT SELECTABLE AS TECH STOP</v>
      </c>
    </row>
    <row r="76" spans="1:51" x14ac:dyDescent="0.3">
      <c r="A76" s="4" t="s">
        <v>273</v>
      </c>
      <c r="B76" s="4" t="s">
        <v>274</v>
      </c>
      <c r="C76" s="4"/>
      <c r="D76" s="4"/>
      <c r="E76" s="4" t="s">
        <v>549</v>
      </c>
      <c r="F76" s="4" t="s">
        <v>82</v>
      </c>
      <c r="G76" s="4"/>
      <c r="H76" s="4" t="s">
        <v>764</v>
      </c>
      <c r="I76" s="4" t="s">
        <v>765</v>
      </c>
      <c r="J76" s="4"/>
      <c r="K76" s="4"/>
      <c r="L76" s="4"/>
      <c r="M76" s="4"/>
      <c r="N76" s="12" t="str">
        <f t="shared" si="6"/>
        <v>21°25′12″N 077°50′53″W</v>
      </c>
      <c r="O76" s="7">
        <v>21.419910000000002</v>
      </c>
      <c r="P76" s="7">
        <v>-77.848039999999997</v>
      </c>
      <c r="Q76" s="13">
        <f t="shared" si="7"/>
        <v>126</v>
      </c>
      <c r="R76" s="11">
        <v>413</v>
      </c>
      <c r="S76" s="4"/>
      <c r="T76" s="4" t="s">
        <v>969</v>
      </c>
      <c r="U76" s="8">
        <v>-5</v>
      </c>
      <c r="V76" s="14">
        <f ca="1">IF($U76="","",MOD(NOW()-admin!$B$1/24+$U76/24,1))</f>
        <v>0.40349305554991588</v>
      </c>
      <c r="W76" s="4"/>
      <c r="X76" s="4"/>
      <c r="Y76" s="4"/>
      <c r="Z76" s="4"/>
      <c r="AA76" s="4"/>
      <c r="AB76" s="4"/>
      <c r="AC76" s="4"/>
      <c r="AD76" s="4"/>
      <c r="AE76" s="4" t="s">
        <v>1098</v>
      </c>
      <c r="AF76" s="4"/>
      <c r="AG76" s="4"/>
      <c r="AH76" s="4"/>
      <c r="AI76" s="4"/>
      <c r="AJ76" s="4"/>
      <c r="AK76" s="4"/>
      <c r="AL76" s="4"/>
      <c r="AM76" s="4"/>
      <c r="AN76" s="4"/>
      <c r="AO76" s="12" t="str">
        <f>IF($A76="","",admin!$B$2&amp;"\Charts\"&amp;$A76)</f>
        <v>C:\Backups\InsiderTechSol\Aviation\Jetelio_v3\.LAYOUT\resources\Charts\MUCM</v>
      </c>
      <c r="AP76" s="12" t="str">
        <f>IF($A76="","",admin!$B$2&amp;"\RunwayDiagrams\"&amp;$A76&amp;".pdf")</f>
        <v>C:\Backups\InsiderTechSol\Aviation\Jetelio_v3\.LAYOUT\resources\RunwayDiagrams\MUCM.pdf</v>
      </c>
      <c r="AQ76" s="12" t="str">
        <f>IF($A76="","",admin!$B$2&amp;"\Images\"&amp;$A76)</f>
        <v>C:\Backups\InsiderTechSol\Aviation\Jetelio_v3\.LAYOUT\resources\Images\MUCM</v>
      </c>
      <c r="AR76" s="12" t="str">
        <f>IF($A76="","",admin!$B$2&amp;"\CityMaps\"&amp;$A76&amp;".png")</f>
        <v>C:\Backups\InsiderTechSol\Aviation\Jetelio_v3\.LAYOUT\resources\CityMaps\MUCM.png</v>
      </c>
      <c r="AS76" s="16" t="str">
        <f t="shared" si="8"/>
        <v>VISA sheet</v>
      </c>
      <c r="AT76" s="16" t="str">
        <f t="shared" si="9"/>
        <v>Vendors sheet</v>
      </c>
      <c r="AU76" s="4"/>
      <c r="AV76" s="15">
        <f t="shared" ca="1" si="10"/>
        <v>46243</v>
      </c>
      <c r="AX76" s="6"/>
      <c r="AY76" t="str">
        <f t="shared" si="11"/>
        <v>INCOMPLETE - NOT SELECTABLE AS TECH STOP</v>
      </c>
    </row>
    <row r="77" spans="1:51" x14ac:dyDescent="0.3">
      <c r="A77" s="4" t="s">
        <v>275</v>
      </c>
      <c r="B77" s="4" t="s">
        <v>276</v>
      </c>
      <c r="C77" s="4"/>
      <c r="D77" s="4"/>
      <c r="E77" s="4" t="s">
        <v>550</v>
      </c>
      <c r="F77" s="4" t="s">
        <v>82</v>
      </c>
      <c r="G77" s="4"/>
      <c r="H77" s="4" t="s">
        <v>764</v>
      </c>
      <c r="I77" s="4" t="s">
        <v>766</v>
      </c>
      <c r="J77" s="4"/>
      <c r="K77" s="4"/>
      <c r="L77" s="4"/>
      <c r="M77" s="4"/>
      <c r="N77" s="12" t="str">
        <f t="shared" si="6"/>
        <v>19°58′29″N 075°50′08″W</v>
      </c>
      <c r="O77" s="7">
        <v>19.974740000000001</v>
      </c>
      <c r="P77" s="7">
        <v>-75.835499999999996</v>
      </c>
      <c r="Q77" s="13">
        <f t="shared" si="7"/>
        <v>76</v>
      </c>
      <c r="R77" s="11">
        <v>249</v>
      </c>
      <c r="S77" s="4"/>
      <c r="T77" s="4" t="s">
        <v>969</v>
      </c>
      <c r="U77" s="8">
        <v>-5</v>
      </c>
      <c r="V77" s="14">
        <f ca="1">IF($U77="","",MOD(NOW()-admin!$B$1/24+$U77/24,1))</f>
        <v>0.40349305554991588</v>
      </c>
      <c r="W77" s="4"/>
      <c r="X77" s="4"/>
      <c r="Y77" s="4"/>
      <c r="Z77" s="4"/>
      <c r="AA77" s="4"/>
      <c r="AB77" s="4"/>
      <c r="AC77" s="4"/>
      <c r="AD77" s="4"/>
      <c r="AE77" s="4" t="s">
        <v>1099</v>
      </c>
      <c r="AF77" s="4"/>
      <c r="AG77" s="4"/>
      <c r="AH77" s="4"/>
      <c r="AI77" s="4"/>
      <c r="AJ77" s="4"/>
      <c r="AK77" s="4"/>
      <c r="AL77" s="4"/>
      <c r="AM77" s="4"/>
      <c r="AN77" s="4"/>
      <c r="AO77" s="12" t="str">
        <f>IF($A77="","",admin!$B$2&amp;"\Charts\"&amp;$A77)</f>
        <v>C:\Backups\InsiderTechSol\Aviation\Jetelio_v3\.LAYOUT\resources\Charts\MUCU</v>
      </c>
      <c r="AP77" s="12" t="str">
        <f>IF($A77="","",admin!$B$2&amp;"\RunwayDiagrams\"&amp;$A77&amp;".pdf")</f>
        <v>C:\Backups\InsiderTechSol\Aviation\Jetelio_v3\.LAYOUT\resources\RunwayDiagrams\MUCU.pdf</v>
      </c>
      <c r="AQ77" s="12" t="str">
        <f>IF($A77="","",admin!$B$2&amp;"\Images\"&amp;$A77)</f>
        <v>C:\Backups\InsiderTechSol\Aviation\Jetelio_v3\.LAYOUT\resources\Images\MUCU</v>
      </c>
      <c r="AR77" s="12" t="str">
        <f>IF($A77="","",admin!$B$2&amp;"\CityMaps\"&amp;$A77&amp;".png")</f>
        <v>C:\Backups\InsiderTechSol\Aviation\Jetelio_v3\.LAYOUT\resources\CityMaps\MUCU.png</v>
      </c>
      <c r="AS77" s="16" t="str">
        <f t="shared" si="8"/>
        <v>VISA sheet</v>
      </c>
      <c r="AT77" s="16" t="str">
        <f t="shared" si="9"/>
        <v>Vendors sheet</v>
      </c>
      <c r="AU77" s="4"/>
      <c r="AV77" s="15">
        <f t="shared" ca="1" si="10"/>
        <v>46243</v>
      </c>
      <c r="AX77" s="6"/>
      <c r="AY77" t="str">
        <f t="shared" si="11"/>
        <v>INCOMPLETE - NOT SELECTABLE AS TECH STOP</v>
      </c>
    </row>
    <row r="78" spans="1:51" x14ac:dyDescent="0.3">
      <c r="A78" s="4" t="s">
        <v>277</v>
      </c>
      <c r="B78" s="4" t="s">
        <v>278</v>
      </c>
      <c r="C78" s="4"/>
      <c r="D78" s="4"/>
      <c r="E78" s="4" t="s">
        <v>551</v>
      </c>
      <c r="F78" s="4" t="s">
        <v>82</v>
      </c>
      <c r="G78" s="4"/>
      <c r="H78" s="4" t="s">
        <v>767</v>
      </c>
      <c r="I78" s="4" t="s">
        <v>768</v>
      </c>
      <c r="J78" s="4"/>
      <c r="K78" s="4"/>
      <c r="L78" s="4"/>
      <c r="M78" s="4"/>
      <c r="N78" s="12" t="str">
        <f t="shared" si="6"/>
        <v>16°44′29″N 022°56′58″W</v>
      </c>
      <c r="O78" s="7">
        <v>16.741399999999999</v>
      </c>
      <c r="P78" s="7">
        <v>-22.949400000000001</v>
      </c>
      <c r="Q78" s="13">
        <f t="shared" si="7"/>
        <v>54</v>
      </c>
      <c r="R78" s="11">
        <v>177</v>
      </c>
      <c r="S78" s="4"/>
      <c r="T78" s="4" t="s">
        <v>970</v>
      </c>
      <c r="U78" s="8">
        <v>-1</v>
      </c>
      <c r="V78" s="14">
        <f ca="1">IF($U78="","",MOD(NOW()-admin!$B$1/24+$U78/24,1))</f>
        <v>0.57015972222143319</v>
      </c>
      <c r="W78" s="4"/>
      <c r="X78" s="4"/>
      <c r="Y78" s="4"/>
      <c r="Z78" s="4"/>
      <c r="AA78" s="4"/>
      <c r="AB78" s="4"/>
      <c r="AC78" s="4"/>
      <c r="AD78" s="4"/>
      <c r="AE78" s="4" t="s">
        <v>1100</v>
      </c>
      <c r="AF78" s="4"/>
      <c r="AG78" s="4"/>
      <c r="AH78" s="4"/>
      <c r="AI78" s="4"/>
      <c r="AJ78" s="4"/>
      <c r="AK78" s="4"/>
      <c r="AL78" s="4"/>
      <c r="AM78" s="4"/>
      <c r="AN78" s="4"/>
      <c r="AO78" s="12" t="str">
        <f>IF($A78="","",admin!$B$2&amp;"\Charts\"&amp;$A78)</f>
        <v>C:\Backups\InsiderTechSol\Aviation\Jetelio_v3\.LAYOUT\resources\Charts\GVAC</v>
      </c>
      <c r="AP78" s="12" t="str">
        <f>IF($A78="","",admin!$B$2&amp;"\RunwayDiagrams\"&amp;$A78&amp;".pdf")</f>
        <v>C:\Backups\InsiderTechSol\Aviation\Jetelio_v3\.LAYOUT\resources\RunwayDiagrams\GVAC.pdf</v>
      </c>
      <c r="AQ78" s="12" t="str">
        <f>IF($A78="","",admin!$B$2&amp;"\Images\"&amp;$A78)</f>
        <v>C:\Backups\InsiderTechSol\Aviation\Jetelio_v3\.LAYOUT\resources\Images\GVAC</v>
      </c>
      <c r="AR78" s="12" t="str">
        <f>IF($A78="","",admin!$B$2&amp;"\CityMaps\"&amp;$A78&amp;".png")</f>
        <v>C:\Backups\InsiderTechSol\Aviation\Jetelio_v3\.LAYOUT\resources\CityMaps\GVAC.png</v>
      </c>
      <c r="AS78" s="16" t="str">
        <f t="shared" si="8"/>
        <v>VISA sheet</v>
      </c>
      <c r="AT78" s="16" t="str">
        <f t="shared" si="9"/>
        <v>Vendors sheet</v>
      </c>
      <c r="AU78" s="4"/>
      <c r="AV78" s="15">
        <f t="shared" ca="1" si="10"/>
        <v>46243</v>
      </c>
      <c r="AX78" s="6"/>
      <c r="AY78" t="str">
        <f t="shared" si="11"/>
        <v>INCOMPLETE - NOT SELECTABLE AS TECH STOP</v>
      </c>
    </row>
    <row r="79" spans="1:51" x14ac:dyDescent="0.3">
      <c r="A79" s="4" t="s">
        <v>279</v>
      </c>
      <c r="B79" s="4" t="s">
        <v>280</v>
      </c>
      <c r="C79" s="4"/>
      <c r="D79" s="4"/>
      <c r="E79" s="4" t="s">
        <v>552</v>
      </c>
      <c r="F79" s="4" t="s">
        <v>82</v>
      </c>
      <c r="G79" s="4"/>
      <c r="H79" s="4" t="s">
        <v>767</v>
      </c>
      <c r="I79" s="4" t="s">
        <v>769</v>
      </c>
      <c r="J79" s="4"/>
      <c r="K79" s="4"/>
      <c r="L79" s="4"/>
      <c r="M79" s="4"/>
      <c r="N79" s="12" t="str">
        <f t="shared" si="6"/>
        <v>16°08′11″N 022°53′20″W</v>
      </c>
      <c r="O79" s="7">
        <v>16.136500000000002</v>
      </c>
      <c r="P79" s="7">
        <v>-22.8889</v>
      </c>
      <c r="Q79" s="13">
        <f t="shared" si="7"/>
        <v>21</v>
      </c>
      <c r="R79" s="11">
        <v>69</v>
      </c>
      <c r="S79" s="4"/>
      <c r="T79" s="4" t="s">
        <v>970</v>
      </c>
      <c r="U79" s="8">
        <v>-1</v>
      </c>
      <c r="V79" s="14">
        <f ca="1">IF($U79="","",MOD(NOW()-admin!$B$1/24+$U79/24,1))</f>
        <v>0.57015972222143319</v>
      </c>
      <c r="W79" s="4"/>
      <c r="X79" s="4"/>
      <c r="Y79" s="4"/>
      <c r="Z79" s="4"/>
      <c r="AA79" s="4"/>
      <c r="AB79" s="4"/>
      <c r="AC79" s="4"/>
      <c r="AD79" s="4"/>
      <c r="AE79" s="4" t="s">
        <v>1101</v>
      </c>
      <c r="AF79" s="4"/>
      <c r="AG79" s="4"/>
      <c r="AH79" s="4"/>
      <c r="AI79" s="4"/>
      <c r="AJ79" s="4"/>
      <c r="AK79" s="4"/>
      <c r="AL79" s="4"/>
      <c r="AM79" s="4"/>
      <c r="AN79" s="4"/>
      <c r="AO79" s="12" t="str">
        <f>IF($A79="","",admin!$B$2&amp;"\Charts\"&amp;$A79)</f>
        <v>C:\Backups\InsiderTechSol\Aviation\Jetelio_v3\.LAYOUT\resources\Charts\GVBA</v>
      </c>
      <c r="AP79" s="12" t="str">
        <f>IF($A79="","",admin!$B$2&amp;"\RunwayDiagrams\"&amp;$A79&amp;".pdf")</f>
        <v>C:\Backups\InsiderTechSol\Aviation\Jetelio_v3\.LAYOUT\resources\RunwayDiagrams\GVBA.pdf</v>
      </c>
      <c r="AQ79" s="12" t="str">
        <f>IF($A79="","",admin!$B$2&amp;"\Images\"&amp;$A79)</f>
        <v>C:\Backups\InsiderTechSol\Aviation\Jetelio_v3\.LAYOUT\resources\Images\GVBA</v>
      </c>
      <c r="AR79" s="12" t="str">
        <f>IF($A79="","",admin!$B$2&amp;"\CityMaps\"&amp;$A79&amp;".png")</f>
        <v>C:\Backups\InsiderTechSol\Aviation\Jetelio_v3\.LAYOUT\resources\CityMaps\GVBA.png</v>
      </c>
      <c r="AS79" s="16" t="str">
        <f t="shared" si="8"/>
        <v>VISA sheet</v>
      </c>
      <c r="AT79" s="16" t="str">
        <f t="shared" si="9"/>
        <v>Vendors sheet</v>
      </c>
      <c r="AU79" s="4"/>
      <c r="AV79" s="15">
        <f t="shared" ca="1" si="10"/>
        <v>46243</v>
      </c>
      <c r="AX79" s="6"/>
      <c r="AY79" t="str">
        <f t="shared" si="11"/>
        <v>INCOMPLETE - NOT SELECTABLE AS TECH STOP</v>
      </c>
    </row>
    <row r="80" spans="1:51" x14ac:dyDescent="0.3">
      <c r="A80" s="4" t="s">
        <v>281</v>
      </c>
      <c r="B80" s="4" t="s">
        <v>282</v>
      </c>
      <c r="C80" s="4"/>
      <c r="D80" s="4"/>
      <c r="E80" s="4" t="s">
        <v>553</v>
      </c>
      <c r="F80" s="4" t="s">
        <v>82</v>
      </c>
      <c r="G80" s="4"/>
      <c r="H80" s="4" t="s">
        <v>770</v>
      </c>
      <c r="I80" s="4" t="s">
        <v>771</v>
      </c>
      <c r="J80" s="4"/>
      <c r="K80" s="4"/>
      <c r="L80" s="4"/>
      <c r="M80" s="4"/>
      <c r="N80" s="12" t="str">
        <f t="shared" si="6"/>
        <v>12°11′20″N 068°57′35″W</v>
      </c>
      <c r="O80" s="7">
        <v>12.1889</v>
      </c>
      <c r="P80" s="7">
        <v>-68.959800000000001</v>
      </c>
      <c r="Q80" s="13">
        <f t="shared" si="7"/>
        <v>9</v>
      </c>
      <c r="R80" s="11">
        <v>29</v>
      </c>
      <c r="S80" s="4"/>
      <c r="T80" s="4" t="s">
        <v>945</v>
      </c>
      <c r="U80" s="8">
        <v>-4</v>
      </c>
      <c r="V80" s="14">
        <f ca="1">IF($U80="","",MOD(NOW()-admin!$B$1/24+$U80/24,1))</f>
        <v>0.44515972222143319</v>
      </c>
      <c r="W80" s="4"/>
      <c r="X80" s="4"/>
      <c r="Y80" s="4"/>
      <c r="Z80" s="4"/>
      <c r="AA80" s="4"/>
      <c r="AB80" s="4"/>
      <c r="AC80" s="4"/>
      <c r="AD80" s="4"/>
      <c r="AE80" s="4" t="s">
        <v>1102</v>
      </c>
      <c r="AF80" s="4"/>
      <c r="AG80" s="4"/>
      <c r="AH80" s="4"/>
      <c r="AI80" s="4"/>
      <c r="AJ80" s="4"/>
      <c r="AK80" s="4"/>
      <c r="AL80" s="4"/>
      <c r="AM80" s="4"/>
      <c r="AN80" s="4"/>
      <c r="AO80" s="12" t="str">
        <f>IF($A80="","",admin!$B$2&amp;"\Charts\"&amp;$A80)</f>
        <v>C:\Backups\InsiderTechSol\Aviation\Jetelio_v3\.LAYOUT\resources\Charts\TNCC</v>
      </c>
      <c r="AP80" s="12" t="str">
        <f>IF($A80="","",admin!$B$2&amp;"\RunwayDiagrams\"&amp;$A80&amp;".pdf")</f>
        <v>C:\Backups\InsiderTechSol\Aviation\Jetelio_v3\.LAYOUT\resources\RunwayDiagrams\TNCC.pdf</v>
      </c>
      <c r="AQ80" s="12" t="str">
        <f>IF($A80="","",admin!$B$2&amp;"\Images\"&amp;$A80)</f>
        <v>C:\Backups\InsiderTechSol\Aviation\Jetelio_v3\.LAYOUT\resources\Images\TNCC</v>
      </c>
      <c r="AR80" s="12" t="str">
        <f>IF($A80="","",admin!$B$2&amp;"\CityMaps\"&amp;$A80&amp;".png")</f>
        <v>C:\Backups\InsiderTechSol\Aviation\Jetelio_v3\.LAYOUT\resources\CityMaps\TNCC.png</v>
      </c>
      <c r="AS80" s="16" t="str">
        <f t="shared" si="8"/>
        <v>VISA sheet</v>
      </c>
      <c r="AT80" s="16" t="str">
        <f t="shared" si="9"/>
        <v>Vendors sheet</v>
      </c>
      <c r="AU80" s="4"/>
      <c r="AV80" s="15">
        <f t="shared" ca="1" si="10"/>
        <v>46243</v>
      </c>
      <c r="AX80" s="6"/>
      <c r="AY80" t="str">
        <f t="shared" si="11"/>
        <v>INCOMPLETE - NOT SELECTABLE AS TECH STOP</v>
      </c>
    </row>
    <row r="81" spans="1:51" x14ac:dyDescent="0.3">
      <c r="A81" s="4" t="s">
        <v>283</v>
      </c>
      <c r="B81" s="4" t="s">
        <v>284</v>
      </c>
      <c r="C81" s="4"/>
      <c r="D81" s="4"/>
      <c r="E81" s="4" t="s">
        <v>554</v>
      </c>
      <c r="F81" s="4" t="s">
        <v>82</v>
      </c>
      <c r="G81" s="4"/>
      <c r="H81" s="4" t="s">
        <v>772</v>
      </c>
      <c r="I81" s="4" t="s">
        <v>773</v>
      </c>
      <c r="J81" s="4"/>
      <c r="K81" s="4"/>
      <c r="L81" s="4"/>
      <c r="M81" s="4"/>
      <c r="N81" s="12" t="str">
        <f t="shared" si="6"/>
        <v>35°09′11″N 033°30′26″E</v>
      </c>
      <c r="O81" s="7">
        <v>35.153060000000004</v>
      </c>
      <c r="P81" s="7">
        <v>33.507350000000002</v>
      </c>
      <c r="Q81" s="13">
        <f t="shared" si="7"/>
        <v>123</v>
      </c>
      <c r="R81" s="11">
        <v>404</v>
      </c>
      <c r="S81" s="4"/>
      <c r="T81" s="4" t="s">
        <v>971</v>
      </c>
      <c r="U81" s="8">
        <v>2</v>
      </c>
      <c r="V81" s="14">
        <f ca="1">IF($U81="","",MOD(NOW()-admin!$B$1/24+$U81/24,1))</f>
        <v>0.69515972222143319</v>
      </c>
      <c r="W81" s="4"/>
      <c r="X81" s="4"/>
      <c r="Y81" s="4"/>
      <c r="Z81" s="4"/>
      <c r="AA81" s="4"/>
      <c r="AB81" s="4"/>
      <c r="AC81" s="4"/>
      <c r="AD81" s="4"/>
      <c r="AE81" s="4" t="s">
        <v>1103</v>
      </c>
      <c r="AF81" s="4"/>
      <c r="AG81" s="4"/>
      <c r="AH81" s="4"/>
      <c r="AI81" s="4"/>
      <c r="AJ81" s="4"/>
      <c r="AK81" s="4"/>
      <c r="AL81" s="4"/>
      <c r="AM81" s="4"/>
      <c r="AN81" s="4"/>
      <c r="AO81" s="12" t="str">
        <f>IF($A81="","",admin!$B$2&amp;"\Charts\"&amp;$A81)</f>
        <v>C:\Backups\InsiderTechSol\Aviation\Jetelio_v3\.LAYOUT\resources\Charts\LCEN</v>
      </c>
      <c r="AP81" s="12" t="str">
        <f>IF($A81="","",admin!$B$2&amp;"\RunwayDiagrams\"&amp;$A81&amp;".pdf")</f>
        <v>C:\Backups\InsiderTechSol\Aviation\Jetelio_v3\.LAYOUT\resources\RunwayDiagrams\LCEN.pdf</v>
      </c>
      <c r="AQ81" s="12" t="str">
        <f>IF($A81="","",admin!$B$2&amp;"\Images\"&amp;$A81)</f>
        <v>C:\Backups\InsiderTechSol\Aviation\Jetelio_v3\.LAYOUT\resources\Images\LCEN</v>
      </c>
      <c r="AR81" s="12" t="str">
        <f>IF($A81="","",admin!$B$2&amp;"\CityMaps\"&amp;$A81&amp;".png")</f>
        <v>C:\Backups\InsiderTechSol\Aviation\Jetelio_v3\.LAYOUT\resources\CityMaps\LCEN.png</v>
      </c>
      <c r="AS81" s="16" t="str">
        <f t="shared" si="8"/>
        <v>VISA sheet</v>
      </c>
      <c r="AT81" s="16" t="str">
        <f t="shared" si="9"/>
        <v>Vendors sheet</v>
      </c>
      <c r="AU81" s="4"/>
      <c r="AV81" s="15">
        <f t="shared" ca="1" si="10"/>
        <v>46243</v>
      </c>
      <c r="AX81" s="6"/>
      <c r="AY81" t="str">
        <f t="shared" si="11"/>
        <v>INCOMPLETE - NOT SELECTABLE AS TECH STOP</v>
      </c>
    </row>
    <row r="82" spans="1:51" x14ac:dyDescent="0.3">
      <c r="A82" s="4" t="s">
        <v>285</v>
      </c>
      <c r="B82" s="4" t="s">
        <v>286</v>
      </c>
      <c r="C82" s="4"/>
      <c r="D82" s="4"/>
      <c r="E82" s="4" t="s">
        <v>555</v>
      </c>
      <c r="F82" s="4" t="s">
        <v>82</v>
      </c>
      <c r="G82" s="4"/>
      <c r="H82" s="4" t="s">
        <v>772</v>
      </c>
      <c r="I82" s="4" t="s">
        <v>774</v>
      </c>
      <c r="J82" s="4"/>
      <c r="K82" s="4"/>
      <c r="L82" s="4"/>
      <c r="M82" s="4"/>
      <c r="N82" s="12" t="str">
        <f t="shared" si="6"/>
        <v>34°52′30″N 033°37′30″E</v>
      </c>
      <c r="O82" s="7">
        <v>34.875100000000003</v>
      </c>
      <c r="P82" s="7">
        <v>33.624899999999997</v>
      </c>
      <c r="Q82" s="13">
        <f t="shared" si="7"/>
        <v>2</v>
      </c>
      <c r="R82" s="11">
        <v>8</v>
      </c>
      <c r="S82" s="4"/>
      <c r="T82" s="4" t="s">
        <v>971</v>
      </c>
      <c r="U82" s="8">
        <v>2</v>
      </c>
      <c r="V82" s="14">
        <f ca="1">IF($U82="","",MOD(NOW()-admin!$B$1/24+$U82/24,1))</f>
        <v>0.69515972222143319</v>
      </c>
      <c r="W82" s="4"/>
      <c r="X82" s="4"/>
      <c r="Y82" s="4"/>
      <c r="Z82" s="4"/>
      <c r="AA82" s="4"/>
      <c r="AB82" s="4"/>
      <c r="AC82" s="4"/>
      <c r="AD82" s="4"/>
      <c r="AE82" s="4" t="s">
        <v>1104</v>
      </c>
      <c r="AF82" s="4"/>
      <c r="AG82" s="4"/>
      <c r="AH82" s="4"/>
      <c r="AI82" s="4"/>
      <c r="AJ82" s="4"/>
      <c r="AK82" s="4"/>
      <c r="AL82" s="4"/>
      <c r="AM82" s="4"/>
      <c r="AN82" s="4"/>
      <c r="AO82" s="12" t="str">
        <f>IF($A82="","",admin!$B$2&amp;"\Charts\"&amp;$A82)</f>
        <v>C:\Backups\InsiderTechSol\Aviation\Jetelio_v3\.LAYOUT\resources\Charts\LCLK</v>
      </c>
      <c r="AP82" s="12" t="str">
        <f>IF($A82="","",admin!$B$2&amp;"\RunwayDiagrams\"&amp;$A82&amp;".pdf")</f>
        <v>C:\Backups\InsiderTechSol\Aviation\Jetelio_v3\.LAYOUT\resources\RunwayDiagrams\LCLK.pdf</v>
      </c>
      <c r="AQ82" s="12" t="str">
        <f>IF($A82="","",admin!$B$2&amp;"\Images\"&amp;$A82)</f>
        <v>C:\Backups\InsiderTechSol\Aviation\Jetelio_v3\.LAYOUT\resources\Images\LCLK</v>
      </c>
      <c r="AR82" s="12" t="str">
        <f>IF($A82="","",admin!$B$2&amp;"\CityMaps\"&amp;$A82&amp;".png")</f>
        <v>C:\Backups\InsiderTechSol\Aviation\Jetelio_v3\.LAYOUT\resources\CityMaps\LCLK.png</v>
      </c>
      <c r="AS82" s="16" t="str">
        <f t="shared" si="8"/>
        <v>VISA sheet</v>
      </c>
      <c r="AT82" s="16" t="str">
        <f t="shared" si="9"/>
        <v>Vendors sheet</v>
      </c>
      <c r="AU82" s="4"/>
      <c r="AV82" s="15">
        <f t="shared" ca="1" si="10"/>
        <v>46243</v>
      </c>
      <c r="AX82" s="6"/>
      <c r="AY82" t="str">
        <f t="shared" si="11"/>
        <v>INCOMPLETE - NOT SELECTABLE AS TECH STOP</v>
      </c>
    </row>
    <row r="83" spans="1:51" x14ac:dyDescent="0.3">
      <c r="A83" s="4" t="s">
        <v>287</v>
      </c>
      <c r="B83" s="4" t="s">
        <v>288</v>
      </c>
      <c r="C83" s="4"/>
      <c r="D83" s="4"/>
      <c r="E83" s="4" t="s">
        <v>556</v>
      </c>
      <c r="F83" s="4" t="s">
        <v>82</v>
      </c>
      <c r="G83" s="4"/>
      <c r="H83" s="4" t="s">
        <v>775</v>
      </c>
      <c r="I83" s="4" t="s">
        <v>776</v>
      </c>
      <c r="J83" s="4"/>
      <c r="K83" s="4"/>
      <c r="L83" s="4"/>
      <c r="M83" s="4"/>
      <c r="N83" s="12" t="str">
        <f t="shared" si="6"/>
        <v>48°56′53″N 014°25′42″E</v>
      </c>
      <c r="O83" s="7">
        <v>48.948169999999998</v>
      </c>
      <c r="P83" s="7">
        <v>14.428319999999999</v>
      </c>
      <c r="Q83" s="13">
        <f t="shared" si="7"/>
        <v>432</v>
      </c>
      <c r="R83" s="11">
        <v>1417</v>
      </c>
      <c r="S83" s="4"/>
      <c r="T83" s="4" t="s">
        <v>972</v>
      </c>
      <c r="U83" s="8">
        <v>1</v>
      </c>
      <c r="V83" s="14">
        <f ca="1">IF($U83="","",MOD(NOW()-admin!$B$1/24+$U83/24,1))</f>
        <v>0.65349305554991588</v>
      </c>
      <c r="W83" s="4"/>
      <c r="X83" s="4"/>
      <c r="Y83" s="4"/>
      <c r="Z83" s="4"/>
      <c r="AA83" s="4"/>
      <c r="AB83" s="4"/>
      <c r="AC83" s="4"/>
      <c r="AD83" s="4"/>
      <c r="AE83" s="4" t="s">
        <v>1105</v>
      </c>
      <c r="AF83" s="4"/>
      <c r="AG83" s="4"/>
      <c r="AH83" s="4"/>
      <c r="AI83" s="4"/>
      <c r="AJ83" s="4"/>
      <c r="AK83" s="4"/>
      <c r="AL83" s="4"/>
      <c r="AM83" s="4"/>
      <c r="AN83" s="4"/>
      <c r="AO83" s="12" t="str">
        <f>IF($A83="","",admin!$B$2&amp;"\Charts\"&amp;$A83)</f>
        <v>C:\Backups\InsiderTechSol\Aviation\Jetelio_v3\.LAYOUT\resources\Charts\LKCS</v>
      </c>
      <c r="AP83" s="12" t="str">
        <f>IF($A83="","",admin!$B$2&amp;"\RunwayDiagrams\"&amp;$A83&amp;".pdf")</f>
        <v>C:\Backups\InsiderTechSol\Aviation\Jetelio_v3\.LAYOUT\resources\RunwayDiagrams\LKCS.pdf</v>
      </c>
      <c r="AQ83" s="12" t="str">
        <f>IF($A83="","",admin!$B$2&amp;"\Images\"&amp;$A83)</f>
        <v>C:\Backups\InsiderTechSol\Aviation\Jetelio_v3\.LAYOUT\resources\Images\LKCS</v>
      </c>
      <c r="AR83" s="12" t="str">
        <f>IF($A83="","",admin!$B$2&amp;"\CityMaps\"&amp;$A83&amp;".png")</f>
        <v>C:\Backups\InsiderTechSol\Aviation\Jetelio_v3\.LAYOUT\resources\CityMaps\LKCS.png</v>
      </c>
      <c r="AS83" s="16" t="str">
        <f t="shared" si="8"/>
        <v>VISA sheet</v>
      </c>
      <c r="AT83" s="16" t="str">
        <f t="shared" si="9"/>
        <v>Vendors sheet</v>
      </c>
      <c r="AU83" s="4"/>
      <c r="AV83" s="15">
        <f t="shared" ca="1" si="10"/>
        <v>46243</v>
      </c>
      <c r="AX83" s="6"/>
      <c r="AY83" t="str">
        <f t="shared" si="11"/>
        <v>INCOMPLETE - NOT SELECTABLE AS TECH STOP</v>
      </c>
    </row>
    <row r="84" spans="1:51" x14ac:dyDescent="0.3">
      <c r="A84" s="4" t="s">
        <v>289</v>
      </c>
      <c r="B84" s="4" t="s">
        <v>290</v>
      </c>
      <c r="C84" s="4"/>
      <c r="D84" s="4"/>
      <c r="E84" s="4" t="s">
        <v>557</v>
      </c>
      <c r="F84" s="4" t="s">
        <v>82</v>
      </c>
      <c r="G84" s="4"/>
      <c r="H84" s="4" t="s">
        <v>775</v>
      </c>
      <c r="I84" s="4" t="s">
        <v>777</v>
      </c>
      <c r="J84" s="4"/>
      <c r="K84" s="4"/>
      <c r="L84" s="4"/>
      <c r="M84" s="4"/>
      <c r="N84" s="12" t="str">
        <f t="shared" si="6"/>
        <v>50°12′11″N 012°54′54″E</v>
      </c>
      <c r="O84" s="7">
        <v>50.203000000000003</v>
      </c>
      <c r="P84" s="7">
        <v>12.914999999999999</v>
      </c>
      <c r="Q84" s="13">
        <f t="shared" si="7"/>
        <v>606</v>
      </c>
      <c r="R84" s="11">
        <v>1989</v>
      </c>
      <c r="S84" s="4"/>
      <c r="T84" s="4" t="s">
        <v>972</v>
      </c>
      <c r="U84" s="8">
        <v>1</v>
      </c>
      <c r="V84" s="14">
        <f ca="1">IF($U84="","",MOD(NOW()-admin!$B$1/24+$U84/24,1))</f>
        <v>0.65349305554991588</v>
      </c>
      <c r="W84" s="4"/>
      <c r="X84" s="4"/>
      <c r="Y84" s="4"/>
      <c r="Z84" s="4"/>
      <c r="AA84" s="4"/>
      <c r="AB84" s="4"/>
      <c r="AC84" s="4"/>
      <c r="AD84" s="4"/>
      <c r="AE84" s="4" t="s">
        <v>1106</v>
      </c>
      <c r="AF84" s="4"/>
      <c r="AG84" s="4"/>
      <c r="AH84" s="4"/>
      <c r="AI84" s="4"/>
      <c r="AJ84" s="4"/>
      <c r="AK84" s="4"/>
      <c r="AL84" s="4"/>
      <c r="AM84" s="4"/>
      <c r="AN84" s="4"/>
      <c r="AO84" s="12" t="str">
        <f>IF($A84="","",admin!$B$2&amp;"\Charts\"&amp;$A84)</f>
        <v>C:\Backups\InsiderTechSol\Aviation\Jetelio_v3\.LAYOUT\resources\Charts\LKKV</v>
      </c>
      <c r="AP84" s="12" t="str">
        <f>IF($A84="","",admin!$B$2&amp;"\RunwayDiagrams\"&amp;$A84&amp;".pdf")</f>
        <v>C:\Backups\InsiderTechSol\Aviation\Jetelio_v3\.LAYOUT\resources\RunwayDiagrams\LKKV.pdf</v>
      </c>
      <c r="AQ84" s="12" t="str">
        <f>IF($A84="","",admin!$B$2&amp;"\Images\"&amp;$A84)</f>
        <v>C:\Backups\InsiderTechSol\Aviation\Jetelio_v3\.LAYOUT\resources\Images\LKKV</v>
      </c>
      <c r="AR84" s="12" t="str">
        <f>IF($A84="","",admin!$B$2&amp;"\CityMaps\"&amp;$A84&amp;".png")</f>
        <v>C:\Backups\InsiderTechSol\Aviation\Jetelio_v3\.LAYOUT\resources\CityMaps\LKKV.png</v>
      </c>
      <c r="AS84" s="16" t="str">
        <f t="shared" si="8"/>
        <v>VISA sheet</v>
      </c>
      <c r="AT84" s="16" t="str">
        <f t="shared" si="9"/>
        <v>Vendors sheet</v>
      </c>
      <c r="AU84" s="4"/>
      <c r="AV84" s="15">
        <f t="shared" ca="1" si="10"/>
        <v>46243</v>
      </c>
      <c r="AX84" s="6"/>
      <c r="AY84" t="str">
        <f t="shared" si="11"/>
        <v>INCOMPLETE - NOT SELECTABLE AS TECH STOP</v>
      </c>
    </row>
    <row r="85" spans="1:51" x14ac:dyDescent="0.3">
      <c r="A85" s="4" t="s">
        <v>291</v>
      </c>
      <c r="B85" s="4" t="s">
        <v>292</v>
      </c>
      <c r="C85" s="4"/>
      <c r="D85" s="4"/>
      <c r="E85" s="4" t="s">
        <v>558</v>
      </c>
      <c r="F85" s="4" t="s">
        <v>82</v>
      </c>
      <c r="G85" s="4"/>
      <c r="H85" s="4" t="s">
        <v>778</v>
      </c>
      <c r="I85" s="4" t="s">
        <v>779</v>
      </c>
      <c r="J85" s="4"/>
      <c r="K85" s="4"/>
      <c r="L85" s="4"/>
      <c r="M85" s="4"/>
      <c r="N85" s="12" t="str">
        <f t="shared" si="6"/>
        <v>52°21′42″N 013°30′08″E</v>
      </c>
      <c r="O85" s="7">
        <v>52.361739999999998</v>
      </c>
      <c r="P85" s="7">
        <v>13.50234</v>
      </c>
      <c r="Q85" s="13">
        <f t="shared" si="7"/>
        <v>48</v>
      </c>
      <c r="R85" s="11">
        <v>157</v>
      </c>
      <c r="S85" s="4"/>
      <c r="T85" s="4" t="s">
        <v>973</v>
      </c>
      <c r="U85" s="8">
        <v>1</v>
      </c>
      <c r="V85" s="14">
        <f ca="1">IF($U85="","",MOD(NOW()-admin!$B$1/24+$U85/24,1))</f>
        <v>0.65349305554991588</v>
      </c>
      <c r="W85" s="4"/>
      <c r="X85" s="4"/>
      <c r="Y85" s="4"/>
      <c r="Z85" s="4"/>
      <c r="AA85" s="4"/>
      <c r="AB85" s="4"/>
      <c r="AC85" s="4"/>
      <c r="AD85" s="4"/>
      <c r="AE85" s="4" t="s">
        <v>1107</v>
      </c>
      <c r="AF85" s="4"/>
      <c r="AG85" s="4"/>
      <c r="AH85" s="4"/>
      <c r="AI85" s="4"/>
      <c r="AJ85" s="4"/>
      <c r="AK85" s="4"/>
      <c r="AL85" s="4"/>
      <c r="AM85" s="4"/>
      <c r="AN85" s="4"/>
      <c r="AO85" s="12" t="str">
        <f>IF($A85="","",admin!$B$2&amp;"\Charts\"&amp;$A85)</f>
        <v>C:\Backups\InsiderTechSol\Aviation\Jetelio_v3\.LAYOUT\resources\Charts\EDDB</v>
      </c>
      <c r="AP85" s="12" t="str">
        <f>IF($A85="","",admin!$B$2&amp;"\RunwayDiagrams\"&amp;$A85&amp;".pdf")</f>
        <v>C:\Backups\InsiderTechSol\Aviation\Jetelio_v3\.LAYOUT\resources\RunwayDiagrams\EDDB.pdf</v>
      </c>
      <c r="AQ85" s="12" t="str">
        <f>IF($A85="","",admin!$B$2&amp;"\Images\"&amp;$A85)</f>
        <v>C:\Backups\InsiderTechSol\Aviation\Jetelio_v3\.LAYOUT\resources\Images\EDDB</v>
      </c>
      <c r="AR85" s="12" t="str">
        <f>IF($A85="","",admin!$B$2&amp;"\CityMaps\"&amp;$A85&amp;".png")</f>
        <v>C:\Backups\InsiderTechSol\Aviation\Jetelio_v3\.LAYOUT\resources\CityMaps\EDDB.png</v>
      </c>
      <c r="AS85" s="16" t="str">
        <f t="shared" si="8"/>
        <v>VISA sheet</v>
      </c>
      <c r="AT85" s="16" t="str">
        <f t="shared" si="9"/>
        <v>Vendors sheet</v>
      </c>
      <c r="AU85" s="4"/>
      <c r="AV85" s="15">
        <f t="shared" ca="1" si="10"/>
        <v>46243</v>
      </c>
      <c r="AX85" s="6"/>
      <c r="AY85" t="str">
        <f t="shared" si="11"/>
        <v>INCOMPLETE - NOT SELECTABLE AS TECH STOP</v>
      </c>
    </row>
    <row r="86" spans="1:51" x14ac:dyDescent="0.3">
      <c r="A86" s="4" t="s">
        <v>293</v>
      </c>
      <c r="B86" s="4" t="s">
        <v>294</v>
      </c>
      <c r="C86" s="4"/>
      <c r="D86" s="4"/>
      <c r="E86" s="4" t="s">
        <v>559</v>
      </c>
      <c r="F86" s="4" t="s">
        <v>82</v>
      </c>
      <c r="G86" s="4"/>
      <c r="H86" s="4" t="s">
        <v>778</v>
      </c>
      <c r="I86" s="4" t="s">
        <v>780</v>
      </c>
      <c r="J86" s="4"/>
      <c r="K86" s="4"/>
      <c r="L86" s="4"/>
      <c r="M86" s="4"/>
      <c r="N86" s="12" t="str">
        <f t="shared" si="6"/>
        <v>51°08′03″N 013°46′04″E</v>
      </c>
      <c r="O86" s="7">
        <v>51.134120000000003</v>
      </c>
      <c r="P86" s="7">
        <v>13.76783</v>
      </c>
      <c r="Q86" s="13">
        <f t="shared" si="7"/>
        <v>230</v>
      </c>
      <c r="R86" s="11">
        <v>755</v>
      </c>
      <c r="S86" s="4"/>
      <c r="T86" s="4" t="s">
        <v>973</v>
      </c>
      <c r="U86" s="8">
        <v>1</v>
      </c>
      <c r="V86" s="14">
        <f ca="1">IF($U86="","",MOD(NOW()-admin!$B$1/24+$U86/24,1))</f>
        <v>0.65349305554991588</v>
      </c>
      <c r="W86" s="4"/>
      <c r="X86" s="4"/>
      <c r="Y86" s="4"/>
      <c r="Z86" s="4"/>
      <c r="AA86" s="4"/>
      <c r="AB86" s="4"/>
      <c r="AC86" s="4"/>
      <c r="AD86" s="4"/>
      <c r="AE86" s="4" t="s">
        <v>1108</v>
      </c>
      <c r="AF86" s="4"/>
      <c r="AG86" s="4"/>
      <c r="AH86" s="4"/>
      <c r="AI86" s="4"/>
      <c r="AJ86" s="4"/>
      <c r="AK86" s="4"/>
      <c r="AL86" s="4"/>
      <c r="AM86" s="4"/>
      <c r="AN86" s="4"/>
      <c r="AO86" s="12" t="str">
        <f>IF($A86="","",admin!$B$2&amp;"\Charts\"&amp;$A86)</f>
        <v>C:\Backups\InsiderTechSol\Aviation\Jetelio_v3\.LAYOUT\resources\Charts\EDDC</v>
      </c>
      <c r="AP86" s="12" t="str">
        <f>IF($A86="","",admin!$B$2&amp;"\RunwayDiagrams\"&amp;$A86&amp;".pdf")</f>
        <v>C:\Backups\InsiderTechSol\Aviation\Jetelio_v3\.LAYOUT\resources\RunwayDiagrams\EDDC.pdf</v>
      </c>
      <c r="AQ86" s="12" t="str">
        <f>IF($A86="","",admin!$B$2&amp;"\Images\"&amp;$A86)</f>
        <v>C:\Backups\InsiderTechSol\Aviation\Jetelio_v3\.LAYOUT\resources\Images\EDDC</v>
      </c>
      <c r="AR86" s="12" t="str">
        <f>IF($A86="","",admin!$B$2&amp;"\CityMaps\"&amp;$A86&amp;".png")</f>
        <v>C:\Backups\InsiderTechSol\Aviation\Jetelio_v3\.LAYOUT\resources\CityMaps\EDDC.png</v>
      </c>
      <c r="AS86" s="16" t="str">
        <f t="shared" si="8"/>
        <v>VISA sheet</v>
      </c>
      <c r="AT86" s="16" t="str">
        <f t="shared" si="9"/>
        <v>Vendors sheet</v>
      </c>
      <c r="AU86" s="4"/>
      <c r="AV86" s="15">
        <f t="shared" ca="1" si="10"/>
        <v>46243</v>
      </c>
      <c r="AX86" s="6"/>
      <c r="AY86" t="str">
        <f t="shared" si="11"/>
        <v>INCOMPLETE - NOT SELECTABLE AS TECH STOP</v>
      </c>
    </row>
    <row r="87" spans="1:51" x14ac:dyDescent="0.3">
      <c r="A87" s="4" t="s">
        <v>295</v>
      </c>
      <c r="B87" s="4" t="s">
        <v>296</v>
      </c>
      <c r="C87" s="4"/>
      <c r="D87" s="4"/>
      <c r="E87" s="4" t="s">
        <v>560</v>
      </c>
      <c r="F87" s="4" t="s">
        <v>82</v>
      </c>
      <c r="G87" s="4"/>
      <c r="H87" s="4" t="s">
        <v>781</v>
      </c>
      <c r="I87" s="4" t="s">
        <v>782</v>
      </c>
      <c r="J87" s="4"/>
      <c r="K87" s="4"/>
      <c r="L87" s="4"/>
      <c r="M87" s="4"/>
      <c r="N87" s="12" t="str">
        <f t="shared" si="6"/>
        <v>11°32′50″N 043°09′34″E</v>
      </c>
      <c r="O87" s="7">
        <v>11.5473</v>
      </c>
      <c r="P87" s="7">
        <v>43.159500000000001</v>
      </c>
      <c r="Q87" s="13">
        <f t="shared" si="7"/>
        <v>15</v>
      </c>
      <c r="R87" s="11">
        <v>49</v>
      </c>
      <c r="S87" s="4"/>
      <c r="T87" s="4" t="s">
        <v>974</v>
      </c>
      <c r="U87" s="8">
        <v>3</v>
      </c>
      <c r="V87" s="14">
        <f ca="1">IF($U87="","",MOD(NOW()-admin!$B$1/24+$U87/24,1))</f>
        <v>0.73682638888567453</v>
      </c>
      <c r="W87" s="4"/>
      <c r="X87" s="4"/>
      <c r="Y87" s="4"/>
      <c r="Z87" s="4"/>
      <c r="AA87" s="4"/>
      <c r="AB87" s="4"/>
      <c r="AC87" s="4"/>
      <c r="AD87" s="4"/>
      <c r="AE87" s="4" t="s">
        <v>1109</v>
      </c>
      <c r="AF87" s="4"/>
      <c r="AG87" s="4"/>
      <c r="AH87" s="4"/>
      <c r="AI87" s="4"/>
      <c r="AJ87" s="4"/>
      <c r="AK87" s="4"/>
      <c r="AL87" s="4"/>
      <c r="AM87" s="4"/>
      <c r="AN87" s="4"/>
      <c r="AO87" s="12" t="str">
        <f>IF($A87="","",admin!$B$2&amp;"\Charts\"&amp;$A87)</f>
        <v>C:\Backups\InsiderTechSol\Aviation\Jetelio_v3\.LAYOUT\resources\Charts\HDAM</v>
      </c>
      <c r="AP87" s="12" t="str">
        <f>IF($A87="","",admin!$B$2&amp;"\RunwayDiagrams\"&amp;$A87&amp;".pdf")</f>
        <v>C:\Backups\InsiderTechSol\Aviation\Jetelio_v3\.LAYOUT\resources\RunwayDiagrams\HDAM.pdf</v>
      </c>
      <c r="AQ87" s="12" t="str">
        <f>IF($A87="","",admin!$B$2&amp;"\Images\"&amp;$A87)</f>
        <v>C:\Backups\InsiderTechSol\Aviation\Jetelio_v3\.LAYOUT\resources\Images\HDAM</v>
      </c>
      <c r="AR87" s="12" t="str">
        <f>IF($A87="","",admin!$B$2&amp;"\CityMaps\"&amp;$A87&amp;".png")</f>
        <v>C:\Backups\InsiderTechSol\Aviation\Jetelio_v3\.LAYOUT\resources\CityMaps\HDAM.png</v>
      </c>
      <c r="AS87" s="16" t="str">
        <f t="shared" si="8"/>
        <v>VISA sheet</v>
      </c>
      <c r="AT87" s="16" t="str">
        <f t="shared" si="9"/>
        <v>Vendors sheet</v>
      </c>
      <c r="AU87" s="4"/>
      <c r="AV87" s="15">
        <f t="shared" ca="1" si="10"/>
        <v>46243</v>
      </c>
      <c r="AX87" s="6"/>
      <c r="AY87" t="str">
        <f t="shared" si="11"/>
        <v>INCOMPLETE - NOT SELECTABLE AS TECH STOP</v>
      </c>
    </row>
    <row r="88" spans="1:51" x14ac:dyDescent="0.3">
      <c r="A88" s="4" t="s">
        <v>297</v>
      </c>
      <c r="B88" s="4" t="s">
        <v>298</v>
      </c>
      <c r="C88" s="4"/>
      <c r="D88" s="4"/>
      <c r="E88" s="4" t="s">
        <v>561</v>
      </c>
      <c r="F88" s="4" t="s">
        <v>82</v>
      </c>
      <c r="G88" s="4"/>
      <c r="H88" s="4" t="s">
        <v>783</v>
      </c>
      <c r="I88" s="4" t="s">
        <v>784</v>
      </c>
      <c r="J88" s="4"/>
      <c r="K88" s="4"/>
      <c r="L88" s="4"/>
      <c r="M88" s="4"/>
      <c r="N88" s="12" t="str">
        <f t="shared" si="6"/>
        <v>56°18′12″N 010°37′06″E</v>
      </c>
      <c r="O88" s="7">
        <v>56.303330000000003</v>
      </c>
      <c r="P88" s="7">
        <v>10.61829</v>
      </c>
      <c r="Q88" s="13">
        <f t="shared" si="7"/>
        <v>25</v>
      </c>
      <c r="R88" s="11">
        <v>82</v>
      </c>
      <c r="S88" s="4"/>
      <c r="T88" s="4" t="s">
        <v>975</v>
      </c>
      <c r="U88" s="8">
        <v>1</v>
      </c>
      <c r="V88" s="14">
        <f ca="1">IF($U88="","",MOD(NOW()-admin!$B$1/24+$U88/24,1))</f>
        <v>0.65349305554991588</v>
      </c>
      <c r="W88" s="4"/>
      <c r="X88" s="4"/>
      <c r="Y88" s="4"/>
      <c r="Z88" s="4"/>
      <c r="AA88" s="4"/>
      <c r="AB88" s="4"/>
      <c r="AC88" s="4"/>
      <c r="AD88" s="4"/>
      <c r="AE88" s="4" t="s">
        <v>1110</v>
      </c>
      <c r="AF88" s="4"/>
      <c r="AG88" s="4"/>
      <c r="AH88" s="4"/>
      <c r="AI88" s="4"/>
      <c r="AJ88" s="4"/>
      <c r="AK88" s="4"/>
      <c r="AL88" s="4"/>
      <c r="AM88" s="4"/>
      <c r="AN88" s="4"/>
      <c r="AO88" s="12" t="str">
        <f>IF($A88="","",admin!$B$2&amp;"\Charts\"&amp;$A88)</f>
        <v>C:\Backups\InsiderTechSol\Aviation\Jetelio_v3\.LAYOUT\resources\Charts\EKAH</v>
      </c>
      <c r="AP88" s="12" t="str">
        <f>IF($A88="","",admin!$B$2&amp;"\RunwayDiagrams\"&amp;$A88&amp;".pdf")</f>
        <v>C:\Backups\InsiderTechSol\Aviation\Jetelio_v3\.LAYOUT\resources\RunwayDiagrams\EKAH.pdf</v>
      </c>
      <c r="AQ88" s="12" t="str">
        <f>IF($A88="","",admin!$B$2&amp;"\Images\"&amp;$A88)</f>
        <v>C:\Backups\InsiderTechSol\Aviation\Jetelio_v3\.LAYOUT\resources\Images\EKAH</v>
      </c>
      <c r="AR88" s="12" t="str">
        <f>IF($A88="","",admin!$B$2&amp;"\CityMaps\"&amp;$A88&amp;".png")</f>
        <v>C:\Backups\InsiderTechSol\Aviation\Jetelio_v3\.LAYOUT\resources\CityMaps\EKAH.png</v>
      </c>
      <c r="AS88" s="16" t="str">
        <f t="shared" si="8"/>
        <v>VISA sheet</v>
      </c>
      <c r="AT88" s="16" t="str">
        <f t="shared" si="9"/>
        <v>Vendors sheet</v>
      </c>
      <c r="AU88" s="4"/>
      <c r="AV88" s="15">
        <f t="shared" ca="1" si="10"/>
        <v>46243</v>
      </c>
      <c r="AX88" s="6"/>
      <c r="AY88" t="str">
        <f t="shared" si="11"/>
        <v>INCOMPLETE - NOT SELECTABLE AS TECH STOP</v>
      </c>
    </row>
    <row r="89" spans="1:51" x14ac:dyDescent="0.3">
      <c r="A89" s="4" t="s">
        <v>299</v>
      </c>
      <c r="B89" s="4" t="s">
        <v>300</v>
      </c>
      <c r="C89" s="4"/>
      <c r="D89" s="4"/>
      <c r="E89" s="4" t="s">
        <v>562</v>
      </c>
      <c r="F89" s="4" t="s">
        <v>82</v>
      </c>
      <c r="G89" s="4"/>
      <c r="H89" s="4" t="s">
        <v>783</v>
      </c>
      <c r="I89" s="4" t="s">
        <v>785</v>
      </c>
      <c r="J89" s="4"/>
      <c r="K89" s="4"/>
      <c r="L89" s="4"/>
      <c r="M89" s="4"/>
      <c r="N89" s="12" t="str">
        <f t="shared" si="6"/>
        <v>55°44′25″N 009°09′25″E</v>
      </c>
      <c r="O89" s="7">
        <v>55.740340000000003</v>
      </c>
      <c r="P89" s="7">
        <v>9.1570199999999993</v>
      </c>
      <c r="Q89" s="13">
        <f t="shared" si="7"/>
        <v>75</v>
      </c>
      <c r="R89" s="11">
        <v>247</v>
      </c>
      <c r="S89" s="4"/>
      <c r="T89" s="4" t="s">
        <v>975</v>
      </c>
      <c r="U89" s="8">
        <v>1</v>
      </c>
      <c r="V89" s="14">
        <f ca="1">IF($U89="","",MOD(NOW()-admin!$B$1/24+$U89/24,1))</f>
        <v>0.65349305554991588</v>
      </c>
      <c r="W89" s="4"/>
      <c r="X89" s="4"/>
      <c r="Y89" s="4"/>
      <c r="Z89" s="4"/>
      <c r="AA89" s="4"/>
      <c r="AB89" s="4"/>
      <c r="AC89" s="4"/>
      <c r="AD89" s="4"/>
      <c r="AE89" s="4" t="s">
        <v>1111</v>
      </c>
      <c r="AF89" s="4"/>
      <c r="AG89" s="4"/>
      <c r="AH89" s="4"/>
      <c r="AI89" s="4"/>
      <c r="AJ89" s="4"/>
      <c r="AK89" s="4"/>
      <c r="AL89" s="4"/>
      <c r="AM89" s="4"/>
      <c r="AN89" s="4"/>
      <c r="AO89" s="12" t="str">
        <f>IF($A89="","",admin!$B$2&amp;"\Charts\"&amp;$A89)</f>
        <v>C:\Backups\InsiderTechSol\Aviation\Jetelio_v3\.LAYOUT\resources\Charts\EKBI</v>
      </c>
      <c r="AP89" s="12" t="str">
        <f>IF($A89="","",admin!$B$2&amp;"\RunwayDiagrams\"&amp;$A89&amp;".pdf")</f>
        <v>C:\Backups\InsiderTechSol\Aviation\Jetelio_v3\.LAYOUT\resources\RunwayDiagrams\EKBI.pdf</v>
      </c>
      <c r="AQ89" s="12" t="str">
        <f>IF($A89="","",admin!$B$2&amp;"\Images\"&amp;$A89)</f>
        <v>C:\Backups\InsiderTechSol\Aviation\Jetelio_v3\.LAYOUT\resources\Images\EKBI</v>
      </c>
      <c r="AR89" s="12" t="str">
        <f>IF($A89="","",admin!$B$2&amp;"\CityMaps\"&amp;$A89&amp;".png")</f>
        <v>C:\Backups\InsiderTechSol\Aviation\Jetelio_v3\.LAYOUT\resources\CityMaps\EKBI.png</v>
      </c>
      <c r="AS89" s="16" t="str">
        <f t="shared" si="8"/>
        <v>VISA sheet</v>
      </c>
      <c r="AT89" s="16" t="str">
        <f t="shared" si="9"/>
        <v>Vendors sheet</v>
      </c>
      <c r="AU89" s="4"/>
      <c r="AV89" s="15">
        <f t="shared" ca="1" si="10"/>
        <v>46243</v>
      </c>
      <c r="AX89" s="6"/>
      <c r="AY89" t="str">
        <f t="shared" si="11"/>
        <v>INCOMPLETE - NOT SELECTABLE AS TECH STOP</v>
      </c>
    </row>
    <row r="90" spans="1:51" x14ac:dyDescent="0.3">
      <c r="A90" s="4" t="s">
        <v>301</v>
      </c>
      <c r="B90" s="4" t="s">
        <v>302</v>
      </c>
      <c r="C90" s="4"/>
      <c r="D90" s="4"/>
      <c r="E90" s="4" t="s">
        <v>563</v>
      </c>
      <c r="F90" s="4" t="s">
        <v>82</v>
      </c>
      <c r="G90" s="4"/>
      <c r="H90" s="4" t="s">
        <v>786</v>
      </c>
      <c r="I90" s="4" t="s">
        <v>787</v>
      </c>
      <c r="J90" s="4"/>
      <c r="K90" s="4"/>
      <c r="L90" s="4"/>
      <c r="M90" s="4"/>
      <c r="N90" s="12" t="str">
        <f t="shared" si="6"/>
        <v>18°27′08″N 068°54′40″W</v>
      </c>
      <c r="O90" s="7">
        <v>18.452220000000001</v>
      </c>
      <c r="P90" s="7">
        <v>-68.911109999999994</v>
      </c>
      <c r="Q90" s="13">
        <f t="shared" si="7"/>
        <v>65</v>
      </c>
      <c r="R90" s="11">
        <v>213</v>
      </c>
      <c r="S90" s="4"/>
      <c r="T90" s="4" t="s">
        <v>976</v>
      </c>
      <c r="U90" s="8">
        <v>-4</v>
      </c>
      <c r="V90" s="14">
        <f ca="1">IF($U90="","",MOD(NOW()-admin!$B$1/24+$U90/24,1))</f>
        <v>0.44515972222143319</v>
      </c>
      <c r="W90" s="4"/>
      <c r="X90" s="4"/>
      <c r="Y90" s="4"/>
      <c r="Z90" s="4"/>
      <c r="AA90" s="4"/>
      <c r="AB90" s="4"/>
      <c r="AC90" s="4"/>
      <c r="AD90" s="4"/>
      <c r="AE90" s="4" t="s">
        <v>1112</v>
      </c>
      <c r="AF90" s="4"/>
      <c r="AG90" s="4"/>
      <c r="AH90" s="4"/>
      <c r="AI90" s="4"/>
      <c r="AJ90" s="4"/>
      <c r="AK90" s="4"/>
      <c r="AL90" s="4"/>
      <c r="AM90" s="4"/>
      <c r="AN90" s="4"/>
      <c r="AO90" s="12" t="str">
        <f>IF($A90="","",admin!$B$2&amp;"\Charts\"&amp;$A90)</f>
        <v>C:\Backups\InsiderTechSol\Aviation\Jetelio_v3\.LAYOUT\resources\Charts\MDLR</v>
      </c>
      <c r="AP90" s="12" t="str">
        <f>IF($A90="","",admin!$B$2&amp;"\RunwayDiagrams\"&amp;$A90&amp;".pdf")</f>
        <v>C:\Backups\InsiderTechSol\Aviation\Jetelio_v3\.LAYOUT\resources\RunwayDiagrams\MDLR.pdf</v>
      </c>
      <c r="AQ90" s="12" t="str">
        <f>IF($A90="","",admin!$B$2&amp;"\Images\"&amp;$A90)</f>
        <v>C:\Backups\InsiderTechSol\Aviation\Jetelio_v3\.LAYOUT\resources\Images\MDLR</v>
      </c>
      <c r="AR90" s="12" t="str">
        <f>IF($A90="","",admin!$B$2&amp;"\CityMaps\"&amp;$A90&amp;".png")</f>
        <v>C:\Backups\InsiderTechSol\Aviation\Jetelio_v3\.LAYOUT\resources\CityMaps\MDLR.png</v>
      </c>
      <c r="AS90" s="16" t="str">
        <f t="shared" si="8"/>
        <v>VISA sheet</v>
      </c>
      <c r="AT90" s="16" t="str">
        <f t="shared" si="9"/>
        <v>Vendors sheet</v>
      </c>
      <c r="AU90" s="4"/>
      <c r="AV90" s="15">
        <f t="shared" ca="1" si="10"/>
        <v>46243</v>
      </c>
      <c r="AX90" s="6"/>
      <c r="AY90" t="str">
        <f t="shared" si="11"/>
        <v>INCOMPLETE - NOT SELECTABLE AS TECH STOP</v>
      </c>
    </row>
    <row r="91" spans="1:51" x14ac:dyDescent="0.3">
      <c r="A91" s="4" t="s">
        <v>303</v>
      </c>
      <c r="B91" s="4" t="s">
        <v>304</v>
      </c>
      <c r="C91" s="4"/>
      <c r="D91" s="4"/>
      <c r="E91" s="4" t="s">
        <v>564</v>
      </c>
      <c r="F91" s="4" t="s">
        <v>82</v>
      </c>
      <c r="G91" s="4"/>
      <c r="H91" s="4" t="s">
        <v>786</v>
      </c>
      <c r="I91" s="4" t="s">
        <v>788</v>
      </c>
      <c r="J91" s="4"/>
      <c r="K91" s="4"/>
      <c r="L91" s="4"/>
      <c r="M91" s="4"/>
      <c r="N91" s="12" t="str">
        <f t="shared" si="6"/>
        <v>18°34′02″N 068°21′52″W</v>
      </c>
      <c r="O91" s="7">
        <v>18.56709</v>
      </c>
      <c r="P91" s="7">
        <v>-68.364559999999997</v>
      </c>
      <c r="Q91" s="13">
        <f t="shared" si="7"/>
        <v>14</v>
      </c>
      <c r="R91" s="11">
        <v>47</v>
      </c>
      <c r="S91" s="4"/>
      <c r="T91" s="4" t="s">
        <v>976</v>
      </c>
      <c r="U91" s="8">
        <v>-4</v>
      </c>
      <c r="V91" s="14">
        <f ca="1">IF($U91="","",MOD(NOW()-admin!$B$1/24+$U91/24,1))</f>
        <v>0.44515972222143319</v>
      </c>
      <c r="W91" s="4"/>
      <c r="X91" s="4"/>
      <c r="Y91" s="4"/>
      <c r="Z91" s="4"/>
      <c r="AA91" s="4"/>
      <c r="AB91" s="4"/>
      <c r="AC91" s="4"/>
      <c r="AD91" s="4"/>
      <c r="AE91" s="4" t="s">
        <v>1113</v>
      </c>
      <c r="AF91" s="4"/>
      <c r="AG91" s="4"/>
      <c r="AH91" s="4"/>
      <c r="AI91" s="4"/>
      <c r="AJ91" s="4"/>
      <c r="AK91" s="4"/>
      <c r="AL91" s="4"/>
      <c r="AM91" s="4"/>
      <c r="AN91" s="4"/>
      <c r="AO91" s="12" t="str">
        <f>IF($A91="","",admin!$B$2&amp;"\Charts\"&amp;$A91)</f>
        <v>C:\Backups\InsiderTechSol\Aviation\Jetelio_v3\.LAYOUT\resources\Charts\MDPC</v>
      </c>
      <c r="AP91" s="12" t="str">
        <f>IF($A91="","",admin!$B$2&amp;"\RunwayDiagrams\"&amp;$A91&amp;".pdf")</f>
        <v>C:\Backups\InsiderTechSol\Aviation\Jetelio_v3\.LAYOUT\resources\RunwayDiagrams\MDPC.pdf</v>
      </c>
      <c r="AQ91" s="12" t="str">
        <f>IF($A91="","",admin!$B$2&amp;"\Images\"&amp;$A91)</f>
        <v>C:\Backups\InsiderTechSol\Aviation\Jetelio_v3\.LAYOUT\resources\Images\MDPC</v>
      </c>
      <c r="AR91" s="12" t="str">
        <f>IF($A91="","",admin!$B$2&amp;"\CityMaps\"&amp;$A91&amp;".png")</f>
        <v>C:\Backups\InsiderTechSol\Aviation\Jetelio_v3\.LAYOUT\resources\CityMaps\MDPC.png</v>
      </c>
      <c r="AS91" s="16" t="str">
        <f t="shared" si="8"/>
        <v>VISA sheet</v>
      </c>
      <c r="AT91" s="16" t="str">
        <f t="shared" si="9"/>
        <v>Vendors sheet</v>
      </c>
      <c r="AU91" s="4"/>
      <c r="AV91" s="15">
        <f t="shared" ca="1" si="10"/>
        <v>46243</v>
      </c>
      <c r="AX91" s="6"/>
      <c r="AY91" t="str">
        <f t="shared" si="11"/>
        <v>INCOMPLETE - NOT SELECTABLE AS TECH STOP</v>
      </c>
    </row>
    <row r="92" spans="1:51" x14ac:dyDescent="0.3">
      <c r="A92" s="4" t="s">
        <v>305</v>
      </c>
      <c r="B92" s="4" t="s">
        <v>306</v>
      </c>
      <c r="C92" s="4"/>
      <c r="D92" s="4"/>
      <c r="E92" s="4" t="s">
        <v>565</v>
      </c>
      <c r="F92" s="4" t="s">
        <v>82</v>
      </c>
      <c r="G92" s="4"/>
      <c r="H92" s="4" t="s">
        <v>789</v>
      </c>
      <c r="I92" s="4" t="s">
        <v>790</v>
      </c>
      <c r="J92" s="4"/>
      <c r="K92" s="4"/>
      <c r="L92" s="4"/>
      <c r="M92" s="4"/>
      <c r="N92" s="12" t="str">
        <f t="shared" si="6"/>
        <v>36°42′45″N 005°04′12″E</v>
      </c>
      <c r="O92" s="7">
        <v>36.71255</v>
      </c>
      <c r="P92" s="7">
        <v>5.0699100000000001</v>
      </c>
      <c r="Q92" s="13">
        <f t="shared" si="7"/>
        <v>6</v>
      </c>
      <c r="R92" s="11">
        <v>20</v>
      </c>
      <c r="S92" s="4"/>
      <c r="T92" s="4" t="s">
        <v>977</v>
      </c>
      <c r="U92" s="8">
        <v>1</v>
      </c>
      <c r="V92" s="14">
        <f ca="1">IF($U92="","",MOD(NOW()-admin!$B$1/24+$U92/24,1))</f>
        <v>0.65349305554991588</v>
      </c>
      <c r="W92" s="4"/>
      <c r="X92" s="4"/>
      <c r="Y92" s="4"/>
      <c r="Z92" s="4"/>
      <c r="AA92" s="4"/>
      <c r="AB92" s="4"/>
      <c r="AC92" s="4"/>
      <c r="AD92" s="4"/>
      <c r="AE92" s="4" t="s">
        <v>1114</v>
      </c>
      <c r="AF92" s="4"/>
      <c r="AG92" s="4"/>
      <c r="AH92" s="4"/>
      <c r="AI92" s="4"/>
      <c r="AJ92" s="4"/>
      <c r="AK92" s="4"/>
      <c r="AL92" s="4"/>
      <c r="AM92" s="4"/>
      <c r="AN92" s="4"/>
      <c r="AO92" s="12" t="str">
        <f>IF($A92="","",admin!$B$2&amp;"\Charts\"&amp;$A92)</f>
        <v>C:\Backups\InsiderTechSol\Aviation\Jetelio_v3\.LAYOUT\resources\Charts\DAAE</v>
      </c>
      <c r="AP92" s="12" t="str">
        <f>IF($A92="","",admin!$B$2&amp;"\RunwayDiagrams\"&amp;$A92&amp;".pdf")</f>
        <v>C:\Backups\InsiderTechSol\Aviation\Jetelio_v3\.LAYOUT\resources\RunwayDiagrams\DAAE.pdf</v>
      </c>
      <c r="AQ92" s="12" t="str">
        <f>IF($A92="","",admin!$B$2&amp;"\Images\"&amp;$A92)</f>
        <v>C:\Backups\InsiderTechSol\Aviation\Jetelio_v3\.LAYOUT\resources\Images\DAAE</v>
      </c>
      <c r="AR92" s="12" t="str">
        <f>IF($A92="","",admin!$B$2&amp;"\CityMaps\"&amp;$A92&amp;".png")</f>
        <v>C:\Backups\InsiderTechSol\Aviation\Jetelio_v3\.LAYOUT\resources\CityMaps\DAAE.png</v>
      </c>
      <c r="AS92" s="16" t="str">
        <f t="shared" si="8"/>
        <v>VISA sheet</v>
      </c>
      <c r="AT92" s="16" t="str">
        <f t="shared" si="9"/>
        <v>Vendors sheet</v>
      </c>
      <c r="AU92" s="4"/>
      <c r="AV92" s="15">
        <f t="shared" ca="1" si="10"/>
        <v>46243</v>
      </c>
      <c r="AX92" s="6"/>
      <c r="AY92" t="str">
        <f t="shared" si="11"/>
        <v>INCOMPLETE - NOT SELECTABLE AS TECH STOP</v>
      </c>
    </row>
    <row r="93" spans="1:51" x14ac:dyDescent="0.3">
      <c r="A93" s="4" t="s">
        <v>307</v>
      </c>
      <c r="B93" s="4" t="s">
        <v>308</v>
      </c>
      <c r="C93" s="4"/>
      <c r="D93" s="4"/>
      <c r="E93" s="4" t="s">
        <v>566</v>
      </c>
      <c r="F93" s="4" t="s">
        <v>82</v>
      </c>
      <c r="G93" s="4"/>
      <c r="H93" s="4" t="s">
        <v>789</v>
      </c>
      <c r="I93" s="4" t="s">
        <v>791</v>
      </c>
      <c r="J93" s="4"/>
      <c r="K93" s="4"/>
      <c r="L93" s="4"/>
      <c r="M93" s="4"/>
      <c r="N93" s="12" t="str">
        <f t="shared" si="6"/>
        <v>36°41′38″N 003°12′52″E</v>
      </c>
      <c r="O93" s="7">
        <v>36.693890000000003</v>
      </c>
      <c r="P93" s="7">
        <v>3.2145299999999999</v>
      </c>
      <c r="Q93" s="13">
        <f t="shared" si="7"/>
        <v>25</v>
      </c>
      <c r="R93" s="11">
        <v>82</v>
      </c>
      <c r="S93" s="4"/>
      <c r="T93" s="4" t="s">
        <v>977</v>
      </c>
      <c r="U93" s="8">
        <v>1</v>
      </c>
      <c r="V93" s="14">
        <f ca="1">IF($U93="","",MOD(NOW()-admin!$B$1/24+$U93/24,1))</f>
        <v>0.65349305554991588</v>
      </c>
      <c r="W93" s="4"/>
      <c r="X93" s="4"/>
      <c r="Y93" s="4"/>
      <c r="Z93" s="4"/>
      <c r="AA93" s="4"/>
      <c r="AB93" s="4"/>
      <c r="AC93" s="4"/>
      <c r="AD93" s="4"/>
      <c r="AE93" s="4" t="s">
        <v>1115</v>
      </c>
      <c r="AF93" s="4"/>
      <c r="AG93" s="4"/>
      <c r="AH93" s="4"/>
      <c r="AI93" s="4"/>
      <c r="AJ93" s="4"/>
      <c r="AK93" s="4"/>
      <c r="AL93" s="4"/>
      <c r="AM93" s="4"/>
      <c r="AN93" s="4"/>
      <c r="AO93" s="12" t="str">
        <f>IF($A93="","",admin!$B$2&amp;"\Charts\"&amp;$A93)</f>
        <v>C:\Backups\InsiderTechSol\Aviation\Jetelio_v3\.LAYOUT\resources\Charts\DAAG</v>
      </c>
      <c r="AP93" s="12" t="str">
        <f>IF($A93="","",admin!$B$2&amp;"\RunwayDiagrams\"&amp;$A93&amp;".pdf")</f>
        <v>C:\Backups\InsiderTechSol\Aviation\Jetelio_v3\.LAYOUT\resources\RunwayDiagrams\DAAG.pdf</v>
      </c>
      <c r="AQ93" s="12" t="str">
        <f>IF($A93="","",admin!$B$2&amp;"\Images\"&amp;$A93)</f>
        <v>C:\Backups\InsiderTechSol\Aviation\Jetelio_v3\.LAYOUT\resources\Images\DAAG</v>
      </c>
      <c r="AR93" s="12" t="str">
        <f>IF($A93="","",admin!$B$2&amp;"\CityMaps\"&amp;$A93&amp;".png")</f>
        <v>C:\Backups\InsiderTechSol\Aviation\Jetelio_v3\.LAYOUT\resources\CityMaps\DAAG.png</v>
      </c>
      <c r="AS93" s="16" t="str">
        <f t="shared" si="8"/>
        <v>VISA sheet</v>
      </c>
      <c r="AT93" s="16" t="str">
        <f t="shared" si="9"/>
        <v>Vendors sheet</v>
      </c>
      <c r="AU93" s="4"/>
      <c r="AV93" s="15">
        <f t="shared" ca="1" si="10"/>
        <v>46243</v>
      </c>
      <c r="AX93" s="6"/>
      <c r="AY93" t="str">
        <f t="shared" si="11"/>
        <v>INCOMPLETE - NOT SELECTABLE AS TECH STOP</v>
      </c>
    </row>
    <row r="94" spans="1:51" x14ac:dyDescent="0.3">
      <c r="A94" s="4" t="s">
        <v>309</v>
      </c>
      <c r="B94" s="4" t="s">
        <v>310</v>
      </c>
      <c r="C94" s="4"/>
      <c r="D94" s="4"/>
      <c r="E94" s="4" t="s">
        <v>567</v>
      </c>
      <c r="F94" s="4" t="s">
        <v>82</v>
      </c>
      <c r="G94" s="4"/>
      <c r="H94" s="4" t="s">
        <v>792</v>
      </c>
      <c r="I94" s="4" t="s">
        <v>793</v>
      </c>
      <c r="J94" s="4"/>
      <c r="K94" s="4"/>
      <c r="L94" s="4"/>
      <c r="M94" s="4"/>
      <c r="N94" s="12" t="str">
        <f t="shared" si="6"/>
        <v>02°09′27″S 079°53′01″W</v>
      </c>
      <c r="O94" s="7">
        <v>-2.1574200000000001</v>
      </c>
      <c r="P94" s="7">
        <v>-79.883600000000001</v>
      </c>
      <c r="Q94" s="13">
        <f t="shared" si="7"/>
        <v>6</v>
      </c>
      <c r="R94" s="11">
        <v>19</v>
      </c>
      <c r="S94" s="4"/>
      <c r="T94" s="4" t="s">
        <v>978</v>
      </c>
      <c r="U94" s="8">
        <v>-5</v>
      </c>
      <c r="V94" s="14">
        <f ca="1">IF($U94="","",MOD(NOW()-admin!$B$1/24+$U94/24,1))</f>
        <v>0.40349305554991588</v>
      </c>
      <c r="W94" s="4"/>
      <c r="X94" s="4"/>
      <c r="Y94" s="4"/>
      <c r="Z94" s="4"/>
      <c r="AA94" s="4"/>
      <c r="AB94" s="4"/>
      <c r="AC94" s="4"/>
      <c r="AD94" s="4"/>
      <c r="AE94" s="4" t="s">
        <v>1116</v>
      </c>
      <c r="AF94" s="4"/>
      <c r="AG94" s="4"/>
      <c r="AH94" s="4"/>
      <c r="AI94" s="4"/>
      <c r="AJ94" s="4"/>
      <c r="AK94" s="4"/>
      <c r="AL94" s="4"/>
      <c r="AM94" s="4"/>
      <c r="AN94" s="4"/>
      <c r="AO94" s="12" t="str">
        <f>IF($A94="","",admin!$B$2&amp;"\Charts\"&amp;$A94)</f>
        <v>C:\Backups\InsiderTechSol\Aviation\Jetelio_v3\.LAYOUT\resources\Charts\SEGU</v>
      </c>
      <c r="AP94" s="12" t="str">
        <f>IF($A94="","",admin!$B$2&amp;"\RunwayDiagrams\"&amp;$A94&amp;".pdf")</f>
        <v>C:\Backups\InsiderTechSol\Aviation\Jetelio_v3\.LAYOUT\resources\RunwayDiagrams\SEGU.pdf</v>
      </c>
      <c r="AQ94" s="12" t="str">
        <f>IF($A94="","",admin!$B$2&amp;"\Images\"&amp;$A94)</f>
        <v>C:\Backups\InsiderTechSol\Aviation\Jetelio_v3\.LAYOUT\resources\Images\SEGU</v>
      </c>
      <c r="AR94" s="12" t="str">
        <f>IF($A94="","",admin!$B$2&amp;"\CityMaps\"&amp;$A94&amp;".png")</f>
        <v>C:\Backups\InsiderTechSol\Aviation\Jetelio_v3\.LAYOUT\resources\CityMaps\SEGU.png</v>
      </c>
      <c r="AS94" s="16" t="str">
        <f t="shared" si="8"/>
        <v>VISA sheet</v>
      </c>
      <c r="AT94" s="16" t="str">
        <f t="shared" si="9"/>
        <v>Vendors sheet</v>
      </c>
      <c r="AU94" s="4"/>
      <c r="AV94" s="15">
        <f t="shared" ca="1" si="10"/>
        <v>46243</v>
      </c>
      <c r="AX94" s="6"/>
      <c r="AY94" t="str">
        <f t="shared" si="11"/>
        <v>INCOMPLETE - NOT SELECTABLE AS TECH STOP</v>
      </c>
    </row>
    <row r="95" spans="1:51" x14ac:dyDescent="0.3">
      <c r="A95" s="4" t="s">
        <v>311</v>
      </c>
      <c r="B95" s="4" t="s">
        <v>312</v>
      </c>
      <c r="C95" s="4"/>
      <c r="D95" s="4"/>
      <c r="E95" s="4" t="s">
        <v>568</v>
      </c>
      <c r="F95" s="4" t="s">
        <v>82</v>
      </c>
      <c r="G95" s="4"/>
      <c r="H95" s="4" t="s">
        <v>792</v>
      </c>
      <c r="I95" s="4" t="s">
        <v>794</v>
      </c>
      <c r="J95" s="4"/>
      <c r="K95" s="4"/>
      <c r="L95" s="4"/>
      <c r="M95" s="4"/>
      <c r="N95" s="12" t="str">
        <f t="shared" si="6"/>
        <v>00°07′31″S 078°21′16″W</v>
      </c>
      <c r="O95" s="7">
        <v>-0.12540000000000001</v>
      </c>
      <c r="P95" s="7">
        <v>-78.354309999999998</v>
      </c>
      <c r="Q95" s="13">
        <f t="shared" si="7"/>
        <v>2390</v>
      </c>
      <c r="R95" s="11">
        <v>7841</v>
      </c>
      <c r="S95" s="4"/>
      <c r="T95" s="4" t="s">
        <v>978</v>
      </c>
      <c r="U95" s="8">
        <v>-5</v>
      </c>
      <c r="V95" s="14">
        <f ca="1">IF($U95="","",MOD(NOW()-admin!$B$1/24+$U95/24,1))</f>
        <v>0.40349305554991588</v>
      </c>
      <c r="W95" s="4"/>
      <c r="X95" s="4"/>
      <c r="Y95" s="4"/>
      <c r="Z95" s="4"/>
      <c r="AA95" s="4"/>
      <c r="AB95" s="4"/>
      <c r="AC95" s="4"/>
      <c r="AD95" s="4"/>
      <c r="AE95" s="4" t="s">
        <v>1117</v>
      </c>
      <c r="AF95" s="4"/>
      <c r="AG95" s="4"/>
      <c r="AH95" s="4"/>
      <c r="AI95" s="4"/>
      <c r="AJ95" s="4"/>
      <c r="AK95" s="4"/>
      <c r="AL95" s="4"/>
      <c r="AM95" s="4"/>
      <c r="AN95" s="4"/>
      <c r="AO95" s="12" t="str">
        <f>IF($A95="","",admin!$B$2&amp;"\Charts\"&amp;$A95)</f>
        <v>C:\Backups\InsiderTechSol\Aviation\Jetelio_v3\.LAYOUT\resources\Charts\SEQM</v>
      </c>
      <c r="AP95" s="12" t="str">
        <f>IF($A95="","",admin!$B$2&amp;"\RunwayDiagrams\"&amp;$A95&amp;".pdf")</f>
        <v>C:\Backups\InsiderTechSol\Aviation\Jetelio_v3\.LAYOUT\resources\RunwayDiagrams\SEQM.pdf</v>
      </c>
      <c r="AQ95" s="12" t="str">
        <f>IF($A95="","",admin!$B$2&amp;"\Images\"&amp;$A95)</f>
        <v>C:\Backups\InsiderTechSol\Aviation\Jetelio_v3\.LAYOUT\resources\Images\SEQM</v>
      </c>
      <c r="AR95" s="12" t="str">
        <f>IF($A95="","",admin!$B$2&amp;"\CityMaps\"&amp;$A95&amp;".png")</f>
        <v>C:\Backups\InsiderTechSol\Aviation\Jetelio_v3\.LAYOUT\resources\CityMaps\SEQM.png</v>
      </c>
      <c r="AS95" s="16" t="str">
        <f t="shared" si="8"/>
        <v>VISA sheet</v>
      </c>
      <c r="AT95" s="16" t="str">
        <f t="shared" si="9"/>
        <v>Vendors sheet</v>
      </c>
      <c r="AU95" s="4"/>
      <c r="AV95" s="15">
        <f t="shared" ca="1" si="10"/>
        <v>46243</v>
      </c>
      <c r="AX95" s="6"/>
      <c r="AY95" t="str">
        <f t="shared" si="11"/>
        <v>INCOMPLETE - NOT SELECTABLE AS TECH STOP</v>
      </c>
    </row>
    <row r="96" spans="1:51" x14ac:dyDescent="0.3">
      <c r="A96" s="4" t="s">
        <v>313</v>
      </c>
      <c r="B96" s="4" t="s">
        <v>314</v>
      </c>
      <c r="C96" s="4"/>
      <c r="D96" s="4"/>
      <c r="E96" s="4" t="s">
        <v>569</v>
      </c>
      <c r="F96" s="4" t="s">
        <v>82</v>
      </c>
      <c r="G96" s="4"/>
      <c r="H96" s="4" t="s">
        <v>795</v>
      </c>
      <c r="I96" s="4" t="s">
        <v>796</v>
      </c>
      <c r="J96" s="4"/>
      <c r="K96" s="4"/>
      <c r="L96" s="4"/>
      <c r="M96" s="4"/>
      <c r="N96" s="12" t="str">
        <f t="shared" si="6"/>
        <v>59°24′48″N 024°49′58″E</v>
      </c>
      <c r="O96" s="7">
        <v>59.413249999999998</v>
      </c>
      <c r="P96" s="7">
        <v>24.832640000000001</v>
      </c>
      <c r="Q96" s="13">
        <f t="shared" si="7"/>
        <v>40</v>
      </c>
      <c r="R96" s="11">
        <v>131</v>
      </c>
      <c r="S96" s="4"/>
      <c r="T96" s="4" t="s">
        <v>979</v>
      </c>
      <c r="U96" s="8">
        <v>2</v>
      </c>
      <c r="V96" s="14">
        <f ca="1">IF($U96="","",MOD(NOW()-admin!$B$1/24+$U96/24,1))</f>
        <v>0.69515972222143319</v>
      </c>
      <c r="W96" s="4"/>
      <c r="X96" s="4"/>
      <c r="Y96" s="4"/>
      <c r="Z96" s="4"/>
      <c r="AA96" s="4"/>
      <c r="AB96" s="4"/>
      <c r="AC96" s="4"/>
      <c r="AD96" s="4"/>
      <c r="AE96" s="4" t="s">
        <v>1118</v>
      </c>
      <c r="AF96" s="4"/>
      <c r="AG96" s="4"/>
      <c r="AH96" s="4"/>
      <c r="AI96" s="4"/>
      <c r="AJ96" s="4"/>
      <c r="AK96" s="4"/>
      <c r="AL96" s="4"/>
      <c r="AM96" s="4"/>
      <c r="AN96" s="4"/>
      <c r="AO96" s="12" t="str">
        <f>IF($A96="","",admin!$B$2&amp;"\Charts\"&amp;$A96)</f>
        <v>C:\Backups\InsiderTechSol\Aviation\Jetelio_v3\.LAYOUT\resources\Charts\EETN</v>
      </c>
      <c r="AP96" s="12" t="str">
        <f>IF($A96="","",admin!$B$2&amp;"\RunwayDiagrams\"&amp;$A96&amp;".pdf")</f>
        <v>C:\Backups\InsiderTechSol\Aviation\Jetelio_v3\.LAYOUT\resources\RunwayDiagrams\EETN.pdf</v>
      </c>
      <c r="AQ96" s="12" t="str">
        <f>IF($A96="","",admin!$B$2&amp;"\Images\"&amp;$A96)</f>
        <v>C:\Backups\InsiderTechSol\Aviation\Jetelio_v3\.LAYOUT\resources\Images\EETN</v>
      </c>
      <c r="AR96" s="12" t="str">
        <f>IF($A96="","",admin!$B$2&amp;"\CityMaps\"&amp;$A96&amp;".png")</f>
        <v>C:\Backups\InsiderTechSol\Aviation\Jetelio_v3\.LAYOUT\resources\CityMaps\EETN.png</v>
      </c>
      <c r="AS96" s="16" t="str">
        <f t="shared" si="8"/>
        <v>VISA sheet</v>
      </c>
      <c r="AT96" s="16" t="str">
        <f t="shared" si="9"/>
        <v>Vendors sheet</v>
      </c>
      <c r="AU96" s="4"/>
      <c r="AV96" s="15">
        <f t="shared" ca="1" si="10"/>
        <v>46243</v>
      </c>
      <c r="AX96" s="6"/>
      <c r="AY96" t="str">
        <f t="shared" si="11"/>
        <v>INCOMPLETE - NOT SELECTABLE AS TECH STOP</v>
      </c>
    </row>
    <row r="97" spans="1:51" x14ac:dyDescent="0.3">
      <c r="A97" s="4" t="s">
        <v>315</v>
      </c>
      <c r="B97" s="4" t="s">
        <v>316</v>
      </c>
      <c r="C97" s="4"/>
      <c r="D97" s="4"/>
      <c r="E97" s="4" t="s">
        <v>570</v>
      </c>
      <c r="F97" s="4" t="s">
        <v>82</v>
      </c>
      <c r="G97" s="4"/>
      <c r="H97" s="4" t="s">
        <v>16</v>
      </c>
      <c r="I97" s="4" t="s">
        <v>797</v>
      </c>
      <c r="J97" s="4"/>
      <c r="K97" s="4"/>
      <c r="L97" s="4"/>
      <c r="M97" s="4"/>
      <c r="N97" s="12" t="str">
        <f t="shared" si="6"/>
        <v>30°55′28″N 028°27′42″E</v>
      </c>
      <c r="O97" s="7">
        <v>30.924320000000002</v>
      </c>
      <c r="P97" s="7">
        <v>28.46161</v>
      </c>
      <c r="Q97" s="13">
        <f t="shared" si="7"/>
        <v>47</v>
      </c>
      <c r="R97" s="11">
        <v>154</v>
      </c>
      <c r="S97" s="4"/>
      <c r="T97" s="4" t="s">
        <v>980</v>
      </c>
      <c r="U97" s="8">
        <v>2</v>
      </c>
      <c r="V97" s="14">
        <f ca="1">IF($U97="","",MOD(NOW()-admin!$B$1/24+$U97/24,1))</f>
        <v>0.69515972222143319</v>
      </c>
      <c r="W97" s="4"/>
      <c r="X97" s="4"/>
      <c r="Y97" s="4"/>
      <c r="Z97" s="4"/>
      <c r="AA97" s="4"/>
      <c r="AB97" s="4"/>
      <c r="AC97" s="4"/>
      <c r="AD97" s="4"/>
      <c r="AE97" s="4" t="s">
        <v>1119</v>
      </c>
      <c r="AF97" s="4"/>
      <c r="AG97" s="4"/>
      <c r="AH97" s="4"/>
      <c r="AI97" s="4"/>
      <c r="AJ97" s="4"/>
      <c r="AK97" s="4"/>
      <c r="AL97" s="4"/>
      <c r="AM97" s="4"/>
      <c r="AN97" s="4"/>
      <c r="AO97" s="12" t="str">
        <f>IF($A97="","",admin!$B$2&amp;"\Charts\"&amp;$A97)</f>
        <v>C:\Backups\InsiderTechSol\Aviation\Jetelio_v3\.LAYOUT\resources\Charts\HEAL</v>
      </c>
      <c r="AP97" s="12" t="str">
        <f>IF($A97="","",admin!$B$2&amp;"\RunwayDiagrams\"&amp;$A97&amp;".pdf")</f>
        <v>C:\Backups\InsiderTechSol\Aviation\Jetelio_v3\.LAYOUT\resources\RunwayDiagrams\HEAL.pdf</v>
      </c>
      <c r="AQ97" s="12" t="str">
        <f>IF($A97="","",admin!$B$2&amp;"\Images\"&amp;$A97)</f>
        <v>C:\Backups\InsiderTechSol\Aviation\Jetelio_v3\.LAYOUT\resources\Images\HEAL</v>
      </c>
      <c r="AR97" s="12" t="str">
        <f>IF($A97="","",admin!$B$2&amp;"\CityMaps\"&amp;$A97&amp;".png")</f>
        <v>C:\Backups\InsiderTechSol\Aviation\Jetelio_v3\.LAYOUT\resources\CityMaps\HEAL.png</v>
      </c>
      <c r="AS97" s="16" t="str">
        <f t="shared" si="8"/>
        <v>VISA sheet</v>
      </c>
      <c r="AT97" s="16" t="str">
        <f t="shared" si="9"/>
        <v>Vendors sheet</v>
      </c>
      <c r="AU97" s="4"/>
      <c r="AV97" s="15">
        <f t="shared" ca="1" si="10"/>
        <v>46243</v>
      </c>
      <c r="AX97" s="6"/>
      <c r="AY97" t="str">
        <f t="shared" si="11"/>
        <v>INCOMPLETE - NOT SELECTABLE AS TECH STOP</v>
      </c>
    </row>
    <row r="98" spans="1:51" x14ac:dyDescent="0.3">
      <c r="A98" s="4" t="s">
        <v>317</v>
      </c>
      <c r="B98" s="4" t="s">
        <v>318</v>
      </c>
      <c r="C98" s="4"/>
      <c r="D98" s="4"/>
      <c r="E98" s="4" t="s">
        <v>571</v>
      </c>
      <c r="F98" s="4" t="s">
        <v>82</v>
      </c>
      <c r="G98" s="4"/>
      <c r="H98" s="4" t="s">
        <v>16</v>
      </c>
      <c r="I98" s="4" t="s">
        <v>798</v>
      </c>
      <c r="J98" s="4"/>
      <c r="K98" s="4"/>
      <c r="L98" s="4"/>
      <c r="M98" s="4"/>
      <c r="N98" s="12" t="str">
        <f t="shared" si="6"/>
        <v>31°03′19″N 033°49′41″E</v>
      </c>
      <c r="O98" s="7">
        <v>31.055319999999998</v>
      </c>
      <c r="P98" s="7">
        <v>33.827959999999997</v>
      </c>
      <c r="Q98" s="13">
        <f t="shared" si="7"/>
        <v>36</v>
      </c>
      <c r="R98" s="11">
        <v>118</v>
      </c>
      <c r="S98" s="4"/>
      <c r="T98" s="4" t="s">
        <v>980</v>
      </c>
      <c r="U98" s="8">
        <v>2</v>
      </c>
      <c r="V98" s="14">
        <f ca="1">IF($U98="","",MOD(NOW()-admin!$B$1/24+$U98/24,1))</f>
        <v>0.69515972222143319</v>
      </c>
      <c r="W98" s="4"/>
      <c r="X98" s="4"/>
      <c r="Y98" s="4"/>
      <c r="Z98" s="4"/>
      <c r="AA98" s="4"/>
      <c r="AB98" s="4"/>
      <c r="AC98" s="4"/>
      <c r="AD98" s="4"/>
      <c r="AE98" s="4" t="s">
        <v>1120</v>
      </c>
      <c r="AF98" s="4"/>
      <c r="AG98" s="4"/>
      <c r="AH98" s="4"/>
      <c r="AI98" s="4"/>
      <c r="AJ98" s="4"/>
      <c r="AK98" s="4"/>
      <c r="AL98" s="4"/>
      <c r="AM98" s="4"/>
      <c r="AN98" s="4"/>
      <c r="AO98" s="12" t="str">
        <f>IF($A98="","",admin!$B$2&amp;"\Charts\"&amp;$A98)</f>
        <v>C:\Backups\InsiderTechSol\Aviation\Jetelio_v3\.LAYOUT\resources\Charts\HEAR</v>
      </c>
      <c r="AP98" s="12" t="str">
        <f>IF($A98="","",admin!$B$2&amp;"\RunwayDiagrams\"&amp;$A98&amp;".pdf")</f>
        <v>C:\Backups\InsiderTechSol\Aviation\Jetelio_v3\.LAYOUT\resources\RunwayDiagrams\HEAR.pdf</v>
      </c>
      <c r="AQ98" s="12" t="str">
        <f>IF($A98="","",admin!$B$2&amp;"\Images\"&amp;$A98)</f>
        <v>C:\Backups\InsiderTechSol\Aviation\Jetelio_v3\.LAYOUT\resources\Images\HEAR</v>
      </c>
      <c r="AR98" s="12" t="str">
        <f>IF($A98="","",admin!$B$2&amp;"\CityMaps\"&amp;$A98&amp;".png")</f>
        <v>C:\Backups\InsiderTechSol\Aviation\Jetelio_v3\.LAYOUT\resources\CityMaps\HEAR.png</v>
      </c>
      <c r="AS98" s="16" t="str">
        <f t="shared" si="8"/>
        <v>VISA sheet</v>
      </c>
      <c r="AT98" s="16" t="str">
        <f t="shared" si="9"/>
        <v>Vendors sheet</v>
      </c>
      <c r="AU98" s="4"/>
      <c r="AV98" s="15">
        <f t="shared" ca="1" si="10"/>
        <v>46243</v>
      </c>
      <c r="AX98" s="6"/>
      <c r="AY98" t="str">
        <f t="shared" si="11"/>
        <v>INCOMPLETE - NOT SELECTABLE AS TECH STOP</v>
      </c>
    </row>
    <row r="99" spans="1:51" x14ac:dyDescent="0.3">
      <c r="A99" s="4" t="s">
        <v>319</v>
      </c>
      <c r="B99" s="4" t="s">
        <v>320</v>
      </c>
      <c r="C99" s="4"/>
      <c r="D99" s="4"/>
      <c r="E99" s="4" t="s">
        <v>572</v>
      </c>
      <c r="F99" s="4" t="s">
        <v>82</v>
      </c>
      <c r="G99" s="4"/>
      <c r="H99" s="4" t="s">
        <v>799</v>
      </c>
      <c r="I99" s="4" t="s">
        <v>800</v>
      </c>
      <c r="J99" s="4"/>
      <c r="K99" s="4"/>
      <c r="L99" s="4"/>
      <c r="M99" s="4"/>
      <c r="N99" s="12" t="str">
        <f t="shared" si="6"/>
        <v>23°43′06″N 015°55′55″W</v>
      </c>
      <c r="O99" s="7">
        <v>23.718299999999999</v>
      </c>
      <c r="P99" s="7">
        <v>-15.932</v>
      </c>
      <c r="Q99" s="13">
        <f t="shared" si="7"/>
        <v>11</v>
      </c>
      <c r="R99" s="11">
        <v>36</v>
      </c>
      <c r="S99" s="4"/>
      <c r="T99" s="4" t="s">
        <v>981</v>
      </c>
      <c r="U99" s="8">
        <v>0</v>
      </c>
      <c r="V99" s="14">
        <f ca="1">IF($U99="","",MOD(NOW()-admin!$B$1/24+$U99/24,1))</f>
        <v>0.61182638888567453</v>
      </c>
      <c r="W99" s="4"/>
      <c r="X99" s="4"/>
      <c r="Y99" s="4"/>
      <c r="Z99" s="4"/>
      <c r="AA99" s="4"/>
      <c r="AB99" s="4"/>
      <c r="AC99" s="4"/>
      <c r="AD99" s="4"/>
      <c r="AE99" s="4" t="s">
        <v>1121</v>
      </c>
      <c r="AF99" s="4"/>
      <c r="AG99" s="4"/>
      <c r="AH99" s="4"/>
      <c r="AI99" s="4"/>
      <c r="AJ99" s="4"/>
      <c r="AK99" s="4"/>
      <c r="AL99" s="4"/>
      <c r="AM99" s="4"/>
      <c r="AN99" s="4"/>
      <c r="AO99" s="12" t="str">
        <f>IF($A99="","",admin!$B$2&amp;"\Charts\"&amp;$A99)</f>
        <v>C:\Backups\InsiderTechSol\Aviation\Jetelio_v3\.LAYOUT\resources\Charts\GMMH</v>
      </c>
      <c r="AP99" s="12" t="str">
        <f>IF($A99="","",admin!$B$2&amp;"\RunwayDiagrams\"&amp;$A99&amp;".pdf")</f>
        <v>C:\Backups\InsiderTechSol\Aviation\Jetelio_v3\.LAYOUT\resources\RunwayDiagrams\GMMH.pdf</v>
      </c>
      <c r="AQ99" s="12" t="str">
        <f>IF($A99="","",admin!$B$2&amp;"\Images\"&amp;$A99)</f>
        <v>C:\Backups\InsiderTechSol\Aviation\Jetelio_v3\.LAYOUT\resources\Images\GMMH</v>
      </c>
      <c r="AR99" s="12" t="str">
        <f>IF($A99="","",admin!$B$2&amp;"\CityMaps\"&amp;$A99&amp;".png")</f>
        <v>C:\Backups\InsiderTechSol\Aviation\Jetelio_v3\.LAYOUT\resources\CityMaps\GMMH.png</v>
      </c>
      <c r="AS99" s="16" t="str">
        <f t="shared" si="8"/>
        <v>VISA sheet</v>
      </c>
      <c r="AT99" s="16" t="str">
        <f t="shared" si="9"/>
        <v>Vendors sheet</v>
      </c>
      <c r="AU99" s="4"/>
      <c r="AV99" s="15">
        <f t="shared" ca="1" si="10"/>
        <v>46243</v>
      </c>
      <c r="AX99" s="6"/>
      <c r="AY99" t="str">
        <f t="shared" si="11"/>
        <v>INCOMPLETE - NOT SELECTABLE AS TECH STOP</v>
      </c>
    </row>
    <row r="100" spans="1:51" x14ac:dyDescent="0.3">
      <c r="A100" s="4" t="s">
        <v>321</v>
      </c>
      <c r="B100" s="4" t="s">
        <v>322</v>
      </c>
      <c r="C100" s="4"/>
      <c r="D100" s="4"/>
      <c r="E100" s="4" t="s">
        <v>573</v>
      </c>
      <c r="F100" s="4" t="s">
        <v>82</v>
      </c>
      <c r="G100" s="4"/>
      <c r="H100" s="4" t="s">
        <v>799</v>
      </c>
      <c r="I100" s="4" t="s">
        <v>801</v>
      </c>
      <c r="J100" s="4"/>
      <c r="K100" s="4"/>
      <c r="L100" s="4"/>
      <c r="M100" s="4"/>
      <c r="N100" s="12" t="str">
        <f t="shared" si="6"/>
        <v>27°08′33″N 013°13′30″W</v>
      </c>
      <c r="O100" s="7">
        <v>27.142469999999999</v>
      </c>
      <c r="P100" s="7">
        <v>-13.22495</v>
      </c>
      <c r="Q100" s="13">
        <f t="shared" si="7"/>
        <v>63</v>
      </c>
      <c r="R100" s="11">
        <v>207</v>
      </c>
      <c r="S100" s="4"/>
      <c r="T100" s="4" t="s">
        <v>981</v>
      </c>
      <c r="U100" s="8">
        <v>0</v>
      </c>
      <c r="V100" s="14">
        <f ca="1">IF($U100="","",MOD(NOW()-admin!$B$1/24+$U100/24,1))</f>
        <v>0.61182638888567453</v>
      </c>
      <c r="W100" s="4"/>
      <c r="X100" s="4"/>
      <c r="Y100" s="4"/>
      <c r="Z100" s="4"/>
      <c r="AA100" s="4"/>
      <c r="AB100" s="4"/>
      <c r="AC100" s="4"/>
      <c r="AD100" s="4"/>
      <c r="AE100" s="4" t="s">
        <v>1122</v>
      </c>
      <c r="AF100" s="4"/>
      <c r="AG100" s="4"/>
      <c r="AH100" s="4"/>
      <c r="AI100" s="4"/>
      <c r="AJ100" s="4"/>
      <c r="AK100" s="4"/>
      <c r="AL100" s="4"/>
      <c r="AM100" s="4"/>
      <c r="AN100" s="4"/>
      <c r="AO100" s="12" t="str">
        <f>IF($A100="","",admin!$B$2&amp;"\Charts\"&amp;$A100)</f>
        <v>C:\Backups\InsiderTechSol\Aviation\Jetelio_v3\.LAYOUT\resources\Charts\GMML</v>
      </c>
      <c r="AP100" s="12" t="str">
        <f>IF($A100="","",admin!$B$2&amp;"\RunwayDiagrams\"&amp;$A100&amp;".pdf")</f>
        <v>C:\Backups\InsiderTechSol\Aviation\Jetelio_v3\.LAYOUT\resources\RunwayDiagrams\GMML.pdf</v>
      </c>
      <c r="AQ100" s="12" t="str">
        <f>IF($A100="","",admin!$B$2&amp;"\Images\"&amp;$A100)</f>
        <v>C:\Backups\InsiderTechSol\Aviation\Jetelio_v3\.LAYOUT\resources\Images\GMML</v>
      </c>
      <c r="AR100" s="12" t="str">
        <f>IF($A100="","",admin!$B$2&amp;"\CityMaps\"&amp;$A100&amp;".png")</f>
        <v>C:\Backups\InsiderTechSol\Aviation\Jetelio_v3\.LAYOUT\resources\CityMaps\GMML.png</v>
      </c>
      <c r="AS100" s="16" t="str">
        <f t="shared" si="8"/>
        <v>VISA sheet</v>
      </c>
      <c r="AT100" s="16" t="str">
        <f t="shared" si="9"/>
        <v>Vendors sheet</v>
      </c>
      <c r="AU100" s="4"/>
      <c r="AV100" s="15">
        <f t="shared" ca="1" si="10"/>
        <v>46243</v>
      </c>
      <c r="AX100" s="6"/>
      <c r="AY100" t="str">
        <f t="shared" si="11"/>
        <v>INCOMPLETE - NOT SELECTABLE AS TECH STOP</v>
      </c>
    </row>
    <row r="101" spans="1:51" x14ac:dyDescent="0.3">
      <c r="A101" s="4" t="s">
        <v>323</v>
      </c>
      <c r="B101" s="4" t="s">
        <v>324</v>
      </c>
      <c r="C101" s="4"/>
      <c r="D101" s="4"/>
      <c r="E101" s="4" t="s">
        <v>574</v>
      </c>
      <c r="F101" s="4" t="s">
        <v>82</v>
      </c>
      <c r="G101" s="4"/>
      <c r="H101" s="4" t="s">
        <v>802</v>
      </c>
      <c r="I101" s="4" t="s">
        <v>803</v>
      </c>
      <c r="J101" s="4"/>
      <c r="K101" s="4"/>
      <c r="L101" s="4"/>
      <c r="M101" s="4"/>
      <c r="N101" s="12" t="str">
        <f t="shared" si="6"/>
        <v>28°27′10″N 013°51′50″W</v>
      </c>
      <c r="O101" s="7">
        <v>28.4527</v>
      </c>
      <c r="P101" s="7">
        <v>-13.863799999999999</v>
      </c>
      <c r="Q101" s="13">
        <f t="shared" si="7"/>
        <v>26</v>
      </c>
      <c r="R101" s="11">
        <v>85</v>
      </c>
      <c r="S101" s="4"/>
      <c r="T101" s="4" t="s">
        <v>982</v>
      </c>
      <c r="U101" s="8">
        <v>0</v>
      </c>
      <c r="V101" s="14">
        <f ca="1">IF($U101="","",MOD(NOW()-admin!$B$1/24+$U101/24,1))</f>
        <v>0.61182638888567453</v>
      </c>
      <c r="W101" s="4"/>
      <c r="X101" s="4"/>
      <c r="Y101" s="4"/>
      <c r="Z101" s="4"/>
      <c r="AA101" s="4"/>
      <c r="AB101" s="4"/>
      <c r="AC101" s="4"/>
      <c r="AD101" s="4"/>
      <c r="AE101" s="4" t="s">
        <v>1123</v>
      </c>
      <c r="AF101" s="4"/>
      <c r="AG101" s="4"/>
      <c r="AH101" s="4"/>
      <c r="AI101" s="4"/>
      <c r="AJ101" s="4"/>
      <c r="AK101" s="4"/>
      <c r="AL101" s="4"/>
      <c r="AM101" s="4"/>
      <c r="AN101" s="4"/>
      <c r="AO101" s="12" t="str">
        <f>IF($A101="","",admin!$B$2&amp;"\Charts\"&amp;$A101)</f>
        <v>C:\Backups\InsiderTechSol\Aviation\Jetelio_v3\.LAYOUT\resources\Charts\GCFV</v>
      </c>
      <c r="AP101" s="12" t="str">
        <f>IF($A101="","",admin!$B$2&amp;"\RunwayDiagrams\"&amp;$A101&amp;".pdf")</f>
        <v>C:\Backups\InsiderTechSol\Aviation\Jetelio_v3\.LAYOUT\resources\RunwayDiagrams\GCFV.pdf</v>
      </c>
      <c r="AQ101" s="12" t="str">
        <f>IF($A101="","",admin!$B$2&amp;"\Images\"&amp;$A101)</f>
        <v>C:\Backups\InsiderTechSol\Aviation\Jetelio_v3\.LAYOUT\resources\Images\GCFV</v>
      </c>
      <c r="AR101" s="12" t="str">
        <f>IF($A101="","",admin!$B$2&amp;"\CityMaps\"&amp;$A101&amp;".png")</f>
        <v>C:\Backups\InsiderTechSol\Aviation\Jetelio_v3\.LAYOUT\resources\CityMaps\GCFV.png</v>
      </c>
      <c r="AS101" s="16" t="str">
        <f t="shared" si="8"/>
        <v>VISA sheet</v>
      </c>
      <c r="AT101" s="16" t="str">
        <f t="shared" si="9"/>
        <v>Vendors sheet</v>
      </c>
      <c r="AU101" s="4"/>
      <c r="AV101" s="15">
        <f t="shared" ca="1" si="10"/>
        <v>46243</v>
      </c>
      <c r="AX101" s="6"/>
      <c r="AY101" t="str">
        <f t="shared" si="11"/>
        <v>INCOMPLETE - NOT SELECTABLE AS TECH STOP</v>
      </c>
    </row>
    <row r="102" spans="1:51" x14ac:dyDescent="0.3">
      <c r="A102" s="4" t="s">
        <v>325</v>
      </c>
      <c r="B102" s="4" t="s">
        <v>326</v>
      </c>
      <c r="C102" s="4"/>
      <c r="D102" s="4"/>
      <c r="E102" s="4" t="s">
        <v>575</v>
      </c>
      <c r="F102" s="4" t="s">
        <v>82</v>
      </c>
      <c r="G102" s="4"/>
      <c r="H102" s="4" t="s">
        <v>802</v>
      </c>
      <c r="I102" s="4" t="s">
        <v>804</v>
      </c>
      <c r="J102" s="4"/>
      <c r="K102" s="4"/>
      <c r="L102" s="4"/>
      <c r="M102" s="4"/>
      <c r="N102" s="12" t="str">
        <f t="shared" si="6"/>
        <v>27°55′55″N 015°23′12″W</v>
      </c>
      <c r="O102" s="7">
        <v>27.931899999999999</v>
      </c>
      <c r="P102" s="7">
        <v>-15.3866</v>
      </c>
      <c r="Q102" s="13">
        <f t="shared" si="7"/>
        <v>24</v>
      </c>
      <c r="R102" s="11">
        <v>78</v>
      </c>
      <c r="S102" s="4"/>
      <c r="T102" s="4" t="s">
        <v>982</v>
      </c>
      <c r="U102" s="8">
        <v>0</v>
      </c>
      <c r="V102" s="14">
        <f ca="1">IF($U102="","",MOD(NOW()-admin!$B$1/24+$U102/24,1))</f>
        <v>0.61182638888567453</v>
      </c>
      <c r="W102" s="4"/>
      <c r="X102" s="4"/>
      <c r="Y102" s="4"/>
      <c r="Z102" s="4"/>
      <c r="AA102" s="4"/>
      <c r="AB102" s="4"/>
      <c r="AC102" s="4"/>
      <c r="AD102" s="4"/>
      <c r="AE102" s="4" t="s">
        <v>1124</v>
      </c>
      <c r="AF102" s="4"/>
      <c r="AG102" s="4"/>
      <c r="AH102" s="4"/>
      <c r="AI102" s="4"/>
      <c r="AJ102" s="4"/>
      <c r="AK102" s="4"/>
      <c r="AL102" s="4"/>
      <c r="AM102" s="4"/>
      <c r="AN102" s="4"/>
      <c r="AO102" s="12" t="str">
        <f>IF($A102="","",admin!$B$2&amp;"\Charts\"&amp;$A102)</f>
        <v>C:\Backups\InsiderTechSol\Aviation\Jetelio_v3\.LAYOUT\resources\Charts\GCLP</v>
      </c>
      <c r="AP102" s="12" t="str">
        <f>IF($A102="","",admin!$B$2&amp;"\RunwayDiagrams\"&amp;$A102&amp;".pdf")</f>
        <v>C:\Backups\InsiderTechSol\Aviation\Jetelio_v3\.LAYOUT\resources\RunwayDiagrams\GCLP.pdf</v>
      </c>
      <c r="AQ102" s="12" t="str">
        <f>IF($A102="","",admin!$B$2&amp;"\Images\"&amp;$A102)</f>
        <v>C:\Backups\InsiderTechSol\Aviation\Jetelio_v3\.LAYOUT\resources\Images\GCLP</v>
      </c>
      <c r="AR102" s="12" t="str">
        <f>IF($A102="","",admin!$B$2&amp;"\CityMaps\"&amp;$A102&amp;".png")</f>
        <v>C:\Backups\InsiderTechSol\Aviation\Jetelio_v3\.LAYOUT\resources\CityMaps\GCLP.png</v>
      </c>
      <c r="AS102" s="16" t="str">
        <f t="shared" si="8"/>
        <v>VISA sheet</v>
      </c>
      <c r="AT102" s="16" t="str">
        <f t="shared" si="9"/>
        <v>Vendors sheet</v>
      </c>
      <c r="AU102" s="4"/>
      <c r="AV102" s="15">
        <f t="shared" ca="1" si="10"/>
        <v>46243</v>
      </c>
      <c r="AX102" s="6"/>
      <c r="AY102" t="str">
        <f t="shared" si="11"/>
        <v>INCOMPLETE - NOT SELECTABLE AS TECH STOP</v>
      </c>
    </row>
    <row r="103" spans="1:51" x14ac:dyDescent="0.3">
      <c r="A103" s="4" t="s">
        <v>327</v>
      </c>
      <c r="B103" s="4" t="s">
        <v>328</v>
      </c>
      <c r="C103" s="4"/>
      <c r="D103" s="4"/>
      <c r="E103" s="4" t="s">
        <v>576</v>
      </c>
      <c r="F103" s="4" t="s">
        <v>82</v>
      </c>
      <c r="G103" s="4"/>
      <c r="H103" s="4" t="s">
        <v>7</v>
      </c>
      <c r="I103" s="4" t="s">
        <v>805</v>
      </c>
      <c r="J103" s="4"/>
      <c r="K103" s="4"/>
      <c r="L103" s="4"/>
      <c r="M103" s="4"/>
      <c r="N103" s="12" t="str">
        <f t="shared" si="6"/>
        <v>08°58′40″N 038°47′57″E</v>
      </c>
      <c r="O103" s="7">
        <v>8.9778900000000004</v>
      </c>
      <c r="P103" s="7">
        <v>38.799300000000002</v>
      </c>
      <c r="Q103" s="13">
        <f t="shared" si="7"/>
        <v>2326</v>
      </c>
      <c r="R103" s="11">
        <v>7630</v>
      </c>
      <c r="S103" s="4"/>
      <c r="T103" s="4" t="s">
        <v>983</v>
      </c>
      <c r="U103" s="8">
        <v>3</v>
      </c>
      <c r="V103" s="14">
        <f ca="1">IF($U103="","",MOD(NOW()-admin!$B$1/24+$U103/24,1))</f>
        <v>0.73682638888567453</v>
      </c>
      <c r="W103" s="4"/>
      <c r="X103" s="4"/>
      <c r="Y103" s="4"/>
      <c r="Z103" s="4"/>
      <c r="AA103" s="4"/>
      <c r="AB103" s="4"/>
      <c r="AC103" s="4"/>
      <c r="AD103" s="4"/>
      <c r="AE103" s="4" t="s">
        <v>1125</v>
      </c>
      <c r="AF103" s="4"/>
      <c r="AG103" s="4"/>
      <c r="AH103" s="4"/>
      <c r="AI103" s="4"/>
      <c r="AJ103" s="4"/>
      <c r="AK103" s="4"/>
      <c r="AL103" s="4"/>
      <c r="AM103" s="4"/>
      <c r="AN103" s="4"/>
      <c r="AO103" s="12" t="str">
        <f>IF($A103="","",admin!$B$2&amp;"\Charts\"&amp;$A103)</f>
        <v>C:\Backups\InsiderTechSol\Aviation\Jetelio_v3\.LAYOUT\resources\Charts\HAAB</v>
      </c>
      <c r="AP103" s="12" t="str">
        <f>IF($A103="","",admin!$B$2&amp;"\RunwayDiagrams\"&amp;$A103&amp;".pdf")</f>
        <v>C:\Backups\InsiderTechSol\Aviation\Jetelio_v3\.LAYOUT\resources\RunwayDiagrams\HAAB.pdf</v>
      </c>
      <c r="AQ103" s="12" t="str">
        <f>IF($A103="","",admin!$B$2&amp;"\Images\"&amp;$A103)</f>
        <v>C:\Backups\InsiderTechSol\Aviation\Jetelio_v3\.LAYOUT\resources\Images\HAAB</v>
      </c>
      <c r="AR103" s="12" t="str">
        <f>IF($A103="","",admin!$B$2&amp;"\CityMaps\"&amp;$A103&amp;".png")</f>
        <v>C:\Backups\InsiderTechSol\Aviation\Jetelio_v3\.LAYOUT\resources\CityMaps\HAAB.png</v>
      </c>
      <c r="AS103" s="16" t="str">
        <f t="shared" si="8"/>
        <v>VISA sheet</v>
      </c>
      <c r="AT103" s="16" t="str">
        <f t="shared" si="9"/>
        <v>Vendors sheet</v>
      </c>
      <c r="AU103" s="4"/>
      <c r="AV103" s="15">
        <f t="shared" ca="1" si="10"/>
        <v>46243</v>
      </c>
      <c r="AX103" s="6"/>
      <c r="AY103" t="str">
        <f t="shared" si="11"/>
        <v>INCOMPLETE - NOT SELECTABLE AS TECH STOP</v>
      </c>
    </row>
    <row r="104" spans="1:51" x14ac:dyDescent="0.3">
      <c r="A104" s="4" t="s">
        <v>329</v>
      </c>
      <c r="B104" s="4" t="s">
        <v>330</v>
      </c>
      <c r="C104" s="4"/>
      <c r="D104" s="4"/>
      <c r="E104" s="4" t="s">
        <v>577</v>
      </c>
      <c r="F104" s="4" t="s">
        <v>82</v>
      </c>
      <c r="G104" s="4"/>
      <c r="H104" s="4" t="s">
        <v>7</v>
      </c>
      <c r="I104" s="4" t="s">
        <v>806</v>
      </c>
      <c r="J104" s="4"/>
      <c r="K104" s="4"/>
      <c r="L104" s="4"/>
      <c r="M104" s="4"/>
      <c r="N104" s="12" t="str">
        <f t="shared" si="6"/>
        <v>09°37′25″N 041°51′18″E</v>
      </c>
      <c r="O104" s="7">
        <v>9.6235499999999998</v>
      </c>
      <c r="P104" s="7">
        <v>41.855029999999999</v>
      </c>
      <c r="Q104" s="13">
        <f t="shared" si="7"/>
        <v>1166</v>
      </c>
      <c r="R104" s="11">
        <v>3827</v>
      </c>
      <c r="S104" s="4"/>
      <c r="T104" s="4" t="s">
        <v>983</v>
      </c>
      <c r="U104" s="8">
        <v>3</v>
      </c>
      <c r="V104" s="14">
        <f ca="1">IF($U104="","",MOD(NOW()-admin!$B$1/24+$U104/24,1))</f>
        <v>0.73682638888567453</v>
      </c>
      <c r="W104" s="4"/>
      <c r="X104" s="4"/>
      <c r="Y104" s="4"/>
      <c r="Z104" s="4"/>
      <c r="AA104" s="4"/>
      <c r="AB104" s="4"/>
      <c r="AC104" s="4"/>
      <c r="AD104" s="4"/>
      <c r="AE104" s="4" t="s">
        <v>1126</v>
      </c>
      <c r="AF104" s="4"/>
      <c r="AG104" s="4"/>
      <c r="AH104" s="4"/>
      <c r="AI104" s="4"/>
      <c r="AJ104" s="4"/>
      <c r="AK104" s="4"/>
      <c r="AL104" s="4"/>
      <c r="AM104" s="4"/>
      <c r="AN104" s="4"/>
      <c r="AO104" s="12" t="str">
        <f>IF($A104="","",admin!$B$2&amp;"\Charts\"&amp;$A104)</f>
        <v>C:\Backups\InsiderTechSol\Aviation\Jetelio_v3\.LAYOUT\resources\Charts\HADR</v>
      </c>
      <c r="AP104" s="12" t="str">
        <f>IF($A104="","",admin!$B$2&amp;"\RunwayDiagrams\"&amp;$A104&amp;".pdf")</f>
        <v>C:\Backups\InsiderTechSol\Aviation\Jetelio_v3\.LAYOUT\resources\RunwayDiagrams\HADR.pdf</v>
      </c>
      <c r="AQ104" s="12" t="str">
        <f>IF($A104="","",admin!$B$2&amp;"\Images\"&amp;$A104)</f>
        <v>C:\Backups\InsiderTechSol\Aviation\Jetelio_v3\.LAYOUT\resources\Images\HADR</v>
      </c>
      <c r="AR104" s="12" t="str">
        <f>IF($A104="","",admin!$B$2&amp;"\CityMaps\"&amp;$A104&amp;".png")</f>
        <v>C:\Backups\InsiderTechSol\Aviation\Jetelio_v3\.LAYOUT\resources\CityMaps\HADR.png</v>
      </c>
      <c r="AS104" s="16" t="str">
        <f t="shared" si="8"/>
        <v>VISA sheet</v>
      </c>
      <c r="AT104" s="16" t="str">
        <f t="shared" si="9"/>
        <v>Vendors sheet</v>
      </c>
      <c r="AU104" s="4"/>
      <c r="AV104" s="15">
        <f t="shared" ca="1" si="10"/>
        <v>46243</v>
      </c>
      <c r="AX104" s="6"/>
      <c r="AY104" t="str">
        <f t="shared" si="11"/>
        <v>INCOMPLETE - NOT SELECTABLE AS TECH STOP</v>
      </c>
    </row>
    <row r="105" spans="1:51" x14ac:dyDescent="0.3">
      <c r="A105" s="4" t="s">
        <v>331</v>
      </c>
      <c r="B105" s="4" t="s">
        <v>332</v>
      </c>
      <c r="C105" s="4"/>
      <c r="D105" s="4"/>
      <c r="E105" s="4" t="s">
        <v>578</v>
      </c>
      <c r="F105" s="4" t="s">
        <v>82</v>
      </c>
      <c r="G105" s="4"/>
      <c r="H105" s="4" t="s">
        <v>807</v>
      </c>
      <c r="I105" s="4" t="s">
        <v>808</v>
      </c>
      <c r="J105" s="4"/>
      <c r="K105" s="4"/>
      <c r="L105" s="4"/>
      <c r="M105" s="4"/>
      <c r="N105" s="12" t="str">
        <f t="shared" si="6"/>
        <v>60°19′06″N 024°57′48″E</v>
      </c>
      <c r="O105" s="7">
        <v>60.318359999999998</v>
      </c>
      <c r="P105" s="7">
        <v>24.963339999999999</v>
      </c>
      <c r="Q105" s="13">
        <f t="shared" si="7"/>
        <v>55</v>
      </c>
      <c r="R105" s="11">
        <v>179</v>
      </c>
      <c r="S105" s="4"/>
      <c r="T105" s="4" t="s">
        <v>984</v>
      </c>
      <c r="U105" s="8">
        <v>2</v>
      </c>
      <c r="V105" s="14">
        <f ca="1">IF($U105="","",MOD(NOW()-admin!$B$1/24+$U105/24,1))</f>
        <v>0.69515972222143319</v>
      </c>
      <c r="W105" s="4"/>
      <c r="X105" s="4"/>
      <c r="Y105" s="4"/>
      <c r="Z105" s="4"/>
      <c r="AA105" s="4"/>
      <c r="AB105" s="4"/>
      <c r="AC105" s="4"/>
      <c r="AD105" s="4"/>
      <c r="AE105" s="4" t="s">
        <v>1127</v>
      </c>
      <c r="AF105" s="4"/>
      <c r="AG105" s="4"/>
      <c r="AH105" s="4"/>
      <c r="AI105" s="4"/>
      <c r="AJ105" s="4"/>
      <c r="AK105" s="4"/>
      <c r="AL105" s="4"/>
      <c r="AM105" s="4"/>
      <c r="AN105" s="4"/>
      <c r="AO105" s="12" t="str">
        <f>IF($A105="","",admin!$B$2&amp;"\Charts\"&amp;$A105)</f>
        <v>C:\Backups\InsiderTechSol\Aviation\Jetelio_v3\.LAYOUT\resources\Charts\EFHK</v>
      </c>
      <c r="AP105" s="12" t="str">
        <f>IF($A105="","",admin!$B$2&amp;"\RunwayDiagrams\"&amp;$A105&amp;".pdf")</f>
        <v>C:\Backups\InsiderTechSol\Aviation\Jetelio_v3\.LAYOUT\resources\RunwayDiagrams\EFHK.pdf</v>
      </c>
      <c r="AQ105" s="12" t="str">
        <f>IF($A105="","",admin!$B$2&amp;"\Images\"&amp;$A105)</f>
        <v>C:\Backups\InsiderTechSol\Aviation\Jetelio_v3\.LAYOUT\resources\Images\EFHK</v>
      </c>
      <c r="AR105" s="12" t="str">
        <f>IF($A105="","",admin!$B$2&amp;"\CityMaps\"&amp;$A105&amp;".png")</f>
        <v>C:\Backups\InsiderTechSol\Aviation\Jetelio_v3\.LAYOUT\resources\CityMaps\EFHK.png</v>
      </c>
      <c r="AS105" s="16" t="str">
        <f t="shared" si="8"/>
        <v>VISA sheet</v>
      </c>
      <c r="AT105" s="16" t="str">
        <f t="shared" si="9"/>
        <v>Vendors sheet</v>
      </c>
      <c r="AU105" s="4"/>
      <c r="AV105" s="15">
        <f t="shared" ca="1" si="10"/>
        <v>46243</v>
      </c>
      <c r="AX105" s="6"/>
      <c r="AY105" t="str">
        <f t="shared" si="11"/>
        <v>INCOMPLETE - NOT SELECTABLE AS TECH STOP</v>
      </c>
    </row>
    <row r="106" spans="1:51" x14ac:dyDescent="0.3">
      <c r="A106" s="4" t="s">
        <v>333</v>
      </c>
      <c r="B106" s="4" t="s">
        <v>334</v>
      </c>
      <c r="C106" s="4"/>
      <c r="D106" s="4"/>
      <c r="E106" s="4" t="s">
        <v>579</v>
      </c>
      <c r="F106" s="4" t="s">
        <v>82</v>
      </c>
      <c r="G106" s="4"/>
      <c r="H106" s="4" t="s">
        <v>807</v>
      </c>
      <c r="I106" s="4" t="s">
        <v>809</v>
      </c>
      <c r="J106" s="4"/>
      <c r="K106" s="4"/>
      <c r="L106" s="4"/>
      <c r="M106" s="4"/>
      <c r="N106" s="12" t="str">
        <f t="shared" si="6"/>
        <v>68°36′26″N 027°24′19″E</v>
      </c>
      <c r="O106" s="7">
        <v>68.607299999999995</v>
      </c>
      <c r="P106" s="7">
        <v>27.4053</v>
      </c>
      <c r="Q106" s="13">
        <f t="shared" si="7"/>
        <v>147</v>
      </c>
      <c r="R106" s="11">
        <v>481</v>
      </c>
      <c r="S106" s="4"/>
      <c r="T106" s="4" t="s">
        <v>984</v>
      </c>
      <c r="U106" s="8">
        <v>2</v>
      </c>
      <c r="V106" s="14">
        <f ca="1">IF($U106="","",MOD(NOW()-admin!$B$1/24+$U106/24,1))</f>
        <v>0.69515972222143319</v>
      </c>
      <c r="W106" s="4"/>
      <c r="X106" s="4"/>
      <c r="Y106" s="4"/>
      <c r="Z106" s="4"/>
      <c r="AA106" s="4"/>
      <c r="AB106" s="4"/>
      <c r="AC106" s="4"/>
      <c r="AD106" s="4"/>
      <c r="AE106" s="4" t="s">
        <v>1128</v>
      </c>
      <c r="AF106" s="4"/>
      <c r="AG106" s="4"/>
      <c r="AH106" s="4"/>
      <c r="AI106" s="4"/>
      <c r="AJ106" s="4"/>
      <c r="AK106" s="4"/>
      <c r="AL106" s="4"/>
      <c r="AM106" s="4"/>
      <c r="AN106" s="4"/>
      <c r="AO106" s="12" t="str">
        <f>IF($A106="","",admin!$B$2&amp;"\Charts\"&amp;$A106)</f>
        <v>C:\Backups\InsiderTechSol\Aviation\Jetelio_v3\.LAYOUT\resources\Charts\EFIV</v>
      </c>
      <c r="AP106" s="12" t="str">
        <f>IF($A106="","",admin!$B$2&amp;"\RunwayDiagrams\"&amp;$A106&amp;".pdf")</f>
        <v>C:\Backups\InsiderTechSol\Aviation\Jetelio_v3\.LAYOUT\resources\RunwayDiagrams\EFIV.pdf</v>
      </c>
      <c r="AQ106" s="12" t="str">
        <f>IF($A106="","",admin!$B$2&amp;"\Images\"&amp;$A106)</f>
        <v>C:\Backups\InsiderTechSol\Aviation\Jetelio_v3\.LAYOUT\resources\Images\EFIV</v>
      </c>
      <c r="AR106" s="12" t="str">
        <f>IF($A106="","",admin!$B$2&amp;"\CityMaps\"&amp;$A106&amp;".png")</f>
        <v>C:\Backups\InsiderTechSol\Aviation\Jetelio_v3\.LAYOUT\resources\CityMaps\EFIV.png</v>
      </c>
      <c r="AS106" s="16" t="str">
        <f t="shared" si="8"/>
        <v>VISA sheet</v>
      </c>
      <c r="AT106" s="16" t="str">
        <f t="shared" si="9"/>
        <v>Vendors sheet</v>
      </c>
      <c r="AU106" s="4"/>
      <c r="AV106" s="15">
        <f t="shared" ca="1" si="10"/>
        <v>46243</v>
      </c>
      <c r="AX106" s="6"/>
      <c r="AY106" t="str">
        <f t="shared" si="11"/>
        <v>INCOMPLETE - NOT SELECTABLE AS TECH STOP</v>
      </c>
    </row>
    <row r="107" spans="1:51" x14ac:dyDescent="0.3">
      <c r="A107" s="4" t="s">
        <v>335</v>
      </c>
      <c r="B107" s="4" t="s">
        <v>336</v>
      </c>
      <c r="C107" s="4"/>
      <c r="D107" s="4"/>
      <c r="E107" s="4" t="s">
        <v>580</v>
      </c>
      <c r="F107" s="4" t="s">
        <v>82</v>
      </c>
      <c r="G107" s="4"/>
      <c r="H107" s="4" t="s">
        <v>810</v>
      </c>
      <c r="I107" s="4" t="s">
        <v>811</v>
      </c>
      <c r="J107" s="4"/>
      <c r="K107" s="4"/>
      <c r="L107" s="4"/>
      <c r="M107" s="4"/>
      <c r="N107" s="12" t="str">
        <f t="shared" si="6"/>
        <v>17°45′43″S 177°26′16″E</v>
      </c>
      <c r="O107" s="7">
        <v>-17.76182</v>
      </c>
      <c r="P107" s="7">
        <v>177.43783999999999</v>
      </c>
      <c r="Q107" s="13">
        <f t="shared" si="7"/>
        <v>18</v>
      </c>
      <c r="R107" s="11">
        <v>59</v>
      </c>
      <c r="S107" s="4"/>
      <c r="T107" s="4" t="s">
        <v>985</v>
      </c>
      <c r="U107" s="8">
        <v>12</v>
      </c>
      <c r="V107" s="14">
        <f ca="1">IF($U107="","",MOD(NOW()-admin!$B$1/24+$U107/24,1))</f>
        <v>0.11182638888567453</v>
      </c>
      <c r="W107" s="4"/>
      <c r="X107" s="4"/>
      <c r="Y107" s="4"/>
      <c r="Z107" s="4"/>
      <c r="AA107" s="4"/>
      <c r="AB107" s="4"/>
      <c r="AC107" s="4"/>
      <c r="AD107" s="4"/>
      <c r="AE107" s="4" t="s">
        <v>1129</v>
      </c>
      <c r="AF107" s="4"/>
      <c r="AG107" s="4"/>
      <c r="AH107" s="4"/>
      <c r="AI107" s="4"/>
      <c r="AJ107" s="4"/>
      <c r="AK107" s="4"/>
      <c r="AL107" s="4"/>
      <c r="AM107" s="4"/>
      <c r="AN107" s="4"/>
      <c r="AO107" s="12" t="str">
        <f>IF($A107="","",admin!$B$2&amp;"\Charts\"&amp;$A107)</f>
        <v>C:\Backups\InsiderTechSol\Aviation\Jetelio_v3\.LAYOUT\resources\Charts\NFFN</v>
      </c>
      <c r="AP107" s="12" t="str">
        <f>IF($A107="","",admin!$B$2&amp;"\RunwayDiagrams\"&amp;$A107&amp;".pdf")</f>
        <v>C:\Backups\InsiderTechSol\Aviation\Jetelio_v3\.LAYOUT\resources\RunwayDiagrams\NFFN.pdf</v>
      </c>
      <c r="AQ107" s="12" t="str">
        <f>IF($A107="","",admin!$B$2&amp;"\Images\"&amp;$A107)</f>
        <v>C:\Backups\InsiderTechSol\Aviation\Jetelio_v3\.LAYOUT\resources\Images\NFFN</v>
      </c>
      <c r="AR107" s="12" t="str">
        <f>IF($A107="","",admin!$B$2&amp;"\CityMaps\"&amp;$A107&amp;".png")</f>
        <v>C:\Backups\InsiderTechSol\Aviation\Jetelio_v3\.LAYOUT\resources\CityMaps\NFFN.png</v>
      </c>
      <c r="AS107" s="16" t="str">
        <f t="shared" si="8"/>
        <v>VISA sheet</v>
      </c>
      <c r="AT107" s="16" t="str">
        <f t="shared" si="9"/>
        <v>Vendors sheet</v>
      </c>
      <c r="AU107" s="4"/>
      <c r="AV107" s="15">
        <f t="shared" ca="1" si="10"/>
        <v>46243</v>
      </c>
      <c r="AX107" s="6"/>
      <c r="AY107" t="str">
        <f t="shared" si="11"/>
        <v>INCOMPLETE - NOT SELECTABLE AS TECH STOP</v>
      </c>
    </row>
    <row r="108" spans="1:51" x14ac:dyDescent="0.3">
      <c r="A108" s="4" t="s">
        <v>337</v>
      </c>
      <c r="B108" s="4" t="s">
        <v>338</v>
      </c>
      <c r="C108" s="4"/>
      <c r="D108" s="4"/>
      <c r="E108" s="4" t="s">
        <v>581</v>
      </c>
      <c r="F108" s="4" t="s">
        <v>82</v>
      </c>
      <c r="G108" s="4"/>
      <c r="H108" s="4" t="s">
        <v>810</v>
      </c>
      <c r="I108" s="4" t="s">
        <v>812</v>
      </c>
      <c r="J108" s="4"/>
      <c r="K108" s="4"/>
      <c r="L108" s="4"/>
      <c r="M108" s="4"/>
      <c r="N108" s="12" t="str">
        <f t="shared" si="6"/>
        <v>18°02′39″S 178°33′41″E</v>
      </c>
      <c r="O108" s="7">
        <v>-18.044229999999999</v>
      </c>
      <c r="P108" s="7">
        <v>178.56148999999999</v>
      </c>
      <c r="Q108" s="13">
        <f t="shared" si="7"/>
        <v>5</v>
      </c>
      <c r="R108" s="11">
        <v>17</v>
      </c>
      <c r="S108" s="4"/>
      <c r="T108" s="4" t="s">
        <v>985</v>
      </c>
      <c r="U108" s="8">
        <v>12</v>
      </c>
      <c r="V108" s="14">
        <f ca="1">IF($U108="","",MOD(NOW()-admin!$B$1/24+$U108/24,1))</f>
        <v>0.11182638888567453</v>
      </c>
      <c r="W108" s="4"/>
      <c r="X108" s="4"/>
      <c r="Y108" s="4"/>
      <c r="Z108" s="4"/>
      <c r="AA108" s="4"/>
      <c r="AB108" s="4"/>
      <c r="AC108" s="4"/>
      <c r="AD108" s="4"/>
      <c r="AE108" s="4" t="s">
        <v>1130</v>
      </c>
      <c r="AF108" s="4"/>
      <c r="AG108" s="4"/>
      <c r="AH108" s="4"/>
      <c r="AI108" s="4"/>
      <c r="AJ108" s="4"/>
      <c r="AK108" s="4"/>
      <c r="AL108" s="4"/>
      <c r="AM108" s="4"/>
      <c r="AN108" s="4"/>
      <c r="AO108" s="12" t="str">
        <f>IF($A108="","",admin!$B$2&amp;"\Charts\"&amp;$A108)</f>
        <v>C:\Backups\InsiderTechSol\Aviation\Jetelio_v3\.LAYOUT\resources\Charts\NFNA</v>
      </c>
      <c r="AP108" s="12" t="str">
        <f>IF($A108="","",admin!$B$2&amp;"\RunwayDiagrams\"&amp;$A108&amp;".pdf")</f>
        <v>C:\Backups\InsiderTechSol\Aviation\Jetelio_v3\.LAYOUT\resources\RunwayDiagrams\NFNA.pdf</v>
      </c>
      <c r="AQ108" s="12" t="str">
        <f>IF($A108="","",admin!$B$2&amp;"\Images\"&amp;$A108)</f>
        <v>C:\Backups\InsiderTechSol\Aviation\Jetelio_v3\.LAYOUT\resources\Images\NFNA</v>
      </c>
      <c r="AR108" s="12" t="str">
        <f>IF($A108="","",admin!$B$2&amp;"\CityMaps\"&amp;$A108&amp;".png")</f>
        <v>C:\Backups\InsiderTechSol\Aviation\Jetelio_v3\.LAYOUT\resources\CityMaps\NFNA.png</v>
      </c>
      <c r="AS108" s="16" t="str">
        <f t="shared" si="8"/>
        <v>VISA sheet</v>
      </c>
      <c r="AT108" s="16" t="str">
        <f t="shared" si="9"/>
        <v>Vendors sheet</v>
      </c>
      <c r="AU108" s="4"/>
      <c r="AV108" s="15">
        <f t="shared" ca="1" si="10"/>
        <v>46243</v>
      </c>
      <c r="AX108" s="6"/>
      <c r="AY108" t="str">
        <f t="shared" si="11"/>
        <v>INCOMPLETE - NOT SELECTABLE AS TECH STOP</v>
      </c>
    </row>
    <row r="109" spans="1:51" x14ac:dyDescent="0.3">
      <c r="A109" s="4" t="s">
        <v>339</v>
      </c>
      <c r="B109" s="4" t="s">
        <v>340</v>
      </c>
      <c r="C109" s="4"/>
      <c r="D109" s="4"/>
      <c r="E109" s="4" t="s">
        <v>582</v>
      </c>
      <c r="F109" s="4" t="s">
        <v>82</v>
      </c>
      <c r="G109" s="4"/>
      <c r="H109" s="4" t="s">
        <v>813</v>
      </c>
      <c r="I109" s="4" t="s">
        <v>814</v>
      </c>
      <c r="J109" s="4"/>
      <c r="K109" s="4"/>
      <c r="L109" s="4"/>
      <c r="M109" s="4"/>
      <c r="N109" s="12" t="str">
        <f t="shared" si="6"/>
        <v>51°49′22″S 058°26′45″W</v>
      </c>
      <c r="O109" s="7">
        <v>-51.82264</v>
      </c>
      <c r="P109" s="7">
        <v>-58.445779999999999</v>
      </c>
      <c r="Q109" s="13">
        <f t="shared" si="7"/>
        <v>74</v>
      </c>
      <c r="R109" s="11">
        <v>244</v>
      </c>
      <c r="S109" s="4"/>
      <c r="T109" s="4" t="s">
        <v>986</v>
      </c>
      <c r="U109" s="8">
        <v>-3</v>
      </c>
      <c r="V109" s="14">
        <f ca="1">IF($U109="","",MOD(NOW()-admin!$B$1/24+$U109/24,1))</f>
        <v>0.48682638888567453</v>
      </c>
      <c r="W109" s="4"/>
      <c r="X109" s="4"/>
      <c r="Y109" s="4"/>
      <c r="Z109" s="4"/>
      <c r="AA109" s="4"/>
      <c r="AB109" s="4"/>
      <c r="AC109" s="4"/>
      <c r="AD109" s="4"/>
      <c r="AE109" s="4" t="s">
        <v>1131</v>
      </c>
      <c r="AF109" s="4"/>
      <c r="AG109" s="4"/>
      <c r="AH109" s="4"/>
      <c r="AI109" s="4"/>
      <c r="AJ109" s="4"/>
      <c r="AK109" s="4"/>
      <c r="AL109" s="4"/>
      <c r="AM109" s="4"/>
      <c r="AN109" s="4"/>
      <c r="AO109" s="12" t="str">
        <f>IF($A109="","",admin!$B$2&amp;"\Charts\"&amp;$A109)</f>
        <v>C:\Backups\InsiderTechSol\Aviation\Jetelio_v3\.LAYOUT\resources\Charts\EGYP</v>
      </c>
      <c r="AP109" s="12" t="str">
        <f>IF($A109="","",admin!$B$2&amp;"\RunwayDiagrams\"&amp;$A109&amp;".pdf")</f>
        <v>C:\Backups\InsiderTechSol\Aviation\Jetelio_v3\.LAYOUT\resources\RunwayDiagrams\EGYP.pdf</v>
      </c>
      <c r="AQ109" s="12" t="str">
        <f>IF($A109="","",admin!$B$2&amp;"\Images\"&amp;$A109)</f>
        <v>C:\Backups\InsiderTechSol\Aviation\Jetelio_v3\.LAYOUT\resources\Images\EGYP</v>
      </c>
      <c r="AR109" s="12" t="str">
        <f>IF($A109="","",admin!$B$2&amp;"\CityMaps\"&amp;$A109&amp;".png")</f>
        <v>C:\Backups\InsiderTechSol\Aviation\Jetelio_v3\.LAYOUT\resources\CityMaps\EGYP.png</v>
      </c>
      <c r="AS109" s="16" t="str">
        <f t="shared" si="8"/>
        <v>VISA sheet</v>
      </c>
      <c r="AT109" s="16" t="str">
        <f t="shared" si="9"/>
        <v>Vendors sheet</v>
      </c>
      <c r="AU109" s="4"/>
      <c r="AV109" s="15">
        <f t="shared" ca="1" si="10"/>
        <v>46243</v>
      </c>
      <c r="AX109" s="6"/>
      <c r="AY109" t="str">
        <f t="shared" si="11"/>
        <v>INCOMPLETE - NOT SELECTABLE AS TECH STOP</v>
      </c>
    </row>
    <row r="110" spans="1:51" x14ac:dyDescent="0.3">
      <c r="A110" s="4" t="s">
        <v>341</v>
      </c>
      <c r="B110" s="4" t="s">
        <v>342</v>
      </c>
      <c r="C110" s="4"/>
      <c r="D110" s="4"/>
      <c r="E110" s="4" t="s">
        <v>583</v>
      </c>
      <c r="F110" s="4" t="s">
        <v>82</v>
      </c>
      <c r="G110" s="4"/>
      <c r="H110" s="4" t="s">
        <v>815</v>
      </c>
      <c r="I110" s="4" t="s">
        <v>816</v>
      </c>
      <c r="J110" s="4"/>
      <c r="K110" s="4"/>
      <c r="L110" s="4"/>
      <c r="M110" s="4"/>
      <c r="N110" s="12" t="str">
        <f t="shared" si="6"/>
        <v>07°27′43″N 151°50′35″E</v>
      </c>
      <c r="O110" s="7">
        <v>7.4618700000000002</v>
      </c>
      <c r="P110" s="7">
        <v>151.84299999999999</v>
      </c>
      <c r="Q110" s="13">
        <f t="shared" si="7"/>
        <v>3</v>
      </c>
      <c r="R110" s="11">
        <v>11</v>
      </c>
      <c r="S110" s="4"/>
      <c r="T110" s="4" t="s">
        <v>987</v>
      </c>
      <c r="U110" s="8">
        <v>10</v>
      </c>
      <c r="V110" s="14">
        <f ca="1">IF($U110="","",MOD(NOW()-admin!$B$1/24+$U110/24,1))</f>
        <v>2.849305554991588E-2</v>
      </c>
      <c r="W110" s="4"/>
      <c r="X110" s="4"/>
      <c r="Y110" s="4"/>
      <c r="Z110" s="4"/>
      <c r="AA110" s="4"/>
      <c r="AB110" s="4"/>
      <c r="AC110" s="4"/>
      <c r="AD110" s="4"/>
      <c r="AE110" s="4" t="s">
        <v>1132</v>
      </c>
      <c r="AF110" s="4"/>
      <c r="AG110" s="4"/>
      <c r="AH110" s="4"/>
      <c r="AI110" s="4"/>
      <c r="AJ110" s="4"/>
      <c r="AK110" s="4"/>
      <c r="AL110" s="4"/>
      <c r="AM110" s="4"/>
      <c r="AN110" s="4"/>
      <c r="AO110" s="12" t="str">
        <f>IF($A110="","",admin!$B$2&amp;"\Charts\"&amp;$A110)</f>
        <v>C:\Backups\InsiderTechSol\Aviation\Jetelio_v3\.LAYOUT\resources\Charts\PTKK</v>
      </c>
      <c r="AP110" s="12" t="str">
        <f>IF($A110="","",admin!$B$2&amp;"\RunwayDiagrams\"&amp;$A110&amp;".pdf")</f>
        <v>C:\Backups\InsiderTechSol\Aviation\Jetelio_v3\.LAYOUT\resources\RunwayDiagrams\PTKK.pdf</v>
      </c>
      <c r="AQ110" s="12" t="str">
        <f>IF($A110="","",admin!$B$2&amp;"\Images\"&amp;$A110)</f>
        <v>C:\Backups\InsiderTechSol\Aviation\Jetelio_v3\.LAYOUT\resources\Images\PTKK</v>
      </c>
      <c r="AR110" s="12" t="str">
        <f>IF($A110="","",admin!$B$2&amp;"\CityMaps\"&amp;$A110&amp;".png")</f>
        <v>C:\Backups\InsiderTechSol\Aviation\Jetelio_v3\.LAYOUT\resources\CityMaps\PTKK.png</v>
      </c>
      <c r="AS110" s="16" t="str">
        <f t="shared" si="8"/>
        <v>VISA sheet</v>
      </c>
      <c r="AT110" s="16" t="str">
        <f t="shared" si="9"/>
        <v>Vendors sheet</v>
      </c>
      <c r="AU110" s="4"/>
      <c r="AV110" s="15">
        <f t="shared" ca="1" si="10"/>
        <v>46243</v>
      </c>
      <c r="AX110" s="6"/>
      <c r="AY110" t="str">
        <f t="shared" si="11"/>
        <v>INCOMPLETE - NOT SELECTABLE AS TECH STOP</v>
      </c>
    </row>
    <row r="111" spans="1:51" x14ac:dyDescent="0.3">
      <c r="A111" s="4" t="s">
        <v>343</v>
      </c>
      <c r="B111" s="4" t="s">
        <v>344</v>
      </c>
      <c r="C111" s="4"/>
      <c r="D111" s="4"/>
      <c r="E111" s="4" t="s">
        <v>584</v>
      </c>
      <c r="F111" s="4" t="s">
        <v>82</v>
      </c>
      <c r="G111" s="4"/>
      <c r="H111" s="4" t="s">
        <v>815</v>
      </c>
      <c r="I111" s="4" t="s">
        <v>817</v>
      </c>
      <c r="J111" s="4"/>
      <c r="K111" s="4"/>
      <c r="L111" s="4"/>
      <c r="M111" s="4"/>
      <c r="N111" s="12" t="str">
        <f t="shared" si="6"/>
        <v>05°21′25″N 162°57′29″E</v>
      </c>
      <c r="O111" s="7">
        <v>5.3569800000000001</v>
      </c>
      <c r="P111" s="7">
        <v>162.95799</v>
      </c>
      <c r="Q111" s="13">
        <f t="shared" si="7"/>
        <v>3</v>
      </c>
      <c r="R111" s="11">
        <v>11</v>
      </c>
      <c r="S111" s="4"/>
      <c r="T111" s="4" t="s">
        <v>988</v>
      </c>
      <c r="U111" s="8">
        <v>11</v>
      </c>
      <c r="V111" s="14">
        <f ca="1">IF($U111="","",MOD(NOW()-admin!$B$1/24+$U111/24,1))</f>
        <v>7.0159722221433185E-2</v>
      </c>
      <c r="W111" s="4"/>
      <c r="X111" s="4"/>
      <c r="Y111" s="4"/>
      <c r="Z111" s="4"/>
      <c r="AA111" s="4"/>
      <c r="AB111" s="4"/>
      <c r="AC111" s="4"/>
      <c r="AD111" s="4"/>
      <c r="AE111" s="4" t="s">
        <v>1133</v>
      </c>
      <c r="AF111" s="4"/>
      <c r="AG111" s="4"/>
      <c r="AH111" s="4"/>
      <c r="AI111" s="4"/>
      <c r="AJ111" s="4"/>
      <c r="AK111" s="4"/>
      <c r="AL111" s="4"/>
      <c r="AM111" s="4"/>
      <c r="AN111" s="4"/>
      <c r="AO111" s="12" t="str">
        <f>IF($A111="","",admin!$B$2&amp;"\Charts\"&amp;$A111)</f>
        <v>C:\Backups\InsiderTechSol\Aviation\Jetelio_v3\.LAYOUT\resources\Charts\PTSA</v>
      </c>
      <c r="AP111" s="12" t="str">
        <f>IF($A111="","",admin!$B$2&amp;"\RunwayDiagrams\"&amp;$A111&amp;".pdf")</f>
        <v>C:\Backups\InsiderTechSol\Aviation\Jetelio_v3\.LAYOUT\resources\RunwayDiagrams\PTSA.pdf</v>
      </c>
      <c r="AQ111" s="12" t="str">
        <f>IF($A111="","",admin!$B$2&amp;"\Images\"&amp;$A111)</f>
        <v>C:\Backups\InsiderTechSol\Aviation\Jetelio_v3\.LAYOUT\resources\Images\PTSA</v>
      </c>
      <c r="AR111" s="12" t="str">
        <f>IF($A111="","",admin!$B$2&amp;"\CityMaps\"&amp;$A111&amp;".png")</f>
        <v>C:\Backups\InsiderTechSol\Aviation\Jetelio_v3\.LAYOUT\resources\CityMaps\PTSA.png</v>
      </c>
      <c r="AS111" s="16" t="str">
        <f t="shared" si="8"/>
        <v>VISA sheet</v>
      </c>
      <c r="AT111" s="16" t="str">
        <f t="shared" si="9"/>
        <v>Vendors sheet</v>
      </c>
      <c r="AU111" s="4"/>
      <c r="AV111" s="15">
        <f t="shared" ca="1" si="10"/>
        <v>46243</v>
      </c>
      <c r="AX111" s="6"/>
      <c r="AY111" t="str">
        <f t="shared" si="11"/>
        <v>INCOMPLETE - NOT SELECTABLE AS TECH STOP</v>
      </c>
    </row>
    <row r="112" spans="1:51" x14ac:dyDescent="0.3">
      <c r="A112" s="4" t="s">
        <v>345</v>
      </c>
      <c r="B112" s="4" t="s">
        <v>346</v>
      </c>
      <c r="C112" s="4"/>
      <c r="D112" s="4"/>
      <c r="E112" s="4" t="s">
        <v>585</v>
      </c>
      <c r="F112" s="4" t="s">
        <v>82</v>
      </c>
      <c r="G112" s="4"/>
      <c r="H112" s="4" t="s">
        <v>818</v>
      </c>
      <c r="I112" s="4" t="s">
        <v>819</v>
      </c>
      <c r="J112" s="4"/>
      <c r="K112" s="4"/>
      <c r="L112" s="4"/>
      <c r="M112" s="4"/>
      <c r="N112" s="12" t="str">
        <f t="shared" si="6"/>
        <v>62°03′48″N 007°16′33″W</v>
      </c>
      <c r="O112" s="7">
        <v>62.06326</v>
      </c>
      <c r="P112" s="7">
        <v>-7.2757800000000001</v>
      </c>
      <c r="Q112" s="13">
        <f t="shared" si="7"/>
        <v>85</v>
      </c>
      <c r="R112" s="11">
        <v>280</v>
      </c>
      <c r="S112" s="4"/>
      <c r="T112" s="4" t="s">
        <v>989</v>
      </c>
      <c r="U112" s="8">
        <v>0</v>
      </c>
      <c r="V112" s="14">
        <f ca="1">IF($U112="","",MOD(NOW()-admin!$B$1/24+$U112/24,1))</f>
        <v>0.61182638888567453</v>
      </c>
      <c r="W112" s="4"/>
      <c r="X112" s="4"/>
      <c r="Y112" s="4"/>
      <c r="Z112" s="4"/>
      <c r="AA112" s="4"/>
      <c r="AB112" s="4"/>
      <c r="AC112" s="4"/>
      <c r="AD112" s="4"/>
      <c r="AE112" s="4" t="s">
        <v>1134</v>
      </c>
      <c r="AF112" s="4"/>
      <c r="AG112" s="4"/>
      <c r="AH112" s="4"/>
      <c r="AI112" s="4"/>
      <c r="AJ112" s="4"/>
      <c r="AK112" s="4"/>
      <c r="AL112" s="4"/>
      <c r="AM112" s="4"/>
      <c r="AN112" s="4"/>
      <c r="AO112" s="12" t="str">
        <f>IF($A112="","",admin!$B$2&amp;"\Charts\"&amp;$A112)</f>
        <v>C:\Backups\InsiderTechSol\Aviation\Jetelio_v3\.LAYOUT\resources\Charts\EKVG</v>
      </c>
      <c r="AP112" s="12" t="str">
        <f>IF($A112="","",admin!$B$2&amp;"\RunwayDiagrams\"&amp;$A112&amp;".pdf")</f>
        <v>C:\Backups\InsiderTechSol\Aviation\Jetelio_v3\.LAYOUT\resources\RunwayDiagrams\EKVG.pdf</v>
      </c>
      <c r="AQ112" s="12" t="str">
        <f>IF($A112="","",admin!$B$2&amp;"\Images\"&amp;$A112)</f>
        <v>C:\Backups\InsiderTechSol\Aviation\Jetelio_v3\.LAYOUT\resources\Images\EKVG</v>
      </c>
      <c r="AR112" s="12" t="str">
        <f>IF($A112="","",admin!$B$2&amp;"\CityMaps\"&amp;$A112&amp;".png")</f>
        <v>C:\Backups\InsiderTechSol\Aviation\Jetelio_v3\.LAYOUT\resources\CityMaps\EKVG.png</v>
      </c>
      <c r="AS112" s="16" t="str">
        <f t="shared" si="8"/>
        <v>VISA sheet</v>
      </c>
      <c r="AT112" s="16" t="str">
        <f t="shared" si="9"/>
        <v>Vendors sheet</v>
      </c>
      <c r="AU112" s="4"/>
      <c r="AV112" s="15">
        <f t="shared" ca="1" si="10"/>
        <v>46243</v>
      </c>
      <c r="AX112" s="6"/>
      <c r="AY112" t="str">
        <f t="shared" si="11"/>
        <v>INCOMPLETE - NOT SELECTABLE AS TECH STOP</v>
      </c>
    </row>
    <row r="113" spans="1:51" x14ac:dyDescent="0.3">
      <c r="A113" s="4" t="s">
        <v>347</v>
      </c>
      <c r="B113" s="4" t="s">
        <v>348</v>
      </c>
      <c r="C113" s="4"/>
      <c r="D113" s="4"/>
      <c r="E113" s="4" t="s">
        <v>586</v>
      </c>
      <c r="F113" s="4" t="s">
        <v>82</v>
      </c>
      <c r="G113" s="4"/>
      <c r="H113" s="4" t="s">
        <v>820</v>
      </c>
      <c r="I113" s="4" t="s">
        <v>821</v>
      </c>
      <c r="J113" s="4"/>
      <c r="K113" s="4"/>
      <c r="L113" s="4"/>
      <c r="M113" s="4"/>
      <c r="N113" s="12" t="str">
        <f t="shared" si="6"/>
        <v>44°49′43″N 000°42′55″W</v>
      </c>
      <c r="O113" s="7">
        <v>44.828650000000003</v>
      </c>
      <c r="P113" s="7">
        <v>-0.71536</v>
      </c>
      <c r="Q113" s="13">
        <f t="shared" si="7"/>
        <v>49</v>
      </c>
      <c r="R113" s="11">
        <v>162</v>
      </c>
      <c r="S113" s="4"/>
      <c r="T113" s="4" t="s">
        <v>960</v>
      </c>
      <c r="U113" s="8">
        <v>1</v>
      </c>
      <c r="V113" s="14">
        <f ca="1">IF($U113="","",MOD(NOW()-admin!$B$1/24+$U113/24,1))</f>
        <v>0.65349305554991588</v>
      </c>
      <c r="W113" s="4"/>
      <c r="X113" s="4"/>
      <c r="Y113" s="4"/>
      <c r="Z113" s="4"/>
      <c r="AA113" s="4"/>
      <c r="AB113" s="4"/>
      <c r="AC113" s="4"/>
      <c r="AD113" s="4"/>
      <c r="AE113" s="4" t="s">
        <v>1135</v>
      </c>
      <c r="AF113" s="4"/>
      <c r="AG113" s="4"/>
      <c r="AH113" s="4"/>
      <c r="AI113" s="4"/>
      <c r="AJ113" s="4"/>
      <c r="AK113" s="4"/>
      <c r="AL113" s="4"/>
      <c r="AM113" s="4"/>
      <c r="AN113" s="4"/>
      <c r="AO113" s="12" t="str">
        <f>IF($A113="","",admin!$B$2&amp;"\Charts\"&amp;$A113)</f>
        <v>C:\Backups\InsiderTechSol\Aviation\Jetelio_v3\.LAYOUT\resources\Charts\LFBD</v>
      </c>
      <c r="AP113" s="12" t="str">
        <f>IF($A113="","",admin!$B$2&amp;"\RunwayDiagrams\"&amp;$A113&amp;".pdf")</f>
        <v>C:\Backups\InsiderTechSol\Aviation\Jetelio_v3\.LAYOUT\resources\RunwayDiagrams\LFBD.pdf</v>
      </c>
      <c r="AQ113" s="12" t="str">
        <f>IF($A113="","",admin!$B$2&amp;"\Images\"&amp;$A113)</f>
        <v>C:\Backups\InsiderTechSol\Aviation\Jetelio_v3\.LAYOUT\resources\Images\LFBD</v>
      </c>
      <c r="AR113" s="12" t="str">
        <f>IF($A113="","",admin!$B$2&amp;"\CityMaps\"&amp;$A113&amp;".png")</f>
        <v>C:\Backups\InsiderTechSol\Aviation\Jetelio_v3\.LAYOUT\resources\CityMaps\LFBD.png</v>
      </c>
      <c r="AS113" s="16" t="str">
        <f t="shared" si="8"/>
        <v>VISA sheet</v>
      </c>
      <c r="AT113" s="16" t="str">
        <f t="shared" si="9"/>
        <v>Vendors sheet</v>
      </c>
      <c r="AU113" s="4"/>
      <c r="AV113" s="15">
        <f t="shared" ca="1" si="10"/>
        <v>46243</v>
      </c>
      <c r="AX113" s="6"/>
      <c r="AY113" t="str">
        <f t="shared" si="11"/>
        <v>INCOMPLETE - NOT SELECTABLE AS TECH STOP</v>
      </c>
    </row>
    <row r="114" spans="1:51" x14ac:dyDescent="0.3">
      <c r="A114" s="4" t="s">
        <v>349</v>
      </c>
      <c r="B114" s="4" t="s">
        <v>350</v>
      </c>
      <c r="C114" s="4"/>
      <c r="D114" s="4"/>
      <c r="E114" s="4" t="s">
        <v>587</v>
      </c>
      <c r="F114" s="4" t="s">
        <v>82</v>
      </c>
      <c r="G114" s="4"/>
      <c r="H114" s="4" t="s">
        <v>820</v>
      </c>
      <c r="I114" s="4" t="s">
        <v>822</v>
      </c>
      <c r="J114" s="4"/>
      <c r="K114" s="4"/>
      <c r="L114" s="4"/>
      <c r="M114" s="4"/>
      <c r="N114" s="12" t="str">
        <f t="shared" si="6"/>
        <v>43°37′45″N 001°21′50″E</v>
      </c>
      <c r="O114" s="7">
        <v>43.629100000000001</v>
      </c>
      <c r="P114" s="7">
        <v>1.36382</v>
      </c>
      <c r="Q114" s="13">
        <f t="shared" si="7"/>
        <v>152</v>
      </c>
      <c r="R114" s="11">
        <v>499</v>
      </c>
      <c r="S114" s="4"/>
      <c r="T114" s="4" t="s">
        <v>960</v>
      </c>
      <c r="U114" s="8">
        <v>1</v>
      </c>
      <c r="V114" s="14">
        <f ca="1">IF($U114="","",MOD(NOW()-admin!$B$1/24+$U114/24,1))</f>
        <v>0.65349305554991588</v>
      </c>
      <c r="W114" s="4"/>
      <c r="X114" s="4"/>
      <c r="Y114" s="4"/>
      <c r="Z114" s="4"/>
      <c r="AA114" s="4"/>
      <c r="AB114" s="4"/>
      <c r="AC114" s="4"/>
      <c r="AD114" s="4"/>
      <c r="AE114" s="4" t="s">
        <v>1136</v>
      </c>
      <c r="AF114" s="4"/>
      <c r="AG114" s="4"/>
      <c r="AH114" s="4"/>
      <c r="AI114" s="4"/>
      <c r="AJ114" s="4"/>
      <c r="AK114" s="4"/>
      <c r="AL114" s="4"/>
      <c r="AM114" s="4"/>
      <c r="AN114" s="4"/>
      <c r="AO114" s="12" t="str">
        <f>IF($A114="","",admin!$B$2&amp;"\Charts\"&amp;$A114)</f>
        <v>C:\Backups\InsiderTechSol\Aviation\Jetelio_v3\.LAYOUT\resources\Charts\LFBO</v>
      </c>
      <c r="AP114" s="12" t="str">
        <f>IF($A114="","",admin!$B$2&amp;"\RunwayDiagrams\"&amp;$A114&amp;".pdf")</f>
        <v>C:\Backups\InsiderTechSol\Aviation\Jetelio_v3\.LAYOUT\resources\RunwayDiagrams\LFBO.pdf</v>
      </c>
      <c r="AQ114" s="12" t="str">
        <f>IF($A114="","",admin!$B$2&amp;"\Images\"&amp;$A114)</f>
        <v>C:\Backups\InsiderTechSol\Aviation\Jetelio_v3\.LAYOUT\resources\Images\LFBO</v>
      </c>
      <c r="AR114" s="12" t="str">
        <f>IF($A114="","",admin!$B$2&amp;"\CityMaps\"&amp;$A114&amp;".png")</f>
        <v>C:\Backups\InsiderTechSol\Aviation\Jetelio_v3\.LAYOUT\resources\CityMaps\LFBO.png</v>
      </c>
      <c r="AS114" s="16" t="str">
        <f t="shared" si="8"/>
        <v>VISA sheet</v>
      </c>
      <c r="AT114" s="16" t="str">
        <f t="shared" si="9"/>
        <v>Vendors sheet</v>
      </c>
      <c r="AU114" s="4"/>
      <c r="AV114" s="15">
        <f t="shared" ca="1" si="10"/>
        <v>46243</v>
      </c>
      <c r="AX114" s="6"/>
      <c r="AY114" t="str">
        <f t="shared" si="11"/>
        <v>INCOMPLETE - NOT SELECTABLE AS TECH STOP</v>
      </c>
    </row>
    <row r="115" spans="1:51" x14ac:dyDescent="0.3">
      <c r="A115" s="4" t="s">
        <v>351</v>
      </c>
      <c r="B115" s="4" t="s">
        <v>352</v>
      </c>
      <c r="C115" s="4"/>
      <c r="D115" s="4"/>
      <c r="E115" s="4" t="s">
        <v>588</v>
      </c>
      <c r="F115" s="4" t="s">
        <v>82</v>
      </c>
      <c r="G115" s="4"/>
      <c r="H115" s="4" t="s">
        <v>823</v>
      </c>
      <c r="I115" s="4" t="s">
        <v>824</v>
      </c>
      <c r="J115" s="4"/>
      <c r="K115" s="4"/>
      <c r="L115" s="4"/>
      <c r="M115" s="4"/>
      <c r="N115" s="12" t="str">
        <f t="shared" si="6"/>
        <v>00°42′42″S 008°45′16″E</v>
      </c>
      <c r="O115" s="7">
        <v>-0.71174000000000004</v>
      </c>
      <c r="P115" s="7">
        <v>8.7543799999999994</v>
      </c>
      <c r="Q115" s="13">
        <f t="shared" si="7"/>
        <v>4</v>
      </c>
      <c r="R115" s="11">
        <v>13</v>
      </c>
      <c r="S115" s="4"/>
      <c r="T115" s="4" t="s">
        <v>990</v>
      </c>
      <c r="U115" s="8">
        <v>1</v>
      </c>
      <c r="V115" s="14">
        <f ca="1">IF($U115="","",MOD(NOW()-admin!$B$1/24+$U115/24,1))</f>
        <v>0.65349305554991588</v>
      </c>
      <c r="W115" s="4"/>
      <c r="X115" s="4"/>
      <c r="Y115" s="4"/>
      <c r="Z115" s="4"/>
      <c r="AA115" s="4"/>
      <c r="AB115" s="4"/>
      <c r="AC115" s="4"/>
      <c r="AD115" s="4"/>
      <c r="AE115" s="4" t="s">
        <v>1137</v>
      </c>
      <c r="AF115" s="4"/>
      <c r="AG115" s="4"/>
      <c r="AH115" s="4"/>
      <c r="AI115" s="4"/>
      <c r="AJ115" s="4"/>
      <c r="AK115" s="4"/>
      <c r="AL115" s="4"/>
      <c r="AM115" s="4"/>
      <c r="AN115" s="4"/>
      <c r="AO115" s="12" t="str">
        <f>IF($A115="","",admin!$B$2&amp;"\Charts\"&amp;$A115)</f>
        <v>C:\Backups\InsiderTechSol\Aviation\Jetelio_v3\.LAYOUT\resources\Charts\FOOG</v>
      </c>
      <c r="AP115" s="12" t="str">
        <f>IF($A115="","",admin!$B$2&amp;"\RunwayDiagrams\"&amp;$A115&amp;".pdf")</f>
        <v>C:\Backups\InsiderTechSol\Aviation\Jetelio_v3\.LAYOUT\resources\RunwayDiagrams\FOOG.pdf</v>
      </c>
      <c r="AQ115" s="12" t="str">
        <f>IF($A115="","",admin!$B$2&amp;"\Images\"&amp;$A115)</f>
        <v>C:\Backups\InsiderTechSol\Aviation\Jetelio_v3\.LAYOUT\resources\Images\FOOG</v>
      </c>
      <c r="AR115" s="12" t="str">
        <f>IF($A115="","",admin!$B$2&amp;"\CityMaps\"&amp;$A115&amp;".png")</f>
        <v>C:\Backups\InsiderTechSol\Aviation\Jetelio_v3\.LAYOUT\resources\CityMaps\FOOG.png</v>
      </c>
      <c r="AS115" s="16" t="str">
        <f t="shared" si="8"/>
        <v>VISA sheet</v>
      </c>
      <c r="AT115" s="16" t="str">
        <f t="shared" si="9"/>
        <v>Vendors sheet</v>
      </c>
      <c r="AU115" s="4"/>
      <c r="AV115" s="15">
        <f t="shared" ca="1" si="10"/>
        <v>46243</v>
      </c>
      <c r="AX115" s="6"/>
      <c r="AY115" t="str">
        <f t="shared" si="11"/>
        <v>INCOMPLETE - NOT SELECTABLE AS TECH STOP</v>
      </c>
    </row>
    <row r="116" spans="1:51" x14ac:dyDescent="0.3">
      <c r="A116" s="4" t="s">
        <v>353</v>
      </c>
      <c r="B116" s="4" t="s">
        <v>354</v>
      </c>
      <c r="C116" s="4"/>
      <c r="D116" s="4"/>
      <c r="E116" s="4" t="s">
        <v>589</v>
      </c>
      <c r="F116" s="4" t="s">
        <v>82</v>
      </c>
      <c r="G116" s="4"/>
      <c r="H116" s="4" t="s">
        <v>823</v>
      </c>
      <c r="I116" s="4" t="s">
        <v>825</v>
      </c>
      <c r="J116" s="4"/>
      <c r="K116" s="4"/>
      <c r="L116" s="4"/>
      <c r="M116" s="4"/>
      <c r="N116" s="12" t="str">
        <f t="shared" si="6"/>
        <v>00°27′32″N 009°24′44″E</v>
      </c>
      <c r="O116" s="7">
        <v>0.45895000000000002</v>
      </c>
      <c r="P116" s="7">
        <v>9.4121400000000008</v>
      </c>
      <c r="Q116" s="13">
        <f t="shared" si="7"/>
        <v>12</v>
      </c>
      <c r="R116" s="11">
        <v>39</v>
      </c>
      <c r="S116" s="4"/>
      <c r="T116" s="4" t="s">
        <v>990</v>
      </c>
      <c r="U116" s="8">
        <v>1</v>
      </c>
      <c r="V116" s="14">
        <f ca="1">IF($U116="","",MOD(NOW()-admin!$B$1/24+$U116/24,1))</f>
        <v>0.65349305554991588</v>
      </c>
      <c r="W116" s="4"/>
      <c r="X116" s="4"/>
      <c r="Y116" s="4"/>
      <c r="Z116" s="4"/>
      <c r="AA116" s="4"/>
      <c r="AB116" s="4"/>
      <c r="AC116" s="4"/>
      <c r="AD116" s="4"/>
      <c r="AE116" s="4" t="s">
        <v>1138</v>
      </c>
      <c r="AF116" s="4"/>
      <c r="AG116" s="4"/>
      <c r="AH116" s="4"/>
      <c r="AI116" s="4"/>
      <c r="AJ116" s="4"/>
      <c r="AK116" s="4"/>
      <c r="AL116" s="4"/>
      <c r="AM116" s="4"/>
      <c r="AN116" s="4"/>
      <c r="AO116" s="12" t="str">
        <f>IF($A116="","",admin!$B$2&amp;"\Charts\"&amp;$A116)</f>
        <v>C:\Backups\InsiderTechSol\Aviation\Jetelio_v3\.LAYOUT\resources\Charts\FOOL</v>
      </c>
      <c r="AP116" s="12" t="str">
        <f>IF($A116="","",admin!$B$2&amp;"\RunwayDiagrams\"&amp;$A116&amp;".pdf")</f>
        <v>C:\Backups\InsiderTechSol\Aviation\Jetelio_v3\.LAYOUT\resources\RunwayDiagrams\FOOL.pdf</v>
      </c>
      <c r="AQ116" s="12" t="str">
        <f>IF($A116="","",admin!$B$2&amp;"\Images\"&amp;$A116)</f>
        <v>C:\Backups\InsiderTechSol\Aviation\Jetelio_v3\.LAYOUT\resources\Images\FOOL</v>
      </c>
      <c r="AR116" s="12" t="str">
        <f>IF($A116="","",admin!$B$2&amp;"\CityMaps\"&amp;$A116&amp;".png")</f>
        <v>C:\Backups\InsiderTechSol\Aviation\Jetelio_v3\.LAYOUT\resources\CityMaps\FOOL.png</v>
      </c>
      <c r="AS116" s="16" t="str">
        <f t="shared" si="8"/>
        <v>VISA sheet</v>
      </c>
      <c r="AT116" s="16" t="str">
        <f t="shared" si="9"/>
        <v>Vendors sheet</v>
      </c>
      <c r="AU116" s="4"/>
      <c r="AV116" s="15">
        <f t="shared" ca="1" si="10"/>
        <v>46243</v>
      </c>
      <c r="AX116" s="6"/>
      <c r="AY116" t="str">
        <f t="shared" si="11"/>
        <v>INCOMPLETE - NOT SELECTABLE AS TECH STOP</v>
      </c>
    </row>
    <row r="117" spans="1:51" x14ac:dyDescent="0.3">
      <c r="A117" s="4" t="s">
        <v>355</v>
      </c>
      <c r="B117" s="4" t="s">
        <v>356</v>
      </c>
      <c r="C117" s="4"/>
      <c r="D117" s="4"/>
      <c r="E117" s="4" t="s">
        <v>590</v>
      </c>
      <c r="F117" s="4" t="s">
        <v>82</v>
      </c>
      <c r="G117" s="4"/>
      <c r="H117" s="4" t="s">
        <v>826</v>
      </c>
      <c r="I117" s="4" t="s">
        <v>827</v>
      </c>
      <c r="J117" s="4"/>
      <c r="K117" s="4"/>
      <c r="L117" s="4"/>
      <c r="M117" s="4"/>
      <c r="N117" s="12" t="str">
        <f t="shared" si="6"/>
        <v>54°39′27″N 006°12′57″W</v>
      </c>
      <c r="O117" s="7">
        <v>54.657499999999999</v>
      </c>
      <c r="P117" s="7">
        <v>-6.2158300000000004</v>
      </c>
      <c r="Q117" s="13">
        <f t="shared" si="7"/>
        <v>82</v>
      </c>
      <c r="R117" s="11">
        <v>268</v>
      </c>
      <c r="S117" s="4"/>
      <c r="T117" s="4" t="s">
        <v>991</v>
      </c>
      <c r="U117" s="8">
        <v>0</v>
      </c>
      <c r="V117" s="14">
        <f ca="1">IF($U117="","",MOD(NOW()-admin!$B$1/24+$U117/24,1))</f>
        <v>0.61182638888567453</v>
      </c>
      <c r="W117" s="4"/>
      <c r="X117" s="4"/>
      <c r="Y117" s="4"/>
      <c r="Z117" s="4"/>
      <c r="AA117" s="4"/>
      <c r="AB117" s="4"/>
      <c r="AC117" s="4"/>
      <c r="AD117" s="4"/>
      <c r="AE117" s="4" t="s">
        <v>1139</v>
      </c>
      <c r="AF117" s="4"/>
      <c r="AG117" s="4"/>
      <c r="AH117" s="4"/>
      <c r="AI117" s="4"/>
      <c r="AJ117" s="4"/>
      <c r="AK117" s="4"/>
      <c r="AL117" s="4"/>
      <c r="AM117" s="4"/>
      <c r="AN117" s="4"/>
      <c r="AO117" s="12" t="str">
        <f>IF($A117="","",admin!$B$2&amp;"\Charts\"&amp;$A117)</f>
        <v>C:\Backups\InsiderTechSol\Aviation\Jetelio_v3\.LAYOUT\resources\Charts\EGAA</v>
      </c>
      <c r="AP117" s="12" t="str">
        <f>IF($A117="","",admin!$B$2&amp;"\RunwayDiagrams\"&amp;$A117&amp;".pdf")</f>
        <v>C:\Backups\InsiderTechSol\Aviation\Jetelio_v3\.LAYOUT\resources\RunwayDiagrams\EGAA.pdf</v>
      </c>
      <c r="AQ117" s="12" t="str">
        <f>IF($A117="","",admin!$B$2&amp;"\Images\"&amp;$A117)</f>
        <v>C:\Backups\InsiderTechSol\Aviation\Jetelio_v3\.LAYOUT\resources\Images\EGAA</v>
      </c>
      <c r="AR117" s="12" t="str">
        <f>IF($A117="","",admin!$B$2&amp;"\CityMaps\"&amp;$A117&amp;".png")</f>
        <v>C:\Backups\InsiderTechSol\Aviation\Jetelio_v3\.LAYOUT\resources\CityMaps\EGAA.png</v>
      </c>
      <c r="AS117" s="16" t="str">
        <f t="shared" si="8"/>
        <v>VISA sheet</v>
      </c>
      <c r="AT117" s="16" t="str">
        <f t="shared" si="9"/>
        <v>Vendors sheet</v>
      </c>
      <c r="AU117" s="4"/>
      <c r="AV117" s="15">
        <f t="shared" ca="1" si="10"/>
        <v>46243</v>
      </c>
      <c r="AX117" s="6"/>
      <c r="AY117" t="str">
        <f t="shared" si="11"/>
        <v>INCOMPLETE - NOT SELECTABLE AS TECH STOP</v>
      </c>
    </row>
    <row r="118" spans="1:51" x14ac:dyDescent="0.3">
      <c r="A118" s="4" t="s">
        <v>357</v>
      </c>
      <c r="B118" s="4" t="s">
        <v>358</v>
      </c>
      <c r="C118" s="4"/>
      <c r="D118" s="4"/>
      <c r="E118" s="4" t="s">
        <v>591</v>
      </c>
      <c r="F118" s="4" t="s">
        <v>82</v>
      </c>
      <c r="G118" s="4"/>
      <c r="H118" s="4" t="s">
        <v>826</v>
      </c>
      <c r="I118" s="4" t="s">
        <v>828</v>
      </c>
      <c r="J118" s="4"/>
      <c r="K118" s="4"/>
      <c r="L118" s="4"/>
      <c r="M118" s="4"/>
      <c r="N118" s="12" t="str">
        <f t="shared" si="6"/>
        <v>52°27′14″N 001°44′53″W</v>
      </c>
      <c r="O118" s="7">
        <v>52.453899999999997</v>
      </c>
      <c r="P118" s="7">
        <v>-1.74803</v>
      </c>
      <c r="Q118" s="13">
        <f t="shared" si="7"/>
        <v>100</v>
      </c>
      <c r="R118" s="11">
        <v>327</v>
      </c>
      <c r="S118" s="4"/>
      <c r="T118" s="4" t="s">
        <v>991</v>
      </c>
      <c r="U118" s="8">
        <v>0</v>
      </c>
      <c r="V118" s="14">
        <f ca="1">IF($U118="","",MOD(NOW()-admin!$B$1/24+$U118/24,1))</f>
        <v>0.61182638888567453</v>
      </c>
      <c r="W118" s="4"/>
      <c r="X118" s="4"/>
      <c r="Y118" s="4"/>
      <c r="Z118" s="4"/>
      <c r="AA118" s="4"/>
      <c r="AB118" s="4"/>
      <c r="AC118" s="4"/>
      <c r="AD118" s="4"/>
      <c r="AE118" s="4" t="s">
        <v>1140</v>
      </c>
      <c r="AF118" s="4"/>
      <c r="AG118" s="4"/>
      <c r="AH118" s="4"/>
      <c r="AI118" s="4"/>
      <c r="AJ118" s="4"/>
      <c r="AK118" s="4"/>
      <c r="AL118" s="4"/>
      <c r="AM118" s="4"/>
      <c r="AN118" s="4"/>
      <c r="AO118" s="12" t="str">
        <f>IF($A118="","",admin!$B$2&amp;"\Charts\"&amp;$A118)</f>
        <v>C:\Backups\InsiderTechSol\Aviation\Jetelio_v3\.LAYOUT\resources\Charts\EGBB</v>
      </c>
      <c r="AP118" s="12" t="str">
        <f>IF($A118="","",admin!$B$2&amp;"\RunwayDiagrams\"&amp;$A118&amp;".pdf")</f>
        <v>C:\Backups\InsiderTechSol\Aviation\Jetelio_v3\.LAYOUT\resources\RunwayDiagrams\EGBB.pdf</v>
      </c>
      <c r="AQ118" s="12" t="str">
        <f>IF($A118="","",admin!$B$2&amp;"\Images\"&amp;$A118)</f>
        <v>C:\Backups\InsiderTechSol\Aviation\Jetelio_v3\.LAYOUT\resources\Images\EGBB</v>
      </c>
      <c r="AR118" s="12" t="str">
        <f>IF($A118="","",admin!$B$2&amp;"\CityMaps\"&amp;$A118&amp;".png")</f>
        <v>C:\Backups\InsiderTechSol\Aviation\Jetelio_v3\.LAYOUT\resources\CityMaps\EGBB.png</v>
      </c>
      <c r="AS118" s="16" t="str">
        <f t="shared" si="8"/>
        <v>VISA sheet</v>
      </c>
      <c r="AT118" s="16" t="str">
        <f t="shared" si="9"/>
        <v>Vendors sheet</v>
      </c>
      <c r="AU118" s="4"/>
      <c r="AV118" s="15">
        <f t="shared" ca="1" si="10"/>
        <v>46243</v>
      </c>
      <c r="AX118" s="6"/>
      <c r="AY118" t="str">
        <f t="shared" si="11"/>
        <v>INCOMPLETE - NOT SELECTABLE AS TECH STOP</v>
      </c>
    </row>
    <row r="119" spans="1:51" x14ac:dyDescent="0.3">
      <c r="A119" s="4" t="s">
        <v>359</v>
      </c>
      <c r="B119" s="4" t="s">
        <v>360</v>
      </c>
      <c r="C119" s="4"/>
      <c r="D119" s="4"/>
      <c r="E119" s="4" t="s">
        <v>592</v>
      </c>
      <c r="F119" s="4" t="s">
        <v>82</v>
      </c>
      <c r="G119" s="4"/>
      <c r="H119" s="4" t="s">
        <v>829</v>
      </c>
      <c r="I119" s="4" t="s">
        <v>830</v>
      </c>
      <c r="J119" s="4"/>
      <c r="K119" s="4"/>
      <c r="L119" s="4"/>
      <c r="M119" s="4"/>
      <c r="N119" s="12" t="str">
        <f t="shared" si="6"/>
        <v>12°00′14″N 061°47′07″W</v>
      </c>
      <c r="O119" s="7">
        <v>12.004</v>
      </c>
      <c r="P119" s="7">
        <v>-61.785299999999999</v>
      </c>
      <c r="Q119" s="13">
        <f t="shared" si="7"/>
        <v>12</v>
      </c>
      <c r="R119" s="11">
        <v>41</v>
      </c>
      <c r="S119" s="4"/>
      <c r="T119" s="4" t="s">
        <v>992</v>
      </c>
      <c r="U119" s="8">
        <v>-4</v>
      </c>
      <c r="V119" s="14">
        <f ca="1">IF($U119="","",MOD(NOW()-admin!$B$1/24+$U119/24,1))</f>
        <v>0.44515972222143319</v>
      </c>
      <c r="W119" s="4"/>
      <c r="X119" s="4"/>
      <c r="Y119" s="4"/>
      <c r="Z119" s="4"/>
      <c r="AA119" s="4"/>
      <c r="AB119" s="4"/>
      <c r="AC119" s="4"/>
      <c r="AD119" s="4"/>
      <c r="AE119" s="4" t="s">
        <v>1141</v>
      </c>
      <c r="AF119" s="4"/>
      <c r="AG119" s="4"/>
      <c r="AH119" s="4"/>
      <c r="AI119" s="4"/>
      <c r="AJ119" s="4"/>
      <c r="AK119" s="4"/>
      <c r="AL119" s="4"/>
      <c r="AM119" s="4"/>
      <c r="AN119" s="4"/>
      <c r="AO119" s="12" t="str">
        <f>IF($A119="","",admin!$B$2&amp;"\Charts\"&amp;$A119)</f>
        <v>C:\Backups\InsiderTechSol\Aviation\Jetelio_v3\.LAYOUT\resources\Charts\TGPY</v>
      </c>
      <c r="AP119" s="12" t="str">
        <f>IF($A119="","",admin!$B$2&amp;"\RunwayDiagrams\"&amp;$A119&amp;".pdf")</f>
        <v>C:\Backups\InsiderTechSol\Aviation\Jetelio_v3\.LAYOUT\resources\RunwayDiagrams\TGPY.pdf</v>
      </c>
      <c r="AQ119" s="12" t="str">
        <f>IF($A119="","",admin!$B$2&amp;"\Images\"&amp;$A119)</f>
        <v>C:\Backups\InsiderTechSol\Aviation\Jetelio_v3\.LAYOUT\resources\Images\TGPY</v>
      </c>
      <c r="AR119" s="12" t="str">
        <f>IF($A119="","",admin!$B$2&amp;"\CityMaps\"&amp;$A119&amp;".png")</f>
        <v>C:\Backups\InsiderTechSol\Aviation\Jetelio_v3\.LAYOUT\resources\CityMaps\TGPY.png</v>
      </c>
      <c r="AS119" s="16" t="str">
        <f t="shared" si="8"/>
        <v>VISA sheet</v>
      </c>
      <c r="AT119" s="16" t="str">
        <f t="shared" si="9"/>
        <v>Vendors sheet</v>
      </c>
      <c r="AU119" s="4"/>
      <c r="AV119" s="15">
        <f t="shared" ca="1" si="10"/>
        <v>46243</v>
      </c>
      <c r="AX119" s="6"/>
      <c r="AY119" t="str">
        <f t="shared" si="11"/>
        <v>INCOMPLETE - NOT SELECTABLE AS TECH STOP</v>
      </c>
    </row>
    <row r="120" spans="1:51" x14ac:dyDescent="0.3">
      <c r="A120" s="4" t="s">
        <v>361</v>
      </c>
      <c r="B120" s="4" t="s">
        <v>362</v>
      </c>
      <c r="C120" s="4"/>
      <c r="D120" s="4"/>
      <c r="E120" s="4" t="s">
        <v>593</v>
      </c>
      <c r="F120" s="4" t="s">
        <v>82</v>
      </c>
      <c r="G120" s="4"/>
      <c r="H120" s="4" t="s">
        <v>831</v>
      </c>
      <c r="I120" s="4" t="s">
        <v>832</v>
      </c>
      <c r="J120" s="4"/>
      <c r="K120" s="4"/>
      <c r="L120" s="4"/>
      <c r="M120" s="4"/>
      <c r="N120" s="12" t="str">
        <f t="shared" si="6"/>
        <v>42°10′39″N 042°29′07″E</v>
      </c>
      <c r="O120" s="7">
        <v>42.17745</v>
      </c>
      <c r="P120" s="7">
        <v>42.485349999999997</v>
      </c>
      <c r="Q120" s="13">
        <f t="shared" si="7"/>
        <v>68</v>
      </c>
      <c r="R120" s="11">
        <v>223</v>
      </c>
      <c r="S120" s="4"/>
      <c r="T120" s="4" t="s">
        <v>993</v>
      </c>
      <c r="U120" s="8">
        <v>4</v>
      </c>
      <c r="V120" s="14">
        <f ca="1">IF($U120="","",MOD(NOW()-admin!$B$1/24+$U120/24,1))</f>
        <v>0.77849305554991588</v>
      </c>
      <c r="W120" s="4"/>
      <c r="X120" s="4"/>
      <c r="Y120" s="4"/>
      <c r="Z120" s="4"/>
      <c r="AA120" s="4"/>
      <c r="AB120" s="4"/>
      <c r="AC120" s="4"/>
      <c r="AD120" s="4"/>
      <c r="AE120" s="4" t="s">
        <v>1142</v>
      </c>
      <c r="AF120" s="4"/>
      <c r="AG120" s="4"/>
      <c r="AH120" s="4"/>
      <c r="AI120" s="4"/>
      <c r="AJ120" s="4"/>
      <c r="AK120" s="4"/>
      <c r="AL120" s="4"/>
      <c r="AM120" s="4"/>
      <c r="AN120" s="4"/>
      <c r="AO120" s="12" t="str">
        <f>IF($A120="","",admin!$B$2&amp;"\Charts\"&amp;$A120)</f>
        <v>C:\Backups\InsiderTechSol\Aviation\Jetelio_v3\.LAYOUT\resources\Charts\UGKO</v>
      </c>
      <c r="AP120" s="12" t="str">
        <f>IF($A120="","",admin!$B$2&amp;"\RunwayDiagrams\"&amp;$A120&amp;".pdf")</f>
        <v>C:\Backups\InsiderTechSol\Aviation\Jetelio_v3\.LAYOUT\resources\RunwayDiagrams\UGKO.pdf</v>
      </c>
      <c r="AQ120" s="12" t="str">
        <f>IF($A120="","",admin!$B$2&amp;"\Images\"&amp;$A120)</f>
        <v>C:\Backups\InsiderTechSol\Aviation\Jetelio_v3\.LAYOUT\resources\Images\UGKO</v>
      </c>
      <c r="AR120" s="12" t="str">
        <f>IF($A120="","",admin!$B$2&amp;"\CityMaps\"&amp;$A120&amp;".png")</f>
        <v>C:\Backups\InsiderTechSol\Aviation\Jetelio_v3\.LAYOUT\resources\CityMaps\UGKO.png</v>
      </c>
      <c r="AS120" s="16" t="str">
        <f t="shared" si="8"/>
        <v>VISA sheet</v>
      </c>
      <c r="AT120" s="16" t="str">
        <f t="shared" si="9"/>
        <v>Vendors sheet</v>
      </c>
      <c r="AU120" s="4"/>
      <c r="AV120" s="15">
        <f t="shared" ca="1" si="10"/>
        <v>46243</v>
      </c>
      <c r="AX120" s="6"/>
      <c r="AY120" t="str">
        <f t="shared" si="11"/>
        <v>INCOMPLETE - NOT SELECTABLE AS TECH STOP</v>
      </c>
    </row>
    <row r="121" spans="1:51" x14ac:dyDescent="0.3">
      <c r="A121" s="4" t="s">
        <v>363</v>
      </c>
      <c r="B121" s="4" t="s">
        <v>364</v>
      </c>
      <c r="C121" s="4"/>
      <c r="D121" s="4"/>
      <c r="E121" s="4" t="s">
        <v>594</v>
      </c>
      <c r="F121" s="4" t="s">
        <v>82</v>
      </c>
      <c r="G121" s="4"/>
      <c r="H121" s="4" t="s">
        <v>831</v>
      </c>
      <c r="I121" s="4" t="s">
        <v>833</v>
      </c>
      <c r="J121" s="4"/>
      <c r="K121" s="4"/>
      <c r="L121" s="4"/>
      <c r="M121" s="4"/>
      <c r="N121" s="12" t="str">
        <f t="shared" si="6"/>
        <v>41°36′34″N 041°36′01″E</v>
      </c>
      <c r="O121" s="7">
        <v>41.609389999999998</v>
      </c>
      <c r="P121" s="7">
        <v>41.600320000000004</v>
      </c>
      <c r="Q121" s="13">
        <f t="shared" si="7"/>
        <v>32</v>
      </c>
      <c r="R121" s="11">
        <v>105</v>
      </c>
      <c r="S121" s="4"/>
      <c r="T121" s="4" t="s">
        <v>993</v>
      </c>
      <c r="U121" s="8">
        <v>4</v>
      </c>
      <c r="V121" s="14">
        <f ca="1">IF($U121="","",MOD(NOW()-admin!$B$1/24+$U121/24,1))</f>
        <v>0.77849305554991588</v>
      </c>
      <c r="W121" s="4"/>
      <c r="X121" s="4"/>
      <c r="Y121" s="4"/>
      <c r="Z121" s="4"/>
      <c r="AA121" s="4"/>
      <c r="AB121" s="4"/>
      <c r="AC121" s="4"/>
      <c r="AD121" s="4"/>
      <c r="AE121" s="4" t="s">
        <v>1143</v>
      </c>
      <c r="AF121" s="4"/>
      <c r="AG121" s="4"/>
      <c r="AH121" s="4"/>
      <c r="AI121" s="4"/>
      <c r="AJ121" s="4"/>
      <c r="AK121" s="4"/>
      <c r="AL121" s="4"/>
      <c r="AM121" s="4"/>
      <c r="AN121" s="4"/>
      <c r="AO121" s="12" t="str">
        <f>IF($A121="","",admin!$B$2&amp;"\Charts\"&amp;$A121)</f>
        <v>C:\Backups\InsiderTechSol\Aviation\Jetelio_v3\.LAYOUT\resources\Charts\UGSB</v>
      </c>
      <c r="AP121" s="12" t="str">
        <f>IF($A121="","",admin!$B$2&amp;"\RunwayDiagrams\"&amp;$A121&amp;".pdf")</f>
        <v>C:\Backups\InsiderTechSol\Aviation\Jetelio_v3\.LAYOUT\resources\RunwayDiagrams\UGSB.pdf</v>
      </c>
      <c r="AQ121" s="12" t="str">
        <f>IF($A121="","",admin!$B$2&amp;"\Images\"&amp;$A121)</f>
        <v>C:\Backups\InsiderTechSol\Aviation\Jetelio_v3\.LAYOUT\resources\Images\UGSB</v>
      </c>
      <c r="AR121" s="12" t="str">
        <f>IF($A121="","",admin!$B$2&amp;"\CityMaps\"&amp;$A121&amp;".png")</f>
        <v>C:\Backups\InsiderTechSol\Aviation\Jetelio_v3\.LAYOUT\resources\CityMaps\UGSB.png</v>
      </c>
      <c r="AS121" s="16" t="str">
        <f t="shared" si="8"/>
        <v>VISA sheet</v>
      </c>
      <c r="AT121" s="16" t="str">
        <f t="shared" si="9"/>
        <v>Vendors sheet</v>
      </c>
      <c r="AU121" s="4"/>
      <c r="AV121" s="15">
        <f t="shared" ca="1" si="10"/>
        <v>46243</v>
      </c>
      <c r="AX121" s="6"/>
      <c r="AY121" t="str">
        <f t="shared" si="11"/>
        <v>INCOMPLETE - NOT SELECTABLE AS TECH STOP</v>
      </c>
    </row>
    <row r="122" spans="1:51" x14ac:dyDescent="0.3">
      <c r="A122" s="4" t="s">
        <v>365</v>
      </c>
      <c r="B122" s="4" t="s">
        <v>366</v>
      </c>
      <c r="C122" s="4"/>
      <c r="D122" s="4"/>
      <c r="E122" s="4" t="s">
        <v>595</v>
      </c>
      <c r="F122" s="4" t="s">
        <v>82</v>
      </c>
      <c r="G122" s="4"/>
      <c r="H122" s="4" t="s">
        <v>834</v>
      </c>
      <c r="I122" s="4" t="s">
        <v>835</v>
      </c>
      <c r="J122" s="4"/>
      <c r="K122" s="4"/>
      <c r="L122" s="4"/>
      <c r="M122" s="4"/>
      <c r="N122" s="12" t="str">
        <f t="shared" si="6"/>
        <v>04°49′12″N 052°21′41″W</v>
      </c>
      <c r="O122" s="7">
        <v>4.81996</v>
      </c>
      <c r="P122" s="7">
        <v>-52.361330000000002</v>
      </c>
      <c r="Q122" s="13">
        <f t="shared" si="7"/>
        <v>8</v>
      </c>
      <c r="R122" s="11">
        <v>26</v>
      </c>
      <c r="S122" s="4"/>
      <c r="T122" s="4" t="s">
        <v>994</v>
      </c>
      <c r="U122" s="8">
        <v>-3</v>
      </c>
      <c r="V122" s="14">
        <f ca="1">IF($U122="","",MOD(NOW()-admin!$B$1/24+$U122/24,1))</f>
        <v>0.48682638888567453</v>
      </c>
      <c r="W122" s="4"/>
      <c r="X122" s="4"/>
      <c r="Y122" s="4"/>
      <c r="Z122" s="4"/>
      <c r="AA122" s="4"/>
      <c r="AB122" s="4"/>
      <c r="AC122" s="4"/>
      <c r="AD122" s="4"/>
      <c r="AE122" s="4" t="s">
        <v>1144</v>
      </c>
      <c r="AF122" s="4"/>
      <c r="AG122" s="4"/>
      <c r="AH122" s="4"/>
      <c r="AI122" s="4"/>
      <c r="AJ122" s="4"/>
      <c r="AK122" s="4"/>
      <c r="AL122" s="4"/>
      <c r="AM122" s="4"/>
      <c r="AN122" s="4"/>
      <c r="AO122" s="12" t="str">
        <f>IF($A122="","",admin!$B$2&amp;"\Charts\"&amp;$A122)</f>
        <v>C:\Backups\InsiderTechSol\Aviation\Jetelio_v3\.LAYOUT\resources\Charts\SOCA</v>
      </c>
      <c r="AP122" s="12" t="str">
        <f>IF($A122="","",admin!$B$2&amp;"\RunwayDiagrams\"&amp;$A122&amp;".pdf")</f>
        <v>C:\Backups\InsiderTechSol\Aviation\Jetelio_v3\.LAYOUT\resources\RunwayDiagrams\SOCA.pdf</v>
      </c>
      <c r="AQ122" s="12" t="str">
        <f>IF($A122="","",admin!$B$2&amp;"\Images\"&amp;$A122)</f>
        <v>C:\Backups\InsiderTechSol\Aviation\Jetelio_v3\.LAYOUT\resources\Images\SOCA</v>
      </c>
      <c r="AR122" s="12" t="str">
        <f>IF($A122="","",admin!$B$2&amp;"\CityMaps\"&amp;$A122&amp;".png")</f>
        <v>C:\Backups\InsiderTechSol\Aviation\Jetelio_v3\.LAYOUT\resources\CityMaps\SOCA.png</v>
      </c>
      <c r="AS122" s="16" t="str">
        <f t="shared" si="8"/>
        <v>VISA sheet</v>
      </c>
      <c r="AT122" s="16" t="str">
        <f t="shared" si="9"/>
        <v>Vendors sheet</v>
      </c>
      <c r="AU122" s="4"/>
      <c r="AV122" s="15">
        <f t="shared" ca="1" si="10"/>
        <v>46243</v>
      </c>
      <c r="AX122" s="6"/>
      <c r="AY122" t="str">
        <f t="shared" si="11"/>
        <v>INCOMPLETE - NOT SELECTABLE AS TECH STOP</v>
      </c>
    </row>
    <row r="123" spans="1:51" x14ac:dyDescent="0.3">
      <c r="A123" s="4" t="s">
        <v>367</v>
      </c>
      <c r="B123" s="4" t="s">
        <v>368</v>
      </c>
      <c r="C123" s="4"/>
      <c r="D123" s="4"/>
      <c r="E123" s="4" t="s">
        <v>596</v>
      </c>
      <c r="F123" s="4" t="s">
        <v>82</v>
      </c>
      <c r="G123" s="4"/>
      <c r="H123" s="4" t="s">
        <v>836</v>
      </c>
      <c r="I123" s="4" t="s">
        <v>837</v>
      </c>
      <c r="J123" s="4"/>
      <c r="K123" s="4"/>
      <c r="L123" s="4"/>
      <c r="M123" s="4"/>
      <c r="N123" s="12" t="str">
        <f t="shared" si="6"/>
        <v>05°36′19″N 000°10′00″W</v>
      </c>
      <c r="O123" s="7">
        <v>5.6051900000000003</v>
      </c>
      <c r="P123" s="7">
        <v>-0.16678999999999999</v>
      </c>
      <c r="Q123" s="13">
        <f t="shared" si="7"/>
        <v>62</v>
      </c>
      <c r="R123" s="11">
        <v>205</v>
      </c>
      <c r="S123" s="4"/>
      <c r="T123" s="4" t="s">
        <v>995</v>
      </c>
      <c r="U123" s="8">
        <v>0</v>
      </c>
      <c r="V123" s="14">
        <f ca="1">IF($U123="","",MOD(NOW()-admin!$B$1/24+$U123/24,1))</f>
        <v>0.61182638888567453</v>
      </c>
      <c r="W123" s="4"/>
      <c r="X123" s="4"/>
      <c r="Y123" s="4"/>
      <c r="Z123" s="4"/>
      <c r="AA123" s="4"/>
      <c r="AB123" s="4"/>
      <c r="AC123" s="4"/>
      <c r="AD123" s="4"/>
      <c r="AE123" s="4" t="s">
        <v>1145</v>
      </c>
      <c r="AF123" s="4"/>
      <c r="AG123" s="4"/>
      <c r="AH123" s="4"/>
      <c r="AI123" s="4"/>
      <c r="AJ123" s="4"/>
      <c r="AK123" s="4"/>
      <c r="AL123" s="4"/>
      <c r="AM123" s="4"/>
      <c r="AN123" s="4"/>
      <c r="AO123" s="12" t="str">
        <f>IF($A123="","",admin!$B$2&amp;"\Charts\"&amp;$A123)</f>
        <v>C:\Backups\InsiderTechSol\Aviation\Jetelio_v3\.LAYOUT\resources\Charts\DGAA</v>
      </c>
      <c r="AP123" s="12" t="str">
        <f>IF($A123="","",admin!$B$2&amp;"\RunwayDiagrams\"&amp;$A123&amp;".pdf")</f>
        <v>C:\Backups\InsiderTechSol\Aviation\Jetelio_v3\.LAYOUT\resources\RunwayDiagrams\DGAA.pdf</v>
      </c>
      <c r="AQ123" s="12" t="str">
        <f>IF($A123="","",admin!$B$2&amp;"\Images\"&amp;$A123)</f>
        <v>C:\Backups\InsiderTechSol\Aviation\Jetelio_v3\.LAYOUT\resources\Images\DGAA</v>
      </c>
      <c r="AR123" s="12" t="str">
        <f>IF($A123="","",admin!$B$2&amp;"\CityMaps\"&amp;$A123&amp;".png")</f>
        <v>C:\Backups\InsiderTechSol\Aviation\Jetelio_v3\.LAYOUT\resources\CityMaps\DGAA.png</v>
      </c>
      <c r="AS123" s="16" t="str">
        <f t="shared" si="8"/>
        <v>VISA sheet</v>
      </c>
      <c r="AT123" s="16" t="str">
        <f t="shared" si="9"/>
        <v>Vendors sheet</v>
      </c>
      <c r="AU123" s="4"/>
      <c r="AV123" s="15">
        <f t="shared" ca="1" si="10"/>
        <v>46243</v>
      </c>
      <c r="AX123" s="6"/>
      <c r="AY123" t="str">
        <f t="shared" si="11"/>
        <v>INCOMPLETE - NOT SELECTABLE AS TECH STOP</v>
      </c>
    </row>
    <row r="124" spans="1:51" x14ac:dyDescent="0.3">
      <c r="A124" s="4" t="s">
        <v>369</v>
      </c>
      <c r="B124" s="4" t="s">
        <v>370</v>
      </c>
      <c r="C124" s="4"/>
      <c r="D124" s="4"/>
      <c r="E124" s="4" t="s">
        <v>597</v>
      </c>
      <c r="F124" s="4" t="s">
        <v>82</v>
      </c>
      <c r="G124" s="4"/>
      <c r="H124" s="4" t="s">
        <v>836</v>
      </c>
      <c r="I124" s="4" t="s">
        <v>838</v>
      </c>
      <c r="J124" s="4"/>
      <c r="K124" s="4"/>
      <c r="L124" s="4"/>
      <c r="M124" s="4"/>
      <c r="N124" s="12" t="str">
        <f t="shared" si="6"/>
        <v>09°33′14″N 000°51′58″W</v>
      </c>
      <c r="O124" s="7">
        <v>9.5539100000000001</v>
      </c>
      <c r="P124" s="7">
        <v>-0.86606000000000005</v>
      </c>
      <c r="Q124" s="13">
        <f t="shared" si="7"/>
        <v>169</v>
      </c>
      <c r="R124" s="11">
        <v>553</v>
      </c>
      <c r="S124" s="4"/>
      <c r="T124" s="4" t="s">
        <v>995</v>
      </c>
      <c r="U124" s="8">
        <v>0</v>
      </c>
      <c r="V124" s="14">
        <f ca="1">IF($U124="","",MOD(NOW()-admin!$B$1/24+$U124/24,1))</f>
        <v>0.61182638888567453</v>
      </c>
      <c r="W124" s="4"/>
      <c r="X124" s="4"/>
      <c r="Y124" s="4"/>
      <c r="Z124" s="4"/>
      <c r="AA124" s="4"/>
      <c r="AB124" s="4"/>
      <c r="AC124" s="4"/>
      <c r="AD124" s="4"/>
      <c r="AE124" s="4" t="s">
        <v>1146</v>
      </c>
      <c r="AF124" s="4"/>
      <c r="AG124" s="4"/>
      <c r="AH124" s="4"/>
      <c r="AI124" s="4"/>
      <c r="AJ124" s="4"/>
      <c r="AK124" s="4"/>
      <c r="AL124" s="4"/>
      <c r="AM124" s="4"/>
      <c r="AN124" s="4"/>
      <c r="AO124" s="12" t="str">
        <f>IF($A124="","",admin!$B$2&amp;"\Charts\"&amp;$A124)</f>
        <v>C:\Backups\InsiderTechSol\Aviation\Jetelio_v3\.LAYOUT\resources\Charts\DGLE</v>
      </c>
      <c r="AP124" s="12" t="str">
        <f>IF($A124="","",admin!$B$2&amp;"\RunwayDiagrams\"&amp;$A124&amp;".pdf")</f>
        <v>C:\Backups\InsiderTechSol\Aviation\Jetelio_v3\.LAYOUT\resources\RunwayDiagrams\DGLE.pdf</v>
      </c>
      <c r="AQ124" s="12" t="str">
        <f>IF($A124="","",admin!$B$2&amp;"\Images\"&amp;$A124)</f>
        <v>C:\Backups\InsiderTechSol\Aviation\Jetelio_v3\.LAYOUT\resources\Images\DGLE</v>
      </c>
      <c r="AR124" s="12" t="str">
        <f>IF($A124="","",admin!$B$2&amp;"\CityMaps\"&amp;$A124&amp;".png")</f>
        <v>C:\Backups\InsiderTechSol\Aviation\Jetelio_v3\.LAYOUT\resources\CityMaps\DGLE.png</v>
      </c>
      <c r="AS124" s="16" t="str">
        <f t="shared" si="8"/>
        <v>VISA sheet</v>
      </c>
      <c r="AT124" s="16" t="str">
        <f t="shared" si="9"/>
        <v>Vendors sheet</v>
      </c>
      <c r="AU124" s="4"/>
      <c r="AV124" s="15">
        <f t="shared" ca="1" si="10"/>
        <v>46243</v>
      </c>
      <c r="AX124" s="6"/>
      <c r="AY124" t="str">
        <f t="shared" si="11"/>
        <v>INCOMPLETE - NOT SELECTABLE AS TECH STOP</v>
      </c>
    </row>
    <row r="125" spans="1:51" x14ac:dyDescent="0.3">
      <c r="A125" s="4" t="s">
        <v>371</v>
      </c>
      <c r="B125" s="4" t="s">
        <v>372</v>
      </c>
      <c r="C125" s="4"/>
      <c r="D125" s="4"/>
      <c r="E125" s="4" t="s">
        <v>598</v>
      </c>
      <c r="F125" s="4" t="s">
        <v>82</v>
      </c>
      <c r="G125" s="4"/>
      <c r="H125" s="4" t="s">
        <v>839</v>
      </c>
      <c r="I125" s="4" t="s">
        <v>839</v>
      </c>
      <c r="J125" s="4"/>
      <c r="K125" s="4"/>
      <c r="L125" s="4"/>
      <c r="M125" s="4"/>
      <c r="N125" s="12" t="str">
        <f t="shared" si="6"/>
        <v>36°09′06″N 005°20′59″W</v>
      </c>
      <c r="O125" s="7">
        <v>36.151679999999999</v>
      </c>
      <c r="P125" s="7">
        <v>-5.34978</v>
      </c>
      <c r="Q125" s="13">
        <f t="shared" si="7"/>
        <v>4</v>
      </c>
      <c r="R125" s="11">
        <v>12</v>
      </c>
      <c r="S125" s="4"/>
      <c r="T125" s="4" t="s">
        <v>996</v>
      </c>
      <c r="U125" s="8">
        <v>1</v>
      </c>
      <c r="V125" s="14">
        <f ca="1">IF($U125="","",MOD(NOW()-admin!$B$1/24+$U125/24,1))</f>
        <v>0.65349305554991588</v>
      </c>
      <c r="W125" s="4"/>
      <c r="X125" s="4"/>
      <c r="Y125" s="4"/>
      <c r="Z125" s="4"/>
      <c r="AA125" s="4"/>
      <c r="AB125" s="4"/>
      <c r="AC125" s="4"/>
      <c r="AD125" s="4"/>
      <c r="AE125" s="4" t="s">
        <v>1147</v>
      </c>
      <c r="AF125" s="4"/>
      <c r="AG125" s="4"/>
      <c r="AH125" s="4"/>
      <c r="AI125" s="4"/>
      <c r="AJ125" s="4"/>
      <c r="AK125" s="4"/>
      <c r="AL125" s="4"/>
      <c r="AM125" s="4"/>
      <c r="AN125" s="4"/>
      <c r="AO125" s="12" t="str">
        <f>IF($A125="","",admin!$B$2&amp;"\Charts\"&amp;$A125)</f>
        <v>C:\Backups\InsiderTechSol\Aviation\Jetelio_v3\.LAYOUT\resources\Charts\LXGB</v>
      </c>
      <c r="AP125" s="12" t="str">
        <f>IF($A125="","",admin!$B$2&amp;"\RunwayDiagrams\"&amp;$A125&amp;".pdf")</f>
        <v>C:\Backups\InsiderTechSol\Aviation\Jetelio_v3\.LAYOUT\resources\RunwayDiagrams\LXGB.pdf</v>
      </c>
      <c r="AQ125" s="12" t="str">
        <f>IF($A125="","",admin!$B$2&amp;"\Images\"&amp;$A125)</f>
        <v>C:\Backups\InsiderTechSol\Aviation\Jetelio_v3\.LAYOUT\resources\Images\LXGB</v>
      </c>
      <c r="AR125" s="12" t="str">
        <f>IF($A125="","",admin!$B$2&amp;"\CityMaps\"&amp;$A125&amp;".png")</f>
        <v>C:\Backups\InsiderTechSol\Aviation\Jetelio_v3\.LAYOUT\resources\CityMaps\LXGB.png</v>
      </c>
      <c r="AS125" s="16" t="str">
        <f t="shared" si="8"/>
        <v>VISA sheet</v>
      </c>
      <c r="AT125" s="16" t="str">
        <f t="shared" si="9"/>
        <v>Vendors sheet</v>
      </c>
      <c r="AU125" s="4"/>
      <c r="AV125" s="15">
        <f t="shared" ca="1" si="10"/>
        <v>46243</v>
      </c>
      <c r="AX125" s="6"/>
      <c r="AY125" t="str">
        <f t="shared" si="11"/>
        <v>INCOMPLETE - NOT SELECTABLE AS TECH STOP</v>
      </c>
    </row>
    <row r="126" spans="1:51" x14ac:dyDescent="0.3">
      <c r="A126" s="4" t="s">
        <v>373</v>
      </c>
      <c r="B126" s="4" t="s">
        <v>374</v>
      </c>
      <c r="C126" s="4"/>
      <c r="D126" s="4"/>
      <c r="E126" s="4" t="s">
        <v>599</v>
      </c>
      <c r="F126" s="4" t="s">
        <v>82</v>
      </c>
      <c r="G126" s="4"/>
      <c r="H126" s="4" t="s">
        <v>840</v>
      </c>
      <c r="I126" s="4" t="s">
        <v>841</v>
      </c>
      <c r="J126" s="4"/>
      <c r="K126" s="4"/>
      <c r="L126" s="4"/>
      <c r="M126" s="4"/>
      <c r="N126" s="12" t="str">
        <f t="shared" si="6"/>
        <v>64°11′28″N 051°40′45″W</v>
      </c>
      <c r="O126" s="7">
        <v>64.191069999999996</v>
      </c>
      <c r="P126" s="7">
        <v>-51.679139999999997</v>
      </c>
      <c r="Q126" s="13">
        <f t="shared" si="7"/>
        <v>86</v>
      </c>
      <c r="R126" s="11">
        <v>283</v>
      </c>
      <c r="S126" s="4"/>
      <c r="T126" s="4" t="s">
        <v>997</v>
      </c>
      <c r="U126" s="8">
        <v>-3</v>
      </c>
      <c r="V126" s="14">
        <f ca="1">IF($U126="","",MOD(NOW()-admin!$B$1/24+$U126/24,1))</f>
        <v>0.48682638888567453</v>
      </c>
      <c r="W126" s="4"/>
      <c r="X126" s="4"/>
      <c r="Y126" s="4"/>
      <c r="Z126" s="4"/>
      <c r="AA126" s="4"/>
      <c r="AB126" s="4"/>
      <c r="AC126" s="4"/>
      <c r="AD126" s="4"/>
      <c r="AE126" s="4" t="s">
        <v>1148</v>
      </c>
      <c r="AF126" s="4"/>
      <c r="AG126" s="4"/>
      <c r="AH126" s="4"/>
      <c r="AI126" s="4"/>
      <c r="AJ126" s="4"/>
      <c r="AK126" s="4"/>
      <c r="AL126" s="4"/>
      <c r="AM126" s="4"/>
      <c r="AN126" s="4"/>
      <c r="AO126" s="12" t="str">
        <f>IF($A126="","",admin!$B$2&amp;"\Charts\"&amp;$A126)</f>
        <v>C:\Backups\InsiderTechSol\Aviation\Jetelio_v3\.LAYOUT\resources\Charts\BGGH</v>
      </c>
      <c r="AP126" s="12" t="str">
        <f>IF($A126="","",admin!$B$2&amp;"\RunwayDiagrams\"&amp;$A126&amp;".pdf")</f>
        <v>C:\Backups\InsiderTechSol\Aviation\Jetelio_v3\.LAYOUT\resources\RunwayDiagrams\BGGH.pdf</v>
      </c>
      <c r="AQ126" s="12" t="str">
        <f>IF($A126="","",admin!$B$2&amp;"\Images\"&amp;$A126)</f>
        <v>C:\Backups\InsiderTechSol\Aviation\Jetelio_v3\.LAYOUT\resources\Images\BGGH</v>
      </c>
      <c r="AR126" s="12" t="str">
        <f>IF($A126="","",admin!$B$2&amp;"\CityMaps\"&amp;$A126&amp;".png")</f>
        <v>C:\Backups\InsiderTechSol\Aviation\Jetelio_v3\.LAYOUT\resources\CityMaps\BGGH.png</v>
      </c>
      <c r="AS126" s="16" t="str">
        <f t="shared" si="8"/>
        <v>VISA sheet</v>
      </c>
      <c r="AT126" s="16" t="str">
        <f t="shared" si="9"/>
        <v>Vendors sheet</v>
      </c>
      <c r="AU126" s="4"/>
      <c r="AV126" s="15">
        <f t="shared" ca="1" si="10"/>
        <v>46243</v>
      </c>
      <c r="AX126" s="6"/>
      <c r="AY126" t="str">
        <f t="shared" si="11"/>
        <v>INCOMPLETE - NOT SELECTABLE AS TECH STOP</v>
      </c>
    </row>
    <row r="127" spans="1:51" x14ac:dyDescent="0.3">
      <c r="A127" s="4" t="s">
        <v>375</v>
      </c>
      <c r="B127" s="4" t="s">
        <v>376</v>
      </c>
      <c r="C127" s="4"/>
      <c r="D127" s="4"/>
      <c r="E127" s="4" t="s">
        <v>600</v>
      </c>
      <c r="F127" s="4" t="s">
        <v>82</v>
      </c>
      <c r="G127" s="4"/>
      <c r="H127" s="4" t="s">
        <v>842</v>
      </c>
      <c r="I127" s="4" t="s">
        <v>843</v>
      </c>
      <c r="J127" s="4"/>
      <c r="K127" s="4"/>
      <c r="L127" s="4"/>
      <c r="M127" s="4"/>
      <c r="N127" s="12" t="str">
        <f t="shared" si="6"/>
        <v>13°20′17″N 016°39′08″W</v>
      </c>
      <c r="O127" s="7">
        <v>13.337999999999999</v>
      </c>
      <c r="P127" s="7">
        <v>-16.652200000000001</v>
      </c>
      <c r="Q127" s="13">
        <f t="shared" si="7"/>
        <v>29</v>
      </c>
      <c r="R127" s="11">
        <v>95</v>
      </c>
      <c r="S127" s="4"/>
      <c r="T127" s="4" t="s">
        <v>998</v>
      </c>
      <c r="U127" s="8">
        <v>0</v>
      </c>
      <c r="V127" s="14">
        <f ca="1">IF($U127="","",MOD(NOW()-admin!$B$1/24+$U127/24,1))</f>
        <v>0.61182638888567453</v>
      </c>
      <c r="W127" s="4"/>
      <c r="X127" s="4"/>
      <c r="Y127" s="4"/>
      <c r="Z127" s="4"/>
      <c r="AA127" s="4"/>
      <c r="AB127" s="4"/>
      <c r="AC127" s="4"/>
      <c r="AD127" s="4"/>
      <c r="AE127" s="4" t="s">
        <v>1149</v>
      </c>
      <c r="AF127" s="4"/>
      <c r="AG127" s="4"/>
      <c r="AH127" s="4"/>
      <c r="AI127" s="4"/>
      <c r="AJ127" s="4"/>
      <c r="AK127" s="4"/>
      <c r="AL127" s="4"/>
      <c r="AM127" s="4"/>
      <c r="AN127" s="4"/>
      <c r="AO127" s="12" t="str">
        <f>IF($A127="","",admin!$B$2&amp;"\Charts\"&amp;$A127)</f>
        <v>C:\Backups\InsiderTechSol\Aviation\Jetelio_v3\.LAYOUT\resources\Charts\GBYD</v>
      </c>
      <c r="AP127" s="12" t="str">
        <f>IF($A127="","",admin!$B$2&amp;"\RunwayDiagrams\"&amp;$A127&amp;".pdf")</f>
        <v>C:\Backups\InsiderTechSol\Aviation\Jetelio_v3\.LAYOUT\resources\RunwayDiagrams\GBYD.pdf</v>
      </c>
      <c r="AQ127" s="12" t="str">
        <f>IF($A127="","",admin!$B$2&amp;"\Images\"&amp;$A127)</f>
        <v>C:\Backups\InsiderTechSol\Aviation\Jetelio_v3\.LAYOUT\resources\Images\GBYD</v>
      </c>
      <c r="AR127" s="12" t="str">
        <f>IF($A127="","",admin!$B$2&amp;"\CityMaps\"&amp;$A127&amp;".png")</f>
        <v>C:\Backups\InsiderTechSol\Aviation\Jetelio_v3\.LAYOUT\resources\CityMaps\GBYD.png</v>
      </c>
      <c r="AS127" s="16" t="str">
        <f t="shared" si="8"/>
        <v>VISA sheet</v>
      </c>
      <c r="AT127" s="16" t="str">
        <f t="shared" si="9"/>
        <v>Vendors sheet</v>
      </c>
      <c r="AU127" s="4"/>
      <c r="AV127" s="15">
        <f t="shared" ca="1" si="10"/>
        <v>46243</v>
      </c>
      <c r="AX127" s="6"/>
      <c r="AY127" t="str">
        <f t="shared" si="11"/>
        <v>INCOMPLETE - NOT SELECTABLE AS TECH STOP</v>
      </c>
    </row>
    <row r="128" spans="1:51" x14ac:dyDescent="0.3">
      <c r="A128" s="4" t="s">
        <v>377</v>
      </c>
      <c r="B128" s="4" t="s">
        <v>378</v>
      </c>
      <c r="C128" s="4"/>
      <c r="D128" s="4"/>
      <c r="E128" s="4" t="s">
        <v>601</v>
      </c>
      <c r="F128" s="4" t="s">
        <v>82</v>
      </c>
      <c r="G128" s="4"/>
      <c r="H128" s="4" t="s">
        <v>844</v>
      </c>
      <c r="I128" s="4" t="s">
        <v>845</v>
      </c>
      <c r="J128" s="4"/>
      <c r="K128" s="4"/>
      <c r="L128" s="4"/>
      <c r="M128" s="4"/>
      <c r="N128" s="12" t="str">
        <f t="shared" si="6"/>
        <v>09°34′37″N 013°36′43″W</v>
      </c>
      <c r="O128" s="7">
        <v>9.5768900000000006</v>
      </c>
      <c r="P128" s="7">
        <v>-13.612</v>
      </c>
      <c r="Q128" s="13">
        <f t="shared" si="7"/>
        <v>22</v>
      </c>
      <c r="R128" s="11">
        <v>72</v>
      </c>
      <c r="S128" s="4"/>
      <c r="T128" s="4" t="s">
        <v>999</v>
      </c>
      <c r="U128" s="8">
        <v>0</v>
      </c>
      <c r="V128" s="14">
        <f ca="1">IF($U128="","",MOD(NOW()-admin!$B$1/24+$U128/24,1))</f>
        <v>0.61182638888567453</v>
      </c>
      <c r="W128" s="4"/>
      <c r="X128" s="4"/>
      <c r="Y128" s="4"/>
      <c r="Z128" s="4"/>
      <c r="AA128" s="4"/>
      <c r="AB128" s="4"/>
      <c r="AC128" s="4"/>
      <c r="AD128" s="4"/>
      <c r="AE128" s="4" t="s">
        <v>1055</v>
      </c>
      <c r="AF128" s="4"/>
      <c r="AG128" s="4"/>
      <c r="AH128" s="4"/>
      <c r="AI128" s="4"/>
      <c r="AJ128" s="4"/>
      <c r="AK128" s="4"/>
      <c r="AL128" s="4"/>
      <c r="AM128" s="4"/>
      <c r="AN128" s="4"/>
      <c r="AO128" s="12" t="str">
        <f>IF($A128="","",admin!$B$2&amp;"\Charts\"&amp;$A128)</f>
        <v>C:\Backups\InsiderTechSol\Aviation\Jetelio_v3\.LAYOUT\resources\Charts\GUCY</v>
      </c>
      <c r="AP128" s="12" t="str">
        <f>IF($A128="","",admin!$B$2&amp;"\RunwayDiagrams\"&amp;$A128&amp;".pdf")</f>
        <v>C:\Backups\InsiderTechSol\Aviation\Jetelio_v3\.LAYOUT\resources\RunwayDiagrams\GUCY.pdf</v>
      </c>
      <c r="AQ128" s="12" t="str">
        <f>IF($A128="","",admin!$B$2&amp;"\Images\"&amp;$A128)</f>
        <v>C:\Backups\InsiderTechSol\Aviation\Jetelio_v3\.LAYOUT\resources\Images\GUCY</v>
      </c>
      <c r="AR128" s="12" t="str">
        <f>IF($A128="","",admin!$B$2&amp;"\CityMaps\"&amp;$A128&amp;".png")</f>
        <v>C:\Backups\InsiderTechSol\Aviation\Jetelio_v3\.LAYOUT\resources\CityMaps\GUCY.png</v>
      </c>
      <c r="AS128" s="16" t="str">
        <f t="shared" si="8"/>
        <v>VISA sheet</v>
      </c>
      <c r="AT128" s="16" t="str">
        <f t="shared" si="9"/>
        <v>Vendors sheet</v>
      </c>
      <c r="AU128" s="4"/>
      <c r="AV128" s="15">
        <f t="shared" ca="1" si="10"/>
        <v>46243</v>
      </c>
      <c r="AX128" s="6"/>
      <c r="AY128" t="str">
        <f t="shared" si="11"/>
        <v>INCOMPLETE - NOT SELECTABLE AS TECH STOP</v>
      </c>
    </row>
    <row r="129" spans="1:51" x14ac:dyDescent="0.3">
      <c r="A129" s="4" t="s">
        <v>379</v>
      </c>
      <c r="B129" s="4" t="s">
        <v>380</v>
      </c>
      <c r="C129" s="4"/>
      <c r="D129" s="4"/>
      <c r="E129" s="4" t="s">
        <v>602</v>
      </c>
      <c r="F129" s="4" t="s">
        <v>82</v>
      </c>
      <c r="G129" s="4"/>
      <c r="H129" s="4" t="s">
        <v>846</v>
      </c>
      <c r="I129" s="4" t="s">
        <v>847</v>
      </c>
      <c r="J129" s="4"/>
      <c r="K129" s="4"/>
      <c r="L129" s="4"/>
      <c r="M129" s="4"/>
      <c r="N129" s="12" t="str">
        <f t="shared" si="6"/>
        <v>16°15′56″N 061°31′58″W</v>
      </c>
      <c r="O129" s="7">
        <v>16.265440000000002</v>
      </c>
      <c r="P129" s="7">
        <v>-61.53275</v>
      </c>
      <c r="Q129" s="13">
        <f t="shared" si="7"/>
        <v>11</v>
      </c>
      <c r="R129" s="11">
        <v>36</v>
      </c>
      <c r="S129" s="4"/>
      <c r="T129" s="4" t="s">
        <v>1000</v>
      </c>
      <c r="U129" s="8">
        <v>-4</v>
      </c>
      <c r="V129" s="14">
        <f ca="1">IF($U129="","",MOD(NOW()-admin!$B$1/24+$U129/24,1))</f>
        <v>0.44515972222143319</v>
      </c>
      <c r="W129" s="4"/>
      <c r="X129" s="4"/>
      <c r="Y129" s="4"/>
      <c r="Z129" s="4"/>
      <c r="AA129" s="4"/>
      <c r="AB129" s="4"/>
      <c r="AC129" s="4"/>
      <c r="AD129" s="4"/>
      <c r="AE129" s="4" t="s">
        <v>1150</v>
      </c>
      <c r="AF129" s="4"/>
      <c r="AG129" s="4"/>
      <c r="AH129" s="4"/>
      <c r="AI129" s="4"/>
      <c r="AJ129" s="4"/>
      <c r="AK129" s="4"/>
      <c r="AL129" s="4"/>
      <c r="AM129" s="4"/>
      <c r="AN129" s="4"/>
      <c r="AO129" s="12" t="str">
        <f>IF($A129="","",admin!$B$2&amp;"\Charts\"&amp;$A129)</f>
        <v>C:\Backups\InsiderTechSol\Aviation\Jetelio_v3\.LAYOUT\resources\Charts\TFFR</v>
      </c>
      <c r="AP129" s="12" t="str">
        <f>IF($A129="","",admin!$B$2&amp;"\RunwayDiagrams\"&amp;$A129&amp;".pdf")</f>
        <v>C:\Backups\InsiderTechSol\Aviation\Jetelio_v3\.LAYOUT\resources\RunwayDiagrams\TFFR.pdf</v>
      </c>
      <c r="AQ129" s="12" t="str">
        <f>IF($A129="","",admin!$B$2&amp;"\Images\"&amp;$A129)</f>
        <v>C:\Backups\InsiderTechSol\Aviation\Jetelio_v3\.LAYOUT\resources\Images\TFFR</v>
      </c>
      <c r="AR129" s="12" t="str">
        <f>IF($A129="","",admin!$B$2&amp;"\CityMaps\"&amp;$A129&amp;".png")</f>
        <v>C:\Backups\InsiderTechSol\Aviation\Jetelio_v3\.LAYOUT\resources\CityMaps\TFFR.png</v>
      </c>
      <c r="AS129" s="16" t="str">
        <f t="shared" si="8"/>
        <v>VISA sheet</v>
      </c>
      <c r="AT129" s="16" t="str">
        <f t="shared" si="9"/>
        <v>Vendors sheet</v>
      </c>
      <c r="AU129" s="4"/>
      <c r="AV129" s="15">
        <f t="shared" ca="1" si="10"/>
        <v>46243</v>
      </c>
      <c r="AX129" s="6"/>
      <c r="AY129" t="str">
        <f t="shared" si="11"/>
        <v>INCOMPLETE - NOT SELECTABLE AS TECH STOP</v>
      </c>
    </row>
    <row r="130" spans="1:51" x14ac:dyDescent="0.3">
      <c r="A130" s="4" t="s">
        <v>381</v>
      </c>
      <c r="B130" s="4" t="s">
        <v>382</v>
      </c>
      <c r="C130" s="4"/>
      <c r="D130" s="4"/>
      <c r="E130" s="4" t="s">
        <v>603</v>
      </c>
      <c r="F130" s="4" t="s">
        <v>82</v>
      </c>
      <c r="G130" s="4"/>
      <c r="H130" s="4" t="s">
        <v>848</v>
      </c>
      <c r="I130" s="4" t="s">
        <v>849</v>
      </c>
      <c r="J130" s="4"/>
      <c r="K130" s="4"/>
      <c r="L130" s="4"/>
      <c r="M130" s="4"/>
      <c r="N130" s="12" t="str">
        <f t="shared" si="6"/>
        <v>01°54′20″N 009°48′20″E</v>
      </c>
      <c r="O130" s="7">
        <v>1.90547</v>
      </c>
      <c r="P130" s="7">
        <v>9.8056800000000006</v>
      </c>
      <c r="Q130" s="13">
        <f t="shared" si="7"/>
        <v>4</v>
      </c>
      <c r="R130" s="11">
        <v>13</v>
      </c>
      <c r="S130" s="4"/>
      <c r="T130" s="4" t="s">
        <v>1001</v>
      </c>
      <c r="U130" s="8">
        <v>1</v>
      </c>
      <c r="V130" s="14">
        <f ca="1">IF($U130="","",MOD(NOW()-admin!$B$1/24+$U130/24,1))</f>
        <v>0.65349305554991588</v>
      </c>
      <c r="W130" s="4"/>
      <c r="X130" s="4"/>
      <c r="Y130" s="4"/>
      <c r="Z130" s="4"/>
      <c r="AA130" s="4"/>
      <c r="AB130" s="4"/>
      <c r="AC130" s="4"/>
      <c r="AD130" s="4"/>
      <c r="AE130" s="4" t="s">
        <v>1151</v>
      </c>
      <c r="AF130" s="4"/>
      <c r="AG130" s="4"/>
      <c r="AH130" s="4"/>
      <c r="AI130" s="4"/>
      <c r="AJ130" s="4"/>
      <c r="AK130" s="4"/>
      <c r="AL130" s="4"/>
      <c r="AM130" s="4"/>
      <c r="AN130" s="4"/>
      <c r="AO130" s="12" t="str">
        <f>IF($A130="","",admin!$B$2&amp;"\Charts\"&amp;$A130)</f>
        <v>C:\Backups\InsiderTechSol\Aviation\Jetelio_v3\.LAYOUT\resources\Charts\FGBT</v>
      </c>
      <c r="AP130" s="12" t="str">
        <f>IF($A130="","",admin!$B$2&amp;"\RunwayDiagrams\"&amp;$A130&amp;".pdf")</f>
        <v>C:\Backups\InsiderTechSol\Aviation\Jetelio_v3\.LAYOUT\resources\RunwayDiagrams\FGBT.pdf</v>
      </c>
      <c r="AQ130" s="12" t="str">
        <f>IF($A130="","",admin!$B$2&amp;"\Images\"&amp;$A130)</f>
        <v>C:\Backups\InsiderTechSol\Aviation\Jetelio_v3\.LAYOUT\resources\Images\FGBT</v>
      </c>
      <c r="AR130" s="12" t="str">
        <f>IF($A130="","",admin!$B$2&amp;"\CityMaps\"&amp;$A130&amp;".png")</f>
        <v>C:\Backups\InsiderTechSol\Aviation\Jetelio_v3\.LAYOUT\resources\CityMaps\FGBT.png</v>
      </c>
      <c r="AS130" s="16" t="str">
        <f t="shared" si="8"/>
        <v>VISA sheet</v>
      </c>
      <c r="AT130" s="16" t="str">
        <f t="shared" si="9"/>
        <v>Vendors sheet</v>
      </c>
      <c r="AU130" s="4"/>
      <c r="AV130" s="15">
        <f t="shared" ca="1" si="10"/>
        <v>46243</v>
      </c>
      <c r="AX130" s="6"/>
      <c r="AY130" t="str">
        <f t="shared" si="11"/>
        <v>INCOMPLETE - NOT SELECTABLE AS TECH STOP</v>
      </c>
    </row>
    <row r="131" spans="1:51" x14ac:dyDescent="0.3">
      <c r="A131" s="4" t="s">
        <v>383</v>
      </c>
      <c r="B131" s="4" t="s">
        <v>384</v>
      </c>
      <c r="C131" s="4"/>
      <c r="D131" s="4"/>
      <c r="E131" s="4" t="s">
        <v>604</v>
      </c>
      <c r="F131" s="4" t="s">
        <v>82</v>
      </c>
      <c r="G131" s="4"/>
      <c r="H131" s="4" t="s">
        <v>848</v>
      </c>
      <c r="I131" s="4" t="s">
        <v>850</v>
      </c>
      <c r="J131" s="4"/>
      <c r="K131" s="4"/>
      <c r="L131" s="4"/>
      <c r="M131" s="4"/>
      <c r="N131" s="12" t="str">
        <f t="shared" si="6"/>
        <v>00°54′39″N 009°19′49″E</v>
      </c>
      <c r="O131" s="7">
        <v>0.91093999999999997</v>
      </c>
      <c r="P131" s="7">
        <v>9.3302700000000005</v>
      </c>
      <c r="Q131" s="13">
        <f t="shared" si="7"/>
        <v>17</v>
      </c>
      <c r="R131" s="11">
        <v>55</v>
      </c>
      <c r="S131" s="4"/>
      <c r="T131" s="4"/>
      <c r="U131" s="8"/>
      <c r="V131" s="14" t="str">
        <f ca="1">IF($U131="","",MOD(NOW()-admin!$B$1/24+$U131/24,1))</f>
        <v/>
      </c>
      <c r="W131" s="4"/>
      <c r="X131" s="4"/>
      <c r="Y131" s="4"/>
      <c r="Z131" s="4"/>
      <c r="AA131" s="4"/>
      <c r="AB131" s="4"/>
      <c r="AC131" s="4"/>
      <c r="AD131" s="4"/>
      <c r="AE131" s="4" t="s">
        <v>1152</v>
      </c>
      <c r="AF131" s="4"/>
      <c r="AG131" s="4"/>
      <c r="AH131" s="4"/>
      <c r="AI131" s="4"/>
      <c r="AJ131" s="4"/>
      <c r="AK131" s="4"/>
      <c r="AL131" s="4"/>
      <c r="AM131" s="4"/>
      <c r="AN131" s="4"/>
      <c r="AO131" s="12" t="str">
        <f>IF($A131="","",admin!$B$2&amp;"\Charts\"&amp;$A131)</f>
        <v>C:\Backups\InsiderTechSol\Aviation\Jetelio_v3\.LAYOUT\resources\Charts\FGCO</v>
      </c>
      <c r="AP131" s="12" t="str">
        <f>IF($A131="","",admin!$B$2&amp;"\RunwayDiagrams\"&amp;$A131&amp;".pdf")</f>
        <v>C:\Backups\InsiderTechSol\Aviation\Jetelio_v3\.LAYOUT\resources\RunwayDiagrams\FGCO.pdf</v>
      </c>
      <c r="AQ131" s="12" t="str">
        <f>IF($A131="","",admin!$B$2&amp;"\Images\"&amp;$A131)</f>
        <v>C:\Backups\InsiderTechSol\Aviation\Jetelio_v3\.LAYOUT\resources\Images\FGCO</v>
      </c>
      <c r="AR131" s="12" t="str">
        <f>IF($A131="","",admin!$B$2&amp;"\CityMaps\"&amp;$A131&amp;".png")</f>
        <v>C:\Backups\InsiderTechSol\Aviation\Jetelio_v3\.LAYOUT\resources\CityMaps\FGCO.png</v>
      </c>
      <c r="AS131" s="16" t="str">
        <f t="shared" si="8"/>
        <v>VISA sheet</v>
      </c>
      <c r="AT131" s="16" t="str">
        <f t="shared" si="9"/>
        <v>Vendors sheet</v>
      </c>
      <c r="AU131" s="4"/>
      <c r="AV131" s="15">
        <f t="shared" ca="1" si="10"/>
        <v>46243</v>
      </c>
      <c r="AX131" s="6"/>
      <c r="AY131" t="str">
        <f t="shared" si="11"/>
        <v>INCOMPLETE - NOT SELECTABLE AS TECH STOP</v>
      </c>
    </row>
    <row r="132" spans="1:51" x14ac:dyDescent="0.3">
      <c r="A132" s="4" t="s">
        <v>385</v>
      </c>
      <c r="B132" s="4" t="s">
        <v>386</v>
      </c>
      <c r="C132" s="4"/>
      <c r="D132" s="4"/>
      <c r="E132" s="4" t="s">
        <v>605</v>
      </c>
      <c r="F132" s="4" t="s">
        <v>82</v>
      </c>
      <c r="G132" s="4"/>
      <c r="H132" s="4" t="s">
        <v>851</v>
      </c>
      <c r="I132" s="4" t="s">
        <v>852</v>
      </c>
      <c r="J132" s="4"/>
      <c r="K132" s="4"/>
      <c r="L132" s="4"/>
      <c r="M132" s="4"/>
      <c r="N132" s="12" t="str">
        <f t="shared" ref="N132:N195" si="12">IF(OR($O132="",$P132=""),"",TEXT(INT(ROUND(ABS($O132)*3600,0)/3600),"00")&amp;"°"&amp;TEXT(INT(MOD(ROUND(ABS($O132)*3600,0),3600)/60),"00")&amp;"′"&amp;TEXT(MOD(ROUND(ABS($O132)*3600,0),60),"00")&amp;"″"&amp;IF($O132&gt;=0,"N","S")&amp;" "&amp;TEXT(INT(ROUND(ABS($P132)*3600,0)/3600),"000")&amp;"°"&amp;TEXT(INT(MOD(ROUND(ABS($P132)*3600,0),3600)/60),"00")&amp;"′"&amp;TEXT(MOD(ROUND(ABS($P132)*3600,0),60),"00")&amp;"″"&amp;IF($P132&gt;=0,"E","W"))</f>
        <v>37°56′11″N 023°56′40″E</v>
      </c>
      <c r="O132" s="7">
        <v>37.936399999999999</v>
      </c>
      <c r="P132" s="7">
        <v>23.944500000000001</v>
      </c>
      <c r="Q132" s="13">
        <f t="shared" ref="Q132:Q195" si="13">IF($R132="","",ROUND($R132*0.3048,0))</f>
        <v>94</v>
      </c>
      <c r="R132" s="11">
        <v>308</v>
      </c>
      <c r="S132" s="4"/>
      <c r="T132" s="4" t="s">
        <v>1002</v>
      </c>
      <c r="U132" s="8">
        <v>2</v>
      </c>
      <c r="V132" s="14">
        <f ca="1">IF($U132="","",MOD(NOW()-admin!$B$1/24+$U132/24,1))</f>
        <v>0.69515972222143319</v>
      </c>
      <c r="W132" s="4"/>
      <c r="X132" s="4"/>
      <c r="Y132" s="4"/>
      <c r="Z132" s="4"/>
      <c r="AA132" s="4"/>
      <c r="AB132" s="4"/>
      <c r="AC132" s="4"/>
      <c r="AD132" s="4"/>
      <c r="AE132" s="4" t="s">
        <v>1153</v>
      </c>
      <c r="AF132" s="4"/>
      <c r="AG132" s="4"/>
      <c r="AH132" s="4"/>
      <c r="AI132" s="4"/>
      <c r="AJ132" s="4"/>
      <c r="AK132" s="4"/>
      <c r="AL132" s="4"/>
      <c r="AM132" s="4"/>
      <c r="AN132" s="4"/>
      <c r="AO132" s="12" t="str">
        <f>IF($A132="","",admin!$B$2&amp;"\Charts\"&amp;$A132)</f>
        <v>C:\Backups\InsiderTechSol\Aviation\Jetelio_v3\.LAYOUT\resources\Charts\LGAV</v>
      </c>
      <c r="AP132" s="12" t="str">
        <f>IF($A132="","",admin!$B$2&amp;"\RunwayDiagrams\"&amp;$A132&amp;".pdf")</f>
        <v>C:\Backups\InsiderTechSol\Aviation\Jetelio_v3\.LAYOUT\resources\RunwayDiagrams\LGAV.pdf</v>
      </c>
      <c r="AQ132" s="12" t="str">
        <f>IF($A132="","",admin!$B$2&amp;"\Images\"&amp;$A132)</f>
        <v>C:\Backups\InsiderTechSol\Aviation\Jetelio_v3\.LAYOUT\resources\Images\LGAV</v>
      </c>
      <c r="AR132" s="12" t="str">
        <f>IF($A132="","",admin!$B$2&amp;"\CityMaps\"&amp;$A132&amp;".png")</f>
        <v>C:\Backups\InsiderTechSol\Aviation\Jetelio_v3\.LAYOUT\resources\CityMaps\LGAV.png</v>
      </c>
      <c r="AS132" s="16" t="str">
        <f t="shared" ref="AS132:AS195" si="14">IF($A132="","","VISA sheet")</f>
        <v>VISA sheet</v>
      </c>
      <c r="AT132" s="16" t="str">
        <f t="shared" ref="AT132:AT195" si="15">IF($A132="","","Vendors sheet")</f>
        <v>Vendors sheet</v>
      </c>
      <c r="AU132" s="4"/>
      <c r="AV132" s="15">
        <f t="shared" ref="AV132:AV195" ca="1" si="16">IF($A132="","",TODAY())</f>
        <v>46243</v>
      </c>
      <c r="AX132" s="6"/>
      <c r="AY132" t="str">
        <f t="shared" ref="AY132:AY195" si="17">IF($A132="","",IF(OR(TRIM($Y132)="",TRIM($AG132)="",TRIM($X132)=""),"INCOMPLETE - NOT SELECTABLE AS TECH STOP",IF(OR($AW132="",$AX132=""),"UNVERIFIED - ADVISORY ONLY","VERIFIED")))</f>
        <v>INCOMPLETE - NOT SELECTABLE AS TECH STOP</v>
      </c>
    </row>
    <row r="133" spans="1:51" x14ac:dyDescent="0.3">
      <c r="A133" s="4" t="s">
        <v>387</v>
      </c>
      <c r="B133" s="4" t="s">
        <v>388</v>
      </c>
      <c r="C133" s="4"/>
      <c r="D133" s="4"/>
      <c r="E133" s="4" t="s">
        <v>606</v>
      </c>
      <c r="F133" s="4" t="s">
        <v>82</v>
      </c>
      <c r="G133" s="4"/>
      <c r="H133" s="4" t="s">
        <v>851</v>
      </c>
      <c r="I133" s="4" t="s">
        <v>853</v>
      </c>
      <c r="J133" s="4"/>
      <c r="K133" s="4"/>
      <c r="L133" s="4"/>
      <c r="M133" s="4"/>
      <c r="N133" s="12" t="str">
        <f t="shared" si="12"/>
        <v>35°20′23″N 025°10′49″E</v>
      </c>
      <c r="O133" s="7">
        <v>35.339700000000001</v>
      </c>
      <c r="P133" s="7">
        <v>25.180299999999999</v>
      </c>
      <c r="Q133" s="13">
        <f t="shared" si="13"/>
        <v>35</v>
      </c>
      <c r="R133" s="11">
        <v>115</v>
      </c>
      <c r="S133" s="4"/>
      <c r="T133" s="4" t="s">
        <v>1002</v>
      </c>
      <c r="U133" s="8">
        <v>2</v>
      </c>
      <c r="V133" s="14">
        <f ca="1">IF($U133="","",MOD(NOW()-admin!$B$1/24+$U133/24,1))</f>
        <v>0.69515972222143319</v>
      </c>
      <c r="W133" s="4"/>
      <c r="X133" s="4"/>
      <c r="Y133" s="4"/>
      <c r="Z133" s="4"/>
      <c r="AA133" s="4"/>
      <c r="AB133" s="4"/>
      <c r="AC133" s="4"/>
      <c r="AD133" s="4"/>
      <c r="AE133" s="4" t="s">
        <v>1154</v>
      </c>
      <c r="AF133" s="4"/>
      <c r="AG133" s="4"/>
      <c r="AH133" s="4"/>
      <c r="AI133" s="4"/>
      <c r="AJ133" s="4"/>
      <c r="AK133" s="4"/>
      <c r="AL133" s="4"/>
      <c r="AM133" s="4"/>
      <c r="AN133" s="4"/>
      <c r="AO133" s="12" t="str">
        <f>IF($A133="","",admin!$B$2&amp;"\Charts\"&amp;$A133)</f>
        <v>C:\Backups\InsiderTechSol\Aviation\Jetelio_v3\.LAYOUT\resources\Charts\LGIR</v>
      </c>
      <c r="AP133" s="12" t="str">
        <f>IF($A133="","",admin!$B$2&amp;"\RunwayDiagrams\"&amp;$A133&amp;".pdf")</f>
        <v>C:\Backups\InsiderTechSol\Aviation\Jetelio_v3\.LAYOUT\resources\RunwayDiagrams\LGIR.pdf</v>
      </c>
      <c r="AQ133" s="12" t="str">
        <f>IF($A133="","",admin!$B$2&amp;"\Images\"&amp;$A133)</f>
        <v>C:\Backups\InsiderTechSol\Aviation\Jetelio_v3\.LAYOUT\resources\Images\LGIR</v>
      </c>
      <c r="AR133" s="12" t="str">
        <f>IF($A133="","",admin!$B$2&amp;"\CityMaps\"&amp;$A133&amp;".png")</f>
        <v>C:\Backups\InsiderTechSol\Aviation\Jetelio_v3\.LAYOUT\resources\CityMaps\LGIR.png</v>
      </c>
      <c r="AS133" s="16" t="str">
        <f t="shared" si="14"/>
        <v>VISA sheet</v>
      </c>
      <c r="AT133" s="16" t="str">
        <f t="shared" si="15"/>
        <v>Vendors sheet</v>
      </c>
      <c r="AU133" s="4"/>
      <c r="AV133" s="15">
        <f t="shared" ca="1" si="16"/>
        <v>46243</v>
      </c>
      <c r="AX133" s="6"/>
      <c r="AY133" t="str">
        <f t="shared" si="17"/>
        <v>INCOMPLETE - NOT SELECTABLE AS TECH STOP</v>
      </c>
    </row>
    <row r="134" spans="1:51" x14ac:dyDescent="0.3">
      <c r="A134" s="4" t="s">
        <v>389</v>
      </c>
      <c r="B134" s="4" t="s">
        <v>390</v>
      </c>
      <c r="C134" s="4"/>
      <c r="D134" s="4"/>
      <c r="E134" s="4" t="s">
        <v>607</v>
      </c>
      <c r="F134" s="4" t="s">
        <v>82</v>
      </c>
      <c r="G134" s="4"/>
      <c r="H134" s="4" t="s">
        <v>854</v>
      </c>
      <c r="I134" s="4" t="s">
        <v>855</v>
      </c>
      <c r="J134" s="4"/>
      <c r="K134" s="4"/>
      <c r="L134" s="4"/>
      <c r="M134" s="4"/>
      <c r="N134" s="12" t="str">
        <f t="shared" si="12"/>
        <v>14°34′58″N 090°31′39″W</v>
      </c>
      <c r="O134" s="7">
        <v>14.5829</v>
      </c>
      <c r="P134" s="7">
        <v>-90.527510000000007</v>
      </c>
      <c r="Q134" s="13">
        <f t="shared" si="13"/>
        <v>1509</v>
      </c>
      <c r="R134" s="11">
        <v>4952</v>
      </c>
      <c r="S134" s="4"/>
      <c r="T134" s="4" t="s">
        <v>1003</v>
      </c>
      <c r="U134" s="8">
        <v>-6</v>
      </c>
      <c r="V134" s="14">
        <f ca="1">IF($U134="","",MOD(NOW()-admin!$B$1/24+$U134/24,1))</f>
        <v>0.36182638888567453</v>
      </c>
      <c r="W134" s="4"/>
      <c r="X134" s="4"/>
      <c r="Y134" s="4"/>
      <c r="Z134" s="4"/>
      <c r="AA134" s="4"/>
      <c r="AB134" s="4"/>
      <c r="AC134" s="4"/>
      <c r="AD134" s="4"/>
      <c r="AE134" s="4" t="s">
        <v>1155</v>
      </c>
      <c r="AF134" s="4"/>
      <c r="AG134" s="4"/>
      <c r="AH134" s="4"/>
      <c r="AI134" s="4"/>
      <c r="AJ134" s="4"/>
      <c r="AK134" s="4"/>
      <c r="AL134" s="4"/>
      <c r="AM134" s="4"/>
      <c r="AN134" s="4"/>
      <c r="AO134" s="12" t="str">
        <f>IF($A134="","",admin!$B$2&amp;"\Charts\"&amp;$A134)</f>
        <v>C:\Backups\InsiderTechSol\Aviation\Jetelio_v3\.LAYOUT\resources\Charts\MGGT</v>
      </c>
      <c r="AP134" s="12" t="str">
        <f>IF($A134="","",admin!$B$2&amp;"\RunwayDiagrams\"&amp;$A134&amp;".pdf")</f>
        <v>C:\Backups\InsiderTechSol\Aviation\Jetelio_v3\.LAYOUT\resources\RunwayDiagrams\MGGT.pdf</v>
      </c>
      <c r="AQ134" s="12" t="str">
        <f>IF($A134="","",admin!$B$2&amp;"\Images\"&amp;$A134)</f>
        <v>C:\Backups\InsiderTechSol\Aviation\Jetelio_v3\.LAYOUT\resources\Images\MGGT</v>
      </c>
      <c r="AR134" s="12" t="str">
        <f>IF($A134="","",admin!$B$2&amp;"\CityMaps\"&amp;$A134&amp;".png")</f>
        <v>C:\Backups\InsiderTechSol\Aviation\Jetelio_v3\.LAYOUT\resources\CityMaps\MGGT.png</v>
      </c>
      <c r="AS134" s="16" t="str">
        <f t="shared" si="14"/>
        <v>VISA sheet</v>
      </c>
      <c r="AT134" s="16" t="str">
        <f t="shared" si="15"/>
        <v>Vendors sheet</v>
      </c>
      <c r="AU134" s="4"/>
      <c r="AV134" s="15">
        <f t="shared" ca="1" si="16"/>
        <v>46243</v>
      </c>
      <c r="AX134" s="6"/>
      <c r="AY134" t="str">
        <f t="shared" si="17"/>
        <v>INCOMPLETE - NOT SELECTABLE AS TECH STOP</v>
      </c>
    </row>
    <row r="135" spans="1:51" x14ac:dyDescent="0.3">
      <c r="A135" s="4" t="s">
        <v>391</v>
      </c>
      <c r="B135" s="4" t="s">
        <v>392</v>
      </c>
      <c r="C135" s="4"/>
      <c r="D135" s="4"/>
      <c r="E135" s="4" t="s">
        <v>608</v>
      </c>
      <c r="F135" s="4" t="s">
        <v>82</v>
      </c>
      <c r="G135" s="4"/>
      <c r="H135" s="4" t="s">
        <v>856</v>
      </c>
      <c r="I135" s="4" t="s">
        <v>857</v>
      </c>
      <c r="J135" s="4"/>
      <c r="K135" s="4"/>
      <c r="L135" s="4"/>
      <c r="M135" s="4"/>
      <c r="N135" s="12" t="str">
        <f t="shared" si="12"/>
        <v>13°29′06″N 144°47′50″E</v>
      </c>
      <c r="O135" s="7">
        <v>13.484999999999999</v>
      </c>
      <c r="P135" s="7">
        <v>144.79728</v>
      </c>
      <c r="Q135" s="13">
        <f t="shared" si="13"/>
        <v>91</v>
      </c>
      <c r="R135" s="11">
        <v>298</v>
      </c>
      <c r="S135" s="4"/>
      <c r="T135" s="4" t="s">
        <v>1004</v>
      </c>
      <c r="U135" s="8">
        <v>10</v>
      </c>
      <c r="V135" s="14">
        <f ca="1">IF($U135="","",MOD(NOW()-admin!$B$1/24+$U135/24,1))</f>
        <v>2.849305554991588E-2</v>
      </c>
      <c r="W135" s="4"/>
      <c r="X135" s="4"/>
      <c r="Y135" s="4"/>
      <c r="Z135" s="4"/>
      <c r="AA135" s="4"/>
      <c r="AB135" s="4"/>
      <c r="AC135" s="4"/>
      <c r="AD135" s="4"/>
      <c r="AE135" s="4" t="s">
        <v>1156</v>
      </c>
      <c r="AF135" s="4"/>
      <c r="AG135" s="4"/>
      <c r="AH135" s="4"/>
      <c r="AI135" s="4"/>
      <c r="AJ135" s="4"/>
      <c r="AK135" s="4"/>
      <c r="AL135" s="4"/>
      <c r="AM135" s="4"/>
      <c r="AN135" s="4"/>
      <c r="AO135" s="12" t="str">
        <f>IF($A135="","",admin!$B$2&amp;"\Charts\"&amp;$A135)</f>
        <v>C:\Backups\InsiderTechSol\Aviation\Jetelio_v3\.LAYOUT\resources\Charts\PGUM</v>
      </c>
      <c r="AP135" s="12" t="str">
        <f>IF($A135="","",admin!$B$2&amp;"\RunwayDiagrams\"&amp;$A135&amp;".pdf")</f>
        <v>C:\Backups\InsiderTechSol\Aviation\Jetelio_v3\.LAYOUT\resources\RunwayDiagrams\PGUM.pdf</v>
      </c>
      <c r="AQ135" s="12" t="str">
        <f>IF($A135="","",admin!$B$2&amp;"\Images\"&amp;$A135)</f>
        <v>C:\Backups\InsiderTechSol\Aviation\Jetelio_v3\.LAYOUT\resources\Images\PGUM</v>
      </c>
      <c r="AR135" s="12" t="str">
        <f>IF($A135="","",admin!$B$2&amp;"\CityMaps\"&amp;$A135&amp;".png")</f>
        <v>C:\Backups\InsiderTechSol\Aviation\Jetelio_v3\.LAYOUT\resources\CityMaps\PGUM.png</v>
      </c>
      <c r="AS135" s="16" t="str">
        <f t="shared" si="14"/>
        <v>VISA sheet</v>
      </c>
      <c r="AT135" s="16" t="str">
        <f t="shared" si="15"/>
        <v>Vendors sheet</v>
      </c>
      <c r="AU135" s="4"/>
      <c r="AV135" s="15">
        <f t="shared" ca="1" si="16"/>
        <v>46243</v>
      </c>
      <c r="AX135" s="6"/>
      <c r="AY135" t="str">
        <f t="shared" si="17"/>
        <v>INCOMPLETE - NOT SELECTABLE AS TECH STOP</v>
      </c>
    </row>
    <row r="136" spans="1:51" x14ac:dyDescent="0.3">
      <c r="A136" s="4" t="s">
        <v>393</v>
      </c>
      <c r="B136" s="4" t="s">
        <v>394</v>
      </c>
      <c r="C136" s="4"/>
      <c r="D136" s="4"/>
      <c r="E136" s="4" t="s">
        <v>609</v>
      </c>
      <c r="F136" s="4" t="s">
        <v>82</v>
      </c>
      <c r="G136" s="4"/>
      <c r="H136" s="4" t="s">
        <v>858</v>
      </c>
      <c r="I136" s="4" t="s">
        <v>859</v>
      </c>
      <c r="J136" s="4"/>
      <c r="K136" s="4"/>
      <c r="L136" s="4"/>
      <c r="M136" s="4"/>
      <c r="N136" s="12" t="str">
        <f t="shared" si="12"/>
        <v>11°53′39″N 015°39′13″W</v>
      </c>
      <c r="O136" s="7">
        <v>11.894259999999999</v>
      </c>
      <c r="P136" s="7">
        <v>-15.653600000000001</v>
      </c>
      <c r="Q136" s="13">
        <f t="shared" si="13"/>
        <v>39</v>
      </c>
      <c r="R136" s="11">
        <v>129</v>
      </c>
      <c r="S136" s="4"/>
      <c r="T136" s="4" t="s">
        <v>1005</v>
      </c>
      <c r="U136" s="8">
        <v>0</v>
      </c>
      <c r="V136" s="14">
        <f ca="1">IF($U136="","",MOD(NOW()-admin!$B$1/24+$U136/24,1))</f>
        <v>0.61182638888567453</v>
      </c>
      <c r="W136" s="4"/>
      <c r="X136" s="4"/>
      <c r="Y136" s="4"/>
      <c r="Z136" s="4"/>
      <c r="AA136" s="4"/>
      <c r="AB136" s="4"/>
      <c r="AC136" s="4"/>
      <c r="AD136" s="4"/>
      <c r="AE136" s="4" t="s">
        <v>1157</v>
      </c>
      <c r="AF136" s="4"/>
      <c r="AG136" s="4"/>
      <c r="AH136" s="4"/>
      <c r="AI136" s="4"/>
      <c r="AJ136" s="4"/>
      <c r="AK136" s="4"/>
      <c r="AL136" s="4"/>
      <c r="AM136" s="4"/>
      <c r="AN136" s="4"/>
      <c r="AO136" s="12" t="str">
        <f>IF($A136="","",admin!$B$2&amp;"\Charts\"&amp;$A136)</f>
        <v>C:\Backups\InsiderTechSol\Aviation\Jetelio_v3\.LAYOUT\resources\Charts\GGOV</v>
      </c>
      <c r="AP136" s="12" t="str">
        <f>IF($A136="","",admin!$B$2&amp;"\RunwayDiagrams\"&amp;$A136&amp;".pdf")</f>
        <v>C:\Backups\InsiderTechSol\Aviation\Jetelio_v3\.LAYOUT\resources\RunwayDiagrams\GGOV.pdf</v>
      </c>
      <c r="AQ136" s="12" t="str">
        <f>IF($A136="","",admin!$B$2&amp;"\Images\"&amp;$A136)</f>
        <v>C:\Backups\InsiderTechSol\Aviation\Jetelio_v3\.LAYOUT\resources\Images\GGOV</v>
      </c>
      <c r="AR136" s="12" t="str">
        <f>IF($A136="","",admin!$B$2&amp;"\CityMaps\"&amp;$A136&amp;".png")</f>
        <v>C:\Backups\InsiderTechSol\Aviation\Jetelio_v3\.LAYOUT\resources\CityMaps\GGOV.png</v>
      </c>
      <c r="AS136" s="16" t="str">
        <f t="shared" si="14"/>
        <v>VISA sheet</v>
      </c>
      <c r="AT136" s="16" t="str">
        <f t="shared" si="15"/>
        <v>Vendors sheet</v>
      </c>
      <c r="AU136" s="4"/>
      <c r="AV136" s="15">
        <f t="shared" ca="1" si="16"/>
        <v>46243</v>
      </c>
      <c r="AX136" s="6"/>
      <c r="AY136" t="str">
        <f t="shared" si="17"/>
        <v>INCOMPLETE - NOT SELECTABLE AS TECH STOP</v>
      </c>
    </row>
    <row r="137" spans="1:51" x14ac:dyDescent="0.3">
      <c r="A137" s="4" t="s">
        <v>395</v>
      </c>
      <c r="B137" s="4" t="s">
        <v>396</v>
      </c>
      <c r="C137" s="4"/>
      <c r="D137" s="4"/>
      <c r="E137" s="4" t="s">
        <v>610</v>
      </c>
      <c r="F137" s="4" t="s">
        <v>82</v>
      </c>
      <c r="G137" s="4"/>
      <c r="H137" s="4" t="s">
        <v>860</v>
      </c>
      <c r="I137" s="4" t="s">
        <v>861</v>
      </c>
      <c r="J137" s="4"/>
      <c r="K137" s="4"/>
      <c r="L137" s="4"/>
      <c r="M137" s="4"/>
      <c r="N137" s="12" t="str">
        <f t="shared" si="12"/>
        <v>06°29′55″N 058°15′15″W</v>
      </c>
      <c r="O137" s="7">
        <v>6.4985499999999998</v>
      </c>
      <c r="P137" s="7">
        <v>-58.254100000000001</v>
      </c>
      <c r="Q137" s="13">
        <f t="shared" si="13"/>
        <v>29</v>
      </c>
      <c r="R137" s="11">
        <v>95</v>
      </c>
      <c r="S137" s="4"/>
      <c r="T137" s="4" t="s">
        <v>1006</v>
      </c>
      <c r="U137" s="8">
        <v>-4</v>
      </c>
      <c r="V137" s="14">
        <f ca="1">IF($U137="","",MOD(NOW()-admin!$B$1/24+$U137/24,1))</f>
        <v>0.44515972222143319</v>
      </c>
      <c r="W137" s="4"/>
      <c r="X137" s="4"/>
      <c r="Y137" s="4"/>
      <c r="Z137" s="4"/>
      <c r="AA137" s="4"/>
      <c r="AB137" s="4"/>
      <c r="AC137" s="4"/>
      <c r="AD137" s="4"/>
      <c r="AE137" s="4" t="s">
        <v>1158</v>
      </c>
      <c r="AF137" s="4"/>
      <c r="AG137" s="4"/>
      <c r="AH137" s="4"/>
      <c r="AI137" s="4"/>
      <c r="AJ137" s="4"/>
      <c r="AK137" s="4"/>
      <c r="AL137" s="4"/>
      <c r="AM137" s="4"/>
      <c r="AN137" s="4"/>
      <c r="AO137" s="12" t="str">
        <f>IF($A137="","",admin!$B$2&amp;"\Charts\"&amp;$A137)</f>
        <v>C:\Backups\InsiderTechSol\Aviation\Jetelio_v3\.LAYOUT\resources\Charts\SYCJ</v>
      </c>
      <c r="AP137" s="12" t="str">
        <f>IF($A137="","",admin!$B$2&amp;"\RunwayDiagrams\"&amp;$A137&amp;".pdf")</f>
        <v>C:\Backups\InsiderTechSol\Aviation\Jetelio_v3\.LAYOUT\resources\RunwayDiagrams\SYCJ.pdf</v>
      </c>
      <c r="AQ137" s="12" t="str">
        <f>IF($A137="","",admin!$B$2&amp;"\Images\"&amp;$A137)</f>
        <v>C:\Backups\InsiderTechSol\Aviation\Jetelio_v3\.LAYOUT\resources\Images\SYCJ</v>
      </c>
      <c r="AR137" s="12" t="str">
        <f>IF($A137="","",admin!$B$2&amp;"\CityMaps\"&amp;$A137&amp;".png")</f>
        <v>C:\Backups\InsiderTechSol\Aviation\Jetelio_v3\.LAYOUT\resources\CityMaps\SYCJ.png</v>
      </c>
      <c r="AS137" s="16" t="str">
        <f t="shared" si="14"/>
        <v>VISA sheet</v>
      </c>
      <c r="AT137" s="16" t="str">
        <f t="shared" si="15"/>
        <v>Vendors sheet</v>
      </c>
      <c r="AU137" s="4"/>
      <c r="AV137" s="15">
        <f t="shared" ca="1" si="16"/>
        <v>46243</v>
      </c>
      <c r="AX137" s="6"/>
      <c r="AY137" t="str">
        <f t="shared" si="17"/>
        <v>INCOMPLETE - NOT SELECTABLE AS TECH STOP</v>
      </c>
    </row>
    <row r="138" spans="1:51" x14ac:dyDescent="0.3">
      <c r="A138" s="4" t="s">
        <v>397</v>
      </c>
      <c r="B138" s="4" t="s">
        <v>398</v>
      </c>
      <c r="C138" s="4"/>
      <c r="D138" s="4"/>
      <c r="E138" s="4" t="s">
        <v>611</v>
      </c>
      <c r="F138" s="4" t="s">
        <v>82</v>
      </c>
      <c r="G138" s="4"/>
      <c r="H138" s="4" t="s">
        <v>862</v>
      </c>
      <c r="I138" s="4" t="s">
        <v>862</v>
      </c>
      <c r="J138" s="4"/>
      <c r="K138" s="4"/>
      <c r="L138" s="4"/>
      <c r="M138" s="4"/>
      <c r="N138" s="12" t="str">
        <f t="shared" si="12"/>
        <v>22°18′43″N 113°54′53″E</v>
      </c>
      <c r="O138" s="7">
        <v>22.31184</v>
      </c>
      <c r="P138" s="7">
        <v>113.91486</v>
      </c>
      <c r="Q138" s="13">
        <f t="shared" si="13"/>
        <v>9</v>
      </c>
      <c r="R138" s="11">
        <v>28</v>
      </c>
      <c r="S138" s="4"/>
      <c r="T138" s="4" t="s">
        <v>1007</v>
      </c>
      <c r="U138" s="8">
        <v>8</v>
      </c>
      <c r="V138" s="14">
        <f ca="1">IF($U138="","",MOD(NOW()-admin!$B$1/24+$U138/24,1))</f>
        <v>0.94515972222143319</v>
      </c>
      <c r="W138" s="4"/>
      <c r="X138" s="4"/>
      <c r="Y138" s="4"/>
      <c r="Z138" s="4"/>
      <c r="AA138" s="4"/>
      <c r="AB138" s="4"/>
      <c r="AC138" s="4"/>
      <c r="AD138" s="4"/>
      <c r="AE138" s="4" t="s">
        <v>1159</v>
      </c>
      <c r="AF138" s="4"/>
      <c r="AG138" s="4"/>
      <c r="AH138" s="4"/>
      <c r="AI138" s="4"/>
      <c r="AJ138" s="4"/>
      <c r="AK138" s="4"/>
      <c r="AL138" s="4"/>
      <c r="AM138" s="4"/>
      <c r="AN138" s="4"/>
      <c r="AO138" s="12" t="str">
        <f>IF($A138="","",admin!$B$2&amp;"\Charts\"&amp;$A138)</f>
        <v>C:\Backups\InsiderTechSol\Aviation\Jetelio_v3\.LAYOUT\resources\Charts\VHHH</v>
      </c>
      <c r="AP138" s="12" t="str">
        <f>IF($A138="","",admin!$B$2&amp;"\RunwayDiagrams\"&amp;$A138&amp;".pdf")</f>
        <v>C:\Backups\InsiderTechSol\Aviation\Jetelio_v3\.LAYOUT\resources\RunwayDiagrams\VHHH.pdf</v>
      </c>
      <c r="AQ138" s="12" t="str">
        <f>IF($A138="","",admin!$B$2&amp;"\Images\"&amp;$A138)</f>
        <v>C:\Backups\InsiderTechSol\Aviation\Jetelio_v3\.LAYOUT\resources\Images\VHHH</v>
      </c>
      <c r="AR138" s="12" t="str">
        <f>IF($A138="","",admin!$B$2&amp;"\CityMaps\"&amp;$A138&amp;".png")</f>
        <v>C:\Backups\InsiderTechSol\Aviation\Jetelio_v3\.LAYOUT\resources\CityMaps\VHHH.png</v>
      </c>
      <c r="AS138" s="16" t="str">
        <f t="shared" si="14"/>
        <v>VISA sheet</v>
      </c>
      <c r="AT138" s="16" t="str">
        <f t="shared" si="15"/>
        <v>Vendors sheet</v>
      </c>
      <c r="AU138" s="4"/>
      <c r="AV138" s="15">
        <f t="shared" ca="1" si="16"/>
        <v>46243</v>
      </c>
      <c r="AX138" s="6"/>
      <c r="AY138" t="str">
        <f t="shared" si="17"/>
        <v>INCOMPLETE - NOT SELECTABLE AS TECH STOP</v>
      </c>
    </row>
    <row r="139" spans="1:51" x14ac:dyDescent="0.3">
      <c r="A139" s="4" t="s">
        <v>399</v>
      </c>
      <c r="B139" s="4" t="s">
        <v>400</v>
      </c>
      <c r="C139" s="4"/>
      <c r="D139" s="4"/>
      <c r="E139" s="4" t="s">
        <v>612</v>
      </c>
      <c r="F139" s="4" t="s">
        <v>82</v>
      </c>
      <c r="G139" s="4"/>
      <c r="H139" s="4" t="s">
        <v>863</v>
      </c>
      <c r="I139" s="4" t="s">
        <v>864</v>
      </c>
      <c r="J139" s="4"/>
      <c r="K139" s="4"/>
      <c r="L139" s="4"/>
      <c r="M139" s="4"/>
      <c r="N139" s="12" t="str">
        <f t="shared" si="12"/>
        <v>15°27′09″N 087°55′25″W</v>
      </c>
      <c r="O139" s="7">
        <v>15.4526</v>
      </c>
      <c r="P139" s="7">
        <v>-87.923599999999993</v>
      </c>
      <c r="Q139" s="13">
        <f t="shared" si="13"/>
        <v>28</v>
      </c>
      <c r="R139" s="11">
        <v>91</v>
      </c>
      <c r="S139" s="4"/>
      <c r="T139" s="4" t="s">
        <v>1008</v>
      </c>
      <c r="U139" s="8">
        <v>-6</v>
      </c>
      <c r="V139" s="14">
        <f ca="1">IF($U139="","",MOD(NOW()-admin!$B$1/24+$U139/24,1))</f>
        <v>0.36182638888567453</v>
      </c>
      <c r="W139" s="4"/>
      <c r="X139" s="4"/>
      <c r="Y139" s="4"/>
      <c r="Z139" s="4"/>
      <c r="AA139" s="4"/>
      <c r="AB139" s="4"/>
      <c r="AC139" s="4"/>
      <c r="AD139" s="4"/>
      <c r="AE139" s="4" t="s">
        <v>1160</v>
      </c>
      <c r="AF139" s="4"/>
      <c r="AG139" s="4"/>
      <c r="AH139" s="4"/>
      <c r="AI139" s="4"/>
      <c r="AJ139" s="4"/>
      <c r="AK139" s="4"/>
      <c r="AL139" s="4"/>
      <c r="AM139" s="4"/>
      <c r="AN139" s="4"/>
      <c r="AO139" s="12" t="str">
        <f>IF($A139="","",admin!$B$2&amp;"\Charts\"&amp;$A139)</f>
        <v>C:\Backups\InsiderTechSol\Aviation\Jetelio_v3\.LAYOUT\resources\Charts\MHLM</v>
      </c>
      <c r="AP139" s="12" t="str">
        <f>IF($A139="","",admin!$B$2&amp;"\RunwayDiagrams\"&amp;$A139&amp;".pdf")</f>
        <v>C:\Backups\InsiderTechSol\Aviation\Jetelio_v3\.LAYOUT\resources\RunwayDiagrams\MHLM.pdf</v>
      </c>
      <c r="AQ139" s="12" t="str">
        <f>IF($A139="","",admin!$B$2&amp;"\Images\"&amp;$A139)</f>
        <v>C:\Backups\InsiderTechSol\Aviation\Jetelio_v3\.LAYOUT\resources\Images\MHLM</v>
      </c>
      <c r="AR139" s="12" t="str">
        <f>IF($A139="","",admin!$B$2&amp;"\CityMaps\"&amp;$A139&amp;".png")</f>
        <v>C:\Backups\InsiderTechSol\Aviation\Jetelio_v3\.LAYOUT\resources\CityMaps\MHLM.png</v>
      </c>
      <c r="AS139" s="16" t="str">
        <f t="shared" si="14"/>
        <v>VISA sheet</v>
      </c>
      <c r="AT139" s="16" t="str">
        <f t="shared" si="15"/>
        <v>Vendors sheet</v>
      </c>
      <c r="AU139" s="4"/>
      <c r="AV139" s="15">
        <f t="shared" ca="1" si="16"/>
        <v>46243</v>
      </c>
      <c r="AX139" s="6"/>
      <c r="AY139" t="str">
        <f t="shared" si="17"/>
        <v>INCOMPLETE - NOT SELECTABLE AS TECH STOP</v>
      </c>
    </row>
    <row r="140" spans="1:51" x14ac:dyDescent="0.3">
      <c r="A140" s="4" t="s">
        <v>401</v>
      </c>
      <c r="B140" s="4" t="s">
        <v>402</v>
      </c>
      <c r="C140" s="4"/>
      <c r="D140" s="4"/>
      <c r="E140" s="4" t="s">
        <v>613</v>
      </c>
      <c r="F140" s="4" t="s">
        <v>82</v>
      </c>
      <c r="G140" s="4"/>
      <c r="H140" s="4" t="s">
        <v>863</v>
      </c>
      <c r="I140" s="4" t="s">
        <v>865</v>
      </c>
      <c r="J140" s="4"/>
      <c r="K140" s="4"/>
      <c r="L140" s="4"/>
      <c r="M140" s="4"/>
      <c r="N140" s="12" t="str">
        <f t="shared" si="12"/>
        <v>14°22′57″N 087°37′16″W</v>
      </c>
      <c r="O140" s="7">
        <v>14.382400000000001</v>
      </c>
      <c r="P140" s="7">
        <v>-87.621200000000002</v>
      </c>
      <c r="Q140" s="13">
        <f t="shared" si="13"/>
        <v>628</v>
      </c>
      <c r="R140" s="11">
        <v>2061</v>
      </c>
      <c r="S140" s="4"/>
      <c r="T140" s="4"/>
      <c r="U140" s="8"/>
      <c r="V140" s="14" t="str">
        <f ca="1">IF($U140="","",MOD(NOW()-admin!$B$1/24+$U140/24,1))</f>
        <v/>
      </c>
      <c r="W140" s="4"/>
      <c r="X140" s="4"/>
      <c r="Y140" s="4"/>
      <c r="Z140" s="4"/>
      <c r="AA140" s="4"/>
      <c r="AB140" s="4"/>
      <c r="AC140" s="4"/>
      <c r="AD140" s="4"/>
      <c r="AE140" s="4" t="s">
        <v>1161</v>
      </c>
      <c r="AF140" s="4"/>
      <c r="AG140" s="4"/>
      <c r="AH140" s="4"/>
      <c r="AI140" s="4"/>
      <c r="AJ140" s="4"/>
      <c r="AK140" s="4"/>
      <c r="AL140" s="4"/>
      <c r="AM140" s="4"/>
      <c r="AN140" s="4"/>
      <c r="AO140" s="12" t="str">
        <f>IF($A140="","",admin!$B$2&amp;"\Charts\"&amp;$A140)</f>
        <v>C:\Backups\InsiderTechSol\Aviation\Jetelio_v3\.LAYOUT\resources\Charts\MHPR</v>
      </c>
      <c r="AP140" s="12" t="str">
        <f>IF($A140="","",admin!$B$2&amp;"\RunwayDiagrams\"&amp;$A140&amp;".pdf")</f>
        <v>C:\Backups\InsiderTechSol\Aviation\Jetelio_v3\.LAYOUT\resources\RunwayDiagrams\MHPR.pdf</v>
      </c>
      <c r="AQ140" s="12" t="str">
        <f>IF($A140="","",admin!$B$2&amp;"\Images\"&amp;$A140)</f>
        <v>C:\Backups\InsiderTechSol\Aviation\Jetelio_v3\.LAYOUT\resources\Images\MHPR</v>
      </c>
      <c r="AR140" s="12" t="str">
        <f>IF($A140="","",admin!$B$2&amp;"\CityMaps\"&amp;$A140&amp;".png")</f>
        <v>C:\Backups\InsiderTechSol\Aviation\Jetelio_v3\.LAYOUT\resources\CityMaps\MHPR.png</v>
      </c>
      <c r="AS140" s="16" t="str">
        <f t="shared" si="14"/>
        <v>VISA sheet</v>
      </c>
      <c r="AT140" s="16" t="str">
        <f t="shared" si="15"/>
        <v>Vendors sheet</v>
      </c>
      <c r="AU140" s="4"/>
      <c r="AV140" s="15">
        <f t="shared" ca="1" si="16"/>
        <v>46243</v>
      </c>
      <c r="AX140" s="6"/>
      <c r="AY140" t="str">
        <f t="shared" si="17"/>
        <v>INCOMPLETE - NOT SELECTABLE AS TECH STOP</v>
      </c>
    </row>
    <row r="141" spans="1:51" x14ac:dyDescent="0.3">
      <c r="A141" s="4" t="s">
        <v>403</v>
      </c>
      <c r="B141" s="4" t="s">
        <v>404</v>
      </c>
      <c r="C141" s="4"/>
      <c r="D141" s="4"/>
      <c r="E141" s="4" t="s">
        <v>614</v>
      </c>
      <c r="F141" s="4" t="s">
        <v>82</v>
      </c>
      <c r="G141" s="4"/>
      <c r="H141" s="4" t="s">
        <v>866</v>
      </c>
      <c r="I141" s="4" t="s">
        <v>867</v>
      </c>
      <c r="J141" s="4"/>
      <c r="K141" s="4"/>
      <c r="L141" s="4"/>
      <c r="M141" s="4"/>
      <c r="N141" s="12" t="str">
        <f t="shared" si="12"/>
        <v>42°33′44″N 018°15′56″E</v>
      </c>
      <c r="O141" s="7">
        <v>42.562249999999999</v>
      </c>
      <c r="P141" s="7">
        <v>18.265540000000001</v>
      </c>
      <c r="Q141" s="13">
        <f t="shared" si="13"/>
        <v>161</v>
      </c>
      <c r="R141" s="11">
        <v>527</v>
      </c>
      <c r="S141" s="4"/>
      <c r="T141" s="4" t="s">
        <v>1009</v>
      </c>
      <c r="U141" s="8">
        <v>1</v>
      </c>
      <c r="V141" s="14">
        <f ca="1">IF($U141="","",MOD(NOW()-admin!$B$1/24+$U141/24,1))</f>
        <v>0.65349305554991588</v>
      </c>
      <c r="W141" s="4"/>
      <c r="X141" s="4"/>
      <c r="Y141" s="4"/>
      <c r="Z141" s="4"/>
      <c r="AA141" s="4"/>
      <c r="AB141" s="4"/>
      <c r="AC141" s="4"/>
      <c r="AD141" s="4"/>
      <c r="AE141" s="4" t="s">
        <v>1162</v>
      </c>
      <c r="AF141" s="4"/>
      <c r="AG141" s="4"/>
      <c r="AH141" s="4"/>
      <c r="AI141" s="4"/>
      <c r="AJ141" s="4"/>
      <c r="AK141" s="4"/>
      <c r="AL141" s="4"/>
      <c r="AM141" s="4"/>
      <c r="AN141" s="4"/>
      <c r="AO141" s="12" t="str">
        <f>IF($A141="","",admin!$B$2&amp;"\Charts\"&amp;$A141)</f>
        <v>C:\Backups\InsiderTechSol\Aviation\Jetelio_v3\.LAYOUT\resources\Charts\LDDU</v>
      </c>
      <c r="AP141" s="12" t="str">
        <f>IF($A141="","",admin!$B$2&amp;"\RunwayDiagrams\"&amp;$A141&amp;".pdf")</f>
        <v>C:\Backups\InsiderTechSol\Aviation\Jetelio_v3\.LAYOUT\resources\RunwayDiagrams\LDDU.pdf</v>
      </c>
      <c r="AQ141" s="12" t="str">
        <f>IF($A141="","",admin!$B$2&amp;"\Images\"&amp;$A141)</f>
        <v>C:\Backups\InsiderTechSol\Aviation\Jetelio_v3\.LAYOUT\resources\Images\LDDU</v>
      </c>
      <c r="AR141" s="12" t="str">
        <f>IF($A141="","",admin!$B$2&amp;"\CityMaps\"&amp;$A141&amp;".png")</f>
        <v>C:\Backups\InsiderTechSol\Aviation\Jetelio_v3\.LAYOUT\resources\CityMaps\LDDU.png</v>
      </c>
      <c r="AS141" s="16" t="str">
        <f t="shared" si="14"/>
        <v>VISA sheet</v>
      </c>
      <c r="AT141" s="16" t="str">
        <f t="shared" si="15"/>
        <v>Vendors sheet</v>
      </c>
      <c r="AU141" s="4"/>
      <c r="AV141" s="15">
        <f t="shared" ca="1" si="16"/>
        <v>46243</v>
      </c>
      <c r="AX141" s="6"/>
      <c r="AY141" t="str">
        <f t="shared" si="17"/>
        <v>INCOMPLETE - NOT SELECTABLE AS TECH STOP</v>
      </c>
    </row>
    <row r="142" spans="1:51" x14ac:dyDescent="0.3">
      <c r="A142" s="4" t="s">
        <v>405</v>
      </c>
      <c r="B142" s="4" t="s">
        <v>406</v>
      </c>
      <c r="C142" s="4"/>
      <c r="D142" s="4"/>
      <c r="E142" s="4" t="s">
        <v>615</v>
      </c>
      <c r="F142" s="4" t="s">
        <v>82</v>
      </c>
      <c r="G142" s="4"/>
      <c r="H142" s="4" t="s">
        <v>866</v>
      </c>
      <c r="I142" s="4" t="s">
        <v>868</v>
      </c>
      <c r="J142" s="4"/>
      <c r="K142" s="4"/>
      <c r="L142" s="4"/>
      <c r="M142" s="4"/>
      <c r="N142" s="12" t="str">
        <f t="shared" si="12"/>
        <v>44°53′37″N 013°55′20″E</v>
      </c>
      <c r="O142" s="7">
        <v>44.893500000000003</v>
      </c>
      <c r="P142" s="7">
        <v>13.9222</v>
      </c>
      <c r="Q142" s="13">
        <f t="shared" si="13"/>
        <v>84</v>
      </c>
      <c r="R142" s="11">
        <v>274</v>
      </c>
      <c r="S142" s="4"/>
      <c r="T142" s="4" t="s">
        <v>1009</v>
      </c>
      <c r="U142" s="8">
        <v>1</v>
      </c>
      <c r="V142" s="14">
        <f ca="1">IF($U142="","",MOD(NOW()-admin!$B$1/24+$U142/24,1))</f>
        <v>0.65349305554991588</v>
      </c>
      <c r="W142" s="4"/>
      <c r="X142" s="4"/>
      <c r="Y142" s="4"/>
      <c r="Z142" s="4"/>
      <c r="AA142" s="4"/>
      <c r="AB142" s="4"/>
      <c r="AC142" s="4"/>
      <c r="AD142" s="4"/>
      <c r="AE142" s="4" t="s">
        <v>1163</v>
      </c>
      <c r="AF142" s="4"/>
      <c r="AG142" s="4"/>
      <c r="AH142" s="4"/>
      <c r="AI142" s="4"/>
      <c r="AJ142" s="4"/>
      <c r="AK142" s="4"/>
      <c r="AL142" s="4"/>
      <c r="AM142" s="4"/>
      <c r="AN142" s="4"/>
      <c r="AO142" s="12" t="str">
        <f>IF($A142="","",admin!$B$2&amp;"\Charts\"&amp;$A142)</f>
        <v>C:\Backups\InsiderTechSol\Aviation\Jetelio_v3\.LAYOUT\resources\Charts\LDPL</v>
      </c>
      <c r="AP142" s="12" t="str">
        <f>IF($A142="","",admin!$B$2&amp;"\RunwayDiagrams\"&amp;$A142&amp;".pdf")</f>
        <v>C:\Backups\InsiderTechSol\Aviation\Jetelio_v3\.LAYOUT\resources\RunwayDiagrams\LDPL.pdf</v>
      </c>
      <c r="AQ142" s="12" t="str">
        <f>IF($A142="","",admin!$B$2&amp;"\Images\"&amp;$A142)</f>
        <v>C:\Backups\InsiderTechSol\Aviation\Jetelio_v3\.LAYOUT\resources\Images\LDPL</v>
      </c>
      <c r="AR142" s="12" t="str">
        <f>IF($A142="","",admin!$B$2&amp;"\CityMaps\"&amp;$A142&amp;".png")</f>
        <v>C:\Backups\InsiderTechSol\Aviation\Jetelio_v3\.LAYOUT\resources\CityMaps\LDPL.png</v>
      </c>
      <c r="AS142" s="16" t="str">
        <f t="shared" si="14"/>
        <v>VISA sheet</v>
      </c>
      <c r="AT142" s="16" t="str">
        <f t="shared" si="15"/>
        <v>Vendors sheet</v>
      </c>
      <c r="AU142" s="4"/>
      <c r="AV142" s="15">
        <f t="shared" ca="1" si="16"/>
        <v>46243</v>
      </c>
      <c r="AX142" s="6"/>
      <c r="AY142" t="str">
        <f t="shared" si="17"/>
        <v>INCOMPLETE - NOT SELECTABLE AS TECH STOP</v>
      </c>
    </row>
    <row r="143" spans="1:51" x14ac:dyDescent="0.3">
      <c r="A143" s="4" t="s">
        <v>407</v>
      </c>
      <c r="B143" s="4" t="s">
        <v>408</v>
      </c>
      <c r="C143" s="4"/>
      <c r="D143" s="4"/>
      <c r="E143" s="4" t="s">
        <v>616</v>
      </c>
      <c r="F143" s="4" t="s">
        <v>82</v>
      </c>
      <c r="G143" s="4"/>
      <c r="H143" s="4" t="s">
        <v>869</v>
      </c>
      <c r="I143" s="4" t="s">
        <v>870</v>
      </c>
      <c r="J143" s="4"/>
      <c r="K143" s="4"/>
      <c r="L143" s="4"/>
      <c r="M143" s="4"/>
      <c r="N143" s="12" t="str">
        <f t="shared" si="12"/>
        <v>19°43′32″N 072°12′03″W</v>
      </c>
      <c r="O143" s="7">
        <v>19.725549999999998</v>
      </c>
      <c r="P143" s="7">
        <v>-72.200710000000001</v>
      </c>
      <c r="Q143" s="13">
        <f t="shared" si="13"/>
        <v>3</v>
      </c>
      <c r="R143" s="11">
        <v>10</v>
      </c>
      <c r="S143" s="4"/>
      <c r="T143" s="4" t="s">
        <v>1010</v>
      </c>
      <c r="U143" s="8">
        <v>-5</v>
      </c>
      <c r="V143" s="14">
        <f ca="1">IF($U143="","",MOD(NOW()-admin!$B$1/24+$U143/24,1))</f>
        <v>0.40349305554991588</v>
      </c>
      <c r="W143" s="4"/>
      <c r="X143" s="4"/>
      <c r="Y143" s="4"/>
      <c r="Z143" s="4"/>
      <c r="AA143" s="4"/>
      <c r="AB143" s="4"/>
      <c r="AC143" s="4"/>
      <c r="AD143" s="4"/>
      <c r="AE143" s="4" t="s">
        <v>1164</v>
      </c>
      <c r="AF143" s="4"/>
      <c r="AG143" s="4"/>
      <c r="AH143" s="4"/>
      <c r="AI143" s="4"/>
      <c r="AJ143" s="4"/>
      <c r="AK143" s="4"/>
      <c r="AL143" s="4"/>
      <c r="AM143" s="4"/>
      <c r="AN143" s="4"/>
      <c r="AO143" s="12" t="str">
        <f>IF($A143="","",admin!$B$2&amp;"\Charts\"&amp;$A143)</f>
        <v>C:\Backups\InsiderTechSol\Aviation\Jetelio_v3\.LAYOUT\resources\Charts\MTCH</v>
      </c>
      <c r="AP143" s="12" t="str">
        <f>IF($A143="","",admin!$B$2&amp;"\RunwayDiagrams\"&amp;$A143&amp;".pdf")</f>
        <v>C:\Backups\InsiderTechSol\Aviation\Jetelio_v3\.LAYOUT\resources\RunwayDiagrams\MTCH.pdf</v>
      </c>
      <c r="AQ143" s="12" t="str">
        <f>IF($A143="","",admin!$B$2&amp;"\Images\"&amp;$A143)</f>
        <v>C:\Backups\InsiderTechSol\Aviation\Jetelio_v3\.LAYOUT\resources\Images\MTCH</v>
      </c>
      <c r="AR143" s="12" t="str">
        <f>IF($A143="","",admin!$B$2&amp;"\CityMaps\"&amp;$A143&amp;".png")</f>
        <v>C:\Backups\InsiderTechSol\Aviation\Jetelio_v3\.LAYOUT\resources\CityMaps\MTCH.png</v>
      </c>
      <c r="AS143" s="16" t="str">
        <f t="shared" si="14"/>
        <v>VISA sheet</v>
      </c>
      <c r="AT143" s="16" t="str">
        <f t="shared" si="15"/>
        <v>Vendors sheet</v>
      </c>
      <c r="AU143" s="4"/>
      <c r="AV143" s="15">
        <f t="shared" ca="1" si="16"/>
        <v>46243</v>
      </c>
      <c r="AX143" s="6"/>
      <c r="AY143" t="str">
        <f t="shared" si="17"/>
        <v>INCOMPLETE - NOT SELECTABLE AS TECH STOP</v>
      </c>
    </row>
    <row r="144" spans="1:51" x14ac:dyDescent="0.3">
      <c r="A144" s="4" t="s">
        <v>409</v>
      </c>
      <c r="B144" s="4" t="s">
        <v>410</v>
      </c>
      <c r="C144" s="4"/>
      <c r="D144" s="4"/>
      <c r="E144" s="4" t="s">
        <v>617</v>
      </c>
      <c r="F144" s="4" t="s">
        <v>82</v>
      </c>
      <c r="G144" s="4"/>
      <c r="H144" s="4" t="s">
        <v>869</v>
      </c>
      <c r="I144" s="4" t="s">
        <v>871</v>
      </c>
      <c r="J144" s="4"/>
      <c r="K144" s="4"/>
      <c r="L144" s="4"/>
      <c r="M144" s="4"/>
      <c r="N144" s="12" t="str">
        <f t="shared" si="12"/>
        <v>18°34′48″N 072°17′33″W</v>
      </c>
      <c r="O144" s="7">
        <v>18.580020000000001</v>
      </c>
      <c r="P144" s="7">
        <v>-72.292599999999993</v>
      </c>
      <c r="Q144" s="13">
        <f t="shared" si="13"/>
        <v>37</v>
      </c>
      <c r="R144" s="11">
        <v>122</v>
      </c>
      <c r="S144" s="4"/>
      <c r="T144" s="4" t="s">
        <v>1010</v>
      </c>
      <c r="U144" s="8">
        <v>-5</v>
      </c>
      <c r="V144" s="14">
        <f ca="1">IF($U144="","",MOD(NOW()-admin!$B$1/24+$U144/24,1))</f>
        <v>0.40349305554991588</v>
      </c>
      <c r="W144" s="4"/>
      <c r="X144" s="4"/>
      <c r="Y144" s="4"/>
      <c r="Z144" s="4"/>
      <c r="AA144" s="4"/>
      <c r="AB144" s="4"/>
      <c r="AC144" s="4"/>
      <c r="AD144" s="4"/>
      <c r="AE144" s="4" t="s">
        <v>1165</v>
      </c>
      <c r="AF144" s="4"/>
      <c r="AG144" s="4"/>
      <c r="AH144" s="4"/>
      <c r="AI144" s="4"/>
      <c r="AJ144" s="4"/>
      <c r="AK144" s="4"/>
      <c r="AL144" s="4"/>
      <c r="AM144" s="4"/>
      <c r="AN144" s="4"/>
      <c r="AO144" s="12" t="str">
        <f>IF($A144="","",admin!$B$2&amp;"\Charts\"&amp;$A144)</f>
        <v>C:\Backups\InsiderTechSol\Aviation\Jetelio_v3\.LAYOUT\resources\Charts\MTPP</v>
      </c>
      <c r="AP144" s="12" t="str">
        <f>IF($A144="","",admin!$B$2&amp;"\RunwayDiagrams\"&amp;$A144&amp;".pdf")</f>
        <v>C:\Backups\InsiderTechSol\Aviation\Jetelio_v3\.LAYOUT\resources\RunwayDiagrams\MTPP.pdf</v>
      </c>
      <c r="AQ144" s="12" t="str">
        <f>IF($A144="","",admin!$B$2&amp;"\Images\"&amp;$A144)</f>
        <v>C:\Backups\InsiderTechSol\Aviation\Jetelio_v3\.LAYOUT\resources\Images\MTPP</v>
      </c>
      <c r="AR144" s="12" t="str">
        <f>IF($A144="","",admin!$B$2&amp;"\CityMaps\"&amp;$A144&amp;".png")</f>
        <v>C:\Backups\InsiderTechSol\Aviation\Jetelio_v3\.LAYOUT\resources\CityMaps\MTPP.png</v>
      </c>
      <c r="AS144" s="16" t="str">
        <f t="shared" si="14"/>
        <v>VISA sheet</v>
      </c>
      <c r="AT144" s="16" t="str">
        <f t="shared" si="15"/>
        <v>Vendors sheet</v>
      </c>
      <c r="AU144" s="4"/>
      <c r="AV144" s="15">
        <f t="shared" ca="1" si="16"/>
        <v>46243</v>
      </c>
      <c r="AX144" s="6"/>
      <c r="AY144" t="str">
        <f t="shared" si="17"/>
        <v>INCOMPLETE - NOT SELECTABLE AS TECH STOP</v>
      </c>
    </row>
    <row r="145" spans="1:51" x14ac:dyDescent="0.3">
      <c r="A145" s="4" t="s">
        <v>411</v>
      </c>
      <c r="B145" s="4" t="s">
        <v>412</v>
      </c>
      <c r="C145" s="4"/>
      <c r="D145" s="4"/>
      <c r="E145" s="4" t="s">
        <v>618</v>
      </c>
      <c r="F145" s="4" t="s">
        <v>82</v>
      </c>
      <c r="G145" s="4"/>
      <c r="H145" s="4" t="s">
        <v>872</v>
      </c>
      <c r="I145" s="4" t="s">
        <v>873</v>
      </c>
      <c r="J145" s="4"/>
      <c r="K145" s="4"/>
      <c r="L145" s="4"/>
      <c r="M145" s="4"/>
      <c r="N145" s="12" t="str">
        <f t="shared" si="12"/>
        <v>47°25′49″N 019°15′45″E</v>
      </c>
      <c r="O145" s="7">
        <v>47.43018</v>
      </c>
      <c r="P145" s="7">
        <v>19.26239</v>
      </c>
      <c r="Q145" s="13">
        <f t="shared" si="13"/>
        <v>151</v>
      </c>
      <c r="R145" s="11">
        <v>495</v>
      </c>
      <c r="S145" s="4"/>
      <c r="T145" s="4" t="s">
        <v>1011</v>
      </c>
      <c r="U145" s="8">
        <v>1</v>
      </c>
      <c r="V145" s="14">
        <f ca="1">IF($U145="","",MOD(NOW()-admin!$B$1/24+$U145/24,1))</f>
        <v>0.65349305554991588</v>
      </c>
      <c r="W145" s="4"/>
      <c r="X145" s="4"/>
      <c r="Y145" s="4"/>
      <c r="Z145" s="4"/>
      <c r="AA145" s="4"/>
      <c r="AB145" s="4"/>
      <c r="AC145" s="4"/>
      <c r="AD145" s="4"/>
      <c r="AE145" s="4" t="s">
        <v>1166</v>
      </c>
      <c r="AF145" s="4"/>
      <c r="AG145" s="4"/>
      <c r="AH145" s="4"/>
      <c r="AI145" s="4"/>
      <c r="AJ145" s="4"/>
      <c r="AK145" s="4"/>
      <c r="AL145" s="4"/>
      <c r="AM145" s="4"/>
      <c r="AN145" s="4"/>
      <c r="AO145" s="12" t="str">
        <f>IF($A145="","",admin!$B$2&amp;"\Charts\"&amp;$A145)</f>
        <v>C:\Backups\InsiderTechSol\Aviation\Jetelio_v3\.LAYOUT\resources\Charts\LHBP</v>
      </c>
      <c r="AP145" s="12" t="str">
        <f>IF($A145="","",admin!$B$2&amp;"\RunwayDiagrams\"&amp;$A145&amp;".pdf")</f>
        <v>C:\Backups\InsiderTechSol\Aviation\Jetelio_v3\.LAYOUT\resources\RunwayDiagrams\LHBP.pdf</v>
      </c>
      <c r="AQ145" s="12" t="str">
        <f>IF($A145="","",admin!$B$2&amp;"\Images\"&amp;$A145)</f>
        <v>C:\Backups\InsiderTechSol\Aviation\Jetelio_v3\.LAYOUT\resources\Images\LHBP</v>
      </c>
      <c r="AR145" s="12" t="str">
        <f>IF($A145="","",admin!$B$2&amp;"\CityMaps\"&amp;$A145&amp;".png")</f>
        <v>C:\Backups\InsiderTechSol\Aviation\Jetelio_v3\.LAYOUT\resources\CityMaps\LHBP.png</v>
      </c>
      <c r="AS145" s="16" t="str">
        <f t="shared" si="14"/>
        <v>VISA sheet</v>
      </c>
      <c r="AT145" s="16" t="str">
        <f t="shared" si="15"/>
        <v>Vendors sheet</v>
      </c>
      <c r="AU145" s="4"/>
      <c r="AV145" s="15">
        <f t="shared" ca="1" si="16"/>
        <v>46243</v>
      </c>
      <c r="AX145" s="6"/>
      <c r="AY145" t="str">
        <f t="shared" si="17"/>
        <v>INCOMPLETE - NOT SELECTABLE AS TECH STOP</v>
      </c>
    </row>
    <row r="146" spans="1:51" x14ac:dyDescent="0.3">
      <c r="A146" s="4" t="s">
        <v>413</v>
      </c>
      <c r="B146" s="4" t="s">
        <v>414</v>
      </c>
      <c r="C146" s="4"/>
      <c r="D146" s="4"/>
      <c r="E146" s="4" t="s">
        <v>619</v>
      </c>
      <c r="F146" s="4" t="s">
        <v>82</v>
      </c>
      <c r="G146" s="4"/>
      <c r="H146" s="4" t="s">
        <v>872</v>
      </c>
      <c r="I146" s="4" t="s">
        <v>874</v>
      </c>
      <c r="J146" s="4"/>
      <c r="K146" s="4"/>
      <c r="L146" s="4"/>
      <c r="M146" s="4"/>
      <c r="N146" s="12" t="str">
        <f t="shared" si="12"/>
        <v>47°29′22″N 021°36′59″E</v>
      </c>
      <c r="O146" s="7">
        <v>47.489469999999997</v>
      </c>
      <c r="P146" s="7">
        <v>21.61628</v>
      </c>
      <c r="Q146" s="13">
        <f t="shared" si="13"/>
        <v>109</v>
      </c>
      <c r="R146" s="11">
        <v>359</v>
      </c>
      <c r="S146" s="4"/>
      <c r="T146" s="4" t="s">
        <v>1011</v>
      </c>
      <c r="U146" s="8">
        <v>1</v>
      </c>
      <c r="V146" s="14">
        <f ca="1">IF($U146="","",MOD(NOW()-admin!$B$1/24+$U146/24,1))</f>
        <v>0.65349305554991588</v>
      </c>
      <c r="W146" s="4"/>
      <c r="X146" s="4"/>
      <c r="Y146" s="4"/>
      <c r="Z146" s="4"/>
      <c r="AA146" s="4"/>
      <c r="AB146" s="4"/>
      <c r="AC146" s="4"/>
      <c r="AD146" s="4"/>
      <c r="AE146" s="4" t="s">
        <v>1167</v>
      </c>
      <c r="AF146" s="4"/>
      <c r="AG146" s="4"/>
      <c r="AH146" s="4"/>
      <c r="AI146" s="4"/>
      <c r="AJ146" s="4"/>
      <c r="AK146" s="4"/>
      <c r="AL146" s="4"/>
      <c r="AM146" s="4"/>
      <c r="AN146" s="4"/>
      <c r="AO146" s="12" t="str">
        <f>IF($A146="","",admin!$B$2&amp;"\Charts\"&amp;$A146)</f>
        <v>C:\Backups\InsiderTechSol\Aviation\Jetelio_v3\.LAYOUT\resources\Charts\LHDC</v>
      </c>
      <c r="AP146" s="12" t="str">
        <f>IF($A146="","",admin!$B$2&amp;"\RunwayDiagrams\"&amp;$A146&amp;".pdf")</f>
        <v>C:\Backups\InsiderTechSol\Aviation\Jetelio_v3\.LAYOUT\resources\RunwayDiagrams\LHDC.pdf</v>
      </c>
      <c r="AQ146" s="12" t="str">
        <f>IF($A146="","",admin!$B$2&amp;"\Images\"&amp;$A146)</f>
        <v>C:\Backups\InsiderTechSol\Aviation\Jetelio_v3\.LAYOUT\resources\Images\LHDC</v>
      </c>
      <c r="AR146" s="12" t="str">
        <f>IF($A146="","",admin!$B$2&amp;"\CityMaps\"&amp;$A146&amp;".png")</f>
        <v>C:\Backups\InsiderTechSol\Aviation\Jetelio_v3\.LAYOUT\resources\CityMaps\LHDC.png</v>
      </c>
      <c r="AS146" s="16" t="str">
        <f t="shared" si="14"/>
        <v>VISA sheet</v>
      </c>
      <c r="AT146" s="16" t="str">
        <f t="shared" si="15"/>
        <v>Vendors sheet</v>
      </c>
      <c r="AU146" s="4"/>
      <c r="AV146" s="15">
        <f t="shared" ca="1" si="16"/>
        <v>46243</v>
      </c>
      <c r="AX146" s="6"/>
      <c r="AY146" t="str">
        <f t="shared" si="17"/>
        <v>INCOMPLETE - NOT SELECTABLE AS TECH STOP</v>
      </c>
    </row>
    <row r="147" spans="1:51" x14ac:dyDescent="0.3">
      <c r="A147" s="4" t="s">
        <v>415</v>
      </c>
      <c r="B147" s="4" t="s">
        <v>416</v>
      </c>
      <c r="C147" s="4"/>
      <c r="D147" s="4"/>
      <c r="E147" s="4" t="s">
        <v>620</v>
      </c>
      <c r="F147" s="4" t="s">
        <v>82</v>
      </c>
      <c r="G147" s="4"/>
      <c r="H147" s="4" t="s">
        <v>875</v>
      </c>
      <c r="I147" s="4" t="s">
        <v>876</v>
      </c>
      <c r="J147" s="4"/>
      <c r="K147" s="4"/>
      <c r="L147" s="4"/>
      <c r="M147" s="4"/>
      <c r="N147" s="12" t="str">
        <f t="shared" si="12"/>
        <v>05°04′32″S 119°33′13″E</v>
      </c>
      <c r="O147" s="7">
        <v>-5.0755400000000002</v>
      </c>
      <c r="P147" s="7">
        <v>119.55370000000001</v>
      </c>
      <c r="Q147" s="13">
        <f t="shared" si="13"/>
        <v>14</v>
      </c>
      <c r="R147" s="11">
        <v>47</v>
      </c>
      <c r="S147" s="4"/>
      <c r="T147" s="4" t="s">
        <v>1012</v>
      </c>
      <c r="U147" s="8">
        <v>8</v>
      </c>
      <c r="V147" s="14">
        <f ca="1">IF($U147="","",MOD(NOW()-admin!$B$1/24+$U147/24,1))</f>
        <v>0.94515972222143319</v>
      </c>
      <c r="W147" s="4"/>
      <c r="X147" s="4"/>
      <c r="Y147" s="4"/>
      <c r="Z147" s="4"/>
      <c r="AA147" s="4"/>
      <c r="AB147" s="4"/>
      <c r="AC147" s="4"/>
      <c r="AD147" s="4"/>
      <c r="AE147" s="4" t="s">
        <v>1168</v>
      </c>
      <c r="AF147" s="4"/>
      <c r="AG147" s="4"/>
      <c r="AH147" s="4"/>
      <c r="AI147" s="4"/>
      <c r="AJ147" s="4"/>
      <c r="AK147" s="4"/>
      <c r="AL147" s="4"/>
      <c r="AM147" s="4"/>
      <c r="AN147" s="4"/>
      <c r="AO147" s="12" t="str">
        <f>IF($A147="","",admin!$B$2&amp;"\Charts\"&amp;$A147)</f>
        <v>C:\Backups\InsiderTechSol\Aviation\Jetelio_v3\.LAYOUT\resources\Charts\WAAA</v>
      </c>
      <c r="AP147" s="12" t="str">
        <f>IF($A147="","",admin!$B$2&amp;"\RunwayDiagrams\"&amp;$A147&amp;".pdf")</f>
        <v>C:\Backups\InsiderTechSol\Aviation\Jetelio_v3\.LAYOUT\resources\RunwayDiagrams\WAAA.pdf</v>
      </c>
      <c r="AQ147" s="12" t="str">
        <f>IF($A147="","",admin!$B$2&amp;"\Images\"&amp;$A147)</f>
        <v>C:\Backups\InsiderTechSol\Aviation\Jetelio_v3\.LAYOUT\resources\Images\WAAA</v>
      </c>
      <c r="AR147" s="12" t="str">
        <f>IF($A147="","",admin!$B$2&amp;"\CityMaps\"&amp;$A147&amp;".png")</f>
        <v>C:\Backups\InsiderTechSol\Aviation\Jetelio_v3\.LAYOUT\resources\CityMaps\WAAA.png</v>
      </c>
      <c r="AS147" s="16" t="str">
        <f t="shared" si="14"/>
        <v>VISA sheet</v>
      </c>
      <c r="AT147" s="16" t="str">
        <f t="shared" si="15"/>
        <v>Vendors sheet</v>
      </c>
      <c r="AU147" s="4"/>
      <c r="AV147" s="15">
        <f t="shared" ca="1" si="16"/>
        <v>46243</v>
      </c>
      <c r="AX147" s="6"/>
      <c r="AY147" t="str">
        <f t="shared" si="17"/>
        <v>INCOMPLETE - NOT SELECTABLE AS TECH STOP</v>
      </c>
    </row>
    <row r="148" spans="1:51" x14ac:dyDescent="0.3">
      <c r="A148" s="4" t="s">
        <v>417</v>
      </c>
      <c r="B148" s="4" t="s">
        <v>418</v>
      </c>
      <c r="C148" s="4"/>
      <c r="D148" s="4"/>
      <c r="E148" s="4" t="s">
        <v>621</v>
      </c>
      <c r="F148" s="4" t="s">
        <v>82</v>
      </c>
      <c r="G148" s="4"/>
      <c r="H148" s="4" t="s">
        <v>875</v>
      </c>
      <c r="I148" s="4" t="s">
        <v>877</v>
      </c>
      <c r="J148" s="4"/>
      <c r="K148" s="4"/>
      <c r="L148" s="4"/>
      <c r="M148" s="4"/>
      <c r="N148" s="12" t="str">
        <f t="shared" si="12"/>
        <v>08°44′54″S 115°10′02″E</v>
      </c>
      <c r="O148" s="7">
        <v>-8.7484099999999998</v>
      </c>
      <c r="P148" s="7">
        <v>115.16712</v>
      </c>
      <c r="Q148" s="13">
        <f t="shared" si="13"/>
        <v>4</v>
      </c>
      <c r="R148" s="11">
        <v>14</v>
      </c>
      <c r="S148" s="4"/>
      <c r="T148" s="4" t="s">
        <v>1012</v>
      </c>
      <c r="U148" s="8">
        <v>8</v>
      </c>
      <c r="V148" s="14">
        <f ca="1">IF($U148="","",MOD(NOW()-admin!$B$1/24+$U148/24,1))</f>
        <v>0.94515972222143319</v>
      </c>
      <c r="W148" s="4"/>
      <c r="X148" s="4"/>
      <c r="Y148" s="4"/>
      <c r="Z148" s="4"/>
      <c r="AA148" s="4"/>
      <c r="AB148" s="4"/>
      <c r="AC148" s="4"/>
      <c r="AD148" s="4"/>
      <c r="AE148" s="4" t="s">
        <v>1169</v>
      </c>
      <c r="AF148" s="4"/>
      <c r="AG148" s="4"/>
      <c r="AH148" s="4"/>
      <c r="AI148" s="4"/>
      <c r="AJ148" s="4"/>
      <c r="AK148" s="4"/>
      <c r="AL148" s="4"/>
      <c r="AM148" s="4"/>
      <c r="AN148" s="4"/>
      <c r="AO148" s="12" t="str">
        <f>IF($A148="","",admin!$B$2&amp;"\Charts\"&amp;$A148)</f>
        <v>C:\Backups\InsiderTechSol\Aviation\Jetelio_v3\.LAYOUT\resources\Charts\WADD</v>
      </c>
      <c r="AP148" s="12" t="str">
        <f>IF($A148="","",admin!$B$2&amp;"\RunwayDiagrams\"&amp;$A148&amp;".pdf")</f>
        <v>C:\Backups\InsiderTechSol\Aviation\Jetelio_v3\.LAYOUT\resources\RunwayDiagrams\WADD.pdf</v>
      </c>
      <c r="AQ148" s="12" t="str">
        <f>IF($A148="","",admin!$B$2&amp;"\Images\"&amp;$A148)</f>
        <v>C:\Backups\InsiderTechSol\Aviation\Jetelio_v3\.LAYOUT\resources\Images\WADD</v>
      </c>
      <c r="AR148" s="12" t="str">
        <f>IF($A148="","",admin!$B$2&amp;"\CityMaps\"&amp;$A148&amp;".png")</f>
        <v>C:\Backups\InsiderTechSol\Aviation\Jetelio_v3\.LAYOUT\resources\CityMaps\WADD.png</v>
      </c>
      <c r="AS148" s="16" t="str">
        <f t="shared" si="14"/>
        <v>VISA sheet</v>
      </c>
      <c r="AT148" s="16" t="str">
        <f t="shared" si="15"/>
        <v>Vendors sheet</v>
      </c>
      <c r="AU148" s="4"/>
      <c r="AV148" s="15">
        <f t="shared" ca="1" si="16"/>
        <v>46243</v>
      </c>
      <c r="AX148" s="6"/>
      <c r="AY148" t="str">
        <f t="shared" si="17"/>
        <v>INCOMPLETE - NOT SELECTABLE AS TECH STOP</v>
      </c>
    </row>
    <row r="149" spans="1:51" x14ac:dyDescent="0.3">
      <c r="A149" s="4" t="s">
        <v>419</v>
      </c>
      <c r="B149" s="4" t="s">
        <v>420</v>
      </c>
      <c r="C149" s="4"/>
      <c r="D149" s="4"/>
      <c r="E149" s="4" t="s">
        <v>622</v>
      </c>
      <c r="F149" s="4" t="s">
        <v>82</v>
      </c>
      <c r="G149" s="4"/>
      <c r="H149" s="4" t="s">
        <v>878</v>
      </c>
      <c r="I149" s="4" t="s">
        <v>879</v>
      </c>
      <c r="J149" s="4"/>
      <c r="K149" s="4"/>
      <c r="L149" s="4"/>
      <c r="M149" s="4"/>
      <c r="N149" s="12" t="str">
        <f t="shared" si="12"/>
        <v>51°50′29″N 008°29′28″W</v>
      </c>
      <c r="O149" s="7">
        <v>51.841299999999997</v>
      </c>
      <c r="P149" s="7">
        <v>-8.4911100000000008</v>
      </c>
      <c r="Q149" s="13">
        <f t="shared" si="13"/>
        <v>153</v>
      </c>
      <c r="R149" s="11">
        <v>502</v>
      </c>
      <c r="S149" s="4"/>
      <c r="T149" s="4" t="s">
        <v>1013</v>
      </c>
      <c r="U149" s="8">
        <v>0</v>
      </c>
      <c r="V149" s="14">
        <f ca="1">IF($U149="","",MOD(NOW()-admin!$B$1/24+$U149/24,1))</f>
        <v>0.61182638888567453</v>
      </c>
      <c r="W149" s="4"/>
      <c r="X149" s="4"/>
      <c r="Y149" s="4"/>
      <c r="Z149" s="4"/>
      <c r="AA149" s="4"/>
      <c r="AB149" s="4"/>
      <c r="AC149" s="4"/>
      <c r="AD149" s="4"/>
      <c r="AE149" s="4" t="s">
        <v>1170</v>
      </c>
      <c r="AF149" s="4"/>
      <c r="AG149" s="4"/>
      <c r="AH149" s="4"/>
      <c r="AI149" s="4"/>
      <c r="AJ149" s="4"/>
      <c r="AK149" s="4"/>
      <c r="AL149" s="4"/>
      <c r="AM149" s="4"/>
      <c r="AN149" s="4"/>
      <c r="AO149" s="12" t="str">
        <f>IF($A149="","",admin!$B$2&amp;"\Charts\"&amp;$A149)</f>
        <v>C:\Backups\InsiderTechSol\Aviation\Jetelio_v3\.LAYOUT\resources\Charts\EICK</v>
      </c>
      <c r="AP149" s="12" t="str">
        <f>IF($A149="","",admin!$B$2&amp;"\RunwayDiagrams\"&amp;$A149&amp;".pdf")</f>
        <v>C:\Backups\InsiderTechSol\Aviation\Jetelio_v3\.LAYOUT\resources\RunwayDiagrams\EICK.pdf</v>
      </c>
      <c r="AQ149" s="12" t="str">
        <f>IF($A149="","",admin!$B$2&amp;"\Images\"&amp;$A149)</f>
        <v>C:\Backups\InsiderTechSol\Aviation\Jetelio_v3\.LAYOUT\resources\Images\EICK</v>
      </c>
      <c r="AR149" s="12" t="str">
        <f>IF($A149="","",admin!$B$2&amp;"\CityMaps\"&amp;$A149&amp;".png")</f>
        <v>C:\Backups\InsiderTechSol\Aviation\Jetelio_v3\.LAYOUT\resources\CityMaps\EICK.png</v>
      </c>
      <c r="AS149" s="16" t="str">
        <f t="shared" si="14"/>
        <v>VISA sheet</v>
      </c>
      <c r="AT149" s="16" t="str">
        <f t="shared" si="15"/>
        <v>Vendors sheet</v>
      </c>
      <c r="AU149" s="4"/>
      <c r="AV149" s="15">
        <f t="shared" ca="1" si="16"/>
        <v>46243</v>
      </c>
      <c r="AX149" s="6"/>
      <c r="AY149" t="str">
        <f t="shared" si="17"/>
        <v>INCOMPLETE - NOT SELECTABLE AS TECH STOP</v>
      </c>
    </row>
    <row r="150" spans="1:51" x14ac:dyDescent="0.3">
      <c r="A150" s="4" t="s">
        <v>421</v>
      </c>
      <c r="B150" s="4" t="s">
        <v>422</v>
      </c>
      <c r="C150" s="4"/>
      <c r="D150" s="4"/>
      <c r="E150" s="4" t="s">
        <v>623</v>
      </c>
      <c r="F150" s="4" t="s">
        <v>82</v>
      </c>
      <c r="G150" s="4"/>
      <c r="H150" s="4" t="s">
        <v>878</v>
      </c>
      <c r="I150" s="4" t="s">
        <v>880</v>
      </c>
      <c r="J150" s="4"/>
      <c r="K150" s="4"/>
      <c r="L150" s="4"/>
      <c r="M150" s="4"/>
      <c r="N150" s="12" t="str">
        <f t="shared" si="12"/>
        <v>53°25′43″N 006°15′44″W</v>
      </c>
      <c r="O150" s="7">
        <v>53.428710000000002</v>
      </c>
      <c r="P150" s="7">
        <v>-6.2621200000000004</v>
      </c>
      <c r="Q150" s="13">
        <f t="shared" si="13"/>
        <v>74</v>
      </c>
      <c r="R150" s="11">
        <v>242</v>
      </c>
      <c r="S150" s="4"/>
      <c r="T150" s="4" t="s">
        <v>1013</v>
      </c>
      <c r="U150" s="8">
        <v>0</v>
      </c>
      <c r="V150" s="14">
        <f ca="1">IF($U150="","",MOD(NOW()-admin!$B$1/24+$U150/24,1))</f>
        <v>0.61182638888567453</v>
      </c>
      <c r="W150" s="4"/>
      <c r="X150" s="4"/>
      <c r="Y150" s="4"/>
      <c r="Z150" s="4"/>
      <c r="AA150" s="4"/>
      <c r="AB150" s="4"/>
      <c r="AC150" s="4"/>
      <c r="AD150" s="4"/>
      <c r="AE150" s="4" t="s">
        <v>1171</v>
      </c>
      <c r="AF150" s="4"/>
      <c r="AG150" s="4"/>
      <c r="AH150" s="4"/>
      <c r="AI150" s="4"/>
      <c r="AJ150" s="4"/>
      <c r="AK150" s="4"/>
      <c r="AL150" s="4"/>
      <c r="AM150" s="4"/>
      <c r="AN150" s="4"/>
      <c r="AO150" s="12" t="str">
        <f>IF($A150="","",admin!$B$2&amp;"\Charts\"&amp;$A150)</f>
        <v>C:\Backups\InsiderTechSol\Aviation\Jetelio_v3\.LAYOUT\resources\Charts\EIDW</v>
      </c>
      <c r="AP150" s="12" t="str">
        <f>IF($A150="","",admin!$B$2&amp;"\RunwayDiagrams\"&amp;$A150&amp;".pdf")</f>
        <v>C:\Backups\InsiderTechSol\Aviation\Jetelio_v3\.LAYOUT\resources\RunwayDiagrams\EIDW.pdf</v>
      </c>
      <c r="AQ150" s="12" t="str">
        <f>IF($A150="","",admin!$B$2&amp;"\Images\"&amp;$A150)</f>
        <v>C:\Backups\InsiderTechSol\Aviation\Jetelio_v3\.LAYOUT\resources\Images\EIDW</v>
      </c>
      <c r="AR150" s="12" t="str">
        <f>IF($A150="","",admin!$B$2&amp;"\CityMaps\"&amp;$A150&amp;".png")</f>
        <v>C:\Backups\InsiderTechSol\Aviation\Jetelio_v3\.LAYOUT\resources\CityMaps\EIDW.png</v>
      </c>
      <c r="AS150" s="16" t="str">
        <f t="shared" si="14"/>
        <v>VISA sheet</v>
      </c>
      <c r="AT150" s="16" t="str">
        <f t="shared" si="15"/>
        <v>Vendors sheet</v>
      </c>
      <c r="AU150" s="4"/>
      <c r="AV150" s="15">
        <f t="shared" ca="1" si="16"/>
        <v>46243</v>
      </c>
      <c r="AX150" s="6"/>
      <c r="AY150" t="str">
        <f t="shared" si="17"/>
        <v>INCOMPLETE - NOT SELECTABLE AS TECH STOP</v>
      </c>
    </row>
    <row r="151" spans="1:51" x14ac:dyDescent="0.3">
      <c r="A151" s="4" t="s">
        <v>423</v>
      </c>
      <c r="B151" s="4" t="s">
        <v>424</v>
      </c>
      <c r="C151" s="4"/>
      <c r="D151" s="4"/>
      <c r="E151" s="4" t="s">
        <v>624</v>
      </c>
      <c r="F151" s="4" t="s">
        <v>82</v>
      </c>
      <c r="G151" s="4"/>
      <c r="H151" s="4" t="s">
        <v>881</v>
      </c>
      <c r="I151" s="4" t="s">
        <v>882</v>
      </c>
      <c r="J151" s="4"/>
      <c r="K151" s="4"/>
      <c r="L151" s="4"/>
      <c r="M151" s="4"/>
      <c r="N151" s="12" t="str">
        <f t="shared" si="12"/>
        <v>32°00′41″N 034°53′12″E</v>
      </c>
      <c r="O151" s="7">
        <v>32.011400000000002</v>
      </c>
      <c r="P151" s="7">
        <v>34.886699999999998</v>
      </c>
      <c r="Q151" s="13">
        <f t="shared" si="13"/>
        <v>41</v>
      </c>
      <c r="R151" s="11">
        <v>135</v>
      </c>
      <c r="S151" s="4"/>
      <c r="T151" s="4" t="s">
        <v>1014</v>
      </c>
      <c r="U151" s="8">
        <v>2</v>
      </c>
      <c r="V151" s="14">
        <f ca="1">IF($U151="","",MOD(NOW()-admin!$B$1/24+$U151/24,1))</f>
        <v>0.69515972222143319</v>
      </c>
      <c r="W151" s="4"/>
      <c r="X151" s="4"/>
      <c r="Y151" s="4"/>
      <c r="Z151" s="4"/>
      <c r="AA151" s="4"/>
      <c r="AB151" s="4"/>
      <c r="AC151" s="4"/>
      <c r="AD151" s="4"/>
      <c r="AE151" s="4" t="s">
        <v>1172</v>
      </c>
      <c r="AF151" s="4"/>
      <c r="AG151" s="4"/>
      <c r="AH151" s="4"/>
      <c r="AI151" s="4"/>
      <c r="AJ151" s="4"/>
      <c r="AK151" s="4"/>
      <c r="AL151" s="4"/>
      <c r="AM151" s="4"/>
      <c r="AN151" s="4"/>
      <c r="AO151" s="12" t="str">
        <f>IF($A151="","",admin!$B$2&amp;"\Charts\"&amp;$A151)</f>
        <v>C:\Backups\InsiderTechSol\Aviation\Jetelio_v3\.LAYOUT\resources\Charts\LLBG</v>
      </c>
      <c r="AP151" s="12" t="str">
        <f>IF($A151="","",admin!$B$2&amp;"\RunwayDiagrams\"&amp;$A151&amp;".pdf")</f>
        <v>C:\Backups\InsiderTechSol\Aviation\Jetelio_v3\.LAYOUT\resources\RunwayDiagrams\LLBG.pdf</v>
      </c>
      <c r="AQ151" s="12" t="str">
        <f>IF($A151="","",admin!$B$2&amp;"\Images\"&amp;$A151)</f>
        <v>C:\Backups\InsiderTechSol\Aviation\Jetelio_v3\.LAYOUT\resources\Images\LLBG</v>
      </c>
      <c r="AR151" s="12" t="str">
        <f>IF($A151="","",admin!$B$2&amp;"\CityMaps\"&amp;$A151&amp;".png")</f>
        <v>C:\Backups\InsiderTechSol\Aviation\Jetelio_v3\.LAYOUT\resources\CityMaps\LLBG.png</v>
      </c>
      <c r="AS151" s="16" t="str">
        <f t="shared" si="14"/>
        <v>VISA sheet</v>
      </c>
      <c r="AT151" s="16" t="str">
        <f t="shared" si="15"/>
        <v>Vendors sheet</v>
      </c>
      <c r="AU151" s="4"/>
      <c r="AV151" s="15">
        <f t="shared" ca="1" si="16"/>
        <v>46243</v>
      </c>
      <c r="AX151" s="6"/>
      <c r="AY151" t="str">
        <f t="shared" si="17"/>
        <v>INCOMPLETE - NOT SELECTABLE AS TECH STOP</v>
      </c>
    </row>
    <row r="152" spans="1:51" x14ac:dyDescent="0.3">
      <c r="A152" s="4" t="s">
        <v>425</v>
      </c>
      <c r="B152" s="4" t="s">
        <v>426</v>
      </c>
      <c r="C152" s="4"/>
      <c r="D152" s="4"/>
      <c r="E152" s="4" t="s">
        <v>625</v>
      </c>
      <c r="F152" s="4" t="s">
        <v>82</v>
      </c>
      <c r="G152" s="4"/>
      <c r="H152" s="4" t="s">
        <v>881</v>
      </c>
      <c r="I152" s="4" t="s">
        <v>883</v>
      </c>
      <c r="J152" s="4"/>
      <c r="K152" s="4"/>
      <c r="L152" s="4"/>
      <c r="M152" s="4"/>
      <c r="N152" s="12" t="str">
        <f t="shared" si="12"/>
        <v>29°43′37″N 035°00′51″E</v>
      </c>
      <c r="O152" s="7">
        <v>29.72701</v>
      </c>
      <c r="P152" s="7">
        <v>35.014119999999998</v>
      </c>
      <c r="Q152" s="13">
        <f t="shared" si="13"/>
        <v>88</v>
      </c>
      <c r="R152" s="11">
        <v>288</v>
      </c>
      <c r="S152" s="4"/>
      <c r="T152" s="4"/>
      <c r="U152" s="8"/>
      <c r="V152" s="14" t="str">
        <f ca="1">IF($U152="","",MOD(NOW()-admin!$B$1/24+$U152/24,1))</f>
        <v/>
      </c>
      <c r="W152" s="4"/>
      <c r="X152" s="4"/>
      <c r="Y152" s="4"/>
      <c r="Z152" s="4"/>
      <c r="AA152" s="4"/>
      <c r="AB152" s="4"/>
      <c r="AC152" s="4"/>
      <c r="AD152" s="4"/>
      <c r="AE152" s="17">
        <v>46041</v>
      </c>
      <c r="AF152" s="4"/>
      <c r="AG152" s="4"/>
      <c r="AH152" s="4"/>
      <c r="AI152" s="4"/>
      <c r="AJ152" s="4"/>
      <c r="AK152" s="4"/>
      <c r="AL152" s="4"/>
      <c r="AM152" s="4"/>
      <c r="AN152" s="4"/>
      <c r="AO152" s="12" t="str">
        <f>IF($A152="","",admin!$B$2&amp;"\Charts\"&amp;$A152)</f>
        <v>C:\Backups\InsiderTechSol\Aviation\Jetelio_v3\.LAYOUT\resources\Charts\LLER</v>
      </c>
      <c r="AP152" s="12" t="str">
        <f>IF($A152="","",admin!$B$2&amp;"\RunwayDiagrams\"&amp;$A152&amp;".pdf")</f>
        <v>C:\Backups\InsiderTechSol\Aviation\Jetelio_v3\.LAYOUT\resources\RunwayDiagrams\LLER.pdf</v>
      </c>
      <c r="AQ152" s="12" t="str">
        <f>IF($A152="","",admin!$B$2&amp;"\Images\"&amp;$A152)</f>
        <v>C:\Backups\InsiderTechSol\Aviation\Jetelio_v3\.LAYOUT\resources\Images\LLER</v>
      </c>
      <c r="AR152" s="12" t="str">
        <f>IF($A152="","",admin!$B$2&amp;"\CityMaps\"&amp;$A152&amp;".png")</f>
        <v>C:\Backups\InsiderTechSol\Aviation\Jetelio_v3\.LAYOUT\resources\CityMaps\LLER.png</v>
      </c>
      <c r="AS152" s="16" t="str">
        <f t="shared" si="14"/>
        <v>VISA sheet</v>
      </c>
      <c r="AT152" s="16" t="str">
        <f t="shared" si="15"/>
        <v>Vendors sheet</v>
      </c>
      <c r="AU152" s="4"/>
      <c r="AV152" s="15">
        <f t="shared" ca="1" si="16"/>
        <v>46243</v>
      </c>
      <c r="AX152" s="6"/>
      <c r="AY152" t="str">
        <f t="shared" si="17"/>
        <v>INCOMPLETE - NOT SELECTABLE AS TECH STOP</v>
      </c>
    </row>
    <row r="153" spans="1:51" x14ac:dyDescent="0.3">
      <c r="A153" s="4" t="s">
        <v>427</v>
      </c>
      <c r="B153" s="4" t="s">
        <v>428</v>
      </c>
      <c r="C153" s="4"/>
      <c r="D153" s="4"/>
      <c r="E153" s="4" t="s">
        <v>626</v>
      </c>
      <c r="F153" s="4" t="s">
        <v>82</v>
      </c>
      <c r="G153" s="4"/>
      <c r="H153" s="4" t="s">
        <v>884</v>
      </c>
      <c r="I153" s="4" t="s">
        <v>885</v>
      </c>
      <c r="J153" s="4"/>
      <c r="K153" s="4"/>
      <c r="L153" s="4"/>
      <c r="M153" s="4"/>
      <c r="N153" s="12" t="str">
        <f t="shared" si="12"/>
        <v>54°04′59″N 004°37′26″W</v>
      </c>
      <c r="O153" s="7">
        <v>54.083080000000002</v>
      </c>
      <c r="P153" s="7">
        <v>-4.6238700000000001</v>
      </c>
      <c r="Q153" s="13">
        <f t="shared" si="13"/>
        <v>16</v>
      </c>
      <c r="R153" s="11">
        <v>52</v>
      </c>
      <c r="S153" s="4"/>
      <c r="T153" s="4" t="s">
        <v>1015</v>
      </c>
      <c r="U153" s="8">
        <v>0</v>
      </c>
      <c r="V153" s="14">
        <f ca="1">IF($U153="","",MOD(NOW()-admin!$B$1/24+$U153/24,1))</f>
        <v>0.61182638888567453</v>
      </c>
      <c r="W153" s="4"/>
      <c r="X153" s="4"/>
      <c r="Y153" s="4"/>
      <c r="Z153" s="4"/>
      <c r="AA153" s="4"/>
      <c r="AB153" s="4"/>
      <c r="AC153" s="4"/>
      <c r="AD153" s="4"/>
      <c r="AE153" s="4" t="s">
        <v>1173</v>
      </c>
      <c r="AF153" s="4"/>
      <c r="AG153" s="4"/>
      <c r="AH153" s="4"/>
      <c r="AI153" s="4"/>
      <c r="AJ153" s="4"/>
      <c r="AK153" s="4"/>
      <c r="AL153" s="4"/>
      <c r="AM153" s="4"/>
      <c r="AN153" s="4"/>
      <c r="AO153" s="12" t="str">
        <f>IF($A153="","",admin!$B$2&amp;"\Charts\"&amp;$A153)</f>
        <v>C:\Backups\InsiderTechSol\Aviation\Jetelio_v3\.LAYOUT\resources\Charts\EGNS</v>
      </c>
      <c r="AP153" s="12" t="str">
        <f>IF($A153="","",admin!$B$2&amp;"\RunwayDiagrams\"&amp;$A153&amp;".pdf")</f>
        <v>C:\Backups\InsiderTechSol\Aviation\Jetelio_v3\.LAYOUT\resources\RunwayDiagrams\EGNS.pdf</v>
      </c>
      <c r="AQ153" s="12" t="str">
        <f>IF($A153="","",admin!$B$2&amp;"\Images\"&amp;$A153)</f>
        <v>C:\Backups\InsiderTechSol\Aviation\Jetelio_v3\.LAYOUT\resources\Images\EGNS</v>
      </c>
      <c r="AR153" s="12" t="str">
        <f>IF($A153="","",admin!$B$2&amp;"\CityMaps\"&amp;$A153&amp;".png")</f>
        <v>C:\Backups\InsiderTechSol\Aviation\Jetelio_v3\.LAYOUT\resources\CityMaps\EGNS.png</v>
      </c>
      <c r="AS153" s="16" t="str">
        <f t="shared" si="14"/>
        <v>VISA sheet</v>
      </c>
      <c r="AT153" s="16" t="str">
        <f t="shared" si="15"/>
        <v>Vendors sheet</v>
      </c>
      <c r="AU153" s="4"/>
      <c r="AV153" s="15">
        <f t="shared" ca="1" si="16"/>
        <v>46243</v>
      </c>
      <c r="AX153" s="6"/>
      <c r="AY153" t="str">
        <f t="shared" si="17"/>
        <v>INCOMPLETE - NOT SELECTABLE AS TECH STOP</v>
      </c>
    </row>
    <row r="154" spans="1:51" x14ac:dyDescent="0.3">
      <c r="A154" s="4" t="s">
        <v>429</v>
      </c>
      <c r="B154" s="4" t="s">
        <v>430</v>
      </c>
      <c r="C154" s="4"/>
      <c r="D154" s="4"/>
      <c r="E154" s="4" t="s">
        <v>627</v>
      </c>
      <c r="F154" s="4" t="s">
        <v>82</v>
      </c>
      <c r="G154" s="4"/>
      <c r="H154" s="4" t="s">
        <v>886</v>
      </c>
      <c r="I154" s="4" t="s">
        <v>887</v>
      </c>
      <c r="J154" s="4"/>
      <c r="K154" s="4"/>
      <c r="L154" s="4"/>
      <c r="M154" s="4"/>
      <c r="N154" s="12" t="str">
        <f t="shared" si="12"/>
        <v>23°04′38″N 072°38′05″E</v>
      </c>
      <c r="O154" s="7">
        <v>23.077200000000001</v>
      </c>
      <c r="P154" s="7">
        <v>72.634699999999995</v>
      </c>
      <c r="Q154" s="13">
        <f t="shared" si="13"/>
        <v>58</v>
      </c>
      <c r="R154" s="11">
        <v>189</v>
      </c>
      <c r="S154" s="4"/>
      <c r="T154" s="4" t="s">
        <v>1016</v>
      </c>
      <c r="U154" s="8">
        <v>5.5</v>
      </c>
      <c r="V154" s="14">
        <f ca="1">IF($U154="","",MOD(NOW()-admin!$B$1/24+$U154/24,1))</f>
        <v>0.84099305554991588</v>
      </c>
      <c r="W154" s="4"/>
      <c r="X154" s="4"/>
      <c r="Y154" s="4"/>
      <c r="Z154" s="4"/>
      <c r="AA154" s="4"/>
      <c r="AB154" s="4"/>
      <c r="AC154" s="4"/>
      <c r="AD154" s="4"/>
      <c r="AE154" s="4" t="s">
        <v>1174</v>
      </c>
      <c r="AF154" s="4"/>
      <c r="AG154" s="4"/>
      <c r="AH154" s="4"/>
      <c r="AI154" s="4"/>
      <c r="AJ154" s="4"/>
      <c r="AK154" s="4"/>
      <c r="AL154" s="4"/>
      <c r="AM154" s="4"/>
      <c r="AN154" s="4"/>
      <c r="AO154" s="12" t="str">
        <f>IF($A154="","",admin!$B$2&amp;"\Charts\"&amp;$A154)</f>
        <v>C:\Backups\InsiderTechSol\Aviation\Jetelio_v3\.LAYOUT\resources\Charts\VAAH</v>
      </c>
      <c r="AP154" s="12" t="str">
        <f>IF($A154="","",admin!$B$2&amp;"\RunwayDiagrams\"&amp;$A154&amp;".pdf")</f>
        <v>C:\Backups\InsiderTechSol\Aviation\Jetelio_v3\.LAYOUT\resources\RunwayDiagrams\VAAH.pdf</v>
      </c>
      <c r="AQ154" s="12" t="str">
        <f>IF($A154="","",admin!$B$2&amp;"\Images\"&amp;$A154)</f>
        <v>C:\Backups\InsiderTechSol\Aviation\Jetelio_v3\.LAYOUT\resources\Images\VAAH</v>
      </c>
      <c r="AR154" s="12" t="str">
        <f>IF($A154="","",admin!$B$2&amp;"\CityMaps\"&amp;$A154&amp;".png")</f>
        <v>C:\Backups\InsiderTechSol\Aviation\Jetelio_v3\.LAYOUT\resources\CityMaps\VAAH.png</v>
      </c>
      <c r="AS154" s="16" t="str">
        <f t="shared" si="14"/>
        <v>VISA sheet</v>
      </c>
      <c r="AT154" s="16" t="str">
        <f t="shared" si="15"/>
        <v>Vendors sheet</v>
      </c>
      <c r="AU154" s="4"/>
      <c r="AV154" s="15">
        <f t="shared" ca="1" si="16"/>
        <v>46243</v>
      </c>
      <c r="AX154" s="6"/>
      <c r="AY154" t="str">
        <f t="shared" si="17"/>
        <v>INCOMPLETE - NOT SELECTABLE AS TECH STOP</v>
      </c>
    </row>
    <row r="155" spans="1:51" x14ac:dyDescent="0.3">
      <c r="A155" s="4" t="s">
        <v>431</v>
      </c>
      <c r="B155" s="4" t="s">
        <v>432</v>
      </c>
      <c r="C155" s="4"/>
      <c r="D155" s="4"/>
      <c r="E155" s="4" t="s">
        <v>628</v>
      </c>
      <c r="F155" s="4" t="s">
        <v>82</v>
      </c>
      <c r="G155" s="4"/>
      <c r="H155" s="4" t="s">
        <v>886</v>
      </c>
      <c r="I155" s="4" t="s">
        <v>888</v>
      </c>
      <c r="J155" s="4"/>
      <c r="K155" s="4"/>
      <c r="L155" s="4"/>
      <c r="M155" s="4"/>
      <c r="N155" s="12" t="str">
        <f t="shared" si="12"/>
        <v>19°05′19″N 072°52′04″E</v>
      </c>
      <c r="O155" s="7">
        <v>19.088699999999999</v>
      </c>
      <c r="P155" s="7">
        <v>72.867900000000006</v>
      </c>
      <c r="Q155" s="13">
        <f t="shared" si="13"/>
        <v>12</v>
      </c>
      <c r="R155" s="11">
        <v>39</v>
      </c>
      <c r="S155" s="4"/>
      <c r="T155" s="4" t="s">
        <v>1016</v>
      </c>
      <c r="U155" s="8">
        <v>5.5</v>
      </c>
      <c r="V155" s="14">
        <f ca="1">IF($U155="","",MOD(NOW()-admin!$B$1/24+$U155/24,1))</f>
        <v>0.84099305554991588</v>
      </c>
      <c r="W155" s="4"/>
      <c r="X155" s="4"/>
      <c r="Y155" s="4"/>
      <c r="Z155" s="4"/>
      <c r="AA155" s="4"/>
      <c r="AB155" s="4"/>
      <c r="AC155" s="4"/>
      <c r="AD155" s="4"/>
      <c r="AE155" s="4" t="s">
        <v>1175</v>
      </c>
      <c r="AF155" s="4"/>
      <c r="AG155" s="4"/>
      <c r="AH155" s="4"/>
      <c r="AI155" s="4"/>
      <c r="AJ155" s="4"/>
      <c r="AK155" s="4"/>
      <c r="AL155" s="4"/>
      <c r="AM155" s="4"/>
      <c r="AN155" s="4"/>
      <c r="AO155" s="12" t="str">
        <f>IF($A155="","",admin!$B$2&amp;"\Charts\"&amp;$A155)</f>
        <v>C:\Backups\InsiderTechSol\Aviation\Jetelio_v3\.LAYOUT\resources\Charts\VABB</v>
      </c>
      <c r="AP155" s="12" t="str">
        <f>IF($A155="","",admin!$B$2&amp;"\RunwayDiagrams\"&amp;$A155&amp;".pdf")</f>
        <v>C:\Backups\InsiderTechSol\Aviation\Jetelio_v3\.LAYOUT\resources\RunwayDiagrams\VABB.pdf</v>
      </c>
      <c r="AQ155" s="12" t="str">
        <f>IF($A155="","",admin!$B$2&amp;"\Images\"&amp;$A155)</f>
        <v>C:\Backups\InsiderTechSol\Aviation\Jetelio_v3\.LAYOUT\resources\Images\VABB</v>
      </c>
      <c r="AR155" s="12" t="str">
        <f>IF($A155="","",admin!$B$2&amp;"\CityMaps\"&amp;$A155&amp;".png")</f>
        <v>C:\Backups\InsiderTechSol\Aviation\Jetelio_v3\.LAYOUT\resources\CityMaps\VABB.png</v>
      </c>
      <c r="AS155" s="16" t="str">
        <f t="shared" si="14"/>
        <v>VISA sheet</v>
      </c>
      <c r="AT155" s="16" t="str">
        <f t="shared" si="15"/>
        <v>Vendors sheet</v>
      </c>
      <c r="AU155" s="4"/>
      <c r="AV155" s="15">
        <f t="shared" ca="1" si="16"/>
        <v>46243</v>
      </c>
      <c r="AX155" s="6"/>
      <c r="AY155" t="str">
        <f t="shared" si="17"/>
        <v>INCOMPLETE - NOT SELECTABLE AS TECH STOP</v>
      </c>
    </row>
    <row r="156" spans="1:51" x14ac:dyDescent="0.3">
      <c r="A156" s="4" t="s">
        <v>433</v>
      </c>
      <c r="B156" s="4" t="s">
        <v>434</v>
      </c>
      <c r="C156" s="4"/>
      <c r="D156" s="4"/>
      <c r="E156" s="4" t="s">
        <v>629</v>
      </c>
      <c r="F156" s="4" t="s">
        <v>82</v>
      </c>
      <c r="G156" s="4"/>
      <c r="H156" s="4" t="s">
        <v>889</v>
      </c>
      <c r="I156" s="4" t="s">
        <v>890</v>
      </c>
      <c r="J156" s="4"/>
      <c r="K156" s="4"/>
      <c r="L156" s="4"/>
      <c r="M156" s="4"/>
      <c r="N156" s="12" t="str">
        <f t="shared" si="12"/>
        <v>33°15′45″N 044°14′05″E</v>
      </c>
      <c r="O156" s="7">
        <v>33.262500000000003</v>
      </c>
      <c r="P156" s="7">
        <v>44.2346</v>
      </c>
      <c r="Q156" s="13">
        <f t="shared" si="13"/>
        <v>35</v>
      </c>
      <c r="R156" s="11">
        <v>114</v>
      </c>
      <c r="S156" s="4"/>
      <c r="T156" s="4" t="s">
        <v>1017</v>
      </c>
      <c r="U156" s="8">
        <v>3</v>
      </c>
      <c r="V156" s="14">
        <f ca="1">IF($U156="","",MOD(NOW()-admin!$B$1/24+$U156/24,1))</f>
        <v>0.73682638888567453</v>
      </c>
      <c r="W156" s="4"/>
      <c r="X156" s="4"/>
      <c r="Y156" s="4"/>
      <c r="Z156" s="4"/>
      <c r="AA156" s="4"/>
      <c r="AB156" s="4"/>
      <c r="AC156" s="4"/>
      <c r="AD156" s="4"/>
      <c r="AE156" s="4" t="s">
        <v>1176</v>
      </c>
      <c r="AF156" s="4"/>
      <c r="AG156" s="4"/>
      <c r="AH156" s="4"/>
      <c r="AI156" s="4"/>
      <c r="AJ156" s="4"/>
      <c r="AK156" s="4"/>
      <c r="AL156" s="4"/>
      <c r="AM156" s="4"/>
      <c r="AN156" s="4"/>
      <c r="AO156" s="12" t="str">
        <f>IF($A156="","",admin!$B$2&amp;"\Charts\"&amp;$A156)</f>
        <v>C:\Backups\InsiderTechSol\Aviation\Jetelio_v3\.LAYOUT\resources\Charts\ORBI</v>
      </c>
      <c r="AP156" s="12" t="str">
        <f>IF($A156="","",admin!$B$2&amp;"\RunwayDiagrams\"&amp;$A156&amp;".pdf")</f>
        <v>C:\Backups\InsiderTechSol\Aviation\Jetelio_v3\.LAYOUT\resources\RunwayDiagrams\ORBI.pdf</v>
      </c>
      <c r="AQ156" s="12" t="str">
        <f>IF($A156="","",admin!$B$2&amp;"\Images\"&amp;$A156)</f>
        <v>C:\Backups\InsiderTechSol\Aviation\Jetelio_v3\.LAYOUT\resources\Images\ORBI</v>
      </c>
      <c r="AR156" s="12" t="str">
        <f>IF($A156="","",admin!$B$2&amp;"\CityMaps\"&amp;$A156&amp;".png")</f>
        <v>C:\Backups\InsiderTechSol\Aviation\Jetelio_v3\.LAYOUT\resources\CityMaps\ORBI.png</v>
      </c>
      <c r="AS156" s="16" t="str">
        <f t="shared" si="14"/>
        <v>VISA sheet</v>
      </c>
      <c r="AT156" s="16" t="str">
        <f t="shared" si="15"/>
        <v>Vendors sheet</v>
      </c>
      <c r="AU156" s="4"/>
      <c r="AV156" s="15">
        <f t="shared" ca="1" si="16"/>
        <v>46243</v>
      </c>
      <c r="AX156" s="6"/>
      <c r="AY156" t="str">
        <f t="shared" si="17"/>
        <v>INCOMPLETE - NOT SELECTABLE AS TECH STOP</v>
      </c>
    </row>
    <row r="157" spans="1:51" x14ac:dyDescent="0.3">
      <c r="A157" s="4" t="s">
        <v>435</v>
      </c>
      <c r="B157" s="4" t="s">
        <v>436</v>
      </c>
      <c r="C157" s="4"/>
      <c r="D157" s="4"/>
      <c r="E157" s="4" t="s">
        <v>630</v>
      </c>
      <c r="F157" s="4" t="s">
        <v>82</v>
      </c>
      <c r="G157" s="4"/>
      <c r="H157" s="4" t="s">
        <v>889</v>
      </c>
      <c r="I157" s="4" t="s">
        <v>891</v>
      </c>
      <c r="J157" s="4"/>
      <c r="K157" s="4"/>
      <c r="L157" s="4"/>
      <c r="M157" s="4"/>
      <c r="N157" s="12" t="str">
        <f t="shared" si="12"/>
        <v>36°18′21″N 043°08′51″E</v>
      </c>
      <c r="O157" s="7">
        <v>36.305799999999998</v>
      </c>
      <c r="P157" s="7">
        <v>43.147399999999998</v>
      </c>
      <c r="Q157" s="13">
        <f t="shared" si="13"/>
        <v>219</v>
      </c>
      <c r="R157" s="11">
        <v>719</v>
      </c>
      <c r="S157" s="4"/>
      <c r="T157" s="4" t="s">
        <v>1017</v>
      </c>
      <c r="U157" s="8">
        <v>3</v>
      </c>
      <c r="V157" s="14">
        <f ca="1">IF($U157="","",MOD(NOW()-admin!$B$1/24+$U157/24,1))</f>
        <v>0.73682638888567453</v>
      </c>
      <c r="W157" s="4"/>
      <c r="X157" s="4"/>
      <c r="Y157" s="4"/>
      <c r="Z157" s="4"/>
      <c r="AA157" s="4"/>
      <c r="AB157" s="4"/>
      <c r="AC157" s="4"/>
      <c r="AD157" s="4"/>
      <c r="AE157" s="4" t="s">
        <v>1177</v>
      </c>
      <c r="AF157" s="4"/>
      <c r="AG157" s="4"/>
      <c r="AH157" s="4"/>
      <c r="AI157" s="4"/>
      <c r="AJ157" s="4"/>
      <c r="AK157" s="4"/>
      <c r="AL157" s="4"/>
      <c r="AM157" s="4"/>
      <c r="AN157" s="4"/>
      <c r="AO157" s="12" t="str">
        <f>IF($A157="","",admin!$B$2&amp;"\Charts\"&amp;$A157)</f>
        <v>C:\Backups\InsiderTechSol\Aviation\Jetelio_v3\.LAYOUT\resources\Charts\ORBM</v>
      </c>
      <c r="AP157" s="12" t="str">
        <f>IF($A157="","",admin!$B$2&amp;"\RunwayDiagrams\"&amp;$A157&amp;".pdf")</f>
        <v>C:\Backups\InsiderTechSol\Aviation\Jetelio_v3\.LAYOUT\resources\RunwayDiagrams\ORBM.pdf</v>
      </c>
      <c r="AQ157" s="12" t="str">
        <f>IF($A157="","",admin!$B$2&amp;"\Images\"&amp;$A157)</f>
        <v>C:\Backups\InsiderTechSol\Aviation\Jetelio_v3\.LAYOUT\resources\Images\ORBM</v>
      </c>
      <c r="AR157" s="12" t="str">
        <f>IF($A157="","",admin!$B$2&amp;"\CityMaps\"&amp;$A157&amp;".png")</f>
        <v>C:\Backups\InsiderTechSol\Aviation\Jetelio_v3\.LAYOUT\resources\CityMaps\ORBM.png</v>
      </c>
      <c r="AS157" s="16" t="str">
        <f t="shared" si="14"/>
        <v>VISA sheet</v>
      </c>
      <c r="AT157" s="16" t="str">
        <f t="shared" si="15"/>
        <v>Vendors sheet</v>
      </c>
      <c r="AU157" s="4"/>
      <c r="AV157" s="15">
        <f t="shared" ca="1" si="16"/>
        <v>46243</v>
      </c>
      <c r="AX157" s="6"/>
      <c r="AY157" t="str">
        <f t="shared" si="17"/>
        <v>INCOMPLETE - NOT SELECTABLE AS TECH STOP</v>
      </c>
    </row>
    <row r="158" spans="1:51" x14ac:dyDescent="0.3">
      <c r="A158" s="4" t="s">
        <v>437</v>
      </c>
      <c r="B158" s="4" t="s">
        <v>438</v>
      </c>
      <c r="C158" s="4"/>
      <c r="D158" s="4"/>
      <c r="E158" s="4" t="s">
        <v>631</v>
      </c>
      <c r="F158" s="4" t="s">
        <v>82</v>
      </c>
      <c r="G158" s="4"/>
      <c r="H158" s="4" t="s">
        <v>892</v>
      </c>
      <c r="I158" s="4" t="s">
        <v>893</v>
      </c>
      <c r="J158" s="4"/>
      <c r="K158" s="4"/>
      <c r="L158" s="4"/>
      <c r="M158" s="4"/>
      <c r="N158" s="12" t="str">
        <f t="shared" si="12"/>
        <v>30°22′04″N 048°13′48″E</v>
      </c>
      <c r="O158" s="7">
        <v>30.367889999999999</v>
      </c>
      <c r="P158" s="7">
        <v>48.230069999999998</v>
      </c>
      <c r="Q158" s="13">
        <f t="shared" si="13"/>
        <v>3</v>
      </c>
      <c r="R158" s="11">
        <v>10</v>
      </c>
      <c r="S158" s="4"/>
      <c r="T158" s="4" t="s">
        <v>1018</v>
      </c>
      <c r="U158" s="8">
        <v>3.5</v>
      </c>
      <c r="V158" s="14">
        <f ca="1">IF($U158="","",MOD(NOW()-admin!$B$1/24+$U158/24,1))</f>
        <v>0.75765972222143319</v>
      </c>
      <c r="W158" s="4"/>
      <c r="X158" s="4"/>
      <c r="Y158" s="4"/>
      <c r="Z158" s="4"/>
      <c r="AA158" s="4"/>
      <c r="AB158" s="4"/>
      <c r="AC158" s="4"/>
      <c r="AD158" s="4"/>
      <c r="AE158" s="4" t="s">
        <v>1178</v>
      </c>
      <c r="AF158" s="4"/>
      <c r="AG158" s="4"/>
      <c r="AH158" s="4"/>
      <c r="AI158" s="4"/>
      <c r="AJ158" s="4"/>
      <c r="AK158" s="4"/>
      <c r="AL158" s="4"/>
      <c r="AM158" s="4"/>
      <c r="AN158" s="4"/>
      <c r="AO158" s="12" t="str">
        <f>IF($A158="","",admin!$B$2&amp;"\Charts\"&amp;$A158)</f>
        <v>C:\Backups\InsiderTechSol\Aviation\Jetelio_v3\.LAYOUT\resources\Charts\OIAA</v>
      </c>
      <c r="AP158" s="12" t="str">
        <f>IF($A158="","",admin!$B$2&amp;"\RunwayDiagrams\"&amp;$A158&amp;".pdf")</f>
        <v>C:\Backups\InsiderTechSol\Aviation\Jetelio_v3\.LAYOUT\resources\RunwayDiagrams\OIAA.pdf</v>
      </c>
      <c r="AQ158" s="12" t="str">
        <f>IF($A158="","",admin!$B$2&amp;"\Images\"&amp;$A158)</f>
        <v>C:\Backups\InsiderTechSol\Aviation\Jetelio_v3\.LAYOUT\resources\Images\OIAA</v>
      </c>
      <c r="AR158" s="12" t="str">
        <f>IF($A158="","",admin!$B$2&amp;"\CityMaps\"&amp;$A158&amp;".png")</f>
        <v>C:\Backups\InsiderTechSol\Aviation\Jetelio_v3\.LAYOUT\resources\CityMaps\OIAA.png</v>
      </c>
      <c r="AS158" s="16" t="str">
        <f t="shared" si="14"/>
        <v>VISA sheet</v>
      </c>
      <c r="AT158" s="16" t="str">
        <f t="shared" si="15"/>
        <v>Vendors sheet</v>
      </c>
      <c r="AU158" s="4"/>
      <c r="AV158" s="15">
        <f t="shared" ca="1" si="16"/>
        <v>46243</v>
      </c>
      <c r="AX158" s="6"/>
      <c r="AY158" t="str">
        <f t="shared" si="17"/>
        <v>INCOMPLETE - NOT SELECTABLE AS TECH STOP</v>
      </c>
    </row>
    <row r="159" spans="1:51" x14ac:dyDescent="0.3">
      <c r="A159" s="4" t="s">
        <v>439</v>
      </c>
      <c r="B159" s="4" t="s">
        <v>440</v>
      </c>
      <c r="C159" s="4"/>
      <c r="D159" s="4"/>
      <c r="E159" s="4" t="s">
        <v>632</v>
      </c>
      <c r="F159" s="4" t="s">
        <v>82</v>
      </c>
      <c r="G159" s="4"/>
      <c r="H159" s="4" t="s">
        <v>892</v>
      </c>
      <c r="I159" s="4" t="s">
        <v>894</v>
      </c>
      <c r="J159" s="4"/>
      <c r="K159" s="4"/>
      <c r="L159" s="4"/>
      <c r="M159" s="4"/>
      <c r="N159" s="12" t="str">
        <f t="shared" si="12"/>
        <v>31°20′11″N 048°45′50″E</v>
      </c>
      <c r="O159" s="7">
        <v>31.336400000000001</v>
      </c>
      <c r="P159" s="7">
        <v>48.76379</v>
      </c>
      <c r="Q159" s="13">
        <f t="shared" si="13"/>
        <v>20</v>
      </c>
      <c r="R159" s="11">
        <v>66</v>
      </c>
      <c r="S159" s="4"/>
      <c r="T159" s="4" t="s">
        <v>1018</v>
      </c>
      <c r="U159" s="8">
        <v>3.5</v>
      </c>
      <c r="V159" s="14">
        <f ca="1">IF($U159="","",MOD(NOW()-admin!$B$1/24+$U159/24,1))</f>
        <v>0.75765972222143319</v>
      </c>
      <c r="W159" s="4"/>
      <c r="X159" s="4"/>
      <c r="Y159" s="4"/>
      <c r="Z159" s="4"/>
      <c r="AA159" s="4"/>
      <c r="AB159" s="4"/>
      <c r="AC159" s="4"/>
      <c r="AD159" s="4"/>
      <c r="AE159" s="4" t="s">
        <v>1179</v>
      </c>
      <c r="AF159" s="4"/>
      <c r="AG159" s="4"/>
      <c r="AH159" s="4"/>
      <c r="AI159" s="4"/>
      <c r="AJ159" s="4"/>
      <c r="AK159" s="4"/>
      <c r="AL159" s="4"/>
      <c r="AM159" s="4"/>
      <c r="AN159" s="4"/>
      <c r="AO159" s="12" t="str">
        <f>IF($A159="","",admin!$B$2&amp;"\Charts\"&amp;$A159)</f>
        <v>C:\Backups\InsiderTechSol\Aviation\Jetelio_v3\.LAYOUT\resources\Charts\OIAW</v>
      </c>
      <c r="AP159" s="12" t="str">
        <f>IF($A159="","",admin!$B$2&amp;"\RunwayDiagrams\"&amp;$A159&amp;".pdf")</f>
        <v>C:\Backups\InsiderTechSol\Aviation\Jetelio_v3\.LAYOUT\resources\RunwayDiagrams\OIAW.pdf</v>
      </c>
      <c r="AQ159" s="12" t="str">
        <f>IF($A159="","",admin!$B$2&amp;"\Images\"&amp;$A159)</f>
        <v>C:\Backups\InsiderTechSol\Aviation\Jetelio_v3\.LAYOUT\resources\Images\OIAW</v>
      </c>
      <c r="AR159" s="12" t="str">
        <f>IF($A159="","",admin!$B$2&amp;"\CityMaps\"&amp;$A159&amp;".png")</f>
        <v>C:\Backups\InsiderTechSol\Aviation\Jetelio_v3\.LAYOUT\resources\CityMaps\OIAW.png</v>
      </c>
      <c r="AS159" s="16" t="str">
        <f t="shared" si="14"/>
        <v>VISA sheet</v>
      </c>
      <c r="AT159" s="16" t="str">
        <f t="shared" si="15"/>
        <v>Vendors sheet</v>
      </c>
      <c r="AU159" s="4"/>
      <c r="AV159" s="15">
        <f t="shared" ca="1" si="16"/>
        <v>46243</v>
      </c>
      <c r="AX159" s="6"/>
      <c r="AY159" t="str">
        <f t="shared" si="17"/>
        <v>INCOMPLETE - NOT SELECTABLE AS TECH STOP</v>
      </c>
    </row>
    <row r="160" spans="1:51" x14ac:dyDescent="0.3">
      <c r="A160" s="4" t="s">
        <v>441</v>
      </c>
      <c r="B160" s="4" t="s">
        <v>442</v>
      </c>
      <c r="C160" s="4"/>
      <c r="D160" s="4"/>
      <c r="E160" s="4" t="s">
        <v>633</v>
      </c>
      <c r="F160" s="4" t="s">
        <v>82</v>
      </c>
      <c r="G160" s="4"/>
      <c r="H160" s="4" t="s">
        <v>895</v>
      </c>
      <c r="I160" s="4" t="s">
        <v>896</v>
      </c>
      <c r="J160" s="4"/>
      <c r="K160" s="4"/>
      <c r="L160" s="4"/>
      <c r="M160" s="4"/>
      <c r="N160" s="12" t="str">
        <f t="shared" si="12"/>
        <v>65°39′24″N 018°04′19″W</v>
      </c>
      <c r="O160" s="7">
        <v>65.656570000000002</v>
      </c>
      <c r="P160" s="7">
        <v>-18.072019999999998</v>
      </c>
      <c r="Q160" s="13">
        <f t="shared" si="13"/>
        <v>2</v>
      </c>
      <c r="R160" s="11">
        <v>6</v>
      </c>
      <c r="S160" s="4"/>
      <c r="T160" s="4" t="s">
        <v>1019</v>
      </c>
      <c r="U160" s="8">
        <v>0</v>
      </c>
      <c r="V160" s="14">
        <f ca="1">IF($U160="","",MOD(NOW()-admin!$B$1/24+$U160/24,1))</f>
        <v>0.61182638888567453</v>
      </c>
      <c r="W160" s="4"/>
      <c r="X160" s="4"/>
      <c r="Y160" s="4"/>
      <c r="Z160" s="4"/>
      <c r="AA160" s="4"/>
      <c r="AB160" s="4"/>
      <c r="AC160" s="4"/>
      <c r="AD160" s="4"/>
      <c r="AE160" s="4" t="s">
        <v>1180</v>
      </c>
      <c r="AF160" s="4"/>
      <c r="AG160" s="4"/>
      <c r="AH160" s="4"/>
      <c r="AI160" s="4"/>
      <c r="AJ160" s="4"/>
      <c r="AK160" s="4"/>
      <c r="AL160" s="4"/>
      <c r="AM160" s="4"/>
      <c r="AN160" s="4"/>
      <c r="AO160" s="12" t="str">
        <f>IF($A160="","",admin!$B$2&amp;"\Charts\"&amp;$A160)</f>
        <v>C:\Backups\InsiderTechSol\Aviation\Jetelio_v3\.LAYOUT\resources\Charts\BIAR</v>
      </c>
      <c r="AP160" s="12" t="str">
        <f>IF($A160="","",admin!$B$2&amp;"\RunwayDiagrams\"&amp;$A160&amp;".pdf")</f>
        <v>C:\Backups\InsiderTechSol\Aviation\Jetelio_v3\.LAYOUT\resources\RunwayDiagrams\BIAR.pdf</v>
      </c>
      <c r="AQ160" s="12" t="str">
        <f>IF($A160="","",admin!$B$2&amp;"\Images\"&amp;$A160)</f>
        <v>C:\Backups\InsiderTechSol\Aviation\Jetelio_v3\.LAYOUT\resources\Images\BIAR</v>
      </c>
      <c r="AR160" s="12" t="str">
        <f>IF($A160="","",admin!$B$2&amp;"\CityMaps\"&amp;$A160&amp;".png")</f>
        <v>C:\Backups\InsiderTechSol\Aviation\Jetelio_v3\.LAYOUT\resources\CityMaps\BIAR.png</v>
      </c>
      <c r="AS160" s="16" t="str">
        <f t="shared" si="14"/>
        <v>VISA sheet</v>
      </c>
      <c r="AT160" s="16" t="str">
        <f t="shared" si="15"/>
        <v>Vendors sheet</v>
      </c>
      <c r="AU160" s="4"/>
      <c r="AV160" s="15">
        <f t="shared" ca="1" si="16"/>
        <v>46243</v>
      </c>
      <c r="AX160" s="6"/>
      <c r="AY160" t="str">
        <f t="shared" si="17"/>
        <v>INCOMPLETE - NOT SELECTABLE AS TECH STOP</v>
      </c>
    </row>
    <row r="161" spans="1:51" x14ac:dyDescent="0.3">
      <c r="A161" s="4" t="s">
        <v>443</v>
      </c>
      <c r="B161" s="4" t="s">
        <v>444</v>
      </c>
      <c r="C161" s="4"/>
      <c r="D161" s="4"/>
      <c r="E161" s="4" t="s">
        <v>634</v>
      </c>
      <c r="F161" s="4" t="s">
        <v>82</v>
      </c>
      <c r="G161" s="4"/>
      <c r="H161" s="4" t="s">
        <v>895</v>
      </c>
      <c r="I161" s="4" t="s">
        <v>897</v>
      </c>
      <c r="J161" s="4"/>
      <c r="K161" s="4"/>
      <c r="L161" s="4"/>
      <c r="M161" s="4"/>
      <c r="N161" s="12" t="str">
        <f t="shared" si="12"/>
        <v>63°59′06″N 022°36′20″W</v>
      </c>
      <c r="O161" s="7">
        <v>63.984999999999999</v>
      </c>
      <c r="P161" s="7">
        <v>-22.605599999999999</v>
      </c>
      <c r="Q161" s="13">
        <f t="shared" si="13"/>
        <v>52</v>
      </c>
      <c r="R161" s="11">
        <v>171</v>
      </c>
      <c r="S161" s="4"/>
      <c r="T161" s="4" t="s">
        <v>1019</v>
      </c>
      <c r="U161" s="8">
        <v>0</v>
      </c>
      <c r="V161" s="14">
        <f ca="1">IF($U161="","",MOD(NOW()-admin!$B$1/24+$U161/24,1))</f>
        <v>0.61182638888567453</v>
      </c>
      <c r="W161" s="4"/>
      <c r="X161" s="4"/>
      <c r="Y161" s="4"/>
      <c r="Z161" s="4"/>
      <c r="AA161" s="4"/>
      <c r="AB161" s="4"/>
      <c r="AC161" s="4"/>
      <c r="AD161" s="4"/>
      <c r="AE161" s="4" t="s">
        <v>1181</v>
      </c>
      <c r="AF161" s="4"/>
      <c r="AG161" s="4"/>
      <c r="AH161" s="4"/>
      <c r="AI161" s="4"/>
      <c r="AJ161" s="4"/>
      <c r="AK161" s="4"/>
      <c r="AL161" s="4"/>
      <c r="AM161" s="4"/>
      <c r="AN161" s="4"/>
      <c r="AO161" s="12" t="str">
        <f>IF($A161="","",admin!$B$2&amp;"\Charts\"&amp;$A161)</f>
        <v>C:\Backups\InsiderTechSol\Aviation\Jetelio_v3\.LAYOUT\resources\Charts\BIKF</v>
      </c>
      <c r="AP161" s="12" t="str">
        <f>IF($A161="","",admin!$B$2&amp;"\RunwayDiagrams\"&amp;$A161&amp;".pdf")</f>
        <v>C:\Backups\InsiderTechSol\Aviation\Jetelio_v3\.LAYOUT\resources\RunwayDiagrams\BIKF.pdf</v>
      </c>
      <c r="AQ161" s="12" t="str">
        <f>IF($A161="","",admin!$B$2&amp;"\Images\"&amp;$A161)</f>
        <v>C:\Backups\InsiderTechSol\Aviation\Jetelio_v3\.LAYOUT\resources\Images\BIKF</v>
      </c>
      <c r="AR161" s="12" t="str">
        <f>IF($A161="","",admin!$B$2&amp;"\CityMaps\"&amp;$A161&amp;".png")</f>
        <v>C:\Backups\InsiderTechSol\Aviation\Jetelio_v3\.LAYOUT\resources\CityMaps\BIKF.png</v>
      </c>
      <c r="AS161" s="16" t="str">
        <f t="shared" si="14"/>
        <v>VISA sheet</v>
      </c>
      <c r="AT161" s="16" t="str">
        <f t="shared" si="15"/>
        <v>Vendors sheet</v>
      </c>
      <c r="AU161" s="4"/>
      <c r="AV161" s="15">
        <f t="shared" ca="1" si="16"/>
        <v>46243</v>
      </c>
      <c r="AX161" s="6"/>
      <c r="AY161" t="str">
        <f t="shared" si="17"/>
        <v>INCOMPLETE - NOT SELECTABLE AS TECH STOP</v>
      </c>
    </row>
    <row r="162" spans="1:51" x14ac:dyDescent="0.3">
      <c r="A162" s="4" t="s">
        <v>445</v>
      </c>
      <c r="B162" s="4" t="s">
        <v>446</v>
      </c>
      <c r="C162" s="4"/>
      <c r="D162" s="4"/>
      <c r="E162" s="4" t="s">
        <v>635</v>
      </c>
      <c r="F162" s="4" t="s">
        <v>82</v>
      </c>
      <c r="G162" s="4"/>
      <c r="H162" s="4" t="s">
        <v>898</v>
      </c>
      <c r="I162" s="4" t="s">
        <v>899</v>
      </c>
      <c r="J162" s="4"/>
      <c r="K162" s="4"/>
      <c r="L162" s="4"/>
      <c r="M162" s="4"/>
      <c r="N162" s="12" t="str">
        <f t="shared" si="12"/>
        <v>41°08′20″N 016°45′38″E</v>
      </c>
      <c r="O162" s="7">
        <v>41.1389</v>
      </c>
      <c r="P162" s="7">
        <v>16.7606</v>
      </c>
      <c r="Q162" s="13">
        <f t="shared" si="13"/>
        <v>59</v>
      </c>
      <c r="R162" s="11">
        <v>193</v>
      </c>
      <c r="S162" s="4"/>
      <c r="T162" s="4" t="s">
        <v>1020</v>
      </c>
      <c r="U162" s="8">
        <v>1</v>
      </c>
      <c r="V162" s="14">
        <f ca="1">IF($U162="","",MOD(NOW()-admin!$B$1/24+$U162/24,1))</f>
        <v>0.65349305554991588</v>
      </c>
      <c r="W162" s="4"/>
      <c r="X162" s="4"/>
      <c r="Y162" s="4"/>
      <c r="Z162" s="4"/>
      <c r="AA162" s="4"/>
      <c r="AB162" s="4"/>
      <c r="AC162" s="4"/>
      <c r="AD162" s="4"/>
      <c r="AE162" s="4" t="s">
        <v>1098</v>
      </c>
      <c r="AF162" s="4"/>
      <c r="AG162" s="4"/>
      <c r="AH162" s="4"/>
      <c r="AI162" s="4"/>
      <c r="AJ162" s="4"/>
      <c r="AK162" s="4"/>
      <c r="AL162" s="4"/>
      <c r="AM162" s="4"/>
      <c r="AN162" s="4"/>
      <c r="AO162" s="12" t="str">
        <f>IF($A162="","",admin!$B$2&amp;"\Charts\"&amp;$A162)</f>
        <v>C:\Backups\InsiderTechSol\Aviation\Jetelio_v3\.LAYOUT\resources\Charts\LIBD</v>
      </c>
      <c r="AP162" s="12" t="str">
        <f>IF($A162="","",admin!$B$2&amp;"\RunwayDiagrams\"&amp;$A162&amp;".pdf")</f>
        <v>C:\Backups\InsiderTechSol\Aviation\Jetelio_v3\.LAYOUT\resources\RunwayDiagrams\LIBD.pdf</v>
      </c>
      <c r="AQ162" s="12" t="str">
        <f>IF($A162="","",admin!$B$2&amp;"\Images\"&amp;$A162)</f>
        <v>C:\Backups\InsiderTechSol\Aviation\Jetelio_v3\.LAYOUT\resources\Images\LIBD</v>
      </c>
      <c r="AR162" s="12" t="str">
        <f>IF($A162="","",admin!$B$2&amp;"\CityMaps\"&amp;$A162&amp;".png")</f>
        <v>C:\Backups\InsiderTechSol\Aviation\Jetelio_v3\.LAYOUT\resources\CityMaps\LIBD.png</v>
      </c>
      <c r="AS162" s="16" t="str">
        <f t="shared" si="14"/>
        <v>VISA sheet</v>
      </c>
      <c r="AT162" s="16" t="str">
        <f t="shared" si="15"/>
        <v>Vendors sheet</v>
      </c>
      <c r="AU162" s="4"/>
      <c r="AV162" s="15">
        <f t="shared" ca="1" si="16"/>
        <v>46243</v>
      </c>
      <c r="AX162" s="6"/>
      <c r="AY162" t="str">
        <f t="shared" si="17"/>
        <v>INCOMPLETE - NOT SELECTABLE AS TECH STOP</v>
      </c>
    </row>
    <row r="163" spans="1:51" x14ac:dyDescent="0.3">
      <c r="A163" s="4" t="s">
        <v>447</v>
      </c>
      <c r="B163" s="4" t="s">
        <v>448</v>
      </c>
      <c r="C163" s="4"/>
      <c r="D163" s="4"/>
      <c r="E163" s="4" t="s">
        <v>636</v>
      </c>
      <c r="F163" s="4" t="s">
        <v>82</v>
      </c>
      <c r="G163" s="4"/>
      <c r="H163" s="4" t="s">
        <v>898</v>
      </c>
      <c r="I163" s="4" t="s">
        <v>900</v>
      </c>
      <c r="J163" s="4"/>
      <c r="K163" s="4"/>
      <c r="L163" s="4"/>
      <c r="M163" s="4"/>
      <c r="N163" s="12" t="str">
        <f t="shared" si="12"/>
        <v>42°25′52″N 014°10′59″E</v>
      </c>
      <c r="O163" s="7">
        <v>42.431080000000001</v>
      </c>
      <c r="P163" s="7">
        <v>14.182980000000001</v>
      </c>
      <c r="Q163" s="13">
        <f t="shared" si="13"/>
        <v>15</v>
      </c>
      <c r="R163" s="11">
        <v>48</v>
      </c>
      <c r="S163" s="4"/>
      <c r="T163" s="4" t="s">
        <v>1020</v>
      </c>
      <c r="U163" s="8">
        <v>1</v>
      </c>
      <c r="V163" s="14">
        <f ca="1">IF($U163="","",MOD(NOW()-admin!$B$1/24+$U163/24,1))</f>
        <v>0.65349305554991588</v>
      </c>
      <c r="W163" s="4"/>
      <c r="X163" s="4"/>
      <c r="Y163" s="4"/>
      <c r="Z163" s="4"/>
      <c r="AA163" s="4"/>
      <c r="AB163" s="4"/>
      <c r="AC163" s="4"/>
      <c r="AD163" s="4"/>
      <c r="AE163" s="4" t="s">
        <v>1182</v>
      </c>
      <c r="AF163" s="4"/>
      <c r="AG163" s="4"/>
      <c r="AH163" s="4"/>
      <c r="AI163" s="4"/>
      <c r="AJ163" s="4"/>
      <c r="AK163" s="4"/>
      <c r="AL163" s="4"/>
      <c r="AM163" s="4"/>
      <c r="AN163" s="4"/>
      <c r="AO163" s="12" t="str">
        <f>IF($A163="","",admin!$B$2&amp;"\Charts\"&amp;$A163)</f>
        <v>C:\Backups\InsiderTechSol\Aviation\Jetelio_v3\.LAYOUT\resources\Charts\LIBP</v>
      </c>
      <c r="AP163" s="12" t="str">
        <f>IF($A163="","",admin!$B$2&amp;"\RunwayDiagrams\"&amp;$A163&amp;".pdf")</f>
        <v>C:\Backups\InsiderTechSol\Aviation\Jetelio_v3\.LAYOUT\resources\RunwayDiagrams\LIBP.pdf</v>
      </c>
      <c r="AQ163" s="12" t="str">
        <f>IF($A163="","",admin!$B$2&amp;"\Images\"&amp;$A163)</f>
        <v>C:\Backups\InsiderTechSol\Aviation\Jetelio_v3\.LAYOUT\resources\Images\LIBP</v>
      </c>
      <c r="AR163" s="12" t="str">
        <f>IF($A163="","",admin!$B$2&amp;"\CityMaps\"&amp;$A163&amp;".png")</f>
        <v>C:\Backups\InsiderTechSol\Aviation\Jetelio_v3\.LAYOUT\resources\CityMaps\LIBP.png</v>
      </c>
      <c r="AS163" s="16" t="str">
        <f t="shared" si="14"/>
        <v>VISA sheet</v>
      </c>
      <c r="AT163" s="16" t="str">
        <f t="shared" si="15"/>
        <v>Vendors sheet</v>
      </c>
      <c r="AU163" s="4"/>
      <c r="AV163" s="15">
        <f t="shared" ca="1" si="16"/>
        <v>46243</v>
      </c>
      <c r="AX163" s="6"/>
      <c r="AY163" t="str">
        <f t="shared" si="17"/>
        <v>INCOMPLETE - NOT SELECTABLE AS TECH STOP</v>
      </c>
    </row>
    <row r="164" spans="1:51" x14ac:dyDescent="0.3">
      <c r="A164" s="4" t="s">
        <v>449</v>
      </c>
      <c r="B164" s="4" t="s">
        <v>450</v>
      </c>
      <c r="C164" s="4"/>
      <c r="D164" s="4"/>
      <c r="E164" s="4" t="s">
        <v>637</v>
      </c>
      <c r="F164" s="4" t="s">
        <v>82</v>
      </c>
      <c r="G164" s="4"/>
      <c r="H164" s="4" t="s">
        <v>901</v>
      </c>
      <c r="I164" s="4" t="s">
        <v>902</v>
      </c>
      <c r="J164" s="4"/>
      <c r="K164" s="4"/>
      <c r="L164" s="4"/>
      <c r="M164" s="4"/>
      <c r="N164" s="12" t="str">
        <f t="shared" si="12"/>
        <v>17°56′09″N 076°47′15″W</v>
      </c>
      <c r="O164" s="7">
        <v>17.935700000000001</v>
      </c>
      <c r="P164" s="7">
        <v>-76.787499999999994</v>
      </c>
      <c r="Q164" s="13">
        <f t="shared" si="13"/>
        <v>3</v>
      </c>
      <c r="R164" s="11">
        <v>10</v>
      </c>
      <c r="S164" s="4"/>
      <c r="T164" s="4" t="s">
        <v>1021</v>
      </c>
      <c r="U164" s="8">
        <v>-5</v>
      </c>
      <c r="V164" s="14">
        <f ca="1">IF($U164="","",MOD(NOW()-admin!$B$1/24+$U164/24,1))</f>
        <v>0.40349305554991588</v>
      </c>
      <c r="W164" s="4"/>
      <c r="X164" s="4"/>
      <c r="Y164" s="4"/>
      <c r="Z164" s="4"/>
      <c r="AA164" s="4"/>
      <c r="AB164" s="4"/>
      <c r="AC164" s="4"/>
      <c r="AD164" s="4"/>
      <c r="AE164" s="4" t="s">
        <v>1183</v>
      </c>
      <c r="AF164" s="4"/>
      <c r="AG164" s="4"/>
      <c r="AH164" s="4"/>
      <c r="AI164" s="4"/>
      <c r="AJ164" s="4"/>
      <c r="AK164" s="4"/>
      <c r="AL164" s="4"/>
      <c r="AM164" s="4"/>
      <c r="AN164" s="4"/>
      <c r="AO164" s="12" t="str">
        <f>IF($A164="","",admin!$B$2&amp;"\Charts\"&amp;$A164)</f>
        <v>C:\Backups\InsiderTechSol\Aviation\Jetelio_v3\.LAYOUT\resources\Charts\MKJP</v>
      </c>
      <c r="AP164" s="12" t="str">
        <f>IF($A164="","",admin!$B$2&amp;"\RunwayDiagrams\"&amp;$A164&amp;".pdf")</f>
        <v>C:\Backups\InsiderTechSol\Aviation\Jetelio_v3\.LAYOUT\resources\RunwayDiagrams\MKJP.pdf</v>
      </c>
      <c r="AQ164" s="12" t="str">
        <f>IF($A164="","",admin!$B$2&amp;"\Images\"&amp;$A164)</f>
        <v>C:\Backups\InsiderTechSol\Aviation\Jetelio_v3\.LAYOUT\resources\Images\MKJP</v>
      </c>
      <c r="AR164" s="12" t="str">
        <f>IF($A164="","",admin!$B$2&amp;"\CityMaps\"&amp;$A164&amp;".png")</f>
        <v>C:\Backups\InsiderTechSol\Aviation\Jetelio_v3\.LAYOUT\resources\CityMaps\MKJP.png</v>
      </c>
      <c r="AS164" s="16" t="str">
        <f t="shared" si="14"/>
        <v>VISA sheet</v>
      </c>
      <c r="AT164" s="16" t="str">
        <f t="shared" si="15"/>
        <v>Vendors sheet</v>
      </c>
      <c r="AU164" s="4"/>
      <c r="AV164" s="15">
        <f t="shared" ca="1" si="16"/>
        <v>46243</v>
      </c>
      <c r="AX164" s="6"/>
      <c r="AY164" t="str">
        <f t="shared" si="17"/>
        <v>INCOMPLETE - NOT SELECTABLE AS TECH STOP</v>
      </c>
    </row>
    <row r="165" spans="1:51" x14ac:dyDescent="0.3">
      <c r="A165" s="4" t="s">
        <v>451</v>
      </c>
      <c r="B165" s="4" t="s">
        <v>452</v>
      </c>
      <c r="C165" s="4"/>
      <c r="D165" s="4"/>
      <c r="E165" s="4" t="s">
        <v>638</v>
      </c>
      <c r="F165" s="4" t="s">
        <v>82</v>
      </c>
      <c r="G165" s="4"/>
      <c r="H165" s="4" t="s">
        <v>901</v>
      </c>
      <c r="I165" s="4" t="s">
        <v>903</v>
      </c>
      <c r="J165" s="4"/>
      <c r="K165" s="4"/>
      <c r="L165" s="4"/>
      <c r="M165" s="4"/>
      <c r="N165" s="12" t="str">
        <f t="shared" si="12"/>
        <v>18°30′12″N 077°54′48″W</v>
      </c>
      <c r="O165" s="7">
        <v>18.503419999999998</v>
      </c>
      <c r="P165" s="7">
        <v>-77.913229999999999</v>
      </c>
      <c r="Q165" s="13">
        <f t="shared" si="13"/>
        <v>1</v>
      </c>
      <c r="R165" s="11">
        <v>4</v>
      </c>
      <c r="S165" s="4"/>
      <c r="T165" s="4" t="s">
        <v>1021</v>
      </c>
      <c r="U165" s="8">
        <v>-5</v>
      </c>
      <c r="V165" s="14">
        <f ca="1">IF($U165="","",MOD(NOW()-admin!$B$1/24+$U165/24,1))</f>
        <v>0.40349305554991588</v>
      </c>
      <c r="W165" s="4"/>
      <c r="X165" s="4"/>
      <c r="Y165" s="4"/>
      <c r="Z165" s="4"/>
      <c r="AA165" s="4"/>
      <c r="AB165" s="4"/>
      <c r="AC165" s="4"/>
      <c r="AD165" s="4"/>
      <c r="AE165" s="4" t="s">
        <v>1184</v>
      </c>
      <c r="AF165" s="4"/>
      <c r="AG165" s="4"/>
      <c r="AH165" s="4"/>
      <c r="AI165" s="4"/>
      <c r="AJ165" s="4"/>
      <c r="AK165" s="4"/>
      <c r="AL165" s="4"/>
      <c r="AM165" s="4"/>
      <c r="AN165" s="4"/>
      <c r="AO165" s="12" t="str">
        <f>IF($A165="","",admin!$B$2&amp;"\Charts\"&amp;$A165)</f>
        <v>C:\Backups\InsiderTechSol\Aviation\Jetelio_v3\.LAYOUT\resources\Charts\MKJS</v>
      </c>
      <c r="AP165" s="12" t="str">
        <f>IF($A165="","",admin!$B$2&amp;"\RunwayDiagrams\"&amp;$A165&amp;".pdf")</f>
        <v>C:\Backups\InsiderTechSol\Aviation\Jetelio_v3\.LAYOUT\resources\RunwayDiagrams\MKJS.pdf</v>
      </c>
      <c r="AQ165" s="12" t="str">
        <f>IF($A165="","",admin!$B$2&amp;"\Images\"&amp;$A165)</f>
        <v>C:\Backups\InsiderTechSol\Aviation\Jetelio_v3\.LAYOUT\resources\Images\MKJS</v>
      </c>
      <c r="AR165" s="12" t="str">
        <f>IF($A165="","",admin!$B$2&amp;"\CityMaps\"&amp;$A165&amp;".png")</f>
        <v>C:\Backups\InsiderTechSol\Aviation\Jetelio_v3\.LAYOUT\resources\CityMaps\MKJS.png</v>
      </c>
      <c r="AS165" s="16" t="str">
        <f t="shared" si="14"/>
        <v>VISA sheet</v>
      </c>
      <c r="AT165" s="16" t="str">
        <f t="shared" si="15"/>
        <v>Vendors sheet</v>
      </c>
      <c r="AU165" s="4"/>
      <c r="AV165" s="15">
        <f t="shared" ca="1" si="16"/>
        <v>46243</v>
      </c>
      <c r="AX165" s="6"/>
      <c r="AY165" t="str">
        <f t="shared" si="17"/>
        <v>INCOMPLETE - NOT SELECTABLE AS TECH STOP</v>
      </c>
    </row>
    <row r="166" spans="1:51" x14ac:dyDescent="0.3">
      <c r="A166" s="4" t="s">
        <v>453</v>
      </c>
      <c r="B166" s="4" t="s">
        <v>454</v>
      </c>
      <c r="C166" s="4"/>
      <c r="D166" s="4"/>
      <c r="E166" s="4" t="s">
        <v>639</v>
      </c>
      <c r="F166" s="4" t="s">
        <v>82</v>
      </c>
      <c r="G166" s="4"/>
      <c r="H166" s="4" t="s">
        <v>904</v>
      </c>
      <c r="I166" s="4" t="s">
        <v>905</v>
      </c>
      <c r="J166" s="4"/>
      <c r="K166" s="4"/>
      <c r="L166" s="4"/>
      <c r="M166" s="4"/>
      <c r="N166" s="12" t="str">
        <f t="shared" si="12"/>
        <v>31°43′21″N 035°59′36″E</v>
      </c>
      <c r="O166" s="7">
        <v>31.7226</v>
      </c>
      <c r="P166" s="7">
        <v>35.993200000000002</v>
      </c>
      <c r="Q166" s="13">
        <f t="shared" si="13"/>
        <v>730</v>
      </c>
      <c r="R166" s="11">
        <v>2395</v>
      </c>
      <c r="S166" s="4"/>
      <c r="T166" s="4" t="s">
        <v>1022</v>
      </c>
      <c r="U166" s="8">
        <v>2</v>
      </c>
      <c r="V166" s="14">
        <f ca="1">IF($U166="","",MOD(NOW()-admin!$B$1/24+$U166/24,1))</f>
        <v>0.69515972222143319</v>
      </c>
      <c r="W166" s="4"/>
      <c r="X166" s="4"/>
      <c r="Y166" s="4"/>
      <c r="Z166" s="4"/>
      <c r="AA166" s="4"/>
      <c r="AB166" s="4"/>
      <c r="AC166" s="4"/>
      <c r="AD166" s="4"/>
      <c r="AE166" s="4" t="s">
        <v>1185</v>
      </c>
      <c r="AF166" s="4"/>
      <c r="AG166" s="4"/>
      <c r="AH166" s="4"/>
      <c r="AI166" s="4"/>
      <c r="AJ166" s="4"/>
      <c r="AK166" s="4"/>
      <c r="AL166" s="4"/>
      <c r="AM166" s="4"/>
      <c r="AN166" s="4"/>
      <c r="AO166" s="12" t="str">
        <f>IF($A166="","",admin!$B$2&amp;"\Charts\"&amp;$A166)</f>
        <v>C:\Backups\InsiderTechSol\Aviation\Jetelio_v3\.LAYOUT\resources\Charts\OJAI</v>
      </c>
      <c r="AP166" s="12" t="str">
        <f>IF($A166="","",admin!$B$2&amp;"\RunwayDiagrams\"&amp;$A166&amp;".pdf")</f>
        <v>C:\Backups\InsiderTechSol\Aviation\Jetelio_v3\.LAYOUT\resources\RunwayDiagrams\OJAI.pdf</v>
      </c>
      <c r="AQ166" s="12" t="str">
        <f>IF($A166="","",admin!$B$2&amp;"\Images\"&amp;$A166)</f>
        <v>C:\Backups\InsiderTechSol\Aviation\Jetelio_v3\.LAYOUT\resources\Images\OJAI</v>
      </c>
      <c r="AR166" s="12" t="str">
        <f>IF($A166="","",admin!$B$2&amp;"\CityMaps\"&amp;$A166&amp;".png")</f>
        <v>C:\Backups\InsiderTechSol\Aviation\Jetelio_v3\.LAYOUT\resources\CityMaps\OJAI.png</v>
      </c>
      <c r="AS166" s="16" t="str">
        <f t="shared" si="14"/>
        <v>VISA sheet</v>
      </c>
      <c r="AT166" s="16" t="str">
        <f t="shared" si="15"/>
        <v>Vendors sheet</v>
      </c>
      <c r="AU166" s="4"/>
      <c r="AV166" s="15">
        <f t="shared" ca="1" si="16"/>
        <v>46243</v>
      </c>
      <c r="AX166" s="6"/>
      <c r="AY166" t="str">
        <f t="shared" si="17"/>
        <v>INCOMPLETE - NOT SELECTABLE AS TECH STOP</v>
      </c>
    </row>
    <row r="167" spans="1:51" x14ac:dyDescent="0.3">
      <c r="A167" s="4" t="s">
        <v>455</v>
      </c>
      <c r="B167" s="4" t="s">
        <v>456</v>
      </c>
      <c r="C167" s="4"/>
      <c r="D167" s="4"/>
      <c r="E167" s="4" t="s">
        <v>640</v>
      </c>
      <c r="F167" s="4" t="s">
        <v>82</v>
      </c>
      <c r="G167" s="4"/>
      <c r="H167" s="4" t="s">
        <v>904</v>
      </c>
      <c r="I167" s="4" t="s">
        <v>905</v>
      </c>
      <c r="J167" s="4"/>
      <c r="K167" s="4"/>
      <c r="L167" s="4"/>
      <c r="M167" s="4"/>
      <c r="N167" s="12" t="str">
        <f t="shared" si="12"/>
        <v>31°58′22″N 035°59′30″E</v>
      </c>
      <c r="O167" s="7">
        <v>31.9727</v>
      </c>
      <c r="P167" s="7">
        <v>35.991599999999998</v>
      </c>
      <c r="Q167" s="13">
        <f t="shared" si="13"/>
        <v>779</v>
      </c>
      <c r="R167" s="11">
        <v>2555</v>
      </c>
      <c r="S167" s="4"/>
      <c r="T167" s="4" t="s">
        <v>1022</v>
      </c>
      <c r="U167" s="8">
        <v>2</v>
      </c>
      <c r="V167" s="14">
        <f ca="1">IF($U167="","",MOD(NOW()-admin!$B$1/24+$U167/24,1))</f>
        <v>0.69515972222143319</v>
      </c>
      <c r="W167" s="4"/>
      <c r="X167" s="4"/>
      <c r="Y167" s="4"/>
      <c r="Z167" s="4"/>
      <c r="AA167" s="4"/>
      <c r="AB167" s="4"/>
      <c r="AC167" s="4"/>
      <c r="AD167" s="4"/>
      <c r="AE167" s="4" t="s">
        <v>1186</v>
      </c>
      <c r="AF167" s="4"/>
      <c r="AG167" s="4"/>
      <c r="AH167" s="4"/>
      <c r="AI167" s="4"/>
      <c r="AJ167" s="4"/>
      <c r="AK167" s="4"/>
      <c r="AL167" s="4"/>
      <c r="AM167" s="4"/>
      <c r="AN167" s="4"/>
      <c r="AO167" s="12" t="str">
        <f>IF($A167="","",admin!$B$2&amp;"\Charts\"&amp;$A167)</f>
        <v>C:\Backups\InsiderTechSol\Aviation\Jetelio_v3\.LAYOUT\resources\Charts\OJAM</v>
      </c>
      <c r="AP167" s="12" t="str">
        <f>IF($A167="","",admin!$B$2&amp;"\RunwayDiagrams\"&amp;$A167&amp;".pdf")</f>
        <v>C:\Backups\InsiderTechSol\Aviation\Jetelio_v3\.LAYOUT\resources\RunwayDiagrams\OJAM.pdf</v>
      </c>
      <c r="AQ167" s="12" t="str">
        <f>IF($A167="","",admin!$B$2&amp;"\Images\"&amp;$A167)</f>
        <v>C:\Backups\InsiderTechSol\Aviation\Jetelio_v3\.LAYOUT\resources\Images\OJAM</v>
      </c>
      <c r="AR167" s="12" t="str">
        <f>IF($A167="","",admin!$B$2&amp;"\CityMaps\"&amp;$A167&amp;".png")</f>
        <v>C:\Backups\InsiderTechSol\Aviation\Jetelio_v3\.LAYOUT\resources\CityMaps\OJAM.png</v>
      </c>
      <c r="AS167" s="16" t="str">
        <f t="shared" si="14"/>
        <v>VISA sheet</v>
      </c>
      <c r="AT167" s="16" t="str">
        <f t="shared" si="15"/>
        <v>Vendors sheet</v>
      </c>
      <c r="AU167" s="4"/>
      <c r="AV167" s="15">
        <f t="shared" ca="1" si="16"/>
        <v>46243</v>
      </c>
      <c r="AX167" s="6"/>
      <c r="AY167" t="str">
        <f t="shared" si="17"/>
        <v>INCOMPLETE - NOT SELECTABLE AS TECH STOP</v>
      </c>
    </row>
    <row r="168" spans="1:51" x14ac:dyDescent="0.3">
      <c r="A168" s="4" t="s">
        <v>457</v>
      </c>
      <c r="B168" s="4" t="s">
        <v>458</v>
      </c>
      <c r="C168" s="4"/>
      <c r="D168" s="4"/>
      <c r="E168" s="4" t="s">
        <v>641</v>
      </c>
      <c r="F168" s="4" t="s">
        <v>82</v>
      </c>
      <c r="G168" s="4"/>
      <c r="H168" s="4" t="s">
        <v>906</v>
      </c>
      <c r="I168" s="4" t="s">
        <v>907</v>
      </c>
      <c r="J168" s="4"/>
      <c r="K168" s="4"/>
      <c r="L168" s="4"/>
      <c r="M168" s="4"/>
      <c r="N168" s="12" t="str">
        <f t="shared" si="12"/>
        <v>35°46′07″N 140°23′19″E</v>
      </c>
      <c r="O168" s="7">
        <v>35.76858</v>
      </c>
      <c r="P168" s="7">
        <v>140.38871</v>
      </c>
      <c r="Q168" s="13">
        <f t="shared" si="13"/>
        <v>43</v>
      </c>
      <c r="R168" s="11">
        <v>141</v>
      </c>
      <c r="S168" s="4"/>
      <c r="T168" s="4" t="s">
        <v>1023</v>
      </c>
      <c r="U168" s="8">
        <v>9</v>
      </c>
      <c r="V168" s="14">
        <f ca="1">IF($U168="","",MOD(NOW()-admin!$B$1/24+$U168/24,1))</f>
        <v>0.98682638888567453</v>
      </c>
      <c r="W168" s="4"/>
      <c r="X168" s="4"/>
      <c r="Y168" s="4"/>
      <c r="Z168" s="4"/>
      <c r="AA168" s="4"/>
      <c r="AB168" s="4"/>
      <c r="AC168" s="4"/>
      <c r="AD168" s="4"/>
      <c r="AE168" s="4" t="s">
        <v>1187</v>
      </c>
      <c r="AF168" s="4"/>
      <c r="AG168" s="4"/>
      <c r="AH168" s="4"/>
      <c r="AI168" s="4"/>
      <c r="AJ168" s="4"/>
      <c r="AK168" s="4"/>
      <c r="AL168" s="4"/>
      <c r="AM168" s="4"/>
      <c r="AN168" s="4"/>
      <c r="AO168" s="12" t="str">
        <f>IF($A168="","",admin!$B$2&amp;"\Charts\"&amp;$A168)</f>
        <v>C:\Backups\InsiderTechSol\Aviation\Jetelio_v3\.LAYOUT\resources\Charts\RJAA</v>
      </c>
      <c r="AP168" s="12" t="str">
        <f>IF($A168="","",admin!$B$2&amp;"\RunwayDiagrams\"&amp;$A168&amp;".pdf")</f>
        <v>C:\Backups\InsiderTechSol\Aviation\Jetelio_v3\.LAYOUT\resources\RunwayDiagrams\RJAA.pdf</v>
      </c>
      <c r="AQ168" s="12" t="str">
        <f>IF($A168="","",admin!$B$2&amp;"\Images\"&amp;$A168)</f>
        <v>C:\Backups\InsiderTechSol\Aviation\Jetelio_v3\.LAYOUT\resources\Images\RJAA</v>
      </c>
      <c r="AR168" s="12" t="str">
        <f>IF($A168="","",admin!$B$2&amp;"\CityMaps\"&amp;$A168&amp;".png")</f>
        <v>C:\Backups\InsiderTechSol\Aviation\Jetelio_v3\.LAYOUT\resources\CityMaps\RJAA.png</v>
      </c>
      <c r="AS168" s="16" t="str">
        <f t="shared" si="14"/>
        <v>VISA sheet</v>
      </c>
      <c r="AT168" s="16" t="str">
        <f t="shared" si="15"/>
        <v>Vendors sheet</v>
      </c>
      <c r="AU168" s="4"/>
      <c r="AV168" s="15">
        <f t="shared" ca="1" si="16"/>
        <v>46243</v>
      </c>
      <c r="AX168" s="6"/>
      <c r="AY168" t="str">
        <f t="shared" si="17"/>
        <v>INCOMPLETE - NOT SELECTABLE AS TECH STOP</v>
      </c>
    </row>
    <row r="169" spans="1:51" x14ac:dyDescent="0.3">
      <c r="A169" s="4" t="s">
        <v>459</v>
      </c>
      <c r="B169" s="4" t="s">
        <v>460</v>
      </c>
      <c r="C169" s="4"/>
      <c r="D169" s="4"/>
      <c r="E169" s="4" t="s">
        <v>642</v>
      </c>
      <c r="F169" s="4" t="s">
        <v>82</v>
      </c>
      <c r="G169" s="4"/>
      <c r="H169" s="4" t="s">
        <v>906</v>
      </c>
      <c r="I169" s="4" t="s">
        <v>908</v>
      </c>
      <c r="J169" s="4"/>
      <c r="K169" s="4"/>
      <c r="L169" s="4"/>
      <c r="M169" s="4"/>
      <c r="N169" s="12" t="str">
        <f t="shared" si="12"/>
        <v>36°10′53″N 140°24′52″E</v>
      </c>
      <c r="O169" s="7">
        <v>36.181460000000001</v>
      </c>
      <c r="P169" s="7">
        <v>140.41443000000001</v>
      </c>
      <c r="Q169" s="13">
        <f t="shared" si="13"/>
        <v>32</v>
      </c>
      <c r="R169" s="11">
        <v>105</v>
      </c>
      <c r="S169" s="4"/>
      <c r="T169" s="4" t="s">
        <v>1023</v>
      </c>
      <c r="U169" s="8">
        <v>9</v>
      </c>
      <c r="V169" s="14">
        <f ca="1">IF($U169="","",MOD(NOW()-admin!$B$1/24+$U169/24,1))</f>
        <v>0.98682638888567453</v>
      </c>
      <c r="W169" s="4"/>
      <c r="X169" s="4"/>
      <c r="Y169" s="4"/>
      <c r="Z169" s="4"/>
      <c r="AA169" s="4"/>
      <c r="AB169" s="4"/>
      <c r="AC169" s="4"/>
      <c r="AD169" s="4"/>
      <c r="AE169" s="4" t="s">
        <v>1188</v>
      </c>
      <c r="AF169" s="4"/>
      <c r="AG169" s="4"/>
      <c r="AH169" s="4"/>
      <c r="AI169" s="4"/>
      <c r="AJ169" s="4"/>
      <c r="AK169" s="4"/>
      <c r="AL169" s="4"/>
      <c r="AM169" s="4"/>
      <c r="AN169" s="4"/>
      <c r="AO169" s="12" t="str">
        <f>IF($A169="","",admin!$B$2&amp;"\Charts\"&amp;$A169)</f>
        <v>C:\Backups\InsiderTechSol\Aviation\Jetelio_v3\.LAYOUT\resources\Charts\RJAH</v>
      </c>
      <c r="AP169" s="12" t="str">
        <f>IF($A169="","",admin!$B$2&amp;"\RunwayDiagrams\"&amp;$A169&amp;".pdf")</f>
        <v>C:\Backups\InsiderTechSol\Aviation\Jetelio_v3\.LAYOUT\resources\RunwayDiagrams\RJAH.pdf</v>
      </c>
      <c r="AQ169" s="12" t="str">
        <f>IF($A169="","",admin!$B$2&amp;"\Images\"&amp;$A169)</f>
        <v>C:\Backups\InsiderTechSol\Aviation\Jetelio_v3\.LAYOUT\resources\Images\RJAH</v>
      </c>
      <c r="AR169" s="12" t="str">
        <f>IF($A169="","",admin!$B$2&amp;"\CityMaps\"&amp;$A169&amp;".png")</f>
        <v>C:\Backups\InsiderTechSol\Aviation\Jetelio_v3\.LAYOUT\resources\CityMaps\RJAH.png</v>
      </c>
      <c r="AS169" s="16" t="str">
        <f t="shared" si="14"/>
        <v>VISA sheet</v>
      </c>
      <c r="AT169" s="16" t="str">
        <f t="shared" si="15"/>
        <v>Vendors sheet</v>
      </c>
      <c r="AU169" s="4"/>
      <c r="AV169" s="15">
        <f t="shared" ca="1" si="16"/>
        <v>46243</v>
      </c>
      <c r="AX169" s="6"/>
      <c r="AY169" t="str">
        <f t="shared" si="17"/>
        <v>INCOMPLETE - NOT SELECTABLE AS TECH STOP</v>
      </c>
    </row>
    <row r="170" spans="1:51" x14ac:dyDescent="0.3">
      <c r="A170" s="4" t="s">
        <v>461</v>
      </c>
      <c r="B170" s="4" t="s">
        <v>462</v>
      </c>
      <c r="C170" s="4"/>
      <c r="D170" s="4"/>
      <c r="E170" s="4" t="s">
        <v>643</v>
      </c>
      <c r="F170" s="4" t="s">
        <v>82</v>
      </c>
      <c r="G170" s="4"/>
      <c r="H170" s="4" t="s">
        <v>8</v>
      </c>
      <c r="I170" s="4" t="s">
        <v>909</v>
      </c>
      <c r="J170" s="4"/>
      <c r="K170" s="4"/>
      <c r="L170" s="4"/>
      <c r="M170" s="4"/>
      <c r="N170" s="12" t="str">
        <f t="shared" si="12"/>
        <v>00°24′16″N 035°14′20″E</v>
      </c>
      <c r="O170" s="7">
        <v>0.40445999999999999</v>
      </c>
      <c r="P170" s="7">
        <v>35.238900000000001</v>
      </c>
      <c r="Q170" s="13">
        <f t="shared" si="13"/>
        <v>2116</v>
      </c>
      <c r="R170" s="11">
        <v>6941</v>
      </c>
      <c r="S170" s="4"/>
      <c r="T170" s="4" t="s">
        <v>1024</v>
      </c>
      <c r="U170" s="8">
        <v>3</v>
      </c>
      <c r="V170" s="14">
        <f ca="1">IF($U170="","",MOD(NOW()-admin!$B$1/24+$U170/24,1))</f>
        <v>0.73682638888567453</v>
      </c>
      <c r="W170" s="4"/>
      <c r="X170" s="4"/>
      <c r="Y170" s="4"/>
      <c r="Z170" s="4"/>
      <c r="AA170" s="4"/>
      <c r="AB170" s="4"/>
      <c r="AC170" s="4"/>
      <c r="AD170" s="4"/>
      <c r="AE170" s="4" t="s">
        <v>1189</v>
      </c>
      <c r="AF170" s="4"/>
      <c r="AG170" s="4"/>
      <c r="AH170" s="4"/>
      <c r="AI170" s="4"/>
      <c r="AJ170" s="4"/>
      <c r="AK170" s="4"/>
      <c r="AL170" s="4"/>
      <c r="AM170" s="4"/>
      <c r="AN170" s="4"/>
      <c r="AO170" s="12" t="str">
        <f>IF($A170="","",admin!$B$2&amp;"\Charts\"&amp;$A170)</f>
        <v>C:\Backups\InsiderTechSol\Aviation\Jetelio_v3\.LAYOUT\resources\Charts\HKEL</v>
      </c>
      <c r="AP170" s="12" t="str">
        <f>IF($A170="","",admin!$B$2&amp;"\RunwayDiagrams\"&amp;$A170&amp;".pdf")</f>
        <v>C:\Backups\InsiderTechSol\Aviation\Jetelio_v3\.LAYOUT\resources\RunwayDiagrams\HKEL.pdf</v>
      </c>
      <c r="AQ170" s="12" t="str">
        <f>IF($A170="","",admin!$B$2&amp;"\Images\"&amp;$A170)</f>
        <v>C:\Backups\InsiderTechSol\Aviation\Jetelio_v3\.LAYOUT\resources\Images\HKEL</v>
      </c>
      <c r="AR170" s="12" t="str">
        <f>IF($A170="","",admin!$B$2&amp;"\CityMaps\"&amp;$A170&amp;".png")</f>
        <v>C:\Backups\InsiderTechSol\Aviation\Jetelio_v3\.LAYOUT\resources\CityMaps\HKEL.png</v>
      </c>
      <c r="AS170" s="16" t="str">
        <f t="shared" si="14"/>
        <v>VISA sheet</v>
      </c>
      <c r="AT170" s="16" t="str">
        <f t="shared" si="15"/>
        <v>Vendors sheet</v>
      </c>
      <c r="AU170" s="4"/>
      <c r="AV170" s="15">
        <f t="shared" ca="1" si="16"/>
        <v>46243</v>
      </c>
      <c r="AX170" s="6"/>
      <c r="AY170" t="str">
        <f t="shared" si="17"/>
        <v>INCOMPLETE - NOT SELECTABLE AS TECH STOP</v>
      </c>
    </row>
    <row r="171" spans="1:51" x14ac:dyDescent="0.3">
      <c r="A171" s="4" t="s">
        <v>463</v>
      </c>
      <c r="B171" s="4" t="s">
        <v>464</v>
      </c>
      <c r="C171" s="4"/>
      <c r="D171" s="4"/>
      <c r="E171" s="4" t="s">
        <v>644</v>
      </c>
      <c r="F171" s="4" t="s">
        <v>82</v>
      </c>
      <c r="G171" s="4"/>
      <c r="H171" s="4" t="s">
        <v>8</v>
      </c>
      <c r="I171" s="4" t="s">
        <v>910</v>
      </c>
      <c r="J171" s="4"/>
      <c r="K171" s="4"/>
      <c r="L171" s="4"/>
      <c r="M171" s="4"/>
      <c r="N171" s="12" t="str">
        <f t="shared" si="12"/>
        <v>01°19′08″S 036°55′42″E</v>
      </c>
      <c r="O171" s="7">
        <v>-1.3188899999999999</v>
      </c>
      <c r="P171" s="7">
        <v>36.928229999999999</v>
      </c>
      <c r="Q171" s="13">
        <f t="shared" si="13"/>
        <v>1625</v>
      </c>
      <c r="R171" s="11">
        <v>5330</v>
      </c>
      <c r="S171" s="4"/>
      <c r="T171" s="4" t="s">
        <v>1024</v>
      </c>
      <c r="U171" s="8">
        <v>3</v>
      </c>
      <c r="V171" s="14">
        <f ca="1">IF($U171="","",MOD(NOW()-admin!$B$1/24+$U171/24,1))</f>
        <v>0.73682638888567453</v>
      </c>
      <c r="W171" s="4"/>
      <c r="X171" s="4"/>
      <c r="Y171" s="4"/>
      <c r="Z171" s="4"/>
      <c r="AA171" s="4"/>
      <c r="AB171" s="4"/>
      <c r="AC171" s="4"/>
      <c r="AD171" s="4"/>
      <c r="AE171" s="4" t="s">
        <v>1190</v>
      </c>
      <c r="AF171" s="4"/>
      <c r="AG171" s="4"/>
      <c r="AH171" s="4"/>
      <c r="AI171" s="4"/>
      <c r="AJ171" s="4"/>
      <c r="AK171" s="4"/>
      <c r="AL171" s="4"/>
      <c r="AM171" s="4"/>
      <c r="AN171" s="4"/>
      <c r="AO171" s="12" t="str">
        <f>IF($A171="","",admin!$B$2&amp;"\Charts\"&amp;$A171)</f>
        <v>C:\Backups\InsiderTechSol\Aviation\Jetelio_v3\.LAYOUT\resources\Charts\HKJK</v>
      </c>
      <c r="AP171" s="12" t="str">
        <f>IF($A171="","",admin!$B$2&amp;"\RunwayDiagrams\"&amp;$A171&amp;".pdf")</f>
        <v>C:\Backups\InsiderTechSol\Aviation\Jetelio_v3\.LAYOUT\resources\RunwayDiagrams\HKJK.pdf</v>
      </c>
      <c r="AQ171" s="12" t="str">
        <f>IF($A171="","",admin!$B$2&amp;"\Images\"&amp;$A171)</f>
        <v>C:\Backups\InsiderTechSol\Aviation\Jetelio_v3\.LAYOUT\resources\Images\HKJK</v>
      </c>
      <c r="AR171" s="12" t="str">
        <f>IF($A171="","",admin!$B$2&amp;"\CityMaps\"&amp;$A171&amp;".png")</f>
        <v>C:\Backups\InsiderTechSol\Aviation\Jetelio_v3\.LAYOUT\resources\CityMaps\HKJK.png</v>
      </c>
      <c r="AS171" s="16" t="str">
        <f t="shared" si="14"/>
        <v>VISA sheet</v>
      </c>
      <c r="AT171" s="16" t="str">
        <f t="shared" si="15"/>
        <v>Vendors sheet</v>
      </c>
      <c r="AU171" s="4"/>
      <c r="AV171" s="15">
        <f t="shared" ca="1" si="16"/>
        <v>46243</v>
      </c>
      <c r="AX171" s="6"/>
      <c r="AY171" t="str">
        <f t="shared" si="17"/>
        <v>INCOMPLETE - NOT SELECTABLE AS TECH STOP</v>
      </c>
    </row>
    <row r="172" spans="1:51" x14ac:dyDescent="0.3">
      <c r="A172" s="4" t="s">
        <v>465</v>
      </c>
      <c r="B172" s="4" t="s">
        <v>466</v>
      </c>
      <c r="C172" s="4"/>
      <c r="D172" s="4"/>
      <c r="E172" s="4" t="s">
        <v>645</v>
      </c>
      <c r="F172" s="4" t="s">
        <v>82</v>
      </c>
      <c r="G172" s="4"/>
      <c r="H172" s="4" t="s">
        <v>911</v>
      </c>
      <c r="I172" s="4" t="s">
        <v>912</v>
      </c>
      <c r="J172" s="4"/>
      <c r="K172" s="4"/>
      <c r="L172" s="4"/>
      <c r="M172" s="4"/>
      <c r="N172" s="12" t="str">
        <f t="shared" si="12"/>
        <v>42°35′08″N 076°42′04″E</v>
      </c>
      <c r="O172" s="7">
        <v>42.58558</v>
      </c>
      <c r="P172" s="7">
        <v>76.701179999999994</v>
      </c>
      <c r="Q172" s="13">
        <f t="shared" si="13"/>
        <v>1654</v>
      </c>
      <c r="R172" s="11">
        <v>5425</v>
      </c>
      <c r="S172" s="4"/>
      <c r="T172" s="4"/>
      <c r="U172" s="8"/>
      <c r="V172" s="14" t="str">
        <f ca="1">IF($U172="","",MOD(NOW()-admin!$B$1/24+$U172/24,1))</f>
        <v/>
      </c>
      <c r="W172" s="4"/>
      <c r="X172" s="4"/>
      <c r="Y172" s="4"/>
      <c r="Z172" s="4"/>
      <c r="AA172" s="4"/>
      <c r="AB172" s="4"/>
      <c r="AC172" s="4"/>
      <c r="AD172" s="4"/>
      <c r="AE172" s="4" t="s">
        <v>1191</v>
      </c>
      <c r="AF172" s="4"/>
      <c r="AG172" s="4"/>
      <c r="AH172" s="4"/>
      <c r="AI172" s="4"/>
      <c r="AJ172" s="4"/>
      <c r="AK172" s="4"/>
      <c r="AL172" s="4"/>
      <c r="AM172" s="4"/>
      <c r="AN172" s="4"/>
      <c r="AO172" s="12" t="str">
        <f>IF($A172="","",admin!$B$2&amp;"\Charts\"&amp;$A172)</f>
        <v>C:\Backups\InsiderTechSol\Aviation\Jetelio_v3\.LAYOUT\resources\Charts\UCFL</v>
      </c>
      <c r="AP172" s="12" t="str">
        <f>IF($A172="","",admin!$B$2&amp;"\RunwayDiagrams\"&amp;$A172&amp;".pdf")</f>
        <v>C:\Backups\InsiderTechSol\Aviation\Jetelio_v3\.LAYOUT\resources\RunwayDiagrams\UCFL.pdf</v>
      </c>
      <c r="AQ172" s="12" t="str">
        <f>IF($A172="","",admin!$B$2&amp;"\Images\"&amp;$A172)</f>
        <v>C:\Backups\InsiderTechSol\Aviation\Jetelio_v3\.LAYOUT\resources\Images\UCFL</v>
      </c>
      <c r="AR172" s="12" t="str">
        <f>IF($A172="","",admin!$B$2&amp;"\CityMaps\"&amp;$A172&amp;".png")</f>
        <v>C:\Backups\InsiderTechSol\Aviation\Jetelio_v3\.LAYOUT\resources\CityMaps\UCFL.png</v>
      </c>
      <c r="AS172" s="16" t="str">
        <f t="shared" si="14"/>
        <v>VISA sheet</v>
      </c>
      <c r="AT172" s="16" t="str">
        <f t="shared" si="15"/>
        <v>Vendors sheet</v>
      </c>
      <c r="AU172" s="4"/>
      <c r="AV172" s="15">
        <f t="shared" ca="1" si="16"/>
        <v>46243</v>
      </c>
      <c r="AX172" s="6"/>
      <c r="AY172" t="str">
        <f t="shared" si="17"/>
        <v>INCOMPLETE - NOT SELECTABLE AS TECH STOP</v>
      </c>
    </row>
    <row r="173" spans="1:51" x14ac:dyDescent="0.3">
      <c r="A173" s="4" t="s">
        <v>467</v>
      </c>
      <c r="B173" s="4" t="s">
        <v>468</v>
      </c>
      <c r="C173" s="4"/>
      <c r="D173" s="4"/>
      <c r="E173" s="4" t="s">
        <v>646</v>
      </c>
      <c r="F173" s="4" t="s">
        <v>82</v>
      </c>
      <c r="G173" s="4"/>
      <c r="H173" s="4" t="s">
        <v>911</v>
      </c>
      <c r="I173" s="4" t="s">
        <v>913</v>
      </c>
      <c r="J173" s="4"/>
      <c r="K173" s="4"/>
      <c r="L173" s="4"/>
      <c r="M173" s="4"/>
      <c r="N173" s="12" t="str">
        <f t="shared" si="12"/>
        <v>43°03′41″N 074°28′39″E</v>
      </c>
      <c r="O173" s="7">
        <v>43.061300000000003</v>
      </c>
      <c r="P173" s="7">
        <v>74.477599999999995</v>
      </c>
      <c r="Q173" s="13">
        <f t="shared" si="13"/>
        <v>627</v>
      </c>
      <c r="R173" s="11">
        <v>2058</v>
      </c>
      <c r="S173" s="4"/>
      <c r="T173" s="4"/>
      <c r="U173" s="8"/>
      <c r="V173" s="14" t="str">
        <f ca="1">IF($U173="","",MOD(NOW()-admin!$B$1/24+$U173/24,1))</f>
        <v/>
      </c>
      <c r="W173" s="4"/>
      <c r="X173" s="4"/>
      <c r="Y173" s="4"/>
      <c r="Z173" s="4"/>
      <c r="AA173" s="4"/>
      <c r="AB173" s="4"/>
      <c r="AC173" s="4"/>
      <c r="AD173" s="4"/>
      <c r="AE173" s="4" t="s">
        <v>1192</v>
      </c>
      <c r="AF173" s="4"/>
      <c r="AG173" s="4"/>
      <c r="AH173" s="4"/>
      <c r="AI173" s="4"/>
      <c r="AJ173" s="4"/>
      <c r="AK173" s="4"/>
      <c r="AL173" s="4"/>
      <c r="AM173" s="4"/>
      <c r="AN173" s="4"/>
      <c r="AO173" s="12" t="str">
        <f>IF($A173="","",admin!$B$2&amp;"\Charts\"&amp;$A173)</f>
        <v>C:\Backups\InsiderTechSol\Aviation\Jetelio_v3\.LAYOUT\resources\Charts\UCFM</v>
      </c>
      <c r="AP173" s="12" t="str">
        <f>IF($A173="","",admin!$B$2&amp;"\RunwayDiagrams\"&amp;$A173&amp;".pdf")</f>
        <v>C:\Backups\InsiderTechSol\Aviation\Jetelio_v3\.LAYOUT\resources\RunwayDiagrams\UCFM.pdf</v>
      </c>
      <c r="AQ173" s="12" t="str">
        <f>IF($A173="","",admin!$B$2&amp;"\Images\"&amp;$A173)</f>
        <v>C:\Backups\InsiderTechSol\Aviation\Jetelio_v3\.LAYOUT\resources\Images\UCFM</v>
      </c>
      <c r="AR173" s="12" t="str">
        <f>IF($A173="","",admin!$B$2&amp;"\CityMaps\"&amp;$A173&amp;".png")</f>
        <v>C:\Backups\InsiderTechSol\Aviation\Jetelio_v3\.LAYOUT\resources\CityMaps\UCFM.png</v>
      </c>
      <c r="AS173" s="16" t="str">
        <f t="shared" si="14"/>
        <v>VISA sheet</v>
      </c>
      <c r="AT173" s="16" t="str">
        <f t="shared" si="15"/>
        <v>Vendors sheet</v>
      </c>
      <c r="AU173" s="4"/>
      <c r="AV173" s="15">
        <f t="shared" ca="1" si="16"/>
        <v>46243</v>
      </c>
      <c r="AX173" s="6"/>
      <c r="AY173" t="str">
        <f t="shared" si="17"/>
        <v>INCOMPLETE - NOT SELECTABLE AS TECH STOP</v>
      </c>
    </row>
    <row r="174" spans="1:51" x14ac:dyDescent="0.3">
      <c r="A174" s="4" t="s">
        <v>469</v>
      </c>
      <c r="B174" s="4" t="s">
        <v>470</v>
      </c>
      <c r="C174" s="4"/>
      <c r="D174" s="4"/>
      <c r="E174" s="4" t="s">
        <v>647</v>
      </c>
      <c r="F174" s="4" t="s">
        <v>82</v>
      </c>
      <c r="G174" s="4"/>
      <c r="H174" s="4" t="s">
        <v>914</v>
      </c>
      <c r="I174" s="4" t="s">
        <v>915</v>
      </c>
      <c r="J174" s="4"/>
      <c r="K174" s="4"/>
      <c r="L174" s="4"/>
      <c r="M174" s="4"/>
      <c r="N174" s="12" t="str">
        <f t="shared" si="12"/>
        <v>10°54′51″N 103°13′36″E</v>
      </c>
      <c r="O174" s="7">
        <v>10.914239999999999</v>
      </c>
      <c r="P174" s="7">
        <v>103.22665000000001</v>
      </c>
      <c r="Q174" s="13">
        <f t="shared" si="13"/>
        <v>18</v>
      </c>
      <c r="R174" s="11">
        <v>60</v>
      </c>
      <c r="S174" s="4"/>
      <c r="T174" s="4"/>
      <c r="U174" s="8"/>
      <c r="V174" s="14" t="str">
        <f ca="1">IF($U174="","",MOD(NOW()-admin!$B$1/24+$U174/24,1))</f>
        <v/>
      </c>
      <c r="W174" s="4"/>
      <c r="X174" s="4"/>
      <c r="Y174" s="4"/>
      <c r="Z174" s="4"/>
      <c r="AA174" s="4"/>
      <c r="AB174" s="4"/>
      <c r="AC174" s="4"/>
      <c r="AD174" s="4"/>
      <c r="AE174" s="4" t="s">
        <v>1193</v>
      </c>
      <c r="AF174" s="4"/>
      <c r="AG174" s="4"/>
      <c r="AH174" s="4"/>
      <c r="AI174" s="4"/>
      <c r="AJ174" s="4"/>
      <c r="AK174" s="4"/>
      <c r="AL174" s="4"/>
      <c r="AM174" s="4"/>
      <c r="AN174" s="4"/>
      <c r="AO174" s="12" t="str">
        <f>IF($A174="","",admin!$B$2&amp;"\Charts\"&amp;$A174)</f>
        <v>C:\Backups\InsiderTechSol\Aviation\Jetelio_v3\.LAYOUT\resources\Charts\VDDS</v>
      </c>
      <c r="AP174" s="12" t="str">
        <f>IF($A174="","",admin!$B$2&amp;"\RunwayDiagrams\"&amp;$A174&amp;".pdf")</f>
        <v>C:\Backups\InsiderTechSol\Aviation\Jetelio_v3\.LAYOUT\resources\RunwayDiagrams\VDDS.pdf</v>
      </c>
      <c r="AQ174" s="12" t="str">
        <f>IF($A174="","",admin!$B$2&amp;"\Images\"&amp;$A174)</f>
        <v>C:\Backups\InsiderTechSol\Aviation\Jetelio_v3\.LAYOUT\resources\Images\VDDS</v>
      </c>
      <c r="AR174" s="12" t="str">
        <f>IF($A174="","",admin!$B$2&amp;"\CityMaps\"&amp;$A174&amp;".png")</f>
        <v>C:\Backups\InsiderTechSol\Aviation\Jetelio_v3\.LAYOUT\resources\CityMaps\VDDS.png</v>
      </c>
      <c r="AS174" s="16" t="str">
        <f t="shared" si="14"/>
        <v>VISA sheet</v>
      </c>
      <c r="AT174" s="16" t="str">
        <f t="shared" si="15"/>
        <v>Vendors sheet</v>
      </c>
      <c r="AU174" s="4"/>
      <c r="AV174" s="15">
        <f t="shared" ca="1" si="16"/>
        <v>46243</v>
      </c>
      <c r="AX174" s="6"/>
      <c r="AY174" t="str">
        <f t="shared" si="17"/>
        <v>INCOMPLETE - NOT SELECTABLE AS TECH STOP</v>
      </c>
    </row>
    <row r="175" spans="1:51" x14ac:dyDescent="0.3">
      <c r="A175" s="4" t="s">
        <v>471</v>
      </c>
      <c r="B175" s="4" t="s">
        <v>472</v>
      </c>
      <c r="C175" s="4"/>
      <c r="D175" s="4"/>
      <c r="E175" s="4" t="s">
        <v>648</v>
      </c>
      <c r="F175" s="4" t="s">
        <v>82</v>
      </c>
      <c r="G175" s="4"/>
      <c r="H175" s="4" t="s">
        <v>914</v>
      </c>
      <c r="I175" s="4" t="s">
        <v>916</v>
      </c>
      <c r="J175" s="4"/>
      <c r="K175" s="4"/>
      <c r="L175" s="4"/>
      <c r="M175" s="4"/>
      <c r="N175" s="12" t="str">
        <f t="shared" si="12"/>
        <v>11°32′50″N 104°50′41″E</v>
      </c>
      <c r="O175" s="7">
        <v>11.54716</v>
      </c>
      <c r="P175" s="7">
        <v>104.8447</v>
      </c>
      <c r="Q175" s="13">
        <f t="shared" si="13"/>
        <v>12</v>
      </c>
      <c r="R175" s="11">
        <v>40</v>
      </c>
      <c r="S175" s="4"/>
      <c r="T175" s="4" t="s">
        <v>1025</v>
      </c>
      <c r="U175" s="8">
        <v>7</v>
      </c>
      <c r="V175" s="14">
        <f ca="1">IF($U175="","",MOD(NOW()-admin!$B$1/24+$U175/24,1))</f>
        <v>0.90349305554991588</v>
      </c>
      <c r="W175" s="4"/>
      <c r="X175" s="4"/>
      <c r="Y175" s="4"/>
      <c r="Z175" s="4"/>
      <c r="AA175" s="4"/>
      <c r="AB175" s="4"/>
      <c r="AC175" s="4"/>
      <c r="AD175" s="4"/>
      <c r="AE175" s="4" t="s">
        <v>1194</v>
      </c>
      <c r="AF175" s="4"/>
      <c r="AG175" s="4"/>
      <c r="AH175" s="4"/>
      <c r="AI175" s="4"/>
      <c r="AJ175" s="4"/>
      <c r="AK175" s="4"/>
      <c r="AL175" s="4"/>
      <c r="AM175" s="4"/>
      <c r="AN175" s="4"/>
      <c r="AO175" s="12" t="str">
        <f>IF($A175="","",admin!$B$2&amp;"\Charts\"&amp;$A175)</f>
        <v>C:\Backups\InsiderTechSol\Aviation\Jetelio_v3\.LAYOUT\resources\Charts\VDPP</v>
      </c>
      <c r="AP175" s="12" t="str">
        <f>IF($A175="","",admin!$B$2&amp;"\RunwayDiagrams\"&amp;$A175&amp;".pdf")</f>
        <v>C:\Backups\InsiderTechSol\Aviation\Jetelio_v3\.LAYOUT\resources\RunwayDiagrams\VDPP.pdf</v>
      </c>
      <c r="AQ175" s="12" t="str">
        <f>IF($A175="","",admin!$B$2&amp;"\Images\"&amp;$A175)</f>
        <v>C:\Backups\InsiderTechSol\Aviation\Jetelio_v3\.LAYOUT\resources\Images\VDPP</v>
      </c>
      <c r="AR175" s="12" t="str">
        <f>IF($A175="","",admin!$B$2&amp;"\CityMaps\"&amp;$A175&amp;".png")</f>
        <v>C:\Backups\InsiderTechSol\Aviation\Jetelio_v3\.LAYOUT\resources\CityMaps\VDPP.png</v>
      </c>
      <c r="AS175" s="16" t="str">
        <f t="shared" si="14"/>
        <v>VISA sheet</v>
      </c>
      <c r="AT175" s="16" t="str">
        <f t="shared" si="15"/>
        <v>Vendors sheet</v>
      </c>
      <c r="AU175" s="4"/>
      <c r="AV175" s="15">
        <f t="shared" ca="1" si="16"/>
        <v>46243</v>
      </c>
      <c r="AX175" s="6"/>
      <c r="AY175" t="str">
        <f t="shared" si="17"/>
        <v>INCOMPLETE - NOT SELECTABLE AS TECH STOP</v>
      </c>
    </row>
    <row r="176" spans="1:51" x14ac:dyDescent="0.3">
      <c r="A176" s="4" t="s">
        <v>473</v>
      </c>
      <c r="B176" s="4" t="s">
        <v>474</v>
      </c>
      <c r="C176" s="4"/>
      <c r="D176" s="4"/>
      <c r="E176" s="4" t="s">
        <v>649</v>
      </c>
      <c r="F176" s="4" t="s">
        <v>82</v>
      </c>
      <c r="G176" s="4"/>
      <c r="H176" s="4" t="s">
        <v>917</v>
      </c>
      <c r="I176" s="4" t="s">
        <v>918</v>
      </c>
      <c r="J176" s="4"/>
      <c r="K176" s="4"/>
      <c r="L176" s="4"/>
      <c r="M176" s="4"/>
      <c r="N176" s="12" t="str">
        <f t="shared" si="12"/>
        <v>01°22′54″N 173°08′49″E</v>
      </c>
      <c r="O176" s="7">
        <v>1.38164</v>
      </c>
      <c r="P176" s="7">
        <v>173.14699999999999</v>
      </c>
      <c r="Q176" s="13">
        <f t="shared" si="13"/>
        <v>3</v>
      </c>
      <c r="R176" s="11">
        <v>9</v>
      </c>
      <c r="S176" s="4"/>
      <c r="T176" s="4" t="s">
        <v>1026</v>
      </c>
      <c r="U176" s="8">
        <v>12</v>
      </c>
      <c r="V176" s="14">
        <f ca="1">IF($U176="","",MOD(NOW()-admin!$B$1/24+$U176/24,1))</f>
        <v>0.11182638888567453</v>
      </c>
      <c r="W176" s="4"/>
      <c r="X176" s="4"/>
      <c r="Y176" s="4"/>
      <c r="Z176" s="4"/>
      <c r="AA176" s="4"/>
      <c r="AB176" s="4"/>
      <c r="AC176" s="4"/>
      <c r="AD176" s="4"/>
      <c r="AE176" s="4" t="s">
        <v>1195</v>
      </c>
      <c r="AF176" s="4"/>
      <c r="AG176" s="4"/>
      <c r="AH176" s="4"/>
      <c r="AI176" s="4"/>
      <c r="AJ176" s="4"/>
      <c r="AK176" s="4"/>
      <c r="AL176" s="4"/>
      <c r="AM176" s="4"/>
      <c r="AN176" s="4"/>
      <c r="AO176" s="12" t="str">
        <f>IF($A176="","",admin!$B$2&amp;"\Charts\"&amp;$A176)</f>
        <v>C:\Backups\InsiderTechSol\Aviation\Jetelio_v3\.LAYOUT\resources\Charts\NGTA</v>
      </c>
      <c r="AP176" s="12" t="str">
        <f>IF($A176="","",admin!$B$2&amp;"\RunwayDiagrams\"&amp;$A176&amp;".pdf")</f>
        <v>C:\Backups\InsiderTechSol\Aviation\Jetelio_v3\.LAYOUT\resources\RunwayDiagrams\NGTA.pdf</v>
      </c>
      <c r="AQ176" s="12" t="str">
        <f>IF($A176="","",admin!$B$2&amp;"\Images\"&amp;$A176)</f>
        <v>C:\Backups\InsiderTechSol\Aviation\Jetelio_v3\.LAYOUT\resources\Images\NGTA</v>
      </c>
      <c r="AR176" s="12" t="str">
        <f>IF($A176="","",admin!$B$2&amp;"\CityMaps\"&amp;$A176&amp;".png")</f>
        <v>C:\Backups\InsiderTechSol\Aviation\Jetelio_v3\.LAYOUT\resources\CityMaps\NGTA.png</v>
      </c>
      <c r="AS176" s="16" t="str">
        <f t="shared" si="14"/>
        <v>VISA sheet</v>
      </c>
      <c r="AT176" s="16" t="str">
        <f t="shared" si="15"/>
        <v>Vendors sheet</v>
      </c>
      <c r="AU176" s="4"/>
      <c r="AV176" s="15">
        <f t="shared" ca="1" si="16"/>
        <v>46243</v>
      </c>
      <c r="AX176" s="6"/>
      <c r="AY176" t="str">
        <f t="shared" si="17"/>
        <v>INCOMPLETE - NOT SELECTABLE AS TECH STOP</v>
      </c>
    </row>
    <row r="177" spans="1:51" x14ac:dyDescent="0.3">
      <c r="A177" s="4" t="s">
        <v>475</v>
      </c>
      <c r="B177" s="4" t="s">
        <v>476</v>
      </c>
      <c r="C177" s="4"/>
      <c r="D177" s="4"/>
      <c r="E177" s="4" t="s">
        <v>650</v>
      </c>
      <c r="F177" s="4" t="s">
        <v>82</v>
      </c>
      <c r="G177" s="4"/>
      <c r="H177" s="4" t="s">
        <v>917</v>
      </c>
      <c r="I177" s="4" t="s">
        <v>919</v>
      </c>
      <c r="J177" s="4"/>
      <c r="K177" s="4"/>
      <c r="L177" s="4"/>
      <c r="M177" s="4"/>
      <c r="N177" s="12" t="str">
        <f t="shared" si="12"/>
        <v>01°59′11″N 157°21′00″W</v>
      </c>
      <c r="O177" s="7">
        <v>1.98628</v>
      </c>
      <c r="P177" s="7">
        <v>-157.35001</v>
      </c>
      <c r="Q177" s="13">
        <f t="shared" si="13"/>
        <v>2</v>
      </c>
      <c r="R177" s="11">
        <v>5</v>
      </c>
      <c r="S177" s="4"/>
      <c r="T177" s="4"/>
      <c r="U177" s="8">
        <v>-12</v>
      </c>
      <c r="V177" s="14">
        <f ca="1">IF($U177="","",MOD(NOW()-admin!$B$1/24+$U177/24,1))</f>
        <v>0.11182638888567453</v>
      </c>
      <c r="W177" s="4"/>
      <c r="X177" s="4"/>
      <c r="Y177" s="4"/>
      <c r="Z177" s="4"/>
      <c r="AA177" s="4"/>
      <c r="AB177" s="4"/>
      <c r="AC177" s="4"/>
      <c r="AD177" s="4"/>
      <c r="AE177" s="4" t="s">
        <v>1196</v>
      </c>
      <c r="AF177" s="4"/>
      <c r="AG177" s="4"/>
      <c r="AH177" s="4"/>
      <c r="AI177" s="4"/>
      <c r="AJ177" s="4"/>
      <c r="AK177" s="4"/>
      <c r="AL177" s="4"/>
      <c r="AM177" s="4"/>
      <c r="AN177" s="4"/>
      <c r="AO177" s="12" t="str">
        <f>IF($A177="","",admin!$B$2&amp;"\Charts\"&amp;$A177)</f>
        <v>C:\Backups\InsiderTechSol\Aviation\Jetelio_v3\.LAYOUT\resources\Charts\PLCH</v>
      </c>
      <c r="AP177" s="12" t="str">
        <f>IF($A177="","",admin!$B$2&amp;"\RunwayDiagrams\"&amp;$A177&amp;".pdf")</f>
        <v>C:\Backups\InsiderTechSol\Aviation\Jetelio_v3\.LAYOUT\resources\RunwayDiagrams\PLCH.pdf</v>
      </c>
      <c r="AQ177" s="12" t="str">
        <f>IF($A177="","",admin!$B$2&amp;"\Images\"&amp;$A177)</f>
        <v>C:\Backups\InsiderTechSol\Aviation\Jetelio_v3\.LAYOUT\resources\Images\PLCH</v>
      </c>
      <c r="AR177" s="12" t="str">
        <f>IF($A177="","",admin!$B$2&amp;"\CityMaps\"&amp;$A177&amp;".png")</f>
        <v>C:\Backups\InsiderTechSol\Aviation\Jetelio_v3\.LAYOUT\resources\CityMaps\PLCH.png</v>
      </c>
      <c r="AS177" s="16" t="str">
        <f t="shared" si="14"/>
        <v>VISA sheet</v>
      </c>
      <c r="AT177" s="16" t="str">
        <f t="shared" si="15"/>
        <v>Vendors sheet</v>
      </c>
      <c r="AU177" s="4"/>
      <c r="AV177" s="15">
        <f t="shared" ca="1" si="16"/>
        <v>46243</v>
      </c>
      <c r="AX177" s="6"/>
      <c r="AY177" t="str">
        <f t="shared" si="17"/>
        <v>INCOMPLETE - NOT SELECTABLE AS TECH STOP</v>
      </c>
    </row>
    <row r="178" spans="1:51" x14ac:dyDescent="0.3">
      <c r="A178" s="4" t="s">
        <v>1197</v>
      </c>
      <c r="B178" s="4" t="s">
        <v>1198</v>
      </c>
      <c r="C178" s="4"/>
      <c r="D178" s="4"/>
      <c r="E178" s="4" t="s">
        <v>1551</v>
      </c>
      <c r="F178" s="4" t="s">
        <v>82</v>
      </c>
      <c r="G178" s="4"/>
      <c r="H178" s="4" t="s">
        <v>1728</v>
      </c>
      <c r="I178" s="4" t="s">
        <v>1729</v>
      </c>
      <c r="J178" s="4"/>
      <c r="K178" s="4"/>
      <c r="L178" s="4"/>
      <c r="M178" s="4"/>
      <c r="N178" s="12" t="str">
        <f t="shared" si="12"/>
        <v>11°32′01″S 043°16′19″E</v>
      </c>
      <c r="O178" s="7">
        <v>-11.5337</v>
      </c>
      <c r="P178" s="7">
        <v>43.271900000000002</v>
      </c>
      <c r="Q178" s="13">
        <f t="shared" si="13"/>
        <v>28</v>
      </c>
      <c r="R178" s="11">
        <v>93</v>
      </c>
      <c r="S178" s="4"/>
      <c r="T178" s="4" t="s">
        <v>2006</v>
      </c>
      <c r="U178" s="8">
        <v>3</v>
      </c>
      <c r="V178" s="14">
        <f ca="1">IF($U178="","",MOD(NOW()-admin!$B$1/24+$U178/24,1))</f>
        <v>0.73682638888567453</v>
      </c>
      <c r="W178" s="4"/>
      <c r="X178" s="4"/>
      <c r="Y178" s="4"/>
      <c r="Z178" s="4"/>
      <c r="AA178" s="4"/>
      <c r="AB178" s="4"/>
      <c r="AC178" s="4"/>
      <c r="AD178" s="4"/>
      <c r="AE178" s="4" t="s">
        <v>2115</v>
      </c>
      <c r="AF178" s="4"/>
      <c r="AG178" s="4"/>
      <c r="AH178" s="4"/>
      <c r="AI178" s="4"/>
      <c r="AJ178" s="4"/>
      <c r="AK178" s="4"/>
      <c r="AL178" s="4"/>
      <c r="AM178" s="4"/>
      <c r="AN178" s="4"/>
      <c r="AO178" s="12" t="str">
        <f>IF($A178="","",admin!$B$2&amp;"\Charts\"&amp;$A178)</f>
        <v>C:\Backups\InsiderTechSol\Aviation\Jetelio_v3\.LAYOUT\resources\Charts\FMCH</v>
      </c>
      <c r="AP178" s="12" t="str">
        <f>IF($A178="","",admin!$B$2&amp;"\RunwayDiagrams\"&amp;$A178&amp;".pdf")</f>
        <v>C:\Backups\InsiderTechSol\Aviation\Jetelio_v3\.LAYOUT\resources\RunwayDiagrams\FMCH.pdf</v>
      </c>
      <c r="AQ178" s="12" t="str">
        <f>IF($A178="","",admin!$B$2&amp;"\Images\"&amp;$A178)</f>
        <v>C:\Backups\InsiderTechSol\Aviation\Jetelio_v3\.LAYOUT\resources\Images\FMCH</v>
      </c>
      <c r="AR178" s="12" t="str">
        <f>IF($A178="","",admin!$B$2&amp;"\CityMaps\"&amp;$A178&amp;".png")</f>
        <v>C:\Backups\InsiderTechSol\Aviation\Jetelio_v3\.LAYOUT\resources\CityMaps\FMCH.png</v>
      </c>
      <c r="AS178" s="16" t="str">
        <f t="shared" si="14"/>
        <v>VISA sheet</v>
      </c>
      <c r="AT178" s="16" t="str">
        <f t="shared" si="15"/>
        <v>Vendors sheet</v>
      </c>
      <c r="AU178" s="4"/>
      <c r="AV178" s="15">
        <f t="shared" ca="1" si="16"/>
        <v>46243</v>
      </c>
      <c r="AX178" s="6"/>
      <c r="AY178" t="str">
        <f t="shared" si="17"/>
        <v>INCOMPLETE - NOT SELECTABLE AS TECH STOP</v>
      </c>
    </row>
    <row r="179" spans="1:51" x14ac:dyDescent="0.3">
      <c r="A179" s="4" t="s">
        <v>1199</v>
      </c>
      <c r="B179" s="4" t="s">
        <v>1200</v>
      </c>
      <c r="C179" s="4"/>
      <c r="D179" s="4"/>
      <c r="E179" s="4" t="s">
        <v>1552</v>
      </c>
      <c r="F179" s="4" t="s">
        <v>82</v>
      </c>
      <c r="G179" s="4"/>
      <c r="H179" s="4" t="s">
        <v>1730</v>
      </c>
      <c r="I179" s="4" t="s">
        <v>1731</v>
      </c>
      <c r="J179" s="4"/>
      <c r="K179" s="4"/>
      <c r="L179" s="4"/>
      <c r="M179" s="4"/>
      <c r="N179" s="12" t="str">
        <f t="shared" si="12"/>
        <v>17°18′39″N 062°43′09″W</v>
      </c>
      <c r="O179" s="7">
        <v>17.310849999999999</v>
      </c>
      <c r="P179" s="7">
        <v>-62.719119999999997</v>
      </c>
      <c r="Q179" s="13">
        <f t="shared" si="13"/>
        <v>52</v>
      </c>
      <c r="R179" s="11">
        <v>170</v>
      </c>
      <c r="S179" s="4"/>
      <c r="T179" s="4" t="s">
        <v>2007</v>
      </c>
      <c r="U179" s="8">
        <v>-4</v>
      </c>
      <c r="V179" s="14">
        <f ca="1">IF($U179="","",MOD(NOW()-admin!$B$1/24+$U179/24,1))</f>
        <v>0.44515972222143319</v>
      </c>
      <c r="W179" s="4"/>
      <c r="X179" s="4"/>
      <c r="Y179" s="4"/>
      <c r="Z179" s="4"/>
      <c r="AA179" s="4"/>
      <c r="AB179" s="4"/>
      <c r="AC179" s="4"/>
      <c r="AD179" s="4"/>
      <c r="AE179" s="4" t="s">
        <v>2116</v>
      </c>
      <c r="AF179" s="4"/>
      <c r="AG179" s="4"/>
      <c r="AH179" s="4"/>
      <c r="AI179" s="4"/>
      <c r="AJ179" s="4"/>
      <c r="AK179" s="4"/>
      <c r="AL179" s="4"/>
      <c r="AM179" s="4"/>
      <c r="AN179" s="4"/>
      <c r="AO179" s="12" t="str">
        <f>IF($A179="","",admin!$B$2&amp;"\Charts\"&amp;$A179)</f>
        <v>C:\Backups\InsiderTechSol\Aviation\Jetelio_v3\.LAYOUT\resources\Charts\TKPK</v>
      </c>
      <c r="AP179" s="12" t="str">
        <f>IF($A179="","",admin!$B$2&amp;"\RunwayDiagrams\"&amp;$A179&amp;".pdf")</f>
        <v>C:\Backups\InsiderTechSol\Aviation\Jetelio_v3\.LAYOUT\resources\RunwayDiagrams\TKPK.pdf</v>
      </c>
      <c r="AQ179" s="12" t="str">
        <f>IF($A179="","",admin!$B$2&amp;"\Images\"&amp;$A179)</f>
        <v>C:\Backups\InsiderTechSol\Aviation\Jetelio_v3\.LAYOUT\resources\Images\TKPK</v>
      </c>
      <c r="AR179" s="12" t="str">
        <f>IF($A179="","",admin!$B$2&amp;"\CityMaps\"&amp;$A179&amp;".png")</f>
        <v>C:\Backups\InsiderTechSol\Aviation\Jetelio_v3\.LAYOUT\resources\CityMaps\TKPK.png</v>
      </c>
      <c r="AS179" s="16" t="str">
        <f t="shared" si="14"/>
        <v>VISA sheet</v>
      </c>
      <c r="AT179" s="16" t="str">
        <f t="shared" si="15"/>
        <v>Vendors sheet</v>
      </c>
      <c r="AU179" s="4"/>
      <c r="AV179" s="15">
        <f t="shared" ca="1" si="16"/>
        <v>46243</v>
      </c>
      <c r="AX179" s="6"/>
      <c r="AY179" t="str">
        <f t="shared" si="17"/>
        <v>INCOMPLETE - NOT SELECTABLE AS TECH STOP</v>
      </c>
    </row>
    <row r="180" spans="1:51" x14ac:dyDescent="0.3">
      <c r="A180" s="4" t="s">
        <v>1201</v>
      </c>
      <c r="B180" s="4" t="s">
        <v>1202</v>
      </c>
      <c r="C180" s="4"/>
      <c r="D180" s="4"/>
      <c r="E180" s="4" t="s">
        <v>1553</v>
      </c>
      <c r="F180" s="4" t="s">
        <v>82</v>
      </c>
      <c r="G180" s="4"/>
      <c r="H180" s="4" t="s">
        <v>1732</v>
      </c>
      <c r="I180" s="4" t="s">
        <v>1733</v>
      </c>
      <c r="J180" s="4"/>
      <c r="K180" s="4"/>
      <c r="L180" s="4"/>
      <c r="M180" s="4"/>
      <c r="N180" s="12" t="str">
        <f t="shared" si="12"/>
        <v>39°13′27″N 125°40′12″E</v>
      </c>
      <c r="O180" s="7">
        <v>39.2241</v>
      </c>
      <c r="P180" s="7">
        <v>125.67</v>
      </c>
      <c r="Q180" s="13">
        <f t="shared" si="13"/>
        <v>36</v>
      </c>
      <c r="R180" s="11">
        <v>117</v>
      </c>
      <c r="S180" s="4"/>
      <c r="T180" s="4" t="s">
        <v>2008</v>
      </c>
      <c r="U180" s="8">
        <v>8.5</v>
      </c>
      <c r="V180" s="14">
        <f ca="1">IF($U180="","",MOD(NOW()-admin!$B$1/24+$U180/24,1))</f>
        <v>0.96599305554991588</v>
      </c>
      <c r="W180" s="4"/>
      <c r="X180" s="4"/>
      <c r="Y180" s="4"/>
      <c r="Z180" s="4"/>
      <c r="AA180" s="4"/>
      <c r="AB180" s="4"/>
      <c r="AC180" s="4"/>
      <c r="AD180" s="4"/>
      <c r="AE180" s="4" t="s">
        <v>2117</v>
      </c>
      <c r="AF180" s="4"/>
      <c r="AG180" s="4"/>
      <c r="AH180" s="4"/>
      <c r="AI180" s="4"/>
      <c r="AJ180" s="4"/>
      <c r="AK180" s="4"/>
      <c r="AL180" s="4"/>
      <c r="AM180" s="4"/>
      <c r="AN180" s="4"/>
      <c r="AO180" s="12" t="str">
        <f>IF($A180="","",admin!$B$2&amp;"\Charts\"&amp;$A180)</f>
        <v>C:\Backups\InsiderTechSol\Aviation\Jetelio_v3\.LAYOUT\resources\Charts\ZKPY</v>
      </c>
      <c r="AP180" s="12" t="str">
        <f>IF($A180="","",admin!$B$2&amp;"\RunwayDiagrams\"&amp;$A180&amp;".pdf")</f>
        <v>C:\Backups\InsiderTechSol\Aviation\Jetelio_v3\.LAYOUT\resources\RunwayDiagrams\ZKPY.pdf</v>
      </c>
      <c r="AQ180" s="12" t="str">
        <f>IF($A180="","",admin!$B$2&amp;"\Images\"&amp;$A180)</f>
        <v>C:\Backups\InsiderTechSol\Aviation\Jetelio_v3\.LAYOUT\resources\Images\ZKPY</v>
      </c>
      <c r="AR180" s="12" t="str">
        <f>IF($A180="","",admin!$B$2&amp;"\CityMaps\"&amp;$A180&amp;".png")</f>
        <v>C:\Backups\InsiderTechSol\Aviation\Jetelio_v3\.LAYOUT\resources\CityMaps\ZKPY.png</v>
      </c>
      <c r="AS180" s="16" t="str">
        <f t="shared" si="14"/>
        <v>VISA sheet</v>
      </c>
      <c r="AT180" s="16" t="str">
        <f t="shared" si="15"/>
        <v>Vendors sheet</v>
      </c>
      <c r="AU180" s="4"/>
      <c r="AV180" s="15">
        <f t="shared" ca="1" si="16"/>
        <v>46243</v>
      </c>
      <c r="AX180" s="6"/>
      <c r="AY180" t="str">
        <f t="shared" si="17"/>
        <v>INCOMPLETE - NOT SELECTABLE AS TECH STOP</v>
      </c>
    </row>
    <row r="181" spans="1:51" x14ac:dyDescent="0.3">
      <c r="A181" s="4" t="s">
        <v>1203</v>
      </c>
      <c r="B181" s="4" t="s">
        <v>1204</v>
      </c>
      <c r="C181" s="4"/>
      <c r="D181" s="4"/>
      <c r="E181" s="4" t="s">
        <v>1554</v>
      </c>
      <c r="F181" s="4" t="s">
        <v>82</v>
      </c>
      <c r="G181" s="4"/>
      <c r="H181" s="4" t="s">
        <v>1734</v>
      </c>
      <c r="I181" s="4" t="s">
        <v>1735</v>
      </c>
      <c r="J181" s="4"/>
      <c r="K181" s="4"/>
      <c r="L181" s="4"/>
      <c r="M181" s="4"/>
      <c r="N181" s="12" t="str">
        <f t="shared" si="12"/>
        <v>34°59′29″N 126°22′58″E</v>
      </c>
      <c r="O181" s="7">
        <v>34.991410000000002</v>
      </c>
      <c r="P181" s="7">
        <v>126.38281000000001</v>
      </c>
      <c r="Q181" s="13">
        <f t="shared" si="13"/>
        <v>11</v>
      </c>
      <c r="R181" s="11">
        <v>35</v>
      </c>
      <c r="S181" s="4"/>
      <c r="T181" s="4" t="s">
        <v>2009</v>
      </c>
      <c r="U181" s="8">
        <v>9</v>
      </c>
      <c r="V181" s="14">
        <f ca="1">IF($U181="","",MOD(NOW()-admin!$B$1/24+$U181/24,1))</f>
        <v>0.98682638888567453</v>
      </c>
      <c r="W181" s="4"/>
      <c r="X181" s="4"/>
      <c r="Y181" s="4"/>
      <c r="Z181" s="4"/>
      <c r="AA181" s="4"/>
      <c r="AB181" s="4"/>
      <c r="AC181" s="4"/>
      <c r="AD181" s="4"/>
      <c r="AE181" s="4" t="s">
        <v>1152</v>
      </c>
      <c r="AF181" s="4"/>
      <c r="AG181" s="4"/>
      <c r="AH181" s="4"/>
      <c r="AI181" s="4"/>
      <c r="AJ181" s="4"/>
      <c r="AK181" s="4"/>
      <c r="AL181" s="4"/>
      <c r="AM181" s="4"/>
      <c r="AN181" s="4"/>
      <c r="AO181" s="12" t="str">
        <f>IF($A181="","",admin!$B$2&amp;"\Charts\"&amp;$A181)</f>
        <v>C:\Backups\InsiderTechSol\Aviation\Jetelio_v3\.LAYOUT\resources\Charts\RKJB</v>
      </c>
      <c r="AP181" s="12" t="str">
        <f>IF($A181="","",admin!$B$2&amp;"\RunwayDiagrams\"&amp;$A181&amp;".pdf")</f>
        <v>C:\Backups\InsiderTechSol\Aviation\Jetelio_v3\.LAYOUT\resources\RunwayDiagrams\RKJB.pdf</v>
      </c>
      <c r="AQ181" s="12" t="str">
        <f>IF($A181="","",admin!$B$2&amp;"\Images\"&amp;$A181)</f>
        <v>C:\Backups\InsiderTechSol\Aviation\Jetelio_v3\.LAYOUT\resources\Images\RKJB</v>
      </c>
      <c r="AR181" s="12" t="str">
        <f>IF($A181="","",admin!$B$2&amp;"\CityMaps\"&amp;$A181&amp;".png")</f>
        <v>C:\Backups\InsiderTechSol\Aviation\Jetelio_v3\.LAYOUT\resources\CityMaps\RKJB.png</v>
      </c>
      <c r="AS181" s="16" t="str">
        <f t="shared" si="14"/>
        <v>VISA sheet</v>
      </c>
      <c r="AT181" s="16" t="str">
        <f t="shared" si="15"/>
        <v>Vendors sheet</v>
      </c>
      <c r="AU181" s="4"/>
      <c r="AV181" s="15">
        <f t="shared" ca="1" si="16"/>
        <v>46243</v>
      </c>
      <c r="AX181" s="6"/>
      <c r="AY181" t="str">
        <f t="shared" si="17"/>
        <v>INCOMPLETE - NOT SELECTABLE AS TECH STOP</v>
      </c>
    </row>
    <row r="182" spans="1:51" x14ac:dyDescent="0.3">
      <c r="A182" s="4" t="s">
        <v>1205</v>
      </c>
      <c r="B182" s="4" t="s">
        <v>1206</v>
      </c>
      <c r="C182" s="4"/>
      <c r="D182" s="4"/>
      <c r="E182" s="4" t="s">
        <v>1555</v>
      </c>
      <c r="F182" s="4" t="s">
        <v>82</v>
      </c>
      <c r="G182" s="4"/>
      <c r="H182" s="4" t="s">
        <v>1734</v>
      </c>
      <c r="I182" s="4" t="s">
        <v>1736</v>
      </c>
      <c r="J182" s="4"/>
      <c r="K182" s="4"/>
      <c r="L182" s="4"/>
      <c r="M182" s="4"/>
      <c r="N182" s="12" t="str">
        <f t="shared" si="12"/>
        <v>38°03′38″N 128°40′11″E</v>
      </c>
      <c r="O182" s="7">
        <v>38.060479999999998</v>
      </c>
      <c r="P182" s="7">
        <v>128.66981999999999</v>
      </c>
      <c r="Q182" s="13">
        <f t="shared" si="13"/>
        <v>73</v>
      </c>
      <c r="R182" s="11">
        <v>241</v>
      </c>
      <c r="S182" s="4"/>
      <c r="T182" s="4" t="s">
        <v>2009</v>
      </c>
      <c r="U182" s="8">
        <v>9</v>
      </c>
      <c r="V182" s="14">
        <f ca="1">IF($U182="","",MOD(NOW()-admin!$B$1/24+$U182/24,1))</f>
        <v>0.98682638888567453</v>
      </c>
      <c r="W182" s="4"/>
      <c r="X182" s="4"/>
      <c r="Y182" s="4"/>
      <c r="Z182" s="4"/>
      <c r="AA182" s="4"/>
      <c r="AB182" s="4"/>
      <c r="AC182" s="4"/>
      <c r="AD182" s="4"/>
      <c r="AE182" s="4" t="s">
        <v>2118</v>
      </c>
      <c r="AF182" s="4"/>
      <c r="AG182" s="4"/>
      <c r="AH182" s="4"/>
      <c r="AI182" s="4"/>
      <c r="AJ182" s="4"/>
      <c r="AK182" s="4"/>
      <c r="AL182" s="4"/>
      <c r="AM182" s="4"/>
      <c r="AN182" s="4"/>
      <c r="AO182" s="12" t="str">
        <f>IF($A182="","",admin!$B$2&amp;"\Charts\"&amp;$A182)</f>
        <v>C:\Backups\InsiderTechSol\Aviation\Jetelio_v3\.LAYOUT\resources\Charts\RKNY</v>
      </c>
      <c r="AP182" s="12" t="str">
        <f>IF($A182="","",admin!$B$2&amp;"\RunwayDiagrams\"&amp;$A182&amp;".pdf")</f>
        <v>C:\Backups\InsiderTechSol\Aviation\Jetelio_v3\.LAYOUT\resources\RunwayDiagrams\RKNY.pdf</v>
      </c>
      <c r="AQ182" s="12" t="str">
        <f>IF($A182="","",admin!$B$2&amp;"\Images\"&amp;$A182)</f>
        <v>C:\Backups\InsiderTechSol\Aviation\Jetelio_v3\.LAYOUT\resources\Images\RKNY</v>
      </c>
      <c r="AR182" s="12" t="str">
        <f>IF($A182="","",admin!$B$2&amp;"\CityMaps\"&amp;$A182&amp;".png")</f>
        <v>C:\Backups\InsiderTechSol\Aviation\Jetelio_v3\.LAYOUT\resources\CityMaps\RKNY.png</v>
      </c>
      <c r="AS182" s="16" t="str">
        <f t="shared" si="14"/>
        <v>VISA sheet</v>
      </c>
      <c r="AT182" s="16" t="str">
        <f t="shared" si="15"/>
        <v>Vendors sheet</v>
      </c>
      <c r="AU182" s="4"/>
      <c r="AV182" s="15">
        <f t="shared" ca="1" si="16"/>
        <v>46243</v>
      </c>
      <c r="AX182" s="6"/>
      <c r="AY182" t="str">
        <f t="shared" si="17"/>
        <v>INCOMPLETE - NOT SELECTABLE AS TECH STOP</v>
      </c>
    </row>
    <row r="183" spans="1:51" x14ac:dyDescent="0.3">
      <c r="A183" s="4" t="s">
        <v>1207</v>
      </c>
      <c r="B183" s="4" t="s">
        <v>1208</v>
      </c>
      <c r="C183" s="4"/>
      <c r="D183" s="4"/>
      <c r="E183" s="4" t="s">
        <v>1556</v>
      </c>
      <c r="F183" s="4" t="s">
        <v>82</v>
      </c>
      <c r="G183" s="4"/>
      <c r="H183" s="4" t="s">
        <v>1737</v>
      </c>
      <c r="I183" s="4" t="s">
        <v>1738</v>
      </c>
      <c r="J183" s="4"/>
      <c r="K183" s="4"/>
      <c r="L183" s="4"/>
      <c r="M183" s="4"/>
      <c r="N183" s="12" t="str">
        <f t="shared" si="12"/>
        <v>29°13′28″N 047°58′11″E</v>
      </c>
      <c r="O183" s="7">
        <v>29.224489999999999</v>
      </c>
      <c r="P183" s="7">
        <v>47.969810000000003</v>
      </c>
      <c r="Q183" s="13">
        <f t="shared" si="13"/>
        <v>63</v>
      </c>
      <c r="R183" s="11">
        <v>206</v>
      </c>
      <c r="S183" s="4"/>
      <c r="T183" s="4"/>
      <c r="U183" s="8"/>
      <c r="V183" s="14" t="str">
        <f ca="1">IF($U183="","",MOD(NOW()-admin!$B$1/24+$U183/24,1))</f>
        <v/>
      </c>
      <c r="W183" s="4"/>
      <c r="X183" s="4"/>
      <c r="Y183" s="4"/>
      <c r="Z183" s="4"/>
      <c r="AA183" s="4"/>
      <c r="AB183" s="4"/>
      <c r="AC183" s="4"/>
      <c r="AD183" s="4"/>
      <c r="AE183" s="4" t="s">
        <v>2119</v>
      </c>
      <c r="AF183" s="4"/>
      <c r="AG183" s="4"/>
      <c r="AH183" s="4"/>
      <c r="AI183" s="4"/>
      <c r="AJ183" s="4"/>
      <c r="AK183" s="4"/>
      <c r="AL183" s="4"/>
      <c r="AM183" s="4"/>
      <c r="AN183" s="4"/>
      <c r="AO183" s="12" t="str">
        <f>IF($A183="","",admin!$B$2&amp;"\Charts\"&amp;$A183)</f>
        <v>C:\Backups\InsiderTechSol\Aviation\Jetelio_v3\.LAYOUT\resources\Charts\OKKK</v>
      </c>
      <c r="AP183" s="12" t="str">
        <f>IF($A183="","",admin!$B$2&amp;"\RunwayDiagrams\"&amp;$A183&amp;".pdf")</f>
        <v>C:\Backups\InsiderTechSol\Aviation\Jetelio_v3\.LAYOUT\resources\RunwayDiagrams\OKKK.pdf</v>
      </c>
      <c r="AQ183" s="12" t="str">
        <f>IF($A183="","",admin!$B$2&amp;"\Images\"&amp;$A183)</f>
        <v>C:\Backups\InsiderTechSol\Aviation\Jetelio_v3\.LAYOUT\resources\Images\OKKK</v>
      </c>
      <c r="AR183" s="12" t="str">
        <f>IF($A183="","",admin!$B$2&amp;"\CityMaps\"&amp;$A183&amp;".png")</f>
        <v>C:\Backups\InsiderTechSol\Aviation\Jetelio_v3\.LAYOUT\resources\CityMaps\OKKK.png</v>
      </c>
      <c r="AS183" s="16" t="str">
        <f t="shared" si="14"/>
        <v>VISA sheet</v>
      </c>
      <c r="AT183" s="16" t="str">
        <f t="shared" si="15"/>
        <v>Vendors sheet</v>
      </c>
      <c r="AU183" s="4"/>
      <c r="AV183" s="15">
        <f t="shared" ca="1" si="16"/>
        <v>46243</v>
      </c>
      <c r="AX183" s="6"/>
      <c r="AY183" t="str">
        <f t="shared" si="17"/>
        <v>INCOMPLETE - NOT SELECTABLE AS TECH STOP</v>
      </c>
    </row>
    <row r="184" spans="1:51" x14ac:dyDescent="0.3">
      <c r="A184" s="4" t="s">
        <v>1209</v>
      </c>
      <c r="B184" s="4" t="s">
        <v>1210</v>
      </c>
      <c r="C184" s="4"/>
      <c r="D184" s="4"/>
      <c r="E184" s="4" t="s">
        <v>1557</v>
      </c>
      <c r="F184" s="4" t="s">
        <v>82</v>
      </c>
      <c r="G184" s="4"/>
      <c r="H184" s="4" t="s">
        <v>1739</v>
      </c>
      <c r="I184" s="4" t="s">
        <v>1740</v>
      </c>
      <c r="J184" s="4"/>
      <c r="K184" s="4"/>
      <c r="L184" s="4"/>
      <c r="M184" s="4"/>
      <c r="N184" s="12" t="str">
        <f t="shared" si="12"/>
        <v>19°17′34″N 081°21′28″W</v>
      </c>
      <c r="O184" s="7">
        <v>19.2928</v>
      </c>
      <c r="P184" s="7">
        <v>-81.357699999999994</v>
      </c>
      <c r="Q184" s="13">
        <f t="shared" si="13"/>
        <v>2</v>
      </c>
      <c r="R184" s="11">
        <v>8</v>
      </c>
      <c r="S184" s="4"/>
      <c r="T184" s="4" t="s">
        <v>2010</v>
      </c>
      <c r="U184" s="8">
        <v>-5</v>
      </c>
      <c r="V184" s="14">
        <f ca="1">IF($U184="","",MOD(NOW()-admin!$B$1/24+$U184/24,1))</f>
        <v>0.40349305554991588</v>
      </c>
      <c r="W184" s="4"/>
      <c r="X184" s="4"/>
      <c r="Y184" s="4"/>
      <c r="Z184" s="4"/>
      <c r="AA184" s="4"/>
      <c r="AB184" s="4"/>
      <c r="AC184" s="4"/>
      <c r="AD184" s="4"/>
      <c r="AE184" s="4" t="s">
        <v>2120</v>
      </c>
      <c r="AF184" s="4"/>
      <c r="AG184" s="4"/>
      <c r="AH184" s="4"/>
      <c r="AI184" s="4"/>
      <c r="AJ184" s="4"/>
      <c r="AK184" s="4"/>
      <c r="AL184" s="4"/>
      <c r="AM184" s="4"/>
      <c r="AN184" s="4"/>
      <c r="AO184" s="12" t="str">
        <f>IF($A184="","",admin!$B$2&amp;"\Charts\"&amp;$A184)</f>
        <v>C:\Backups\InsiderTechSol\Aviation\Jetelio_v3\.LAYOUT\resources\Charts\MWCR</v>
      </c>
      <c r="AP184" s="12" t="str">
        <f>IF($A184="","",admin!$B$2&amp;"\RunwayDiagrams\"&amp;$A184&amp;".pdf")</f>
        <v>C:\Backups\InsiderTechSol\Aviation\Jetelio_v3\.LAYOUT\resources\RunwayDiagrams\MWCR.pdf</v>
      </c>
      <c r="AQ184" s="12" t="str">
        <f>IF($A184="","",admin!$B$2&amp;"\Images\"&amp;$A184)</f>
        <v>C:\Backups\InsiderTechSol\Aviation\Jetelio_v3\.LAYOUT\resources\Images\MWCR</v>
      </c>
      <c r="AR184" s="12" t="str">
        <f>IF($A184="","",admin!$B$2&amp;"\CityMaps\"&amp;$A184&amp;".png")</f>
        <v>C:\Backups\InsiderTechSol\Aviation\Jetelio_v3\.LAYOUT\resources\CityMaps\MWCR.png</v>
      </c>
      <c r="AS184" s="16" t="str">
        <f t="shared" si="14"/>
        <v>VISA sheet</v>
      </c>
      <c r="AT184" s="16" t="str">
        <f t="shared" si="15"/>
        <v>Vendors sheet</v>
      </c>
      <c r="AU184" s="4"/>
      <c r="AV184" s="15">
        <f t="shared" ca="1" si="16"/>
        <v>46243</v>
      </c>
      <c r="AX184" s="6"/>
      <c r="AY184" t="str">
        <f t="shared" si="17"/>
        <v>INCOMPLETE - NOT SELECTABLE AS TECH STOP</v>
      </c>
    </row>
    <row r="185" spans="1:51" x14ac:dyDescent="0.3">
      <c r="A185" s="4" t="s">
        <v>1211</v>
      </c>
      <c r="B185" s="4" t="s">
        <v>1212</v>
      </c>
      <c r="C185" s="4"/>
      <c r="D185" s="4"/>
      <c r="E185" s="4" t="s">
        <v>1558</v>
      </c>
      <c r="F185" s="4" t="s">
        <v>82</v>
      </c>
      <c r="G185" s="4"/>
      <c r="H185" s="4" t="s">
        <v>1741</v>
      </c>
      <c r="I185" s="4" t="s">
        <v>1742</v>
      </c>
      <c r="J185" s="4"/>
      <c r="K185" s="4"/>
      <c r="L185" s="4"/>
      <c r="M185" s="4"/>
      <c r="N185" s="12" t="str">
        <f t="shared" si="12"/>
        <v>43°21′15″N 077°02′34″E</v>
      </c>
      <c r="O185" s="7">
        <v>43.35427</v>
      </c>
      <c r="P185" s="7">
        <v>77.042829999999995</v>
      </c>
      <c r="Q185" s="13">
        <f t="shared" si="13"/>
        <v>681</v>
      </c>
      <c r="R185" s="11">
        <v>2234</v>
      </c>
      <c r="S185" s="4"/>
      <c r="T185" s="4" t="s">
        <v>2011</v>
      </c>
      <c r="U185" s="8">
        <v>6</v>
      </c>
      <c r="V185" s="14">
        <f ca="1">IF($U185="","",MOD(NOW()-admin!$B$1/24+$U185/24,1))</f>
        <v>0.86182638888567453</v>
      </c>
      <c r="W185" s="4"/>
      <c r="X185" s="4"/>
      <c r="Y185" s="4"/>
      <c r="Z185" s="4"/>
      <c r="AA185" s="4"/>
      <c r="AB185" s="4"/>
      <c r="AC185" s="4"/>
      <c r="AD185" s="4"/>
      <c r="AE185" s="4" t="s">
        <v>2121</v>
      </c>
      <c r="AF185" s="4"/>
      <c r="AG185" s="4"/>
      <c r="AH185" s="4"/>
      <c r="AI185" s="4"/>
      <c r="AJ185" s="4"/>
      <c r="AK185" s="4"/>
      <c r="AL185" s="4"/>
      <c r="AM185" s="4"/>
      <c r="AN185" s="4"/>
      <c r="AO185" s="12" t="str">
        <f>IF($A185="","",admin!$B$2&amp;"\Charts\"&amp;$A185)</f>
        <v>C:\Backups\InsiderTechSol\Aviation\Jetelio_v3\.LAYOUT\resources\Charts\UAAA</v>
      </c>
      <c r="AP185" s="12" t="str">
        <f>IF($A185="","",admin!$B$2&amp;"\RunwayDiagrams\"&amp;$A185&amp;".pdf")</f>
        <v>C:\Backups\InsiderTechSol\Aviation\Jetelio_v3\.LAYOUT\resources\RunwayDiagrams\UAAA.pdf</v>
      </c>
      <c r="AQ185" s="12" t="str">
        <f>IF($A185="","",admin!$B$2&amp;"\Images\"&amp;$A185)</f>
        <v>C:\Backups\InsiderTechSol\Aviation\Jetelio_v3\.LAYOUT\resources\Images\UAAA</v>
      </c>
      <c r="AR185" s="12" t="str">
        <f>IF($A185="","",admin!$B$2&amp;"\CityMaps\"&amp;$A185&amp;".png")</f>
        <v>C:\Backups\InsiderTechSol\Aviation\Jetelio_v3\.LAYOUT\resources\CityMaps\UAAA.png</v>
      </c>
      <c r="AS185" s="16" t="str">
        <f t="shared" si="14"/>
        <v>VISA sheet</v>
      </c>
      <c r="AT185" s="16" t="str">
        <f t="shared" si="15"/>
        <v>Vendors sheet</v>
      </c>
      <c r="AU185" s="4"/>
      <c r="AV185" s="15">
        <f t="shared" ca="1" si="16"/>
        <v>46243</v>
      </c>
      <c r="AX185" s="6"/>
      <c r="AY185" t="str">
        <f t="shared" si="17"/>
        <v>INCOMPLETE - NOT SELECTABLE AS TECH STOP</v>
      </c>
    </row>
    <row r="186" spans="1:51" x14ac:dyDescent="0.3">
      <c r="A186" s="4" t="s">
        <v>1213</v>
      </c>
      <c r="B186" s="4" t="s">
        <v>1214</v>
      </c>
      <c r="C186" s="4"/>
      <c r="D186" s="4"/>
      <c r="E186" s="4" t="s">
        <v>1559</v>
      </c>
      <c r="F186" s="4" t="s">
        <v>82</v>
      </c>
      <c r="G186" s="4"/>
      <c r="H186" s="4" t="s">
        <v>1741</v>
      </c>
      <c r="I186" s="4" t="s">
        <v>1743</v>
      </c>
      <c r="J186" s="4"/>
      <c r="K186" s="4"/>
      <c r="L186" s="4"/>
      <c r="M186" s="4"/>
      <c r="N186" s="12" t="str">
        <f t="shared" si="12"/>
        <v>51°01′37″N 071°28′02″E</v>
      </c>
      <c r="O186" s="7">
        <v>51.027030000000003</v>
      </c>
      <c r="P186" s="7">
        <v>71.467089999999999</v>
      </c>
      <c r="Q186" s="13">
        <f t="shared" si="13"/>
        <v>355</v>
      </c>
      <c r="R186" s="11">
        <v>1165</v>
      </c>
      <c r="S186" s="4"/>
      <c r="T186" s="4" t="s">
        <v>2011</v>
      </c>
      <c r="U186" s="8">
        <v>6</v>
      </c>
      <c r="V186" s="14">
        <f ca="1">IF($U186="","",MOD(NOW()-admin!$B$1/24+$U186/24,1))</f>
        <v>0.86182638888567453</v>
      </c>
      <c r="W186" s="4"/>
      <c r="X186" s="4"/>
      <c r="Y186" s="4"/>
      <c r="Z186" s="4"/>
      <c r="AA186" s="4"/>
      <c r="AB186" s="4"/>
      <c r="AC186" s="4"/>
      <c r="AD186" s="4"/>
      <c r="AE186" s="4" t="s">
        <v>2122</v>
      </c>
      <c r="AF186" s="4"/>
      <c r="AG186" s="4"/>
      <c r="AH186" s="4"/>
      <c r="AI186" s="4"/>
      <c r="AJ186" s="4"/>
      <c r="AK186" s="4"/>
      <c r="AL186" s="4"/>
      <c r="AM186" s="4"/>
      <c r="AN186" s="4"/>
      <c r="AO186" s="12" t="str">
        <f>IF($A186="","",admin!$B$2&amp;"\Charts\"&amp;$A186)</f>
        <v>C:\Backups\InsiderTechSol\Aviation\Jetelio_v3\.LAYOUT\resources\Charts\UACC</v>
      </c>
      <c r="AP186" s="12" t="str">
        <f>IF($A186="","",admin!$B$2&amp;"\RunwayDiagrams\"&amp;$A186&amp;".pdf")</f>
        <v>C:\Backups\InsiderTechSol\Aviation\Jetelio_v3\.LAYOUT\resources\RunwayDiagrams\UACC.pdf</v>
      </c>
      <c r="AQ186" s="12" t="str">
        <f>IF($A186="","",admin!$B$2&amp;"\Images\"&amp;$A186)</f>
        <v>C:\Backups\InsiderTechSol\Aviation\Jetelio_v3\.LAYOUT\resources\Images\UACC</v>
      </c>
      <c r="AR186" s="12" t="str">
        <f>IF($A186="","",admin!$B$2&amp;"\CityMaps\"&amp;$A186&amp;".png")</f>
        <v>C:\Backups\InsiderTechSol\Aviation\Jetelio_v3\.LAYOUT\resources\CityMaps\UACC.png</v>
      </c>
      <c r="AS186" s="16" t="str">
        <f t="shared" si="14"/>
        <v>VISA sheet</v>
      </c>
      <c r="AT186" s="16" t="str">
        <f t="shared" si="15"/>
        <v>Vendors sheet</v>
      </c>
      <c r="AU186" s="4"/>
      <c r="AV186" s="15">
        <f t="shared" ca="1" si="16"/>
        <v>46243</v>
      </c>
      <c r="AX186" s="6"/>
      <c r="AY186" t="str">
        <f t="shared" si="17"/>
        <v>INCOMPLETE - NOT SELECTABLE AS TECH STOP</v>
      </c>
    </row>
    <row r="187" spans="1:51" x14ac:dyDescent="0.3">
      <c r="A187" s="4" t="s">
        <v>1215</v>
      </c>
      <c r="B187" s="4" t="s">
        <v>1216</v>
      </c>
      <c r="C187" s="4"/>
      <c r="D187" s="4"/>
      <c r="E187" s="4" t="s">
        <v>1560</v>
      </c>
      <c r="F187" s="4" t="s">
        <v>82</v>
      </c>
      <c r="G187" s="4"/>
      <c r="H187" s="4" t="s">
        <v>1744</v>
      </c>
      <c r="I187" s="4" t="s">
        <v>1745</v>
      </c>
      <c r="J187" s="4"/>
      <c r="K187" s="4"/>
      <c r="L187" s="4"/>
      <c r="M187" s="4"/>
      <c r="N187" s="12" t="str">
        <f t="shared" si="12"/>
        <v>19°54′15″N 102°10′02″E</v>
      </c>
      <c r="O187" s="7">
        <v>19.90427</v>
      </c>
      <c r="P187" s="7">
        <v>102.16719000000001</v>
      </c>
      <c r="Q187" s="13">
        <f t="shared" si="13"/>
        <v>291</v>
      </c>
      <c r="R187" s="11">
        <v>955</v>
      </c>
      <c r="S187" s="4"/>
      <c r="T187" s="4" t="s">
        <v>2012</v>
      </c>
      <c r="U187" s="8">
        <v>7</v>
      </c>
      <c r="V187" s="14">
        <f ca="1">IF($U187="","",MOD(NOW()-admin!$B$1/24+$U187/24,1))</f>
        <v>0.90349305554991588</v>
      </c>
      <c r="W187" s="4"/>
      <c r="X187" s="4"/>
      <c r="Y187" s="4"/>
      <c r="Z187" s="4"/>
      <c r="AA187" s="4"/>
      <c r="AB187" s="4"/>
      <c r="AC187" s="4"/>
      <c r="AD187" s="4"/>
      <c r="AE187" s="4" t="s">
        <v>2123</v>
      </c>
      <c r="AF187" s="4"/>
      <c r="AG187" s="4"/>
      <c r="AH187" s="4"/>
      <c r="AI187" s="4"/>
      <c r="AJ187" s="4"/>
      <c r="AK187" s="4"/>
      <c r="AL187" s="4"/>
      <c r="AM187" s="4"/>
      <c r="AN187" s="4"/>
      <c r="AO187" s="12" t="str">
        <f>IF($A187="","",admin!$B$2&amp;"\Charts\"&amp;$A187)</f>
        <v>C:\Backups\InsiderTechSol\Aviation\Jetelio_v3\.LAYOUT\resources\Charts\VLLB</v>
      </c>
      <c r="AP187" s="12" t="str">
        <f>IF($A187="","",admin!$B$2&amp;"\RunwayDiagrams\"&amp;$A187&amp;".pdf")</f>
        <v>C:\Backups\InsiderTechSol\Aviation\Jetelio_v3\.LAYOUT\resources\RunwayDiagrams\VLLB.pdf</v>
      </c>
      <c r="AQ187" s="12" t="str">
        <f>IF($A187="","",admin!$B$2&amp;"\Images\"&amp;$A187)</f>
        <v>C:\Backups\InsiderTechSol\Aviation\Jetelio_v3\.LAYOUT\resources\Images\VLLB</v>
      </c>
      <c r="AR187" s="12" t="str">
        <f>IF($A187="","",admin!$B$2&amp;"\CityMaps\"&amp;$A187&amp;".png")</f>
        <v>C:\Backups\InsiderTechSol\Aviation\Jetelio_v3\.LAYOUT\resources\CityMaps\VLLB.png</v>
      </c>
      <c r="AS187" s="16" t="str">
        <f t="shared" si="14"/>
        <v>VISA sheet</v>
      </c>
      <c r="AT187" s="16" t="str">
        <f t="shared" si="15"/>
        <v>Vendors sheet</v>
      </c>
      <c r="AU187" s="4"/>
      <c r="AV187" s="15">
        <f t="shared" ca="1" si="16"/>
        <v>46243</v>
      </c>
      <c r="AX187" s="6"/>
      <c r="AY187" t="str">
        <f t="shared" si="17"/>
        <v>INCOMPLETE - NOT SELECTABLE AS TECH STOP</v>
      </c>
    </row>
    <row r="188" spans="1:51" x14ac:dyDescent="0.3">
      <c r="A188" s="4" t="s">
        <v>1217</v>
      </c>
      <c r="B188" s="4" t="s">
        <v>1218</v>
      </c>
      <c r="C188" s="4"/>
      <c r="D188" s="4"/>
      <c r="E188" s="4" t="s">
        <v>1561</v>
      </c>
      <c r="F188" s="4" t="s">
        <v>82</v>
      </c>
      <c r="G188" s="4"/>
      <c r="H188" s="4" t="s">
        <v>1744</v>
      </c>
      <c r="I188" s="4" t="s">
        <v>1746</v>
      </c>
      <c r="J188" s="4"/>
      <c r="K188" s="4"/>
      <c r="L188" s="4"/>
      <c r="M188" s="4"/>
      <c r="N188" s="12" t="str">
        <f t="shared" si="12"/>
        <v>15°08′02″N 105°46′48″E</v>
      </c>
      <c r="O188" s="7">
        <v>15.13397</v>
      </c>
      <c r="P188" s="7">
        <v>105.77987</v>
      </c>
      <c r="Q188" s="13">
        <f t="shared" si="13"/>
        <v>107</v>
      </c>
      <c r="R188" s="11">
        <v>351</v>
      </c>
      <c r="S188" s="4"/>
      <c r="T188" s="4" t="s">
        <v>2012</v>
      </c>
      <c r="U188" s="8">
        <v>7</v>
      </c>
      <c r="V188" s="14">
        <f ca="1">IF($U188="","",MOD(NOW()-admin!$B$1/24+$U188/24,1))</f>
        <v>0.90349305554991588</v>
      </c>
      <c r="W188" s="4"/>
      <c r="X188" s="4"/>
      <c r="Y188" s="4"/>
      <c r="Z188" s="4"/>
      <c r="AA188" s="4"/>
      <c r="AB188" s="4"/>
      <c r="AC188" s="4"/>
      <c r="AD188" s="4"/>
      <c r="AE188" s="4" t="s">
        <v>2124</v>
      </c>
      <c r="AF188" s="4"/>
      <c r="AG188" s="4"/>
      <c r="AH188" s="4"/>
      <c r="AI188" s="4"/>
      <c r="AJ188" s="4"/>
      <c r="AK188" s="4"/>
      <c r="AL188" s="4"/>
      <c r="AM188" s="4"/>
      <c r="AN188" s="4"/>
      <c r="AO188" s="12" t="str">
        <f>IF($A188="","",admin!$B$2&amp;"\Charts\"&amp;$A188)</f>
        <v>C:\Backups\InsiderTechSol\Aviation\Jetelio_v3\.LAYOUT\resources\Charts\VLPS</v>
      </c>
      <c r="AP188" s="12" t="str">
        <f>IF($A188="","",admin!$B$2&amp;"\RunwayDiagrams\"&amp;$A188&amp;".pdf")</f>
        <v>C:\Backups\InsiderTechSol\Aviation\Jetelio_v3\.LAYOUT\resources\RunwayDiagrams\VLPS.pdf</v>
      </c>
      <c r="AQ188" s="12" t="str">
        <f>IF($A188="","",admin!$B$2&amp;"\Images\"&amp;$A188)</f>
        <v>C:\Backups\InsiderTechSol\Aviation\Jetelio_v3\.LAYOUT\resources\Images\VLPS</v>
      </c>
      <c r="AR188" s="12" t="str">
        <f>IF($A188="","",admin!$B$2&amp;"\CityMaps\"&amp;$A188&amp;".png")</f>
        <v>C:\Backups\InsiderTechSol\Aviation\Jetelio_v3\.LAYOUT\resources\CityMaps\VLPS.png</v>
      </c>
      <c r="AS188" s="16" t="str">
        <f t="shared" si="14"/>
        <v>VISA sheet</v>
      </c>
      <c r="AT188" s="16" t="str">
        <f t="shared" si="15"/>
        <v>Vendors sheet</v>
      </c>
      <c r="AU188" s="4"/>
      <c r="AV188" s="15">
        <f t="shared" ca="1" si="16"/>
        <v>46243</v>
      </c>
      <c r="AX188" s="6"/>
      <c r="AY188" t="str">
        <f t="shared" si="17"/>
        <v>INCOMPLETE - NOT SELECTABLE AS TECH STOP</v>
      </c>
    </row>
    <row r="189" spans="1:51" x14ac:dyDescent="0.3">
      <c r="A189" s="4" t="s">
        <v>1219</v>
      </c>
      <c r="B189" s="4" t="s">
        <v>1220</v>
      </c>
      <c r="C189" s="4"/>
      <c r="D189" s="4"/>
      <c r="E189" s="4" t="s">
        <v>1562</v>
      </c>
      <c r="F189" s="4" t="s">
        <v>82</v>
      </c>
      <c r="G189" s="4"/>
      <c r="H189" s="4" t="s">
        <v>1747</v>
      </c>
      <c r="I189" s="4" t="s">
        <v>1748</v>
      </c>
      <c r="J189" s="4"/>
      <c r="K189" s="4"/>
      <c r="L189" s="4"/>
      <c r="M189" s="4"/>
      <c r="N189" s="12" t="str">
        <f t="shared" si="12"/>
        <v>33°49′11″N 035°29′15″E</v>
      </c>
      <c r="O189" s="7">
        <v>33.819830000000003</v>
      </c>
      <c r="P189" s="7">
        <v>35.487439999999999</v>
      </c>
      <c r="Q189" s="13">
        <f t="shared" si="13"/>
        <v>27</v>
      </c>
      <c r="R189" s="11">
        <v>87</v>
      </c>
      <c r="S189" s="4"/>
      <c r="T189" s="4" t="s">
        <v>2013</v>
      </c>
      <c r="U189" s="8">
        <v>2</v>
      </c>
      <c r="V189" s="14">
        <f ca="1">IF($U189="","",MOD(NOW()-admin!$B$1/24+$U189/24,1))</f>
        <v>0.69515972222143319</v>
      </c>
      <c r="W189" s="4"/>
      <c r="X189" s="4"/>
      <c r="Y189" s="4"/>
      <c r="Z189" s="4"/>
      <c r="AA189" s="4"/>
      <c r="AB189" s="4"/>
      <c r="AC189" s="4"/>
      <c r="AD189" s="4"/>
      <c r="AE189" s="4" t="s">
        <v>2125</v>
      </c>
      <c r="AF189" s="4"/>
      <c r="AG189" s="4"/>
      <c r="AH189" s="4"/>
      <c r="AI189" s="4"/>
      <c r="AJ189" s="4"/>
      <c r="AK189" s="4"/>
      <c r="AL189" s="4"/>
      <c r="AM189" s="4"/>
      <c r="AN189" s="4"/>
      <c r="AO189" s="12" t="str">
        <f>IF($A189="","",admin!$B$2&amp;"\Charts\"&amp;$A189)</f>
        <v>C:\Backups\InsiderTechSol\Aviation\Jetelio_v3\.LAYOUT\resources\Charts\OLBA</v>
      </c>
      <c r="AP189" s="12" t="str">
        <f>IF($A189="","",admin!$B$2&amp;"\RunwayDiagrams\"&amp;$A189&amp;".pdf")</f>
        <v>C:\Backups\InsiderTechSol\Aviation\Jetelio_v3\.LAYOUT\resources\RunwayDiagrams\OLBA.pdf</v>
      </c>
      <c r="AQ189" s="12" t="str">
        <f>IF($A189="","",admin!$B$2&amp;"\Images\"&amp;$A189)</f>
        <v>C:\Backups\InsiderTechSol\Aviation\Jetelio_v3\.LAYOUT\resources\Images\OLBA</v>
      </c>
      <c r="AR189" s="12" t="str">
        <f>IF($A189="","",admin!$B$2&amp;"\CityMaps\"&amp;$A189&amp;".png")</f>
        <v>C:\Backups\InsiderTechSol\Aviation\Jetelio_v3\.LAYOUT\resources\CityMaps\OLBA.png</v>
      </c>
      <c r="AS189" s="16" t="str">
        <f t="shared" si="14"/>
        <v>VISA sheet</v>
      </c>
      <c r="AT189" s="16" t="str">
        <f t="shared" si="15"/>
        <v>Vendors sheet</v>
      </c>
      <c r="AU189" s="4"/>
      <c r="AV189" s="15">
        <f t="shared" ca="1" si="16"/>
        <v>46243</v>
      </c>
      <c r="AX189" s="6"/>
      <c r="AY189" t="str">
        <f t="shared" si="17"/>
        <v>INCOMPLETE - NOT SELECTABLE AS TECH STOP</v>
      </c>
    </row>
    <row r="190" spans="1:51" x14ac:dyDescent="0.3">
      <c r="A190" s="4" t="s">
        <v>1221</v>
      </c>
      <c r="B190" s="4" t="s">
        <v>1222</v>
      </c>
      <c r="C190" s="4"/>
      <c r="D190" s="4"/>
      <c r="E190" s="4" t="s">
        <v>1563</v>
      </c>
      <c r="F190" s="4" t="s">
        <v>82</v>
      </c>
      <c r="G190" s="4"/>
      <c r="H190" s="4" t="s">
        <v>1749</v>
      </c>
      <c r="I190" s="4" t="s">
        <v>1750</v>
      </c>
      <c r="J190" s="4"/>
      <c r="K190" s="4"/>
      <c r="L190" s="4"/>
      <c r="M190" s="4"/>
      <c r="N190" s="12" t="str">
        <f t="shared" si="12"/>
        <v>13°44′00″N 060°57′09″W</v>
      </c>
      <c r="O190" s="7">
        <v>13.7332</v>
      </c>
      <c r="P190" s="7">
        <v>-60.952599999999997</v>
      </c>
      <c r="Q190" s="13">
        <f t="shared" si="13"/>
        <v>4</v>
      </c>
      <c r="R190" s="11">
        <v>14</v>
      </c>
      <c r="S190" s="4"/>
      <c r="T190" s="4" t="s">
        <v>2014</v>
      </c>
      <c r="U190" s="8">
        <v>-4</v>
      </c>
      <c r="V190" s="14">
        <f ca="1">IF($U190="","",MOD(NOW()-admin!$B$1/24+$U190/24,1))</f>
        <v>0.44515972222143319</v>
      </c>
      <c r="W190" s="4"/>
      <c r="X190" s="4"/>
      <c r="Y190" s="4"/>
      <c r="Z190" s="4"/>
      <c r="AA190" s="4"/>
      <c r="AB190" s="4"/>
      <c r="AC190" s="4"/>
      <c r="AD190" s="4"/>
      <c r="AE190" s="4" t="s">
        <v>1141</v>
      </c>
      <c r="AF190" s="4"/>
      <c r="AG190" s="4"/>
      <c r="AH190" s="4"/>
      <c r="AI190" s="4"/>
      <c r="AJ190" s="4"/>
      <c r="AK190" s="4"/>
      <c r="AL190" s="4"/>
      <c r="AM190" s="4"/>
      <c r="AN190" s="4"/>
      <c r="AO190" s="12" t="str">
        <f>IF($A190="","",admin!$B$2&amp;"\Charts\"&amp;$A190)</f>
        <v>C:\Backups\InsiderTechSol\Aviation\Jetelio_v3\.LAYOUT\resources\Charts\TLPL</v>
      </c>
      <c r="AP190" s="12" t="str">
        <f>IF($A190="","",admin!$B$2&amp;"\RunwayDiagrams\"&amp;$A190&amp;".pdf")</f>
        <v>C:\Backups\InsiderTechSol\Aviation\Jetelio_v3\.LAYOUT\resources\RunwayDiagrams\TLPL.pdf</v>
      </c>
      <c r="AQ190" s="12" t="str">
        <f>IF($A190="","",admin!$B$2&amp;"\Images\"&amp;$A190)</f>
        <v>C:\Backups\InsiderTechSol\Aviation\Jetelio_v3\.LAYOUT\resources\Images\TLPL</v>
      </c>
      <c r="AR190" s="12" t="str">
        <f>IF($A190="","",admin!$B$2&amp;"\CityMaps\"&amp;$A190&amp;".png")</f>
        <v>C:\Backups\InsiderTechSol\Aviation\Jetelio_v3\.LAYOUT\resources\CityMaps\TLPL.png</v>
      </c>
      <c r="AS190" s="16" t="str">
        <f t="shared" si="14"/>
        <v>VISA sheet</v>
      </c>
      <c r="AT190" s="16" t="str">
        <f t="shared" si="15"/>
        <v>Vendors sheet</v>
      </c>
      <c r="AU190" s="4"/>
      <c r="AV190" s="15">
        <f t="shared" ca="1" si="16"/>
        <v>46243</v>
      </c>
      <c r="AX190" s="6"/>
      <c r="AY190" t="str">
        <f t="shared" si="17"/>
        <v>INCOMPLETE - NOT SELECTABLE AS TECH STOP</v>
      </c>
    </row>
    <row r="191" spans="1:51" x14ac:dyDescent="0.3">
      <c r="A191" s="4" t="s">
        <v>1223</v>
      </c>
      <c r="B191" s="4" t="s">
        <v>1224</v>
      </c>
      <c r="C191" s="4"/>
      <c r="D191" s="4"/>
      <c r="E191" s="4" t="s">
        <v>1564</v>
      </c>
      <c r="F191" s="4" t="s">
        <v>82</v>
      </c>
      <c r="G191" s="4"/>
      <c r="H191" s="4" t="s">
        <v>1751</v>
      </c>
      <c r="I191" s="4" t="s">
        <v>1752</v>
      </c>
      <c r="J191" s="4"/>
      <c r="K191" s="4"/>
      <c r="L191" s="4"/>
      <c r="M191" s="4"/>
      <c r="N191" s="12" t="str">
        <f t="shared" si="12"/>
        <v>07°10′51″N 079°53′03″E</v>
      </c>
      <c r="O191" s="7">
        <v>7.1807600000000003</v>
      </c>
      <c r="P191" s="7">
        <v>79.884100000000004</v>
      </c>
      <c r="Q191" s="13">
        <f t="shared" si="13"/>
        <v>9</v>
      </c>
      <c r="R191" s="11">
        <v>30</v>
      </c>
      <c r="S191" s="4"/>
      <c r="T191" s="4" t="s">
        <v>2015</v>
      </c>
      <c r="U191" s="8">
        <v>5.5</v>
      </c>
      <c r="V191" s="14">
        <f ca="1">IF($U191="","",MOD(NOW()-admin!$B$1/24+$U191/24,1))</f>
        <v>0.84099305554991588</v>
      </c>
      <c r="W191" s="4"/>
      <c r="X191" s="4"/>
      <c r="Y191" s="4"/>
      <c r="Z191" s="4"/>
      <c r="AA191" s="4"/>
      <c r="AB191" s="4"/>
      <c r="AC191" s="4"/>
      <c r="AD191" s="4"/>
      <c r="AE191" s="4" t="s">
        <v>2126</v>
      </c>
      <c r="AF191" s="4"/>
      <c r="AG191" s="4"/>
      <c r="AH191" s="4"/>
      <c r="AI191" s="4"/>
      <c r="AJ191" s="4"/>
      <c r="AK191" s="4"/>
      <c r="AL191" s="4"/>
      <c r="AM191" s="4"/>
      <c r="AN191" s="4"/>
      <c r="AO191" s="12" t="str">
        <f>IF($A191="","",admin!$B$2&amp;"\Charts\"&amp;$A191)</f>
        <v>C:\Backups\InsiderTechSol\Aviation\Jetelio_v3\.LAYOUT\resources\Charts\VCBI</v>
      </c>
      <c r="AP191" s="12" t="str">
        <f>IF($A191="","",admin!$B$2&amp;"\RunwayDiagrams\"&amp;$A191&amp;".pdf")</f>
        <v>C:\Backups\InsiderTechSol\Aviation\Jetelio_v3\.LAYOUT\resources\RunwayDiagrams\VCBI.pdf</v>
      </c>
      <c r="AQ191" s="12" t="str">
        <f>IF($A191="","",admin!$B$2&amp;"\Images\"&amp;$A191)</f>
        <v>C:\Backups\InsiderTechSol\Aviation\Jetelio_v3\.LAYOUT\resources\Images\VCBI</v>
      </c>
      <c r="AR191" s="12" t="str">
        <f>IF($A191="","",admin!$B$2&amp;"\CityMaps\"&amp;$A191&amp;".png")</f>
        <v>C:\Backups\InsiderTechSol\Aviation\Jetelio_v3\.LAYOUT\resources\CityMaps\VCBI.png</v>
      </c>
      <c r="AS191" s="16" t="str">
        <f t="shared" si="14"/>
        <v>VISA sheet</v>
      </c>
      <c r="AT191" s="16" t="str">
        <f t="shared" si="15"/>
        <v>Vendors sheet</v>
      </c>
      <c r="AU191" s="4"/>
      <c r="AV191" s="15">
        <f t="shared" ca="1" si="16"/>
        <v>46243</v>
      </c>
      <c r="AX191" s="6"/>
      <c r="AY191" t="str">
        <f t="shared" si="17"/>
        <v>INCOMPLETE - NOT SELECTABLE AS TECH STOP</v>
      </c>
    </row>
    <row r="192" spans="1:51" x14ac:dyDescent="0.3">
      <c r="A192" s="4" t="s">
        <v>1225</v>
      </c>
      <c r="B192" s="4" t="s">
        <v>1226</v>
      </c>
      <c r="C192" s="4"/>
      <c r="D192" s="4"/>
      <c r="E192" s="4" t="s">
        <v>1565</v>
      </c>
      <c r="F192" s="4" t="s">
        <v>82</v>
      </c>
      <c r="G192" s="4"/>
      <c r="H192" s="4" t="s">
        <v>1751</v>
      </c>
      <c r="I192" s="4" t="s">
        <v>1752</v>
      </c>
      <c r="J192" s="4"/>
      <c r="K192" s="4"/>
      <c r="L192" s="4"/>
      <c r="M192" s="4"/>
      <c r="N192" s="12" t="str">
        <f t="shared" si="12"/>
        <v>06°49′18″N 079°53′09″E</v>
      </c>
      <c r="O192" s="7">
        <v>6.8216400000000004</v>
      </c>
      <c r="P192" s="7">
        <v>79.885859999999994</v>
      </c>
      <c r="Q192" s="13">
        <f t="shared" si="13"/>
        <v>7</v>
      </c>
      <c r="R192" s="11">
        <v>22</v>
      </c>
      <c r="S192" s="4"/>
      <c r="T192" s="4" t="s">
        <v>2015</v>
      </c>
      <c r="U192" s="8">
        <v>5.5</v>
      </c>
      <c r="V192" s="14">
        <f ca="1">IF($U192="","",MOD(NOW()-admin!$B$1/24+$U192/24,1))</f>
        <v>0.84099305554991588</v>
      </c>
      <c r="W192" s="4"/>
      <c r="X192" s="4"/>
      <c r="Y192" s="4"/>
      <c r="Z192" s="4"/>
      <c r="AA192" s="4"/>
      <c r="AB192" s="4"/>
      <c r="AC192" s="4"/>
      <c r="AD192" s="4"/>
      <c r="AE192" s="4" t="s">
        <v>2127</v>
      </c>
      <c r="AF192" s="4"/>
      <c r="AG192" s="4"/>
      <c r="AH192" s="4"/>
      <c r="AI192" s="4"/>
      <c r="AJ192" s="4"/>
      <c r="AK192" s="4"/>
      <c r="AL192" s="4"/>
      <c r="AM192" s="4"/>
      <c r="AN192" s="4"/>
      <c r="AO192" s="12" t="str">
        <f>IF($A192="","",admin!$B$2&amp;"\Charts\"&amp;$A192)</f>
        <v>C:\Backups\InsiderTechSol\Aviation\Jetelio_v3\.LAYOUT\resources\Charts\VCCC</v>
      </c>
      <c r="AP192" s="12" t="str">
        <f>IF($A192="","",admin!$B$2&amp;"\RunwayDiagrams\"&amp;$A192&amp;".pdf")</f>
        <v>C:\Backups\InsiderTechSol\Aviation\Jetelio_v3\.LAYOUT\resources\RunwayDiagrams\VCCC.pdf</v>
      </c>
      <c r="AQ192" s="12" t="str">
        <f>IF($A192="","",admin!$B$2&amp;"\Images\"&amp;$A192)</f>
        <v>C:\Backups\InsiderTechSol\Aviation\Jetelio_v3\.LAYOUT\resources\Images\VCCC</v>
      </c>
      <c r="AR192" s="12" t="str">
        <f>IF($A192="","",admin!$B$2&amp;"\CityMaps\"&amp;$A192&amp;".png")</f>
        <v>C:\Backups\InsiderTechSol\Aviation\Jetelio_v3\.LAYOUT\resources\CityMaps\VCCC.png</v>
      </c>
      <c r="AS192" s="16" t="str">
        <f t="shared" si="14"/>
        <v>VISA sheet</v>
      </c>
      <c r="AT192" s="16" t="str">
        <f t="shared" si="15"/>
        <v>Vendors sheet</v>
      </c>
      <c r="AU192" s="4"/>
      <c r="AV192" s="15">
        <f t="shared" ca="1" si="16"/>
        <v>46243</v>
      </c>
      <c r="AX192" s="6"/>
      <c r="AY192" t="str">
        <f t="shared" si="17"/>
        <v>INCOMPLETE - NOT SELECTABLE AS TECH STOP</v>
      </c>
    </row>
    <row r="193" spans="1:51" x14ac:dyDescent="0.3">
      <c r="A193" s="4" t="s">
        <v>1227</v>
      </c>
      <c r="B193" s="4" t="s">
        <v>1228</v>
      </c>
      <c r="C193" s="4"/>
      <c r="D193" s="4"/>
      <c r="E193" s="4" t="s">
        <v>1566</v>
      </c>
      <c r="F193" s="4" t="s">
        <v>82</v>
      </c>
      <c r="G193" s="4"/>
      <c r="H193" s="4" t="s">
        <v>762</v>
      </c>
      <c r="I193" s="4" t="s">
        <v>1753</v>
      </c>
      <c r="J193" s="4"/>
      <c r="K193" s="4"/>
      <c r="L193" s="4"/>
      <c r="M193" s="4"/>
      <c r="N193" s="12" t="str">
        <f t="shared" si="12"/>
        <v>06°14′02″N 010°21′44″W</v>
      </c>
      <c r="O193" s="7">
        <v>6.2337899999999999</v>
      </c>
      <c r="P193" s="7">
        <v>-10.362299999999999</v>
      </c>
      <c r="Q193" s="13">
        <f t="shared" si="13"/>
        <v>9</v>
      </c>
      <c r="R193" s="11">
        <v>31</v>
      </c>
      <c r="S193" s="4"/>
      <c r="T193" s="4" t="s">
        <v>2016</v>
      </c>
      <c r="U193" s="8">
        <v>0</v>
      </c>
      <c r="V193" s="14">
        <f ca="1">IF($U193="","",MOD(NOW()-admin!$B$1/24+$U193/24,1))</f>
        <v>0.61182638888567453</v>
      </c>
      <c r="W193" s="4"/>
      <c r="X193" s="4"/>
      <c r="Y193" s="4"/>
      <c r="Z193" s="4"/>
      <c r="AA193" s="4"/>
      <c r="AB193" s="4"/>
      <c r="AC193" s="4"/>
      <c r="AD193" s="4"/>
      <c r="AE193" s="4" t="s">
        <v>2128</v>
      </c>
      <c r="AF193" s="4"/>
      <c r="AG193" s="4"/>
      <c r="AH193" s="4"/>
      <c r="AI193" s="4"/>
      <c r="AJ193" s="4"/>
      <c r="AK193" s="4"/>
      <c r="AL193" s="4"/>
      <c r="AM193" s="4"/>
      <c r="AN193" s="4"/>
      <c r="AO193" s="12" t="str">
        <f>IF($A193="","",admin!$B$2&amp;"\Charts\"&amp;$A193)</f>
        <v>C:\Backups\InsiderTechSol\Aviation\Jetelio_v3\.LAYOUT\resources\Charts\GLRB</v>
      </c>
      <c r="AP193" s="12" t="str">
        <f>IF($A193="","",admin!$B$2&amp;"\RunwayDiagrams\"&amp;$A193&amp;".pdf")</f>
        <v>C:\Backups\InsiderTechSol\Aviation\Jetelio_v3\.LAYOUT\resources\RunwayDiagrams\GLRB.pdf</v>
      </c>
      <c r="AQ193" s="12" t="str">
        <f>IF($A193="","",admin!$B$2&amp;"\Images\"&amp;$A193)</f>
        <v>C:\Backups\InsiderTechSol\Aviation\Jetelio_v3\.LAYOUT\resources\Images\GLRB</v>
      </c>
      <c r="AR193" s="12" t="str">
        <f>IF($A193="","",admin!$B$2&amp;"\CityMaps\"&amp;$A193&amp;".png")</f>
        <v>C:\Backups\InsiderTechSol\Aviation\Jetelio_v3\.LAYOUT\resources\CityMaps\GLRB.png</v>
      </c>
      <c r="AS193" s="16" t="str">
        <f t="shared" si="14"/>
        <v>VISA sheet</v>
      </c>
      <c r="AT193" s="16" t="str">
        <f t="shared" si="15"/>
        <v>Vendors sheet</v>
      </c>
      <c r="AU193" s="4"/>
      <c r="AV193" s="15">
        <f t="shared" ca="1" si="16"/>
        <v>46243</v>
      </c>
      <c r="AX193" s="6"/>
      <c r="AY193" t="str">
        <f t="shared" si="17"/>
        <v>INCOMPLETE - NOT SELECTABLE AS TECH STOP</v>
      </c>
    </row>
    <row r="194" spans="1:51" x14ac:dyDescent="0.3">
      <c r="A194" s="4" t="s">
        <v>1229</v>
      </c>
      <c r="B194" s="4" t="s">
        <v>1230</v>
      </c>
      <c r="C194" s="4"/>
      <c r="D194" s="4"/>
      <c r="E194" s="4" t="s">
        <v>1567</v>
      </c>
      <c r="F194" s="4" t="s">
        <v>82</v>
      </c>
      <c r="G194" s="4"/>
      <c r="H194" s="4" t="s">
        <v>1754</v>
      </c>
      <c r="I194" s="4" t="s">
        <v>1755</v>
      </c>
      <c r="J194" s="4"/>
      <c r="K194" s="4"/>
      <c r="L194" s="4"/>
      <c r="M194" s="4"/>
      <c r="N194" s="12" t="str">
        <f t="shared" si="12"/>
        <v>29°27′23″S 027°33′16″E</v>
      </c>
      <c r="O194" s="7">
        <v>-29.45628</v>
      </c>
      <c r="P194" s="7">
        <v>27.554459999999999</v>
      </c>
      <c r="Q194" s="13">
        <f t="shared" si="13"/>
        <v>1630</v>
      </c>
      <c r="R194" s="11">
        <v>5348</v>
      </c>
      <c r="S194" s="4"/>
      <c r="T194" s="4" t="s">
        <v>2017</v>
      </c>
      <c r="U194" s="8">
        <v>2</v>
      </c>
      <c r="V194" s="14">
        <f ca="1">IF($U194="","",MOD(NOW()-admin!$B$1/24+$U194/24,1))</f>
        <v>0.69515972222143319</v>
      </c>
      <c r="W194" s="4"/>
      <c r="X194" s="4"/>
      <c r="Y194" s="4"/>
      <c r="Z194" s="4"/>
      <c r="AA194" s="4"/>
      <c r="AB194" s="4"/>
      <c r="AC194" s="4"/>
      <c r="AD194" s="4"/>
      <c r="AE194" s="4" t="s">
        <v>2129</v>
      </c>
      <c r="AF194" s="4"/>
      <c r="AG194" s="4"/>
      <c r="AH194" s="4"/>
      <c r="AI194" s="4"/>
      <c r="AJ194" s="4"/>
      <c r="AK194" s="4"/>
      <c r="AL194" s="4"/>
      <c r="AM194" s="4"/>
      <c r="AN194" s="4"/>
      <c r="AO194" s="12" t="str">
        <f>IF($A194="","",admin!$B$2&amp;"\Charts\"&amp;$A194)</f>
        <v>C:\Backups\InsiderTechSol\Aviation\Jetelio_v3\.LAYOUT\resources\Charts\FXMM</v>
      </c>
      <c r="AP194" s="12" t="str">
        <f>IF($A194="","",admin!$B$2&amp;"\RunwayDiagrams\"&amp;$A194&amp;".pdf")</f>
        <v>C:\Backups\InsiderTechSol\Aviation\Jetelio_v3\.LAYOUT\resources\RunwayDiagrams\FXMM.pdf</v>
      </c>
      <c r="AQ194" s="12" t="str">
        <f>IF($A194="","",admin!$B$2&amp;"\Images\"&amp;$A194)</f>
        <v>C:\Backups\InsiderTechSol\Aviation\Jetelio_v3\.LAYOUT\resources\Images\FXMM</v>
      </c>
      <c r="AR194" s="12" t="str">
        <f>IF($A194="","",admin!$B$2&amp;"\CityMaps\"&amp;$A194&amp;".png")</f>
        <v>C:\Backups\InsiderTechSol\Aviation\Jetelio_v3\.LAYOUT\resources\CityMaps\FXMM.png</v>
      </c>
      <c r="AS194" s="16" t="str">
        <f t="shared" si="14"/>
        <v>VISA sheet</v>
      </c>
      <c r="AT194" s="16" t="str">
        <f t="shared" si="15"/>
        <v>Vendors sheet</v>
      </c>
      <c r="AU194" s="4"/>
      <c r="AV194" s="15">
        <f t="shared" ca="1" si="16"/>
        <v>46243</v>
      </c>
      <c r="AX194" s="6"/>
      <c r="AY194" t="str">
        <f t="shared" si="17"/>
        <v>INCOMPLETE - NOT SELECTABLE AS TECH STOP</v>
      </c>
    </row>
    <row r="195" spans="1:51" x14ac:dyDescent="0.3">
      <c r="A195" s="4" t="s">
        <v>1231</v>
      </c>
      <c r="B195" s="4" t="s">
        <v>1232</v>
      </c>
      <c r="C195" s="4"/>
      <c r="D195" s="4"/>
      <c r="E195" s="4" t="s">
        <v>1568</v>
      </c>
      <c r="F195" s="4" t="s">
        <v>82</v>
      </c>
      <c r="G195" s="4"/>
      <c r="H195" s="4" t="s">
        <v>1756</v>
      </c>
      <c r="I195" s="4" t="s">
        <v>1757</v>
      </c>
      <c r="J195" s="4"/>
      <c r="K195" s="4"/>
      <c r="L195" s="4"/>
      <c r="M195" s="4"/>
      <c r="N195" s="12" t="str">
        <f t="shared" si="12"/>
        <v>54°57′50″N 024°05′09″E</v>
      </c>
      <c r="O195" s="7">
        <v>54.963970000000003</v>
      </c>
      <c r="P195" s="7">
        <v>24.085819999999998</v>
      </c>
      <c r="Q195" s="13">
        <f t="shared" si="13"/>
        <v>78</v>
      </c>
      <c r="R195" s="11">
        <v>256</v>
      </c>
      <c r="S195" s="4"/>
      <c r="T195" s="4" t="s">
        <v>2018</v>
      </c>
      <c r="U195" s="8">
        <v>2</v>
      </c>
      <c r="V195" s="14">
        <f ca="1">IF($U195="","",MOD(NOW()-admin!$B$1/24+$U195/24,1))</f>
        <v>0.69515972222143319</v>
      </c>
      <c r="W195" s="4"/>
      <c r="X195" s="4"/>
      <c r="Y195" s="4"/>
      <c r="Z195" s="4"/>
      <c r="AA195" s="4"/>
      <c r="AB195" s="4"/>
      <c r="AC195" s="4"/>
      <c r="AD195" s="4"/>
      <c r="AE195" s="4" t="s">
        <v>2130</v>
      </c>
      <c r="AF195" s="4"/>
      <c r="AG195" s="4"/>
      <c r="AH195" s="4"/>
      <c r="AI195" s="4"/>
      <c r="AJ195" s="4"/>
      <c r="AK195" s="4"/>
      <c r="AL195" s="4"/>
      <c r="AM195" s="4"/>
      <c r="AN195" s="4"/>
      <c r="AO195" s="12" t="str">
        <f>IF($A195="","",admin!$B$2&amp;"\Charts\"&amp;$A195)</f>
        <v>C:\Backups\InsiderTechSol\Aviation\Jetelio_v3\.LAYOUT\resources\Charts\EYKA</v>
      </c>
      <c r="AP195" s="12" t="str">
        <f>IF($A195="","",admin!$B$2&amp;"\RunwayDiagrams\"&amp;$A195&amp;".pdf")</f>
        <v>C:\Backups\InsiderTechSol\Aviation\Jetelio_v3\.LAYOUT\resources\RunwayDiagrams\EYKA.pdf</v>
      </c>
      <c r="AQ195" s="12" t="str">
        <f>IF($A195="","",admin!$B$2&amp;"\Images\"&amp;$A195)</f>
        <v>C:\Backups\InsiderTechSol\Aviation\Jetelio_v3\.LAYOUT\resources\Images\EYKA</v>
      </c>
      <c r="AR195" s="12" t="str">
        <f>IF($A195="","",admin!$B$2&amp;"\CityMaps\"&amp;$A195&amp;".png")</f>
        <v>C:\Backups\InsiderTechSol\Aviation\Jetelio_v3\.LAYOUT\resources\CityMaps\EYKA.png</v>
      </c>
      <c r="AS195" s="16" t="str">
        <f t="shared" si="14"/>
        <v>VISA sheet</v>
      </c>
      <c r="AT195" s="16" t="str">
        <f t="shared" si="15"/>
        <v>Vendors sheet</v>
      </c>
      <c r="AU195" s="4"/>
      <c r="AV195" s="15">
        <f t="shared" ca="1" si="16"/>
        <v>46243</v>
      </c>
      <c r="AX195" s="6"/>
      <c r="AY195" t="str">
        <f t="shared" si="17"/>
        <v>INCOMPLETE - NOT SELECTABLE AS TECH STOP</v>
      </c>
    </row>
    <row r="196" spans="1:51" x14ac:dyDescent="0.3">
      <c r="A196" s="4" t="s">
        <v>1233</v>
      </c>
      <c r="B196" s="4" t="s">
        <v>1234</v>
      </c>
      <c r="C196" s="4"/>
      <c r="D196" s="4"/>
      <c r="E196" s="4" t="s">
        <v>1569</v>
      </c>
      <c r="F196" s="4" t="s">
        <v>82</v>
      </c>
      <c r="G196" s="4"/>
      <c r="H196" s="4" t="s">
        <v>1756</v>
      </c>
      <c r="I196" s="4" t="s">
        <v>1758</v>
      </c>
      <c r="J196" s="4"/>
      <c r="K196" s="4"/>
      <c r="L196" s="4"/>
      <c r="M196" s="4"/>
      <c r="N196" s="12" t="str">
        <f t="shared" ref="N196:N259" si="18">IF(OR($O196="",$P196=""),"",TEXT(INT(ROUND(ABS($O196)*3600,0)/3600),"00")&amp;"°"&amp;TEXT(INT(MOD(ROUND(ABS($O196)*3600,0),3600)/60),"00")&amp;"′"&amp;TEXT(MOD(ROUND(ABS($O196)*3600,0),60),"00")&amp;"″"&amp;IF($O196&gt;=0,"N","S")&amp;" "&amp;TEXT(INT(ROUND(ABS($P196)*3600,0)/3600),"000")&amp;"°"&amp;TEXT(INT(MOD(ROUND(ABS($P196)*3600,0),3600)/60),"00")&amp;"′"&amp;TEXT(MOD(ROUND(ABS($P196)*3600,0),60),"00")&amp;"″"&amp;IF($P196&gt;=0,"E","W"))</f>
        <v>55°58′24″N 021°05′38″E</v>
      </c>
      <c r="O196" s="7">
        <v>55.973199999999999</v>
      </c>
      <c r="P196" s="7">
        <v>21.093900000000001</v>
      </c>
      <c r="Q196" s="13">
        <f t="shared" ref="Q196:Q259" si="19">IF($R196="","",ROUND($R196*0.3048,0))</f>
        <v>10</v>
      </c>
      <c r="R196" s="11">
        <v>33</v>
      </c>
      <c r="S196" s="4"/>
      <c r="T196" s="4" t="s">
        <v>2018</v>
      </c>
      <c r="U196" s="8">
        <v>2</v>
      </c>
      <c r="V196" s="14">
        <f ca="1">IF($U196="","",MOD(NOW()-admin!$B$1/24+$U196/24,1))</f>
        <v>0.69515972222143319</v>
      </c>
      <c r="W196" s="4"/>
      <c r="X196" s="4"/>
      <c r="Y196" s="4"/>
      <c r="Z196" s="4"/>
      <c r="AA196" s="4"/>
      <c r="AB196" s="4"/>
      <c r="AC196" s="4"/>
      <c r="AD196" s="4"/>
      <c r="AE196" s="4" t="s">
        <v>2131</v>
      </c>
      <c r="AF196" s="4"/>
      <c r="AG196" s="4"/>
      <c r="AH196" s="4"/>
      <c r="AI196" s="4"/>
      <c r="AJ196" s="4"/>
      <c r="AK196" s="4"/>
      <c r="AL196" s="4"/>
      <c r="AM196" s="4"/>
      <c r="AN196" s="4"/>
      <c r="AO196" s="12" t="str">
        <f>IF($A196="","",admin!$B$2&amp;"\Charts\"&amp;$A196)</f>
        <v>C:\Backups\InsiderTechSol\Aviation\Jetelio_v3\.LAYOUT\resources\Charts\EYPA</v>
      </c>
      <c r="AP196" s="12" t="str">
        <f>IF($A196="","",admin!$B$2&amp;"\RunwayDiagrams\"&amp;$A196&amp;".pdf")</f>
        <v>C:\Backups\InsiderTechSol\Aviation\Jetelio_v3\.LAYOUT\resources\RunwayDiagrams\EYPA.pdf</v>
      </c>
      <c r="AQ196" s="12" t="str">
        <f>IF($A196="","",admin!$B$2&amp;"\Images\"&amp;$A196)</f>
        <v>C:\Backups\InsiderTechSol\Aviation\Jetelio_v3\.LAYOUT\resources\Images\EYPA</v>
      </c>
      <c r="AR196" s="12" t="str">
        <f>IF($A196="","",admin!$B$2&amp;"\CityMaps\"&amp;$A196&amp;".png")</f>
        <v>C:\Backups\InsiderTechSol\Aviation\Jetelio_v3\.LAYOUT\resources\CityMaps\EYPA.png</v>
      </c>
      <c r="AS196" s="16" t="str">
        <f t="shared" ref="AS196:AS259" si="20">IF($A196="","","VISA sheet")</f>
        <v>VISA sheet</v>
      </c>
      <c r="AT196" s="16" t="str">
        <f t="shared" ref="AT196:AT259" si="21">IF($A196="","","Vendors sheet")</f>
        <v>Vendors sheet</v>
      </c>
      <c r="AU196" s="4"/>
      <c r="AV196" s="15">
        <f t="shared" ref="AV196:AV259" ca="1" si="22">IF($A196="","",TODAY())</f>
        <v>46243</v>
      </c>
      <c r="AX196" s="6"/>
      <c r="AY196" t="str">
        <f t="shared" ref="AY196:AY259" si="23">IF($A196="","",IF(OR(TRIM($Y196)="",TRIM($AG196)="",TRIM($X196)=""),"INCOMPLETE - NOT SELECTABLE AS TECH STOP",IF(OR($AW196="",$AX196=""),"UNVERIFIED - ADVISORY ONLY","VERIFIED")))</f>
        <v>INCOMPLETE - NOT SELECTABLE AS TECH STOP</v>
      </c>
    </row>
    <row r="197" spans="1:51" x14ac:dyDescent="0.3">
      <c r="A197" s="4" t="s">
        <v>1235</v>
      </c>
      <c r="B197" s="4" t="s">
        <v>1236</v>
      </c>
      <c r="C197" s="4"/>
      <c r="D197" s="4"/>
      <c r="E197" s="4" t="s">
        <v>1570</v>
      </c>
      <c r="F197" s="4" t="s">
        <v>82</v>
      </c>
      <c r="G197" s="4"/>
      <c r="H197" s="4" t="s">
        <v>1759</v>
      </c>
      <c r="I197" s="4" t="s">
        <v>1759</v>
      </c>
      <c r="J197" s="4"/>
      <c r="K197" s="4"/>
      <c r="L197" s="4"/>
      <c r="M197" s="4"/>
      <c r="N197" s="12" t="str">
        <f t="shared" si="18"/>
        <v>49°37′37″N 006°12′44″E</v>
      </c>
      <c r="O197" s="7">
        <v>49.626849999999997</v>
      </c>
      <c r="P197" s="7">
        <v>6.2121300000000002</v>
      </c>
      <c r="Q197" s="13">
        <f t="shared" si="19"/>
        <v>376</v>
      </c>
      <c r="R197" s="11">
        <v>1234</v>
      </c>
      <c r="S197" s="4"/>
      <c r="T197" s="4" t="s">
        <v>2019</v>
      </c>
      <c r="U197" s="8">
        <v>1</v>
      </c>
      <c r="V197" s="14">
        <f ca="1">IF($U197="","",MOD(NOW()-admin!$B$1/24+$U197/24,1))</f>
        <v>0.65349305554991588</v>
      </c>
      <c r="W197" s="4"/>
      <c r="X197" s="4"/>
      <c r="Y197" s="4"/>
      <c r="Z197" s="4"/>
      <c r="AA197" s="4"/>
      <c r="AB197" s="4"/>
      <c r="AC197" s="4"/>
      <c r="AD197" s="4"/>
      <c r="AE197" s="4" t="s">
        <v>2132</v>
      </c>
      <c r="AF197" s="4"/>
      <c r="AG197" s="4"/>
      <c r="AH197" s="4"/>
      <c r="AI197" s="4"/>
      <c r="AJ197" s="4"/>
      <c r="AK197" s="4"/>
      <c r="AL197" s="4"/>
      <c r="AM197" s="4"/>
      <c r="AN197" s="4"/>
      <c r="AO197" s="12" t="str">
        <f>IF($A197="","",admin!$B$2&amp;"\Charts\"&amp;$A197)</f>
        <v>C:\Backups\InsiderTechSol\Aviation\Jetelio_v3\.LAYOUT\resources\Charts\ELLX</v>
      </c>
      <c r="AP197" s="12" t="str">
        <f>IF($A197="","",admin!$B$2&amp;"\RunwayDiagrams\"&amp;$A197&amp;".pdf")</f>
        <v>C:\Backups\InsiderTechSol\Aviation\Jetelio_v3\.LAYOUT\resources\RunwayDiagrams\ELLX.pdf</v>
      </c>
      <c r="AQ197" s="12" t="str">
        <f>IF($A197="","",admin!$B$2&amp;"\Images\"&amp;$A197)</f>
        <v>C:\Backups\InsiderTechSol\Aviation\Jetelio_v3\.LAYOUT\resources\Images\ELLX</v>
      </c>
      <c r="AR197" s="12" t="str">
        <f>IF($A197="","",admin!$B$2&amp;"\CityMaps\"&amp;$A197&amp;".png")</f>
        <v>C:\Backups\InsiderTechSol\Aviation\Jetelio_v3\.LAYOUT\resources\CityMaps\ELLX.png</v>
      </c>
      <c r="AS197" s="16" t="str">
        <f t="shared" si="20"/>
        <v>VISA sheet</v>
      </c>
      <c r="AT197" s="16" t="str">
        <f t="shared" si="21"/>
        <v>Vendors sheet</v>
      </c>
      <c r="AU197" s="4"/>
      <c r="AV197" s="15">
        <f t="shared" ca="1" si="22"/>
        <v>46243</v>
      </c>
      <c r="AX197" s="6"/>
      <c r="AY197" t="str">
        <f t="shared" si="23"/>
        <v>INCOMPLETE - NOT SELECTABLE AS TECH STOP</v>
      </c>
    </row>
    <row r="198" spans="1:51" x14ac:dyDescent="0.3">
      <c r="A198" s="4" t="s">
        <v>1237</v>
      </c>
      <c r="B198" s="4" t="s">
        <v>1238</v>
      </c>
      <c r="C198" s="4"/>
      <c r="D198" s="4"/>
      <c r="E198" s="4" t="s">
        <v>1571</v>
      </c>
      <c r="F198" s="4" t="s">
        <v>82</v>
      </c>
      <c r="G198" s="4"/>
      <c r="H198" s="4" t="s">
        <v>1760</v>
      </c>
      <c r="I198" s="4" t="s">
        <v>1761</v>
      </c>
      <c r="J198" s="4"/>
      <c r="K198" s="4"/>
      <c r="L198" s="4"/>
      <c r="M198" s="4"/>
      <c r="N198" s="12" t="str">
        <f t="shared" si="18"/>
        <v>56°31′03″N 021°05′49″E</v>
      </c>
      <c r="O198" s="7">
        <v>56.517499999999998</v>
      </c>
      <c r="P198" s="7">
        <v>21.096900000000002</v>
      </c>
      <c r="Q198" s="13">
        <f t="shared" si="19"/>
        <v>5</v>
      </c>
      <c r="R198" s="11">
        <v>16</v>
      </c>
      <c r="S198" s="4"/>
      <c r="T198" s="4" t="s">
        <v>2020</v>
      </c>
      <c r="U198" s="8">
        <v>2</v>
      </c>
      <c r="V198" s="14">
        <f ca="1">IF($U198="","",MOD(NOW()-admin!$B$1/24+$U198/24,1))</f>
        <v>0.69515972222143319</v>
      </c>
      <c r="W198" s="4"/>
      <c r="X198" s="4"/>
      <c r="Y198" s="4"/>
      <c r="Z198" s="4"/>
      <c r="AA198" s="4"/>
      <c r="AB198" s="4"/>
      <c r="AC198" s="4"/>
      <c r="AD198" s="4"/>
      <c r="AE198" s="4" t="s">
        <v>2133</v>
      </c>
      <c r="AF198" s="4"/>
      <c r="AG198" s="4"/>
      <c r="AH198" s="4"/>
      <c r="AI198" s="4"/>
      <c r="AJ198" s="4"/>
      <c r="AK198" s="4"/>
      <c r="AL198" s="4"/>
      <c r="AM198" s="4"/>
      <c r="AN198" s="4"/>
      <c r="AO198" s="12" t="str">
        <f>IF($A198="","",admin!$B$2&amp;"\Charts\"&amp;$A198)</f>
        <v>C:\Backups\InsiderTechSol\Aviation\Jetelio_v3\.LAYOUT\resources\Charts\EVLA</v>
      </c>
      <c r="AP198" s="12" t="str">
        <f>IF($A198="","",admin!$B$2&amp;"\RunwayDiagrams\"&amp;$A198&amp;".pdf")</f>
        <v>C:\Backups\InsiderTechSol\Aviation\Jetelio_v3\.LAYOUT\resources\RunwayDiagrams\EVLA.pdf</v>
      </c>
      <c r="AQ198" s="12" t="str">
        <f>IF($A198="","",admin!$B$2&amp;"\Images\"&amp;$A198)</f>
        <v>C:\Backups\InsiderTechSol\Aviation\Jetelio_v3\.LAYOUT\resources\Images\EVLA</v>
      </c>
      <c r="AR198" s="12" t="str">
        <f>IF($A198="","",admin!$B$2&amp;"\CityMaps\"&amp;$A198&amp;".png")</f>
        <v>C:\Backups\InsiderTechSol\Aviation\Jetelio_v3\.LAYOUT\resources\CityMaps\EVLA.png</v>
      </c>
      <c r="AS198" s="16" t="str">
        <f t="shared" si="20"/>
        <v>VISA sheet</v>
      </c>
      <c r="AT198" s="16" t="str">
        <f t="shared" si="21"/>
        <v>Vendors sheet</v>
      </c>
      <c r="AU198" s="4"/>
      <c r="AV198" s="15">
        <f t="shared" ca="1" si="22"/>
        <v>46243</v>
      </c>
      <c r="AX198" s="6"/>
      <c r="AY198" t="str">
        <f t="shared" si="23"/>
        <v>INCOMPLETE - NOT SELECTABLE AS TECH STOP</v>
      </c>
    </row>
    <row r="199" spans="1:51" x14ac:dyDescent="0.3">
      <c r="A199" s="4" t="s">
        <v>1239</v>
      </c>
      <c r="B199" s="4" t="s">
        <v>1240</v>
      </c>
      <c r="C199" s="4"/>
      <c r="D199" s="4"/>
      <c r="E199" s="4" t="s">
        <v>1572</v>
      </c>
      <c r="F199" s="4" t="s">
        <v>82</v>
      </c>
      <c r="G199" s="4"/>
      <c r="H199" s="4" t="s">
        <v>1760</v>
      </c>
      <c r="I199" s="4" t="s">
        <v>1762</v>
      </c>
      <c r="J199" s="4"/>
      <c r="K199" s="4"/>
      <c r="L199" s="4"/>
      <c r="M199" s="4"/>
      <c r="N199" s="12" t="str">
        <f t="shared" si="18"/>
        <v>56°55′15″N 023°58′15″E</v>
      </c>
      <c r="O199" s="7">
        <v>56.920749999999998</v>
      </c>
      <c r="P199" s="7">
        <v>23.97071</v>
      </c>
      <c r="Q199" s="13">
        <f t="shared" si="19"/>
        <v>11</v>
      </c>
      <c r="R199" s="11">
        <v>36</v>
      </c>
      <c r="S199" s="4"/>
      <c r="T199" s="4" t="s">
        <v>2020</v>
      </c>
      <c r="U199" s="8">
        <v>2</v>
      </c>
      <c r="V199" s="14">
        <f ca="1">IF($U199="","",MOD(NOW()-admin!$B$1/24+$U199/24,1))</f>
        <v>0.69515972222143319</v>
      </c>
      <c r="W199" s="4"/>
      <c r="X199" s="4"/>
      <c r="Y199" s="4"/>
      <c r="Z199" s="4"/>
      <c r="AA199" s="4"/>
      <c r="AB199" s="4"/>
      <c r="AC199" s="4"/>
      <c r="AD199" s="4"/>
      <c r="AE199" s="4" t="s">
        <v>2134</v>
      </c>
      <c r="AF199" s="4"/>
      <c r="AG199" s="4"/>
      <c r="AH199" s="4"/>
      <c r="AI199" s="4"/>
      <c r="AJ199" s="4"/>
      <c r="AK199" s="4"/>
      <c r="AL199" s="4"/>
      <c r="AM199" s="4"/>
      <c r="AN199" s="4"/>
      <c r="AO199" s="12" t="str">
        <f>IF($A199="","",admin!$B$2&amp;"\Charts\"&amp;$A199)</f>
        <v>C:\Backups\InsiderTechSol\Aviation\Jetelio_v3\.LAYOUT\resources\Charts\EVRA</v>
      </c>
      <c r="AP199" s="12" t="str">
        <f>IF($A199="","",admin!$B$2&amp;"\RunwayDiagrams\"&amp;$A199&amp;".pdf")</f>
        <v>C:\Backups\InsiderTechSol\Aviation\Jetelio_v3\.LAYOUT\resources\RunwayDiagrams\EVRA.pdf</v>
      </c>
      <c r="AQ199" s="12" t="str">
        <f>IF($A199="","",admin!$B$2&amp;"\Images\"&amp;$A199)</f>
        <v>C:\Backups\InsiderTechSol\Aviation\Jetelio_v3\.LAYOUT\resources\Images\EVRA</v>
      </c>
      <c r="AR199" s="12" t="str">
        <f>IF($A199="","",admin!$B$2&amp;"\CityMaps\"&amp;$A199&amp;".png")</f>
        <v>C:\Backups\InsiderTechSol\Aviation\Jetelio_v3\.LAYOUT\resources\CityMaps\EVRA.png</v>
      </c>
      <c r="AS199" s="16" t="str">
        <f t="shared" si="20"/>
        <v>VISA sheet</v>
      </c>
      <c r="AT199" s="16" t="str">
        <f t="shared" si="21"/>
        <v>Vendors sheet</v>
      </c>
      <c r="AU199" s="4"/>
      <c r="AV199" s="15">
        <f t="shared" ca="1" si="22"/>
        <v>46243</v>
      </c>
      <c r="AX199" s="6"/>
      <c r="AY199" t="str">
        <f t="shared" si="23"/>
        <v>INCOMPLETE - NOT SELECTABLE AS TECH STOP</v>
      </c>
    </row>
    <row r="200" spans="1:51" x14ac:dyDescent="0.3">
      <c r="A200" s="4" t="s">
        <v>1241</v>
      </c>
      <c r="B200" s="4" t="s">
        <v>1242</v>
      </c>
      <c r="C200" s="4"/>
      <c r="D200" s="4"/>
      <c r="E200" s="4" t="s">
        <v>1573</v>
      </c>
      <c r="F200" s="4" t="s">
        <v>82</v>
      </c>
      <c r="G200" s="4"/>
      <c r="H200" s="4" t="s">
        <v>1763</v>
      </c>
      <c r="I200" s="4" t="s">
        <v>1764</v>
      </c>
      <c r="J200" s="4"/>
      <c r="K200" s="4"/>
      <c r="L200" s="4"/>
      <c r="M200" s="4"/>
      <c r="N200" s="12" t="str">
        <f t="shared" si="18"/>
        <v>31°03′31″N 016°35′50″E</v>
      </c>
      <c r="O200" s="7">
        <v>31.058579999999999</v>
      </c>
      <c r="P200" s="7">
        <v>16.597090000000001</v>
      </c>
      <c r="Q200" s="13">
        <f t="shared" si="19"/>
        <v>81</v>
      </c>
      <c r="R200" s="11">
        <v>267</v>
      </c>
      <c r="S200" s="4"/>
      <c r="T200" s="4" t="s">
        <v>2021</v>
      </c>
      <c r="U200" s="8">
        <v>2</v>
      </c>
      <c r="V200" s="14">
        <f ca="1">IF($U200="","",MOD(NOW()-admin!$B$1/24+$U200/24,1))</f>
        <v>0.69515972222143319</v>
      </c>
      <c r="W200" s="4"/>
      <c r="X200" s="4"/>
      <c r="Y200" s="4"/>
      <c r="Z200" s="4"/>
      <c r="AA200" s="4"/>
      <c r="AB200" s="4"/>
      <c r="AC200" s="4"/>
      <c r="AD200" s="4"/>
      <c r="AE200" s="4" t="s">
        <v>2135</v>
      </c>
      <c r="AF200" s="4"/>
      <c r="AG200" s="4"/>
      <c r="AH200" s="4"/>
      <c r="AI200" s="4"/>
      <c r="AJ200" s="4"/>
      <c r="AK200" s="4"/>
      <c r="AL200" s="4"/>
      <c r="AM200" s="4"/>
      <c r="AN200" s="4"/>
      <c r="AO200" s="12" t="str">
        <f>IF($A200="","",admin!$B$2&amp;"\Charts\"&amp;$A200)</f>
        <v>C:\Backups\InsiderTechSol\Aviation\Jetelio_v3\.LAYOUT\resources\Charts\HLGD</v>
      </c>
      <c r="AP200" s="12" t="str">
        <f>IF($A200="","",admin!$B$2&amp;"\RunwayDiagrams\"&amp;$A200&amp;".pdf")</f>
        <v>C:\Backups\InsiderTechSol\Aviation\Jetelio_v3\.LAYOUT\resources\RunwayDiagrams\HLGD.pdf</v>
      </c>
      <c r="AQ200" s="12" t="str">
        <f>IF($A200="","",admin!$B$2&amp;"\Images\"&amp;$A200)</f>
        <v>C:\Backups\InsiderTechSol\Aviation\Jetelio_v3\.LAYOUT\resources\Images\HLGD</v>
      </c>
      <c r="AR200" s="12" t="str">
        <f>IF($A200="","",admin!$B$2&amp;"\CityMaps\"&amp;$A200&amp;".png")</f>
        <v>C:\Backups\InsiderTechSol\Aviation\Jetelio_v3\.LAYOUT\resources\CityMaps\HLGD.png</v>
      </c>
      <c r="AS200" s="16" t="str">
        <f t="shared" si="20"/>
        <v>VISA sheet</v>
      </c>
      <c r="AT200" s="16" t="str">
        <f t="shared" si="21"/>
        <v>Vendors sheet</v>
      </c>
      <c r="AU200" s="4"/>
      <c r="AV200" s="15">
        <f t="shared" ca="1" si="22"/>
        <v>46243</v>
      </c>
      <c r="AX200" s="6"/>
      <c r="AY200" t="str">
        <f t="shared" si="23"/>
        <v>INCOMPLETE - NOT SELECTABLE AS TECH STOP</v>
      </c>
    </row>
    <row r="201" spans="1:51" x14ac:dyDescent="0.3">
      <c r="A201" s="4" t="s">
        <v>1243</v>
      </c>
      <c r="B201" s="4" t="s">
        <v>1244</v>
      </c>
      <c r="C201" s="4"/>
      <c r="D201" s="4"/>
      <c r="E201" s="4" t="s">
        <v>1574</v>
      </c>
      <c r="F201" s="4" t="s">
        <v>82</v>
      </c>
      <c r="G201" s="4"/>
      <c r="H201" s="4" t="s">
        <v>1763</v>
      </c>
      <c r="I201" s="4" t="s">
        <v>1765</v>
      </c>
      <c r="J201" s="4"/>
      <c r="K201" s="4"/>
      <c r="L201" s="4"/>
      <c r="M201" s="4"/>
      <c r="N201" s="12" t="str">
        <f t="shared" si="18"/>
        <v>32°05′48″N 020°16′10″E</v>
      </c>
      <c r="O201" s="7">
        <v>32.096800000000002</v>
      </c>
      <c r="P201" s="7">
        <v>20.269500000000001</v>
      </c>
      <c r="Q201" s="13">
        <f t="shared" si="19"/>
        <v>132</v>
      </c>
      <c r="R201" s="11">
        <v>433</v>
      </c>
      <c r="S201" s="4"/>
      <c r="T201" s="4" t="s">
        <v>2021</v>
      </c>
      <c r="U201" s="8">
        <v>2</v>
      </c>
      <c r="V201" s="14">
        <f ca="1">IF($U201="","",MOD(NOW()-admin!$B$1/24+$U201/24,1))</f>
        <v>0.69515972222143319</v>
      </c>
      <c r="W201" s="4"/>
      <c r="X201" s="4"/>
      <c r="Y201" s="4"/>
      <c r="Z201" s="4"/>
      <c r="AA201" s="4"/>
      <c r="AB201" s="4"/>
      <c r="AC201" s="4"/>
      <c r="AD201" s="4"/>
      <c r="AE201" s="4" t="s">
        <v>2136</v>
      </c>
      <c r="AF201" s="4"/>
      <c r="AG201" s="4"/>
      <c r="AH201" s="4"/>
      <c r="AI201" s="4"/>
      <c r="AJ201" s="4"/>
      <c r="AK201" s="4"/>
      <c r="AL201" s="4"/>
      <c r="AM201" s="4"/>
      <c r="AN201" s="4"/>
      <c r="AO201" s="12" t="str">
        <f>IF($A201="","",admin!$B$2&amp;"\Charts\"&amp;$A201)</f>
        <v>C:\Backups\InsiderTechSol\Aviation\Jetelio_v3\.LAYOUT\resources\Charts\HLLB</v>
      </c>
      <c r="AP201" s="12" t="str">
        <f>IF($A201="","",admin!$B$2&amp;"\RunwayDiagrams\"&amp;$A201&amp;".pdf")</f>
        <v>C:\Backups\InsiderTechSol\Aviation\Jetelio_v3\.LAYOUT\resources\RunwayDiagrams\HLLB.pdf</v>
      </c>
      <c r="AQ201" s="12" t="str">
        <f>IF($A201="","",admin!$B$2&amp;"\Images\"&amp;$A201)</f>
        <v>C:\Backups\InsiderTechSol\Aviation\Jetelio_v3\.LAYOUT\resources\Images\HLLB</v>
      </c>
      <c r="AR201" s="12" t="str">
        <f>IF($A201="","",admin!$B$2&amp;"\CityMaps\"&amp;$A201&amp;".png")</f>
        <v>C:\Backups\InsiderTechSol\Aviation\Jetelio_v3\.LAYOUT\resources\CityMaps\HLLB.png</v>
      </c>
      <c r="AS201" s="16" t="str">
        <f t="shared" si="20"/>
        <v>VISA sheet</v>
      </c>
      <c r="AT201" s="16" t="str">
        <f t="shared" si="21"/>
        <v>Vendors sheet</v>
      </c>
      <c r="AU201" s="4"/>
      <c r="AV201" s="15">
        <f t="shared" ca="1" si="22"/>
        <v>46243</v>
      </c>
      <c r="AX201" s="6"/>
      <c r="AY201" t="str">
        <f t="shared" si="23"/>
        <v>INCOMPLETE - NOT SELECTABLE AS TECH STOP</v>
      </c>
    </row>
    <row r="202" spans="1:51" x14ac:dyDescent="0.3">
      <c r="A202" s="4" t="s">
        <v>1245</v>
      </c>
      <c r="B202" s="4" t="s">
        <v>1246</v>
      </c>
      <c r="C202" s="4"/>
      <c r="D202" s="4"/>
      <c r="E202" s="4" t="s">
        <v>1575</v>
      </c>
      <c r="F202" s="4" t="s">
        <v>82</v>
      </c>
      <c r="G202" s="4"/>
      <c r="H202" s="4" t="s">
        <v>1766</v>
      </c>
      <c r="I202" s="4" t="s">
        <v>1767</v>
      </c>
      <c r="J202" s="4"/>
      <c r="K202" s="4"/>
      <c r="L202" s="4"/>
      <c r="M202" s="4"/>
      <c r="N202" s="12" t="str">
        <f t="shared" si="18"/>
        <v>30°19′21″N 009°24′43″W</v>
      </c>
      <c r="O202" s="7">
        <v>30.322479999999999</v>
      </c>
      <c r="P202" s="7">
        <v>-9.4120000000000008</v>
      </c>
      <c r="Q202" s="13">
        <f t="shared" si="19"/>
        <v>76</v>
      </c>
      <c r="R202" s="11">
        <v>250</v>
      </c>
      <c r="S202" s="4"/>
      <c r="T202" s="4" t="s">
        <v>2022</v>
      </c>
      <c r="U202" s="8">
        <v>0</v>
      </c>
      <c r="V202" s="14">
        <f ca="1">IF($U202="","",MOD(NOW()-admin!$B$1/24+$U202/24,1))</f>
        <v>0.61182638888567453</v>
      </c>
      <c r="W202" s="4"/>
      <c r="X202" s="4"/>
      <c r="Y202" s="4"/>
      <c r="Z202" s="4"/>
      <c r="AA202" s="4"/>
      <c r="AB202" s="4"/>
      <c r="AC202" s="4"/>
      <c r="AD202" s="4"/>
      <c r="AE202" s="4" t="s">
        <v>2137</v>
      </c>
      <c r="AF202" s="4"/>
      <c r="AG202" s="4"/>
      <c r="AH202" s="4"/>
      <c r="AI202" s="4"/>
      <c r="AJ202" s="4"/>
      <c r="AK202" s="4"/>
      <c r="AL202" s="4"/>
      <c r="AM202" s="4"/>
      <c r="AN202" s="4"/>
      <c r="AO202" s="12" t="str">
        <f>IF($A202="","",admin!$B$2&amp;"\Charts\"&amp;$A202)</f>
        <v>C:\Backups\InsiderTechSol\Aviation\Jetelio_v3\.LAYOUT\resources\Charts\GMAD</v>
      </c>
      <c r="AP202" s="12" t="str">
        <f>IF($A202="","",admin!$B$2&amp;"\RunwayDiagrams\"&amp;$A202&amp;".pdf")</f>
        <v>C:\Backups\InsiderTechSol\Aviation\Jetelio_v3\.LAYOUT\resources\RunwayDiagrams\GMAD.pdf</v>
      </c>
      <c r="AQ202" s="12" t="str">
        <f>IF($A202="","",admin!$B$2&amp;"\Images\"&amp;$A202)</f>
        <v>C:\Backups\InsiderTechSol\Aviation\Jetelio_v3\.LAYOUT\resources\Images\GMAD</v>
      </c>
      <c r="AR202" s="12" t="str">
        <f>IF($A202="","",admin!$B$2&amp;"\CityMaps\"&amp;$A202&amp;".png")</f>
        <v>C:\Backups\InsiderTechSol\Aviation\Jetelio_v3\.LAYOUT\resources\CityMaps\GMAD.png</v>
      </c>
      <c r="AS202" s="16" t="str">
        <f t="shared" si="20"/>
        <v>VISA sheet</v>
      </c>
      <c r="AT202" s="16" t="str">
        <f t="shared" si="21"/>
        <v>Vendors sheet</v>
      </c>
      <c r="AU202" s="4"/>
      <c r="AV202" s="15">
        <f t="shared" ca="1" si="22"/>
        <v>46243</v>
      </c>
      <c r="AX202" s="6"/>
      <c r="AY202" t="str">
        <f t="shared" si="23"/>
        <v>INCOMPLETE - NOT SELECTABLE AS TECH STOP</v>
      </c>
    </row>
    <row r="203" spans="1:51" x14ac:dyDescent="0.3">
      <c r="A203" s="4" t="s">
        <v>1247</v>
      </c>
      <c r="B203" s="4" t="s">
        <v>1248</v>
      </c>
      <c r="C203" s="4"/>
      <c r="D203" s="4"/>
      <c r="E203" s="4" t="s">
        <v>1576</v>
      </c>
      <c r="F203" s="4" t="s">
        <v>82</v>
      </c>
      <c r="G203" s="4"/>
      <c r="H203" s="4" t="s">
        <v>1766</v>
      </c>
      <c r="I203" s="4" t="s">
        <v>1768</v>
      </c>
      <c r="J203" s="4"/>
      <c r="K203" s="4"/>
      <c r="L203" s="4"/>
      <c r="M203" s="4"/>
      <c r="N203" s="12" t="str">
        <f t="shared" si="18"/>
        <v>30°15′57″N 005°51′39″W</v>
      </c>
      <c r="O203" s="7">
        <v>30.265789999999999</v>
      </c>
      <c r="P203" s="7">
        <v>-5.8608099999999999</v>
      </c>
      <c r="Q203" s="13">
        <f t="shared" si="19"/>
        <v>736</v>
      </c>
      <c r="R203" s="11">
        <v>2414</v>
      </c>
      <c r="S203" s="4"/>
      <c r="T203" s="4" t="s">
        <v>2022</v>
      </c>
      <c r="U203" s="8">
        <v>0</v>
      </c>
      <c r="V203" s="14">
        <f ca="1">IF($U203="","",MOD(NOW()-admin!$B$1/24+$U203/24,1))</f>
        <v>0.61182638888567453</v>
      </c>
      <c r="W203" s="4"/>
      <c r="X203" s="4"/>
      <c r="Y203" s="4"/>
      <c r="Z203" s="4"/>
      <c r="AA203" s="4"/>
      <c r="AB203" s="4"/>
      <c r="AC203" s="4"/>
      <c r="AD203" s="4"/>
      <c r="AE203" s="4"/>
      <c r="AF203" s="4"/>
      <c r="AG203" s="4"/>
      <c r="AH203" s="4"/>
      <c r="AI203" s="4"/>
      <c r="AJ203" s="4"/>
      <c r="AK203" s="4"/>
      <c r="AL203" s="4"/>
      <c r="AM203" s="4"/>
      <c r="AN203" s="4"/>
      <c r="AO203" s="12" t="str">
        <f>IF($A203="","",admin!$B$2&amp;"\Charts\"&amp;$A203)</f>
        <v>C:\Backups\InsiderTechSol\Aviation\Jetelio_v3\.LAYOUT\resources\Charts\GMAZ</v>
      </c>
      <c r="AP203" s="12" t="str">
        <f>IF($A203="","",admin!$B$2&amp;"\RunwayDiagrams\"&amp;$A203&amp;".pdf")</f>
        <v>C:\Backups\InsiderTechSol\Aviation\Jetelio_v3\.LAYOUT\resources\RunwayDiagrams\GMAZ.pdf</v>
      </c>
      <c r="AQ203" s="12" t="str">
        <f>IF($A203="","",admin!$B$2&amp;"\Images\"&amp;$A203)</f>
        <v>C:\Backups\InsiderTechSol\Aviation\Jetelio_v3\.LAYOUT\resources\Images\GMAZ</v>
      </c>
      <c r="AR203" s="12" t="str">
        <f>IF($A203="","",admin!$B$2&amp;"\CityMaps\"&amp;$A203&amp;".png")</f>
        <v>C:\Backups\InsiderTechSol\Aviation\Jetelio_v3\.LAYOUT\resources\CityMaps\GMAZ.png</v>
      </c>
      <c r="AS203" s="16" t="str">
        <f t="shared" si="20"/>
        <v>VISA sheet</v>
      </c>
      <c r="AT203" s="16" t="str">
        <f t="shared" si="21"/>
        <v>Vendors sheet</v>
      </c>
      <c r="AU203" s="4"/>
      <c r="AV203" s="15">
        <f t="shared" ca="1" si="22"/>
        <v>46243</v>
      </c>
      <c r="AX203" s="6"/>
      <c r="AY203" t="str">
        <f t="shared" si="23"/>
        <v>INCOMPLETE - NOT SELECTABLE AS TECH STOP</v>
      </c>
    </row>
    <row r="204" spans="1:51" x14ac:dyDescent="0.3">
      <c r="A204" s="4" t="s">
        <v>1249</v>
      </c>
      <c r="B204" s="4" t="s">
        <v>1250</v>
      </c>
      <c r="C204" s="4"/>
      <c r="D204" s="4"/>
      <c r="E204" s="4" t="s">
        <v>1577</v>
      </c>
      <c r="F204" s="4" t="s">
        <v>82</v>
      </c>
      <c r="G204" s="4"/>
      <c r="H204" s="4" t="s">
        <v>1769</v>
      </c>
      <c r="I204" s="4" t="s">
        <v>1770</v>
      </c>
      <c r="J204" s="4"/>
      <c r="K204" s="4"/>
      <c r="L204" s="4"/>
      <c r="M204" s="4"/>
      <c r="N204" s="12" t="str">
        <f t="shared" si="18"/>
        <v>46°55′40″N 028°55′54″E</v>
      </c>
      <c r="O204" s="7">
        <v>46.92774</v>
      </c>
      <c r="P204" s="7">
        <v>28.931699999999999</v>
      </c>
      <c r="Q204" s="13">
        <f t="shared" si="19"/>
        <v>122</v>
      </c>
      <c r="R204" s="11">
        <v>399</v>
      </c>
      <c r="S204" s="4"/>
      <c r="T204" s="4" t="s">
        <v>2023</v>
      </c>
      <c r="U204" s="8">
        <v>2</v>
      </c>
      <c r="V204" s="14">
        <f ca="1">IF($U204="","",MOD(NOW()-admin!$B$1/24+$U204/24,1))</f>
        <v>0.69515972222143319</v>
      </c>
      <c r="W204" s="4"/>
      <c r="X204" s="4"/>
      <c r="Y204" s="4"/>
      <c r="Z204" s="4"/>
      <c r="AA204" s="4"/>
      <c r="AB204" s="4"/>
      <c r="AC204" s="4"/>
      <c r="AD204" s="4"/>
      <c r="AE204" s="4" t="s">
        <v>2138</v>
      </c>
      <c r="AF204" s="4"/>
      <c r="AG204" s="4"/>
      <c r="AH204" s="4"/>
      <c r="AI204" s="4"/>
      <c r="AJ204" s="4"/>
      <c r="AK204" s="4"/>
      <c r="AL204" s="4"/>
      <c r="AM204" s="4"/>
      <c r="AN204" s="4"/>
      <c r="AO204" s="12" t="str">
        <f>IF($A204="","",admin!$B$2&amp;"\Charts\"&amp;$A204)</f>
        <v>C:\Backups\InsiderTechSol\Aviation\Jetelio_v3\.LAYOUT\resources\Charts\LUKK</v>
      </c>
      <c r="AP204" s="12" t="str">
        <f>IF($A204="","",admin!$B$2&amp;"\RunwayDiagrams\"&amp;$A204&amp;".pdf")</f>
        <v>C:\Backups\InsiderTechSol\Aviation\Jetelio_v3\.LAYOUT\resources\RunwayDiagrams\LUKK.pdf</v>
      </c>
      <c r="AQ204" s="12" t="str">
        <f>IF($A204="","",admin!$B$2&amp;"\Images\"&amp;$A204)</f>
        <v>C:\Backups\InsiderTechSol\Aviation\Jetelio_v3\.LAYOUT\resources\Images\LUKK</v>
      </c>
      <c r="AR204" s="12" t="str">
        <f>IF($A204="","",admin!$B$2&amp;"\CityMaps\"&amp;$A204&amp;".png")</f>
        <v>C:\Backups\InsiderTechSol\Aviation\Jetelio_v3\.LAYOUT\resources\CityMaps\LUKK.png</v>
      </c>
      <c r="AS204" s="16" t="str">
        <f t="shared" si="20"/>
        <v>VISA sheet</v>
      </c>
      <c r="AT204" s="16" t="str">
        <f t="shared" si="21"/>
        <v>Vendors sheet</v>
      </c>
      <c r="AU204" s="4"/>
      <c r="AV204" s="15">
        <f t="shared" ca="1" si="22"/>
        <v>46243</v>
      </c>
      <c r="AX204" s="6"/>
      <c r="AY204" t="str">
        <f t="shared" si="23"/>
        <v>INCOMPLETE - NOT SELECTABLE AS TECH STOP</v>
      </c>
    </row>
    <row r="205" spans="1:51" x14ac:dyDescent="0.3">
      <c r="A205" s="4" t="s">
        <v>1251</v>
      </c>
      <c r="B205" s="4" t="s">
        <v>1252</v>
      </c>
      <c r="C205" s="4"/>
      <c r="D205" s="4"/>
      <c r="E205" s="4" t="s">
        <v>1578</v>
      </c>
      <c r="F205" s="4" t="s">
        <v>82</v>
      </c>
      <c r="G205" s="4"/>
      <c r="H205" s="4" t="s">
        <v>1771</v>
      </c>
      <c r="I205" s="4" t="s">
        <v>1772</v>
      </c>
      <c r="J205" s="4"/>
      <c r="K205" s="4"/>
      <c r="L205" s="4"/>
      <c r="M205" s="4"/>
      <c r="N205" s="12" t="str">
        <f t="shared" si="18"/>
        <v>42°21′34″N 019°15′07″E</v>
      </c>
      <c r="O205" s="7">
        <v>42.359400000000001</v>
      </c>
      <c r="P205" s="7">
        <v>19.251899999999999</v>
      </c>
      <c r="Q205" s="13">
        <f t="shared" si="19"/>
        <v>43</v>
      </c>
      <c r="R205" s="11">
        <v>141</v>
      </c>
      <c r="S205" s="4"/>
      <c r="T205" s="4" t="s">
        <v>2024</v>
      </c>
      <c r="U205" s="8">
        <v>1</v>
      </c>
      <c r="V205" s="14">
        <f ca="1">IF($U205="","",MOD(NOW()-admin!$B$1/24+$U205/24,1))</f>
        <v>0.65349305554991588</v>
      </c>
      <c r="W205" s="4"/>
      <c r="X205" s="4"/>
      <c r="Y205" s="4"/>
      <c r="Z205" s="4"/>
      <c r="AA205" s="4"/>
      <c r="AB205" s="4"/>
      <c r="AC205" s="4"/>
      <c r="AD205" s="4"/>
      <c r="AE205" s="4" t="s">
        <v>2139</v>
      </c>
      <c r="AF205" s="4"/>
      <c r="AG205" s="4"/>
      <c r="AH205" s="4"/>
      <c r="AI205" s="4"/>
      <c r="AJ205" s="4"/>
      <c r="AK205" s="4"/>
      <c r="AL205" s="4"/>
      <c r="AM205" s="4"/>
      <c r="AN205" s="4"/>
      <c r="AO205" s="12" t="str">
        <f>IF($A205="","",admin!$B$2&amp;"\Charts\"&amp;$A205)</f>
        <v>C:\Backups\InsiderTechSol\Aviation\Jetelio_v3\.LAYOUT\resources\Charts\LYPG</v>
      </c>
      <c r="AP205" s="12" t="str">
        <f>IF($A205="","",admin!$B$2&amp;"\RunwayDiagrams\"&amp;$A205&amp;".pdf")</f>
        <v>C:\Backups\InsiderTechSol\Aviation\Jetelio_v3\.LAYOUT\resources\RunwayDiagrams\LYPG.pdf</v>
      </c>
      <c r="AQ205" s="12" t="str">
        <f>IF($A205="","",admin!$B$2&amp;"\Images\"&amp;$A205)</f>
        <v>C:\Backups\InsiderTechSol\Aviation\Jetelio_v3\.LAYOUT\resources\Images\LYPG</v>
      </c>
      <c r="AR205" s="12" t="str">
        <f>IF($A205="","",admin!$B$2&amp;"\CityMaps\"&amp;$A205&amp;".png")</f>
        <v>C:\Backups\InsiderTechSol\Aviation\Jetelio_v3\.LAYOUT\resources\CityMaps\LYPG.png</v>
      </c>
      <c r="AS205" s="16" t="str">
        <f t="shared" si="20"/>
        <v>VISA sheet</v>
      </c>
      <c r="AT205" s="16" t="str">
        <f t="shared" si="21"/>
        <v>Vendors sheet</v>
      </c>
      <c r="AU205" s="4"/>
      <c r="AV205" s="15">
        <f t="shared" ca="1" si="22"/>
        <v>46243</v>
      </c>
      <c r="AX205" s="6"/>
      <c r="AY205" t="str">
        <f t="shared" si="23"/>
        <v>INCOMPLETE - NOT SELECTABLE AS TECH STOP</v>
      </c>
    </row>
    <row r="206" spans="1:51" x14ac:dyDescent="0.3">
      <c r="A206" s="4" t="s">
        <v>1253</v>
      </c>
      <c r="B206" s="4" t="s">
        <v>1254</v>
      </c>
      <c r="C206" s="4"/>
      <c r="D206" s="4"/>
      <c r="E206" s="4" t="s">
        <v>1579</v>
      </c>
      <c r="F206" s="4" t="s">
        <v>82</v>
      </c>
      <c r="G206" s="4"/>
      <c r="H206" s="4" t="s">
        <v>1773</v>
      </c>
      <c r="I206" s="4" t="s">
        <v>1774</v>
      </c>
      <c r="J206" s="4"/>
      <c r="K206" s="4"/>
      <c r="L206" s="4"/>
      <c r="M206" s="4"/>
      <c r="N206" s="12" t="str">
        <f t="shared" si="18"/>
        <v>18°47′49″S 047°28′44″E</v>
      </c>
      <c r="O206" s="7">
        <v>-18.796900000000001</v>
      </c>
      <c r="P206" s="7">
        <v>47.4788</v>
      </c>
      <c r="Q206" s="13">
        <f t="shared" si="19"/>
        <v>1280</v>
      </c>
      <c r="R206" s="11">
        <v>4198</v>
      </c>
      <c r="S206" s="4"/>
      <c r="T206" s="4" t="s">
        <v>2025</v>
      </c>
      <c r="U206" s="8">
        <v>3</v>
      </c>
      <c r="V206" s="14">
        <f ca="1">IF($U206="","",MOD(NOW()-admin!$B$1/24+$U206/24,1))</f>
        <v>0.73682638888567453</v>
      </c>
      <c r="W206" s="4"/>
      <c r="X206" s="4"/>
      <c r="Y206" s="4"/>
      <c r="Z206" s="4"/>
      <c r="AA206" s="4"/>
      <c r="AB206" s="4"/>
      <c r="AC206" s="4"/>
      <c r="AD206" s="4"/>
      <c r="AE206" s="4" t="s">
        <v>2140</v>
      </c>
      <c r="AF206" s="4"/>
      <c r="AG206" s="4"/>
      <c r="AH206" s="4"/>
      <c r="AI206" s="4"/>
      <c r="AJ206" s="4"/>
      <c r="AK206" s="4"/>
      <c r="AL206" s="4"/>
      <c r="AM206" s="4"/>
      <c r="AN206" s="4"/>
      <c r="AO206" s="12" t="str">
        <f>IF($A206="","",admin!$B$2&amp;"\Charts\"&amp;$A206)</f>
        <v>C:\Backups\InsiderTechSol\Aviation\Jetelio_v3\.LAYOUT\resources\Charts\FMMI</v>
      </c>
      <c r="AP206" s="12" t="str">
        <f>IF($A206="","",admin!$B$2&amp;"\RunwayDiagrams\"&amp;$A206&amp;".pdf")</f>
        <v>C:\Backups\InsiderTechSol\Aviation\Jetelio_v3\.LAYOUT\resources\RunwayDiagrams\FMMI.pdf</v>
      </c>
      <c r="AQ206" s="12" t="str">
        <f>IF($A206="","",admin!$B$2&amp;"\Images\"&amp;$A206)</f>
        <v>C:\Backups\InsiderTechSol\Aviation\Jetelio_v3\.LAYOUT\resources\Images\FMMI</v>
      </c>
      <c r="AR206" s="12" t="str">
        <f>IF($A206="","",admin!$B$2&amp;"\CityMaps\"&amp;$A206&amp;".png")</f>
        <v>C:\Backups\InsiderTechSol\Aviation\Jetelio_v3\.LAYOUT\resources\CityMaps\FMMI.png</v>
      </c>
      <c r="AS206" s="16" t="str">
        <f t="shared" si="20"/>
        <v>VISA sheet</v>
      </c>
      <c r="AT206" s="16" t="str">
        <f t="shared" si="21"/>
        <v>Vendors sheet</v>
      </c>
      <c r="AU206" s="4"/>
      <c r="AV206" s="15">
        <f t="shared" ca="1" si="22"/>
        <v>46243</v>
      </c>
      <c r="AX206" s="6"/>
      <c r="AY206" t="str">
        <f t="shared" si="23"/>
        <v>INCOMPLETE - NOT SELECTABLE AS TECH STOP</v>
      </c>
    </row>
    <row r="207" spans="1:51" x14ac:dyDescent="0.3">
      <c r="A207" s="4" t="s">
        <v>1255</v>
      </c>
      <c r="B207" s="4" t="s">
        <v>1256</v>
      </c>
      <c r="C207" s="4"/>
      <c r="D207" s="4"/>
      <c r="E207" s="4" t="s">
        <v>1580</v>
      </c>
      <c r="F207" s="4" t="s">
        <v>82</v>
      </c>
      <c r="G207" s="4"/>
      <c r="H207" s="4" t="s">
        <v>1773</v>
      </c>
      <c r="I207" s="4" t="s">
        <v>1775</v>
      </c>
      <c r="J207" s="4"/>
      <c r="K207" s="4"/>
      <c r="L207" s="4"/>
      <c r="M207" s="4"/>
      <c r="N207" s="12" t="str">
        <f t="shared" si="18"/>
        <v>18°06′49″S 049°23′32″E</v>
      </c>
      <c r="O207" s="7">
        <v>-18.11354</v>
      </c>
      <c r="P207" s="7">
        <v>49.39226</v>
      </c>
      <c r="Q207" s="13">
        <f t="shared" si="19"/>
        <v>7</v>
      </c>
      <c r="R207" s="11">
        <v>22</v>
      </c>
      <c r="S207" s="4"/>
      <c r="T207" s="4" t="s">
        <v>2025</v>
      </c>
      <c r="U207" s="8">
        <v>3</v>
      </c>
      <c r="V207" s="14">
        <f ca="1">IF($U207="","",MOD(NOW()-admin!$B$1/24+$U207/24,1))</f>
        <v>0.73682638888567453</v>
      </c>
      <c r="W207" s="4"/>
      <c r="X207" s="4"/>
      <c r="Y207" s="4"/>
      <c r="Z207" s="4"/>
      <c r="AA207" s="4"/>
      <c r="AB207" s="4"/>
      <c r="AC207" s="4"/>
      <c r="AD207" s="4"/>
      <c r="AE207" s="4" t="s">
        <v>2141</v>
      </c>
      <c r="AF207" s="4"/>
      <c r="AG207" s="4"/>
      <c r="AH207" s="4"/>
      <c r="AI207" s="4"/>
      <c r="AJ207" s="4"/>
      <c r="AK207" s="4"/>
      <c r="AL207" s="4"/>
      <c r="AM207" s="4"/>
      <c r="AN207" s="4"/>
      <c r="AO207" s="12" t="str">
        <f>IF($A207="","",admin!$B$2&amp;"\Charts\"&amp;$A207)</f>
        <v>C:\Backups\InsiderTechSol\Aviation\Jetelio_v3\.LAYOUT\resources\Charts\FMMT</v>
      </c>
      <c r="AP207" s="12" t="str">
        <f>IF($A207="","",admin!$B$2&amp;"\RunwayDiagrams\"&amp;$A207&amp;".pdf")</f>
        <v>C:\Backups\InsiderTechSol\Aviation\Jetelio_v3\.LAYOUT\resources\RunwayDiagrams\FMMT.pdf</v>
      </c>
      <c r="AQ207" s="12" t="str">
        <f>IF($A207="","",admin!$B$2&amp;"\Images\"&amp;$A207)</f>
        <v>C:\Backups\InsiderTechSol\Aviation\Jetelio_v3\.LAYOUT\resources\Images\FMMT</v>
      </c>
      <c r="AR207" s="12" t="str">
        <f>IF($A207="","",admin!$B$2&amp;"\CityMaps\"&amp;$A207&amp;".png")</f>
        <v>C:\Backups\InsiderTechSol\Aviation\Jetelio_v3\.LAYOUT\resources\CityMaps\FMMT.png</v>
      </c>
      <c r="AS207" s="16" t="str">
        <f t="shared" si="20"/>
        <v>VISA sheet</v>
      </c>
      <c r="AT207" s="16" t="str">
        <f t="shared" si="21"/>
        <v>Vendors sheet</v>
      </c>
      <c r="AU207" s="4"/>
      <c r="AV207" s="15">
        <f t="shared" ca="1" si="22"/>
        <v>46243</v>
      </c>
      <c r="AX207" s="6"/>
      <c r="AY207" t="str">
        <f t="shared" si="23"/>
        <v>INCOMPLETE - NOT SELECTABLE AS TECH STOP</v>
      </c>
    </row>
    <row r="208" spans="1:51" x14ac:dyDescent="0.3">
      <c r="A208" s="4" t="s">
        <v>1257</v>
      </c>
      <c r="B208" s="4" t="s">
        <v>1258</v>
      </c>
      <c r="C208" s="4"/>
      <c r="D208" s="4"/>
      <c r="E208" s="4" t="s">
        <v>1581</v>
      </c>
      <c r="F208" s="4" t="s">
        <v>82</v>
      </c>
      <c r="G208" s="4"/>
      <c r="H208" s="4" t="s">
        <v>1776</v>
      </c>
      <c r="I208" s="4" t="s">
        <v>1777</v>
      </c>
      <c r="J208" s="4"/>
      <c r="K208" s="4"/>
      <c r="L208" s="4"/>
      <c r="M208" s="4"/>
      <c r="N208" s="12" t="str">
        <f t="shared" si="18"/>
        <v>07°03′54″N 171°16′18″E</v>
      </c>
      <c r="O208" s="7">
        <v>7.0651099999999998</v>
      </c>
      <c r="P208" s="7">
        <v>171.27166</v>
      </c>
      <c r="Q208" s="13">
        <f t="shared" si="19"/>
        <v>2</v>
      </c>
      <c r="R208" s="11">
        <v>6</v>
      </c>
      <c r="S208" s="4"/>
      <c r="T208" s="4" t="s">
        <v>2026</v>
      </c>
      <c r="U208" s="8">
        <v>12</v>
      </c>
      <c r="V208" s="14">
        <f ca="1">IF($U208="","",MOD(NOW()-admin!$B$1/24+$U208/24,1))</f>
        <v>0.11182638888567453</v>
      </c>
      <c r="W208" s="4"/>
      <c r="X208" s="4"/>
      <c r="Y208" s="4"/>
      <c r="Z208" s="4"/>
      <c r="AA208" s="4"/>
      <c r="AB208" s="4"/>
      <c r="AC208" s="4"/>
      <c r="AD208" s="4"/>
      <c r="AE208" s="4" t="s">
        <v>2142</v>
      </c>
      <c r="AF208" s="4"/>
      <c r="AG208" s="4"/>
      <c r="AH208" s="4"/>
      <c r="AI208" s="4"/>
      <c r="AJ208" s="4"/>
      <c r="AK208" s="4"/>
      <c r="AL208" s="4"/>
      <c r="AM208" s="4"/>
      <c r="AN208" s="4"/>
      <c r="AO208" s="12" t="str">
        <f>IF($A208="","",admin!$B$2&amp;"\Charts\"&amp;$A208)</f>
        <v>C:\Backups\InsiderTechSol\Aviation\Jetelio_v3\.LAYOUT\resources\Charts\PKMJ</v>
      </c>
      <c r="AP208" s="12" t="str">
        <f>IF($A208="","",admin!$B$2&amp;"\RunwayDiagrams\"&amp;$A208&amp;".pdf")</f>
        <v>C:\Backups\InsiderTechSol\Aviation\Jetelio_v3\.LAYOUT\resources\RunwayDiagrams\PKMJ.pdf</v>
      </c>
      <c r="AQ208" s="12" t="str">
        <f>IF($A208="","",admin!$B$2&amp;"\Images\"&amp;$A208)</f>
        <v>C:\Backups\InsiderTechSol\Aviation\Jetelio_v3\.LAYOUT\resources\Images\PKMJ</v>
      </c>
      <c r="AR208" s="12" t="str">
        <f>IF($A208="","",admin!$B$2&amp;"\CityMaps\"&amp;$A208&amp;".png")</f>
        <v>C:\Backups\InsiderTechSol\Aviation\Jetelio_v3\.LAYOUT\resources\CityMaps\PKMJ.png</v>
      </c>
      <c r="AS208" s="16" t="str">
        <f t="shared" si="20"/>
        <v>VISA sheet</v>
      </c>
      <c r="AT208" s="16" t="str">
        <f t="shared" si="21"/>
        <v>Vendors sheet</v>
      </c>
      <c r="AU208" s="4"/>
      <c r="AV208" s="15">
        <f t="shared" ca="1" si="22"/>
        <v>46243</v>
      </c>
      <c r="AX208" s="6"/>
      <c r="AY208" t="str">
        <f t="shared" si="23"/>
        <v>INCOMPLETE - NOT SELECTABLE AS TECH STOP</v>
      </c>
    </row>
    <row r="209" spans="1:51" x14ac:dyDescent="0.3">
      <c r="A209" s="4" t="s">
        <v>1259</v>
      </c>
      <c r="B209" s="4" t="s">
        <v>1260</v>
      </c>
      <c r="C209" s="4"/>
      <c r="D209" s="4"/>
      <c r="E209" s="4" t="s">
        <v>1582</v>
      </c>
      <c r="F209" s="4" t="s">
        <v>82</v>
      </c>
      <c r="G209" s="4"/>
      <c r="H209" s="4" t="s">
        <v>1778</v>
      </c>
      <c r="I209" s="4" t="s">
        <v>1779</v>
      </c>
      <c r="J209" s="4"/>
      <c r="K209" s="4"/>
      <c r="L209" s="4"/>
      <c r="M209" s="4"/>
      <c r="N209" s="12" t="str">
        <f t="shared" si="18"/>
        <v>41°10′48″N 020°44′32″E</v>
      </c>
      <c r="O209" s="7">
        <v>41.18</v>
      </c>
      <c r="P209" s="7">
        <v>20.7423</v>
      </c>
      <c r="Q209" s="13">
        <f t="shared" si="19"/>
        <v>705</v>
      </c>
      <c r="R209" s="11">
        <v>2313</v>
      </c>
      <c r="S209" s="4"/>
      <c r="T209" s="4" t="s">
        <v>2027</v>
      </c>
      <c r="U209" s="8">
        <v>1</v>
      </c>
      <c r="V209" s="14">
        <f ca="1">IF($U209="","",MOD(NOW()-admin!$B$1/24+$U209/24,1))</f>
        <v>0.65349305554991588</v>
      </c>
      <c r="W209" s="4"/>
      <c r="X209" s="4"/>
      <c r="Y209" s="4"/>
      <c r="Z209" s="4"/>
      <c r="AA209" s="4"/>
      <c r="AB209" s="4"/>
      <c r="AC209" s="4"/>
      <c r="AD209" s="4"/>
      <c r="AE209" s="4" t="s">
        <v>2143</v>
      </c>
      <c r="AF209" s="4"/>
      <c r="AG209" s="4"/>
      <c r="AH209" s="4"/>
      <c r="AI209" s="4"/>
      <c r="AJ209" s="4"/>
      <c r="AK209" s="4"/>
      <c r="AL209" s="4"/>
      <c r="AM209" s="4"/>
      <c r="AN209" s="4"/>
      <c r="AO209" s="12" t="str">
        <f>IF($A209="","",admin!$B$2&amp;"\Charts\"&amp;$A209)</f>
        <v>C:\Backups\InsiderTechSol\Aviation\Jetelio_v3\.LAYOUT\resources\Charts\LWOH</v>
      </c>
      <c r="AP209" s="12" t="str">
        <f>IF($A209="","",admin!$B$2&amp;"\RunwayDiagrams\"&amp;$A209&amp;".pdf")</f>
        <v>C:\Backups\InsiderTechSol\Aviation\Jetelio_v3\.LAYOUT\resources\RunwayDiagrams\LWOH.pdf</v>
      </c>
      <c r="AQ209" s="12" t="str">
        <f>IF($A209="","",admin!$B$2&amp;"\Images\"&amp;$A209)</f>
        <v>C:\Backups\InsiderTechSol\Aviation\Jetelio_v3\.LAYOUT\resources\Images\LWOH</v>
      </c>
      <c r="AR209" s="12" t="str">
        <f>IF($A209="","",admin!$B$2&amp;"\CityMaps\"&amp;$A209&amp;".png")</f>
        <v>C:\Backups\InsiderTechSol\Aviation\Jetelio_v3\.LAYOUT\resources\CityMaps\LWOH.png</v>
      </c>
      <c r="AS209" s="16" t="str">
        <f t="shared" si="20"/>
        <v>VISA sheet</v>
      </c>
      <c r="AT209" s="16" t="str">
        <f t="shared" si="21"/>
        <v>Vendors sheet</v>
      </c>
      <c r="AU209" s="4"/>
      <c r="AV209" s="15">
        <f t="shared" ca="1" si="22"/>
        <v>46243</v>
      </c>
      <c r="AX209" s="6"/>
      <c r="AY209" t="str">
        <f t="shared" si="23"/>
        <v>INCOMPLETE - NOT SELECTABLE AS TECH STOP</v>
      </c>
    </row>
    <row r="210" spans="1:51" x14ac:dyDescent="0.3">
      <c r="A210" s="4" t="s">
        <v>1261</v>
      </c>
      <c r="B210" s="4" t="s">
        <v>1262</v>
      </c>
      <c r="C210" s="4"/>
      <c r="D210" s="4"/>
      <c r="E210" s="4" t="s">
        <v>1583</v>
      </c>
      <c r="F210" s="4" t="s">
        <v>82</v>
      </c>
      <c r="G210" s="4"/>
      <c r="H210" s="4" t="s">
        <v>1778</v>
      </c>
      <c r="I210" s="4" t="s">
        <v>1780</v>
      </c>
      <c r="J210" s="4"/>
      <c r="K210" s="4"/>
      <c r="L210" s="4"/>
      <c r="M210" s="4"/>
      <c r="N210" s="12" t="str">
        <f t="shared" si="18"/>
        <v>41°57′29″N 021°37′21″E</v>
      </c>
      <c r="O210" s="7">
        <v>41.958089999999999</v>
      </c>
      <c r="P210" s="7">
        <v>21.622579999999999</v>
      </c>
      <c r="Q210" s="13">
        <f t="shared" si="19"/>
        <v>238</v>
      </c>
      <c r="R210" s="11">
        <v>781</v>
      </c>
      <c r="S210" s="4"/>
      <c r="T210" s="4" t="s">
        <v>2027</v>
      </c>
      <c r="U210" s="8">
        <v>1</v>
      </c>
      <c r="V210" s="14">
        <f ca="1">IF($U210="","",MOD(NOW()-admin!$B$1/24+$U210/24,1))</f>
        <v>0.65349305554991588</v>
      </c>
      <c r="W210" s="4"/>
      <c r="X210" s="4"/>
      <c r="Y210" s="4"/>
      <c r="Z210" s="4"/>
      <c r="AA210" s="4"/>
      <c r="AB210" s="4"/>
      <c r="AC210" s="4"/>
      <c r="AD210" s="4"/>
      <c r="AE210" s="4" t="s">
        <v>2144</v>
      </c>
      <c r="AF210" s="4"/>
      <c r="AG210" s="4"/>
      <c r="AH210" s="4"/>
      <c r="AI210" s="4"/>
      <c r="AJ210" s="4"/>
      <c r="AK210" s="4"/>
      <c r="AL210" s="4"/>
      <c r="AM210" s="4"/>
      <c r="AN210" s="4"/>
      <c r="AO210" s="12" t="str">
        <f>IF($A210="","",admin!$B$2&amp;"\Charts\"&amp;$A210)</f>
        <v>C:\Backups\InsiderTechSol\Aviation\Jetelio_v3\.LAYOUT\resources\Charts\LWSK</v>
      </c>
      <c r="AP210" s="12" t="str">
        <f>IF($A210="","",admin!$B$2&amp;"\RunwayDiagrams\"&amp;$A210&amp;".pdf")</f>
        <v>C:\Backups\InsiderTechSol\Aviation\Jetelio_v3\.LAYOUT\resources\RunwayDiagrams\LWSK.pdf</v>
      </c>
      <c r="AQ210" s="12" t="str">
        <f>IF($A210="","",admin!$B$2&amp;"\Images\"&amp;$A210)</f>
        <v>C:\Backups\InsiderTechSol\Aviation\Jetelio_v3\.LAYOUT\resources\Images\LWSK</v>
      </c>
      <c r="AR210" s="12" t="str">
        <f>IF($A210="","",admin!$B$2&amp;"\CityMaps\"&amp;$A210&amp;".png")</f>
        <v>C:\Backups\InsiderTechSol\Aviation\Jetelio_v3\.LAYOUT\resources\CityMaps\LWSK.png</v>
      </c>
      <c r="AS210" s="16" t="str">
        <f t="shared" si="20"/>
        <v>VISA sheet</v>
      </c>
      <c r="AT210" s="16" t="str">
        <f t="shared" si="21"/>
        <v>Vendors sheet</v>
      </c>
      <c r="AU210" s="4"/>
      <c r="AV210" s="15">
        <f t="shared" ca="1" si="22"/>
        <v>46243</v>
      </c>
      <c r="AX210" s="6"/>
      <c r="AY210" t="str">
        <f t="shared" si="23"/>
        <v>INCOMPLETE - NOT SELECTABLE AS TECH STOP</v>
      </c>
    </row>
    <row r="211" spans="1:51" x14ac:dyDescent="0.3">
      <c r="A211" s="4" t="s">
        <v>1263</v>
      </c>
      <c r="B211" s="4" t="s">
        <v>1264</v>
      </c>
      <c r="C211" s="4"/>
      <c r="D211" s="4"/>
      <c r="E211" s="4" t="s">
        <v>1584</v>
      </c>
      <c r="F211" s="4" t="s">
        <v>82</v>
      </c>
      <c r="G211" s="4"/>
      <c r="H211" s="4" t="s">
        <v>1781</v>
      </c>
      <c r="I211" s="4" t="s">
        <v>1782</v>
      </c>
      <c r="J211" s="4"/>
      <c r="K211" s="4"/>
      <c r="L211" s="4"/>
      <c r="M211" s="4"/>
      <c r="N211" s="12" t="str">
        <f t="shared" si="18"/>
        <v>12°32′01″N 007°57′00″W</v>
      </c>
      <c r="O211" s="7">
        <v>12.5335</v>
      </c>
      <c r="P211" s="7">
        <v>-7.9499399999999998</v>
      </c>
      <c r="Q211" s="13">
        <f t="shared" si="19"/>
        <v>380</v>
      </c>
      <c r="R211" s="11">
        <v>1247</v>
      </c>
      <c r="S211" s="4"/>
      <c r="T211" s="4" t="s">
        <v>2028</v>
      </c>
      <c r="U211" s="8">
        <v>0</v>
      </c>
      <c r="V211" s="14">
        <f ca="1">IF($U211="","",MOD(NOW()-admin!$B$1/24+$U211/24,1))</f>
        <v>0.61182638888567453</v>
      </c>
      <c r="W211" s="4"/>
      <c r="X211" s="4"/>
      <c r="Y211" s="4"/>
      <c r="Z211" s="4"/>
      <c r="AA211" s="4"/>
      <c r="AB211" s="4"/>
      <c r="AC211" s="4"/>
      <c r="AD211" s="4"/>
      <c r="AE211" s="4" t="s">
        <v>2145</v>
      </c>
      <c r="AF211" s="4"/>
      <c r="AG211" s="4"/>
      <c r="AH211" s="4"/>
      <c r="AI211" s="4"/>
      <c r="AJ211" s="4"/>
      <c r="AK211" s="4"/>
      <c r="AL211" s="4"/>
      <c r="AM211" s="4"/>
      <c r="AN211" s="4"/>
      <c r="AO211" s="12" t="str">
        <f>IF($A211="","",admin!$B$2&amp;"\Charts\"&amp;$A211)</f>
        <v>C:\Backups\InsiderTechSol\Aviation\Jetelio_v3\.LAYOUT\resources\Charts\GABS</v>
      </c>
      <c r="AP211" s="12" t="str">
        <f>IF($A211="","",admin!$B$2&amp;"\RunwayDiagrams\"&amp;$A211&amp;".pdf")</f>
        <v>C:\Backups\InsiderTechSol\Aviation\Jetelio_v3\.LAYOUT\resources\RunwayDiagrams\GABS.pdf</v>
      </c>
      <c r="AQ211" s="12" t="str">
        <f>IF($A211="","",admin!$B$2&amp;"\Images\"&amp;$A211)</f>
        <v>C:\Backups\InsiderTechSol\Aviation\Jetelio_v3\.LAYOUT\resources\Images\GABS</v>
      </c>
      <c r="AR211" s="12" t="str">
        <f>IF($A211="","",admin!$B$2&amp;"\CityMaps\"&amp;$A211&amp;".png")</f>
        <v>C:\Backups\InsiderTechSol\Aviation\Jetelio_v3\.LAYOUT\resources\CityMaps\GABS.png</v>
      </c>
      <c r="AS211" s="16" t="str">
        <f t="shared" si="20"/>
        <v>VISA sheet</v>
      </c>
      <c r="AT211" s="16" t="str">
        <f t="shared" si="21"/>
        <v>Vendors sheet</v>
      </c>
      <c r="AU211" s="4"/>
      <c r="AV211" s="15">
        <f t="shared" ca="1" si="22"/>
        <v>46243</v>
      </c>
      <c r="AX211" s="6"/>
      <c r="AY211" t="str">
        <f t="shared" si="23"/>
        <v>INCOMPLETE - NOT SELECTABLE AS TECH STOP</v>
      </c>
    </row>
    <row r="212" spans="1:51" x14ac:dyDescent="0.3">
      <c r="A212" s="4" t="s">
        <v>1265</v>
      </c>
      <c r="B212" s="4" t="s">
        <v>1266</v>
      </c>
      <c r="C212" s="4"/>
      <c r="D212" s="4"/>
      <c r="E212" s="4" t="s">
        <v>1585</v>
      </c>
      <c r="F212" s="4" t="s">
        <v>82</v>
      </c>
      <c r="G212" s="4"/>
      <c r="H212" s="4" t="s">
        <v>1781</v>
      </c>
      <c r="I212" s="4" t="s">
        <v>1783</v>
      </c>
      <c r="J212" s="4"/>
      <c r="K212" s="4"/>
      <c r="L212" s="4"/>
      <c r="M212" s="4"/>
      <c r="N212" s="12" t="str">
        <f t="shared" si="18"/>
        <v>16°43′50″N 003°00′27″W</v>
      </c>
      <c r="O212" s="7">
        <v>16.730499999999999</v>
      </c>
      <c r="P212" s="7">
        <v>-3.0075799999999999</v>
      </c>
      <c r="Q212" s="13">
        <f t="shared" si="19"/>
        <v>263</v>
      </c>
      <c r="R212" s="11">
        <v>863</v>
      </c>
      <c r="S212" s="4"/>
      <c r="T212" s="4" t="s">
        <v>2028</v>
      </c>
      <c r="U212" s="8">
        <v>0</v>
      </c>
      <c r="V212" s="14">
        <f ca="1">IF($U212="","",MOD(NOW()-admin!$B$1/24+$U212/24,1))</f>
        <v>0.61182638888567453</v>
      </c>
      <c r="W212" s="4"/>
      <c r="X212" s="4"/>
      <c r="Y212" s="4"/>
      <c r="Z212" s="4"/>
      <c r="AA212" s="4"/>
      <c r="AB212" s="4"/>
      <c r="AC212" s="4"/>
      <c r="AD212" s="4"/>
      <c r="AE212" s="4" t="s">
        <v>2146</v>
      </c>
      <c r="AF212" s="4"/>
      <c r="AG212" s="4"/>
      <c r="AH212" s="4"/>
      <c r="AI212" s="4"/>
      <c r="AJ212" s="4"/>
      <c r="AK212" s="4"/>
      <c r="AL212" s="4"/>
      <c r="AM212" s="4"/>
      <c r="AN212" s="4"/>
      <c r="AO212" s="12" t="str">
        <f>IF($A212="","",admin!$B$2&amp;"\Charts\"&amp;$A212)</f>
        <v>C:\Backups\InsiderTechSol\Aviation\Jetelio_v3\.LAYOUT\resources\Charts\GATB</v>
      </c>
      <c r="AP212" s="12" t="str">
        <f>IF($A212="","",admin!$B$2&amp;"\RunwayDiagrams\"&amp;$A212&amp;".pdf")</f>
        <v>C:\Backups\InsiderTechSol\Aviation\Jetelio_v3\.LAYOUT\resources\RunwayDiagrams\GATB.pdf</v>
      </c>
      <c r="AQ212" s="12" t="str">
        <f>IF($A212="","",admin!$B$2&amp;"\Images\"&amp;$A212)</f>
        <v>C:\Backups\InsiderTechSol\Aviation\Jetelio_v3\.LAYOUT\resources\Images\GATB</v>
      </c>
      <c r="AR212" s="12" t="str">
        <f>IF($A212="","",admin!$B$2&amp;"\CityMaps\"&amp;$A212&amp;".png")</f>
        <v>C:\Backups\InsiderTechSol\Aviation\Jetelio_v3\.LAYOUT\resources\CityMaps\GATB.png</v>
      </c>
      <c r="AS212" s="16" t="str">
        <f t="shared" si="20"/>
        <v>VISA sheet</v>
      </c>
      <c r="AT212" s="16" t="str">
        <f t="shared" si="21"/>
        <v>Vendors sheet</v>
      </c>
      <c r="AU212" s="4"/>
      <c r="AV212" s="15">
        <f t="shared" ca="1" si="22"/>
        <v>46243</v>
      </c>
      <c r="AX212" s="6"/>
      <c r="AY212" t="str">
        <f t="shared" si="23"/>
        <v>INCOMPLETE - NOT SELECTABLE AS TECH STOP</v>
      </c>
    </row>
    <row r="213" spans="1:51" x14ac:dyDescent="0.3">
      <c r="A213" s="4" t="s">
        <v>1267</v>
      </c>
      <c r="B213" s="4" t="s">
        <v>1268</v>
      </c>
      <c r="C213" s="4"/>
      <c r="D213" s="4"/>
      <c r="E213" s="4" t="s">
        <v>1586</v>
      </c>
      <c r="F213" s="4" t="s">
        <v>82</v>
      </c>
      <c r="G213" s="4"/>
      <c r="H213" s="4" t="s">
        <v>1784</v>
      </c>
      <c r="I213" s="4" t="s">
        <v>1785</v>
      </c>
      <c r="J213" s="4"/>
      <c r="K213" s="4"/>
      <c r="L213" s="4"/>
      <c r="M213" s="4"/>
      <c r="N213" s="12" t="str">
        <f t="shared" si="18"/>
        <v>21°42′08″N 095°58′40″E</v>
      </c>
      <c r="O213" s="7">
        <v>21.702200000000001</v>
      </c>
      <c r="P213" s="7">
        <v>95.977900000000005</v>
      </c>
      <c r="Q213" s="13">
        <f t="shared" si="19"/>
        <v>91</v>
      </c>
      <c r="R213" s="11">
        <v>300</v>
      </c>
      <c r="S213" s="4"/>
      <c r="T213" s="4" t="s">
        <v>2029</v>
      </c>
      <c r="U213" s="8">
        <v>6.5</v>
      </c>
      <c r="V213" s="14">
        <f ca="1">IF($U213="","",MOD(NOW()-admin!$B$1/24+$U213/24,1))</f>
        <v>0.88265972222143319</v>
      </c>
      <c r="W213" s="4"/>
      <c r="X213" s="4"/>
      <c r="Y213" s="4"/>
      <c r="Z213" s="4"/>
      <c r="AA213" s="4"/>
      <c r="AB213" s="4"/>
      <c r="AC213" s="4"/>
      <c r="AD213" s="4"/>
      <c r="AE213" s="4" t="s">
        <v>2147</v>
      </c>
      <c r="AF213" s="4"/>
      <c r="AG213" s="4"/>
      <c r="AH213" s="4"/>
      <c r="AI213" s="4"/>
      <c r="AJ213" s="4"/>
      <c r="AK213" s="4"/>
      <c r="AL213" s="4"/>
      <c r="AM213" s="4"/>
      <c r="AN213" s="4"/>
      <c r="AO213" s="12" t="str">
        <f>IF($A213="","",admin!$B$2&amp;"\Charts\"&amp;$A213)</f>
        <v>C:\Backups\InsiderTechSol\Aviation\Jetelio_v3\.LAYOUT\resources\Charts\VYMD</v>
      </c>
      <c r="AP213" s="12" t="str">
        <f>IF($A213="","",admin!$B$2&amp;"\RunwayDiagrams\"&amp;$A213&amp;".pdf")</f>
        <v>C:\Backups\InsiderTechSol\Aviation\Jetelio_v3\.LAYOUT\resources\RunwayDiagrams\VYMD.pdf</v>
      </c>
      <c r="AQ213" s="12" t="str">
        <f>IF($A213="","",admin!$B$2&amp;"\Images\"&amp;$A213)</f>
        <v>C:\Backups\InsiderTechSol\Aviation\Jetelio_v3\.LAYOUT\resources\Images\VYMD</v>
      </c>
      <c r="AR213" s="12" t="str">
        <f>IF($A213="","",admin!$B$2&amp;"\CityMaps\"&amp;$A213&amp;".png")</f>
        <v>C:\Backups\InsiderTechSol\Aviation\Jetelio_v3\.LAYOUT\resources\CityMaps\VYMD.png</v>
      </c>
      <c r="AS213" s="16" t="str">
        <f t="shared" si="20"/>
        <v>VISA sheet</v>
      </c>
      <c r="AT213" s="16" t="str">
        <f t="shared" si="21"/>
        <v>Vendors sheet</v>
      </c>
      <c r="AU213" s="4"/>
      <c r="AV213" s="15">
        <f t="shared" ca="1" si="22"/>
        <v>46243</v>
      </c>
      <c r="AX213" s="6"/>
      <c r="AY213" t="str">
        <f t="shared" si="23"/>
        <v>INCOMPLETE - NOT SELECTABLE AS TECH STOP</v>
      </c>
    </row>
    <row r="214" spans="1:51" x14ac:dyDescent="0.3">
      <c r="A214" s="4" t="s">
        <v>1269</v>
      </c>
      <c r="B214" s="4" t="s">
        <v>1270</v>
      </c>
      <c r="C214" s="4"/>
      <c r="D214" s="4"/>
      <c r="E214" s="4" t="s">
        <v>1587</v>
      </c>
      <c r="F214" s="4" t="s">
        <v>82</v>
      </c>
      <c r="G214" s="4"/>
      <c r="H214" s="4" t="s">
        <v>1784</v>
      </c>
      <c r="I214" s="4" t="s">
        <v>1786</v>
      </c>
      <c r="J214" s="4"/>
      <c r="K214" s="4"/>
      <c r="L214" s="4"/>
      <c r="M214" s="4"/>
      <c r="N214" s="12" t="str">
        <f t="shared" si="18"/>
        <v>19°37′25″N 096°12′04″E</v>
      </c>
      <c r="O214" s="7">
        <v>19.6235</v>
      </c>
      <c r="P214" s="7">
        <v>96.200999999999993</v>
      </c>
      <c r="Q214" s="13">
        <f t="shared" si="19"/>
        <v>92</v>
      </c>
      <c r="R214" s="11">
        <v>302</v>
      </c>
      <c r="S214" s="4"/>
      <c r="T214" s="4" t="s">
        <v>2029</v>
      </c>
      <c r="U214" s="8">
        <v>6.5</v>
      </c>
      <c r="V214" s="14">
        <f ca="1">IF($U214="","",MOD(NOW()-admin!$B$1/24+$U214/24,1))</f>
        <v>0.88265972222143319</v>
      </c>
      <c r="W214" s="4"/>
      <c r="X214" s="4"/>
      <c r="Y214" s="4"/>
      <c r="Z214" s="4"/>
      <c r="AA214" s="4"/>
      <c r="AB214" s="4"/>
      <c r="AC214" s="4"/>
      <c r="AD214" s="4"/>
      <c r="AE214" s="4" t="s">
        <v>2148</v>
      </c>
      <c r="AF214" s="4"/>
      <c r="AG214" s="4"/>
      <c r="AH214" s="4"/>
      <c r="AI214" s="4"/>
      <c r="AJ214" s="4"/>
      <c r="AK214" s="4"/>
      <c r="AL214" s="4"/>
      <c r="AM214" s="4"/>
      <c r="AN214" s="4"/>
      <c r="AO214" s="12" t="str">
        <f>IF($A214="","",admin!$B$2&amp;"\Charts\"&amp;$A214)</f>
        <v>C:\Backups\InsiderTechSol\Aviation\Jetelio_v3\.LAYOUT\resources\Charts\VYNT</v>
      </c>
      <c r="AP214" s="12" t="str">
        <f>IF($A214="","",admin!$B$2&amp;"\RunwayDiagrams\"&amp;$A214&amp;".pdf")</f>
        <v>C:\Backups\InsiderTechSol\Aviation\Jetelio_v3\.LAYOUT\resources\RunwayDiagrams\VYNT.pdf</v>
      </c>
      <c r="AQ214" s="12" t="str">
        <f>IF($A214="","",admin!$B$2&amp;"\Images\"&amp;$A214)</f>
        <v>C:\Backups\InsiderTechSol\Aviation\Jetelio_v3\.LAYOUT\resources\Images\VYNT</v>
      </c>
      <c r="AR214" s="12" t="str">
        <f>IF($A214="","",admin!$B$2&amp;"\CityMaps\"&amp;$A214&amp;".png")</f>
        <v>C:\Backups\InsiderTechSol\Aviation\Jetelio_v3\.LAYOUT\resources\CityMaps\VYNT.png</v>
      </c>
      <c r="AS214" s="16" t="str">
        <f t="shared" si="20"/>
        <v>VISA sheet</v>
      </c>
      <c r="AT214" s="16" t="str">
        <f t="shared" si="21"/>
        <v>Vendors sheet</v>
      </c>
      <c r="AU214" s="4"/>
      <c r="AV214" s="15">
        <f t="shared" ca="1" si="22"/>
        <v>46243</v>
      </c>
      <c r="AX214" s="6"/>
      <c r="AY214" t="str">
        <f t="shared" si="23"/>
        <v>INCOMPLETE - NOT SELECTABLE AS TECH STOP</v>
      </c>
    </row>
    <row r="215" spans="1:51" x14ac:dyDescent="0.3">
      <c r="A215" s="4" t="s">
        <v>1271</v>
      </c>
      <c r="B215" s="4" t="s">
        <v>1272</v>
      </c>
      <c r="C215" s="4"/>
      <c r="D215" s="4"/>
      <c r="E215" s="4" t="s">
        <v>1588</v>
      </c>
      <c r="F215" s="4" t="s">
        <v>82</v>
      </c>
      <c r="G215" s="4"/>
      <c r="H215" s="4" t="s">
        <v>1787</v>
      </c>
      <c r="I215" s="4" t="s">
        <v>1788</v>
      </c>
      <c r="J215" s="4"/>
      <c r="K215" s="4"/>
      <c r="L215" s="4"/>
      <c r="M215" s="4"/>
      <c r="N215" s="12" t="str">
        <f t="shared" si="18"/>
        <v>47°38′49″N 106°49′11″E</v>
      </c>
      <c r="O215" s="7">
        <v>47.646920000000001</v>
      </c>
      <c r="P215" s="7">
        <v>106.81983</v>
      </c>
      <c r="Q215" s="13">
        <f t="shared" si="19"/>
        <v>1366</v>
      </c>
      <c r="R215" s="11">
        <v>4482</v>
      </c>
      <c r="S215" s="4"/>
      <c r="T215" s="4"/>
      <c r="U215" s="8"/>
      <c r="V215" s="14" t="str">
        <f ca="1">IF($U215="","",MOD(NOW()-admin!$B$1/24+$U215/24,1))</f>
        <v/>
      </c>
      <c r="W215" s="4"/>
      <c r="X215" s="4"/>
      <c r="Y215" s="4"/>
      <c r="Z215" s="4"/>
      <c r="AA215" s="4"/>
      <c r="AB215" s="4"/>
      <c r="AC215" s="4"/>
      <c r="AD215" s="4"/>
      <c r="AE215" s="4" t="s">
        <v>2149</v>
      </c>
      <c r="AF215" s="4"/>
      <c r="AG215" s="4"/>
      <c r="AH215" s="4"/>
      <c r="AI215" s="4"/>
      <c r="AJ215" s="4"/>
      <c r="AK215" s="4"/>
      <c r="AL215" s="4"/>
      <c r="AM215" s="4"/>
      <c r="AN215" s="4"/>
      <c r="AO215" s="12" t="str">
        <f>IF($A215="","",admin!$B$2&amp;"\Charts\"&amp;$A215)</f>
        <v>C:\Backups\InsiderTechSol\Aviation\Jetelio_v3\.LAYOUT\resources\Charts\ZMCK</v>
      </c>
      <c r="AP215" s="12" t="str">
        <f>IF($A215="","",admin!$B$2&amp;"\RunwayDiagrams\"&amp;$A215&amp;".pdf")</f>
        <v>C:\Backups\InsiderTechSol\Aviation\Jetelio_v3\.LAYOUT\resources\RunwayDiagrams\ZMCK.pdf</v>
      </c>
      <c r="AQ215" s="12" t="str">
        <f>IF($A215="","",admin!$B$2&amp;"\Images\"&amp;$A215)</f>
        <v>C:\Backups\InsiderTechSol\Aviation\Jetelio_v3\.LAYOUT\resources\Images\ZMCK</v>
      </c>
      <c r="AR215" s="12" t="str">
        <f>IF($A215="","",admin!$B$2&amp;"\CityMaps\"&amp;$A215&amp;".png")</f>
        <v>C:\Backups\InsiderTechSol\Aviation\Jetelio_v3\.LAYOUT\resources\CityMaps\ZMCK.png</v>
      </c>
      <c r="AS215" s="16" t="str">
        <f t="shared" si="20"/>
        <v>VISA sheet</v>
      </c>
      <c r="AT215" s="16" t="str">
        <f t="shared" si="21"/>
        <v>Vendors sheet</v>
      </c>
      <c r="AU215" s="4"/>
      <c r="AV215" s="15">
        <f t="shared" ca="1" si="22"/>
        <v>46243</v>
      </c>
      <c r="AX215" s="6"/>
      <c r="AY215" t="str">
        <f t="shared" si="23"/>
        <v>INCOMPLETE - NOT SELECTABLE AS TECH STOP</v>
      </c>
    </row>
    <row r="216" spans="1:51" x14ac:dyDescent="0.3">
      <c r="A216" s="4" t="s">
        <v>1273</v>
      </c>
      <c r="B216" s="4" t="s">
        <v>1274</v>
      </c>
      <c r="C216" s="4"/>
      <c r="D216" s="4"/>
      <c r="E216" s="4" t="s">
        <v>1589</v>
      </c>
      <c r="F216" s="4" t="s">
        <v>82</v>
      </c>
      <c r="G216" s="4"/>
      <c r="H216" s="4" t="s">
        <v>1787</v>
      </c>
      <c r="I216" s="4" t="s">
        <v>1788</v>
      </c>
      <c r="J216" s="4"/>
      <c r="K216" s="4"/>
      <c r="L216" s="4"/>
      <c r="M216" s="4"/>
      <c r="N216" s="12" t="str">
        <f t="shared" si="18"/>
        <v>47°50′35″N 106°46′01″E</v>
      </c>
      <c r="O216" s="7">
        <v>47.8431</v>
      </c>
      <c r="P216" s="7">
        <v>106.767</v>
      </c>
      <c r="Q216" s="13">
        <f t="shared" si="19"/>
        <v>1330</v>
      </c>
      <c r="R216" s="11">
        <v>4364</v>
      </c>
      <c r="S216" s="4"/>
      <c r="T216" s="4" t="s">
        <v>2030</v>
      </c>
      <c r="U216" s="8">
        <v>8</v>
      </c>
      <c r="V216" s="14">
        <f ca="1">IF($U216="","",MOD(NOW()-admin!$B$1/24+$U216/24,1))</f>
        <v>0.94515972222143319</v>
      </c>
      <c r="W216" s="4"/>
      <c r="X216" s="4"/>
      <c r="Y216" s="4"/>
      <c r="Z216" s="4"/>
      <c r="AA216" s="4"/>
      <c r="AB216" s="4"/>
      <c r="AC216" s="4"/>
      <c r="AD216" s="4"/>
      <c r="AE216" s="4" t="s">
        <v>2150</v>
      </c>
      <c r="AF216" s="4"/>
      <c r="AG216" s="4"/>
      <c r="AH216" s="4"/>
      <c r="AI216" s="4"/>
      <c r="AJ216" s="4"/>
      <c r="AK216" s="4"/>
      <c r="AL216" s="4"/>
      <c r="AM216" s="4"/>
      <c r="AN216" s="4"/>
      <c r="AO216" s="12" t="str">
        <f>IF($A216="","",admin!$B$2&amp;"\Charts\"&amp;$A216)</f>
        <v>C:\Backups\InsiderTechSol\Aviation\Jetelio_v3\.LAYOUT\resources\Charts\ZMUB</v>
      </c>
      <c r="AP216" s="12" t="str">
        <f>IF($A216="","",admin!$B$2&amp;"\RunwayDiagrams\"&amp;$A216&amp;".pdf")</f>
        <v>C:\Backups\InsiderTechSol\Aviation\Jetelio_v3\.LAYOUT\resources\RunwayDiagrams\ZMUB.pdf</v>
      </c>
      <c r="AQ216" s="12" t="str">
        <f>IF($A216="","",admin!$B$2&amp;"\Images\"&amp;$A216)</f>
        <v>C:\Backups\InsiderTechSol\Aviation\Jetelio_v3\.LAYOUT\resources\Images\ZMUB</v>
      </c>
      <c r="AR216" s="12" t="str">
        <f>IF($A216="","",admin!$B$2&amp;"\CityMaps\"&amp;$A216&amp;".png")</f>
        <v>C:\Backups\InsiderTechSol\Aviation\Jetelio_v3\.LAYOUT\resources\CityMaps\ZMUB.png</v>
      </c>
      <c r="AS216" s="16" t="str">
        <f t="shared" si="20"/>
        <v>VISA sheet</v>
      </c>
      <c r="AT216" s="16" t="str">
        <f t="shared" si="21"/>
        <v>Vendors sheet</v>
      </c>
      <c r="AU216" s="4"/>
      <c r="AV216" s="15">
        <f t="shared" ca="1" si="22"/>
        <v>46243</v>
      </c>
      <c r="AX216" s="6"/>
      <c r="AY216" t="str">
        <f t="shared" si="23"/>
        <v>INCOMPLETE - NOT SELECTABLE AS TECH STOP</v>
      </c>
    </row>
    <row r="217" spans="1:51" x14ac:dyDescent="0.3">
      <c r="A217" s="4" t="s">
        <v>1275</v>
      </c>
      <c r="B217" s="4" t="s">
        <v>1276</v>
      </c>
      <c r="C217" s="4"/>
      <c r="D217" s="4"/>
      <c r="E217" s="4" t="s">
        <v>1590</v>
      </c>
      <c r="F217" s="4" t="s">
        <v>82</v>
      </c>
      <c r="G217" s="4"/>
      <c r="H217" s="4" t="s">
        <v>1789</v>
      </c>
      <c r="I217" s="4" t="s">
        <v>1790</v>
      </c>
      <c r="J217" s="4"/>
      <c r="K217" s="4"/>
      <c r="L217" s="4"/>
      <c r="M217" s="4"/>
      <c r="N217" s="12" t="str">
        <f t="shared" si="18"/>
        <v>22°08′59″N 113°35′31″E</v>
      </c>
      <c r="O217" s="7">
        <v>22.1496</v>
      </c>
      <c r="P217" s="7">
        <v>113.592</v>
      </c>
      <c r="Q217" s="13">
        <f t="shared" si="19"/>
        <v>6</v>
      </c>
      <c r="R217" s="11">
        <v>20</v>
      </c>
      <c r="S217" s="4"/>
      <c r="T217" s="4" t="s">
        <v>2031</v>
      </c>
      <c r="U217" s="8">
        <v>8</v>
      </c>
      <c r="V217" s="14">
        <f ca="1">IF($U217="","",MOD(NOW()-admin!$B$1/24+$U217/24,1))</f>
        <v>0.94515972222143319</v>
      </c>
      <c r="W217" s="4"/>
      <c r="X217" s="4"/>
      <c r="Y217" s="4"/>
      <c r="Z217" s="4"/>
      <c r="AA217" s="4"/>
      <c r="AB217" s="4"/>
      <c r="AC217" s="4"/>
      <c r="AD217" s="4"/>
      <c r="AE217" s="4" t="s">
        <v>2151</v>
      </c>
      <c r="AF217" s="4"/>
      <c r="AG217" s="4"/>
      <c r="AH217" s="4"/>
      <c r="AI217" s="4"/>
      <c r="AJ217" s="4"/>
      <c r="AK217" s="4"/>
      <c r="AL217" s="4"/>
      <c r="AM217" s="4"/>
      <c r="AN217" s="4"/>
      <c r="AO217" s="12" t="str">
        <f>IF($A217="","",admin!$B$2&amp;"\Charts\"&amp;$A217)</f>
        <v>C:\Backups\InsiderTechSol\Aviation\Jetelio_v3\.LAYOUT\resources\Charts\VMMC</v>
      </c>
      <c r="AP217" s="12" t="str">
        <f>IF($A217="","",admin!$B$2&amp;"\RunwayDiagrams\"&amp;$A217&amp;".pdf")</f>
        <v>C:\Backups\InsiderTechSol\Aviation\Jetelio_v3\.LAYOUT\resources\RunwayDiagrams\VMMC.pdf</v>
      </c>
      <c r="AQ217" s="12" t="str">
        <f>IF($A217="","",admin!$B$2&amp;"\Images\"&amp;$A217)</f>
        <v>C:\Backups\InsiderTechSol\Aviation\Jetelio_v3\.LAYOUT\resources\Images\VMMC</v>
      </c>
      <c r="AR217" s="12" t="str">
        <f>IF($A217="","",admin!$B$2&amp;"\CityMaps\"&amp;$A217&amp;".png")</f>
        <v>C:\Backups\InsiderTechSol\Aviation\Jetelio_v3\.LAYOUT\resources\CityMaps\VMMC.png</v>
      </c>
      <c r="AS217" s="16" t="str">
        <f t="shared" si="20"/>
        <v>VISA sheet</v>
      </c>
      <c r="AT217" s="16" t="str">
        <f t="shared" si="21"/>
        <v>Vendors sheet</v>
      </c>
      <c r="AU217" s="4"/>
      <c r="AV217" s="15">
        <f t="shared" ca="1" si="22"/>
        <v>46243</v>
      </c>
      <c r="AX217" s="6"/>
      <c r="AY217" t="str">
        <f t="shared" si="23"/>
        <v>INCOMPLETE - NOT SELECTABLE AS TECH STOP</v>
      </c>
    </row>
    <row r="218" spans="1:51" x14ac:dyDescent="0.3">
      <c r="A218" s="4" t="s">
        <v>1277</v>
      </c>
      <c r="B218" s="4" t="s">
        <v>1278</v>
      </c>
      <c r="C218" s="4"/>
      <c r="D218" s="4"/>
      <c r="E218" s="4" t="s">
        <v>1591</v>
      </c>
      <c r="F218" s="4" t="s">
        <v>82</v>
      </c>
      <c r="G218" s="4"/>
      <c r="H218" s="4" t="s">
        <v>1791</v>
      </c>
      <c r="I218" s="4" t="s">
        <v>1792</v>
      </c>
      <c r="J218" s="4"/>
      <c r="K218" s="4"/>
      <c r="L218" s="4"/>
      <c r="M218" s="4"/>
      <c r="N218" s="12" t="str">
        <f t="shared" si="18"/>
        <v>14°10′24″N 145°14′28″E</v>
      </c>
      <c r="O218" s="7">
        <v>14.17327</v>
      </c>
      <c r="P218" s="7">
        <v>145.24109999999999</v>
      </c>
      <c r="Q218" s="13">
        <f t="shared" si="19"/>
        <v>185</v>
      </c>
      <c r="R218" s="11">
        <v>607</v>
      </c>
      <c r="S218" s="4"/>
      <c r="T218" s="4" t="s">
        <v>2032</v>
      </c>
      <c r="U218" s="8">
        <v>10</v>
      </c>
      <c r="V218" s="14">
        <f ca="1">IF($U218="","",MOD(NOW()-admin!$B$1/24+$U218/24,1))</f>
        <v>2.849305554991588E-2</v>
      </c>
      <c r="W218" s="4"/>
      <c r="X218" s="4"/>
      <c r="Y218" s="4"/>
      <c r="Z218" s="4"/>
      <c r="AA218" s="4"/>
      <c r="AB218" s="4"/>
      <c r="AC218" s="4"/>
      <c r="AD218" s="4"/>
      <c r="AE218" s="4" t="s">
        <v>1147</v>
      </c>
      <c r="AF218" s="4"/>
      <c r="AG218" s="4"/>
      <c r="AH218" s="4"/>
      <c r="AI218" s="4"/>
      <c r="AJ218" s="4"/>
      <c r="AK218" s="4"/>
      <c r="AL218" s="4"/>
      <c r="AM218" s="4"/>
      <c r="AN218" s="4"/>
      <c r="AO218" s="12" t="str">
        <f>IF($A218="","",admin!$B$2&amp;"\Charts\"&amp;$A218)</f>
        <v>C:\Backups\InsiderTechSol\Aviation\Jetelio_v3\.LAYOUT\resources\Charts\PGRO</v>
      </c>
      <c r="AP218" s="12" t="str">
        <f>IF($A218="","",admin!$B$2&amp;"\RunwayDiagrams\"&amp;$A218&amp;".pdf")</f>
        <v>C:\Backups\InsiderTechSol\Aviation\Jetelio_v3\.LAYOUT\resources\RunwayDiagrams\PGRO.pdf</v>
      </c>
      <c r="AQ218" s="12" t="str">
        <f>IF($A218="","",admin!$B$2&amp;"\Images\"&amp;$A218)</f>
        <v>C:\Backups\InsiderTechSol\Aviation\Jetelio_v3\.LAYOUT\resources\Images\PGRO</v>
      </c>
      <c r="AR218" s="12" t="str">
        <f>IF($A218="","",admin!$B$2&amp;"\CityMaps\"&amp;$A218&amp;".png")</f>
        <v>C:\Backups\InsiderTechSol\Aviation\Jetelio_v3\.LAYOUT\resources\CityMaps\PGRO.png</v>
      </c>
      <c r="AS218" s="16" t="str">
        <f t="shared" si="20"/>
        <v>VISA sheet</v>
      </c>
      <c r="AT218" s="16" t="str">
        <f t="shared" si="21"/>
        <v>Vendors sheet</v>
      </c>
      <c r="AU218" s="4"/>
      <c r="AV218" s="15">
        <f t="shared" ca="1" si="22"/>
        <v>46243</v>
      </c>
      <c r="AX218" s="6"/>
      <c r="AY218" t="str">
        <f t="shared" si="23"/>
        <v>INCOMPLETE - NOT SELECTABLE AS TECH STOP</v>
      </c>
    </row>
    <row r="219" spans="1:51" x14ac:dyDescent="0.3">
      <c r="A219" s="4" t="s">
        <v>1279</v>
      </c>
      <c r="B219" s="4" t="s">
        <v>1280</v>
      </c>
      <c r="C219" s="4"/>
      <c r="D219" s="4"/>
      <c r="E219" s="4" t="s">
        <v>1592</v>
      </c>
      <c r="F219" s="4" t="s">
        <v>82</v>
      </c>
      <c r="G219" s="4"/>
      <c r="H219" s="4" t="s">
        <v>1793</v>
      </c>
      <c r="I219" s="4" t="s">
        <v>1794</v>
      </c>
      <c r="J219" s="4"/>
      <c r="K219" s="4"/>
      <c r="L219" s="4"/>
      <c r="M219" s="4"/>
      <c r="N219" s="12" t="str">
        <f t="shared" si="18"/>
        <v>14°35′28″N 061°00′12″W</v>
      </c>
      <c r="O219" s="7">
        <v>14.590999999999999</v>
      </c>
      <c r="P219" s="7">
        <v>-61.0032</v>
      </c>
      <c r="Q219" s="13">
        <f t="shared" si="19"/>
        <v>5</v>
      </c>
      <c r="R219" s="11">
        <v>16</v>
      </c>
      <c r="S219" s="4"/>
      <c r="T219" s="4" t="s">
        <v>2033</v>
      </c>
      <c r="U219" s="8">
        <v>-4</v>
      </c>
      <c r="V219" s="14">
        <f ca="1">IF($U219="","",MOD(NOW()-admin!$B$1/24+$U219/24,1))</f>
        <v>0.44515972222143319</v>
      </c>
      <c r="W219" s="4"/>
      <c r="X219" s="4"/>
      <c r="Y219" s="4"/>
      <c r="Z219" s="4"/>
      <c r="AA219" s="4"/>
      <c r="AB219" s="4"/>
      <c r="AC219" s="4"/>
      <c r="AD219" s="4"/>
      <c r="AE219" s="4" t="s">
        <v>2152</v>
      </c>
      <c r="AF219" s="4"/>
      <c r="AG219" s="4"/>
      <c r="AH219" s="4"/>
      <c r="AI219" s="4"/>
      <c r="AJ219" s="4"/>
      <c r="AK219" s="4"/>
      <c r="AL219" s="4"/>
      <c r="AM219" s="4"/>
      <c r="AN219" s="4"/>
      <c r="AO219" s="12" t="str">
        <f>IF($A219="","",admin!$B$2&amp;"\Charts\"&amp;$A219)</f>
        <v>C:\Backups\InsiderTechSol\Aviation\Jetelio_v3\.LAYOUT\resources\Charts\TFFF</v>
      </c>
      <c r="AP219" s="12" t="str">
        <f>IF($A219="","",admin!$B$2&amp;"\RunwayDiagrams\"&amp;$A219&amp;".pdf")</f>
        <v>C:\Backups\InsiderTechSol\Aviation\Jetelio_v3\.LAYOUT\resources\RunwayDiagrams\TFFF.pdf</v>
      </c>
      <c r="AQ219" s="12" t="str">
        <f>IF($A219="","",admin!$B$2&amp;"\Images\"&amp;$A219)</f>
        <v>C:\Backups\InsiderTechSol\Aviation\Jetelio_v3\.LAYOUT\resources\Images\TFFF</v>
      </c>
      <c r="AR219" s="12" t="str">
        <f>IF($A219="","",admin!$B$2&amp;"\CityMaps\"&amp;$A219&amp;".png")</f>
        <v>C:\Backups\InsiderTechSol\Aviation\Jetelio_v3\.LAYOUT\resources\CityMaps\TFFF.png</v>
      </c>
      <c r="AS219" s="16" t="str">
        <f t="shared" si="20"/>
        <v>VISA sheet</v>
      </c>
      <c r="AT219" s="16" t="str">
        <f t="shared" si="21"/>
        <v>Vendors sheet</v>
      </c>
      <c r="AU219" s="4"/>
      <c r="AV219" s="15">
        <f t="shared" ca="1" si="22"/>
        <v>46243</v>
      </c>
      <c r="AX219" s="6"/>
      <c r="AY219" t="str">
        <f t="shared" si="23"/>
        <v>INCOMPLETE - NOT SELECTABLE AS TECH STOP</v>
      </c>
    </row>
    <row r="220" spans="1:51" x14ac:dyDescent="0.3">
      <c r="A220" s="4" t="s">
        <v>1281</v>
      </c>
      <c r="B220" s="4" t="s">
        <v>1282</v>
      </c>
      <c r="C220" s="4"/>
      <c r="D220" s="4"/>
      <c r="E220" s="4" t="s">
        <v>1593</v>
      </c>
      <c r="F220" s="4" t="s">
        <v>82</v>
      </c>
      <c r="G220" s="4"/>
      <c r="H220" s="4" t="s">
        <v>1795</v>
      </c>
      <c r="I220" s="4" t="s">
        <v>1796</v>
      </c>
      <c r="J220" s="4"/>
      <c r="K220" s="4"/>
      <c r="L220" s="4"/>
      <c r="M220" s="4"/>
      <c r="N220" s="12" t="str">
        <f t="shared" si="18"/>
        <v>18°18′36″N 015°58′11″W</v>
      </c>
      <c r="O220" s="7">
        <v>18.309999999999999</v>
      </c>
      <c r="P220" s="7">
        <v>-15.969720000000001</v>
      </c>
      <c r="Q220" s="13">
        <f t="shared" si="19"/>
        <v>3</v>
      </c>
      <c r="R220" s="11">
        <v>9</v>
      </c>
      <c r="S220" s="4"/>
      <c r="T220" s="4" t="s">
        <v>2034</v>
      </c>
      <c r="U220" s="8">
        <v>0</v>
      </c>
      <c r="V220" s="14">
        <f ca="1">IF($U220="","",MOD(NOW()-admin!$B$1/24+$U220/24,1))</f>
        <v>0.61182638888567453</v>
      </c>
      <c r="W220" s="4"/>
      <c r="X220" s="4"/>
      <c r="Y220" s="4"/>
      <c r="Z220" s="4"/>
      <c r="AA220" s="4"/>
      <c r="AB220" s="4"/>
      <c r="AC220" s="4"/>
      <c r="AD220" s="4"/>
      <c r="AE220" s="4" t="s">
        <v>2153</v>
      </c>
      <c r="AF220" s="4"/>
      <c r="AG220" s="4"/>
      <c r="AH220" s="4"/>
      <c r="AI220" s="4"/>
      <c r="AJ220" s="4"/>
      <c r="AK220" s="4"/>
      <c r="AL220" s="4"/>
      <c r="AM220" s="4"/>
      <c r="AN220" s="4"/>
      <c r="AO220" s="12" t="str">
        <f>IF($A220="","",admin!$B$2&amp;"\Charts\"&amp;$A220)</f>
        <v>C:\Backups\InsiderTechSol\Aviation\Jetelio_v3\.LAYOUT\resources\Charts\GQNO</v>
      </c>
      <c r="AP220" s="12" t="str">
        <f>IF($A220="","",admin!$B$2&amp;"\RunwayDiagrams\"&amp;$A220&amp;".pdf")</f>
        <v>C:\Backups\InsiderTechSol\Aviation\Jetelio_v3\.LAYOUT\resources\RunwayDiagrams\GQNO.pdf</v>
      </c>
      <c r="AQ220" s="12" t="str">
        <f>IF($A220="","",admin!$B$2&amp;"\Images\"&amp;$A220)</f>
        <v>C:\Backups\InsiderTechSol\Aviation\Jetelio_v3\.LAYOUT\resources\Images\GQNO</v>
      </c>
      <c r="AR220" s="12" t="str">
        <f>IF($A220="","",admin!$B$2&amp;"\CityMaps\"&amp;$A220&amp;".png")</f>
        <v>C:\Backups\InsiderTechSol\Aviation\Jetelio_v3\.LAYOUT\resources\CityMaps\GQNO.png</v>
      </c>
      <c r="AS220" s="16" t="str">
        <f t="shared" si="20"/>
        <v>VISA sheet</v>
      </c>
      <c r="AT220" s="16" t="str">
        <f t="shared" si="21"/>
        <v>Vendors sheet</v>
      </c>
      <c r="AU220" s="4"/>
      <c r="AV220" s="15">
        <f t="shared" ca="1" si="22"/>
        <v>46243</v>
      </c>
      <c r="AX220" s="6"/>
      <c r="AY220" t="str">
        <f t="shared" si="23"/>
        <v>INCOMPLETE - NOT SELECTABLE AS TECH STOP</v>
      </c>
    </row>
    <row r="221" spans="1:51" x14ac:dyDescent="0.3">
      <c r="A221" s="4" t="s">
        <v>1283</v>
      </c>
      <c r="B221" s="4" t="s">
        <v>1284</v>
      </c>
      <c r="C221" s="4"/>
      <c r="D221" s="4"/>
      <c r="E221" s="4" t="s">
        <v>1594</v>
      </c>
      <c r="F221" s="4" t="s">
        <v>82</v>
      </c>
      <c r="G221" s="4"/>
      <c r="H221" s="4" t="s">
        <v>1795</v>
      </c>
      <c r="I221" s="4" t="s">
        <v>1797</v>
      </c>
      <c r="J221" s="4"/>
      <c r="K221" s="4"/>
      <c r="L221" s="4"/>
      <c r="M221" s="4"/>
      <c r="N221" s="12" t="str">
        <f t="shared" si="18"/>
        <v>20°55′57″N 017°01′49″W</v>
      </c>
      <c r="O221" s="7">
        <v>20.932400000000001</v>
      </c>
      <c r="P221" s="7">
        <v>-17.030200000000001</v>
      </c>
      <c r="Q221" s="13">
        <f t="shared" si="19"/>
        <v>7</v>
      </c>
      <c r="R221" s="11">
        <v>24</v>
      </c>
      <c r="S221" s="4"/>
      <c r="T221" s="4" t="s">
        <v>2034</v>
      </c>
      <c r="U221" s="8">
        <v>0</v>
      </c>
      <c r="V221" s="14">
        <f ca="1">IF($U221="","",MOD(NOW()-admin!$B$1/24+$U221/24,1))</f>
        <v>0.61182638888567453</v>
      </c>
      <c r="W221" s="4"/>
      <c r="X221" s="4"/>
      <c r="Y221" s="4"/>
      <c r="Z221" s="4"/>
      <c r="AA221" s="4"/>
      <c r="AB221" s="4"/>
      <c r="AC221" s="4"/>
      <c r="AD221" s="4"/>
      <c r="AE221" s="4" t="s">
        <v>2154</v>
      </c>
      <c r="AF221" s="4"/>
      <c r="AG221" s="4"/>
      <c r="AH221" s="4"/>
      <c r="AI221" s="4"/>
      <c r="AJ221" s="4"/>
      <c r="AK221" s="4"/>
      <c r="AL221" s="4"/>
      <c r="AM221" s="4"/>
      <c r="AN221" s="4"/>
      <c r="AO221" s="12" t="str">
        <f>IF($A221="","",admin!$B$2&amp;"\Charts\"&amp;$A221)</f>
        <v>C:\Backups\InsiderTechSol\Aviation\Jetelio_v3\.LAYOUT\resources\Charts\GQPP</v>
      </c>
      <c r="AP221" s="12" t="str">
        <f>IF($A221="","",admin!$B$2&amp;"\RunwayDiagrams\"&amp;$A221&amp;".pdf")</f>
        <v>C:\Backups\InsiderTechSol\Aviation\Jetelio_v3\.LAYOUT\resources\RunwayDiagrams\GQPP.pdf</v>
      </c>
      <c r="AQ221" s="12" t="str">
        <f>IF($A221="","",admin!$B$2&amp;"\Images\"&amp;$A221)</f>
        <v>C:\Backups\InsiderTechSol\Aviation\Jetelio_v3\.LAYOUT\resources\Images\GQPP</v>
      </c>
      <c r="AR221" s="12" t="str">
        <f>IF($A221="","",admin!$B$2&amp;"\CityMaps\"&amp;$A221&amp;".png")</f>
        <v>C:\Backups\InsiderTechSol\Aviation\Jetelio_v3\.LAYOUT\resources\CityMaps\GQPP.png</v>
      </c>
      <c r="AS221" s="16" t="str">
        <f t="shared" si="20"/>
        <v>VISA sheet</v>
      </c>
      <c r="AT221" s="16" t="str">
        <f t="shared" si="21"/>
        <v>Vendors sheet</v>
      </c>
      <c r="AU221" s="4"/>
      <c r="AV221" s="15">
        <f t="shared" ca="1" si="22"/>
        <v>46243</v>
      </c>
      <c r="AX221" s="6"/>
      <c r="AY221" t="str">
        <f t="shared" si="23"/>
        <v>INCOMPLETE - NOT SELECTABLE AS TECH STOP</v>
      </c>
    </row>
    <row r="222" spans="1:51" x14ac:dyDescent="0.3">
      <c r="A222" s="4" t="s">
        <v>1285</v>
      </c>
      <c r="B222" s="4" t="s">
        <v>1286</v>
      </c>
      <c r="C222" s="4"/>
      <c r="D222" s="4"/>
      <c r="E222" s="4" t="s">
        <v>1595</v>
      </c>
      <c r="F222" s="4" t="s">
        <v>82</v>
      </c>
      <c r="G222" s="4"/>
      <c r="H222" s="4" t="s">
        <v>1798</v>
      </c>
      <c r="I222" s="4" t="s">
        <v>1799</v>
      </c>
      <c r="J222" s="4"/>
      <c r="K222" s="4"/>
      <c r="L222" s="4"/>
      <c r="M222" s="4"/>
      <c r="N222" s="12" t="str">
        <f t="shared" si="18"/>
        <v>16°47′31″N 062°11′36″W</v>
      </c>
      <c r="O222" s="7">
        <v>16.791830000000001</v>
      </c>
      <c r="P222" s="7">
        <v>-62.193199999999997</v>
      </c>
      <c r="Q222" s="13">
        <f t="shared" si="19"/>
        <v>168</v>
      </c>
      <c r="R222" s="11">
        <v>550</v>
      </c>
      <c r="S222" s="4"/>
      <c r="T222" s="4" t="s">
        <v>2035</v>
      </c>
      <c r="U222" s="8">
        <v>-4</v>
      </c>
      <c r="V222" s="14">
        <f ca="1">IF($U222="","",MOD(NOW()-admin!$B$1/24+$U222/24,1))</f>
        <v>0.44515972222143319</v>
      </c>
      <c r="W222" s="4"/>
      <c r="X222" s="4"/>
      <c r="Y222" s="4"/>
      <c r="Z222" s="4"/>
      <c r="AA222" s="4"/>
      <c r="AB222" s="4"/>
      <c r="AC222" s="4"/>
      <c r="AD222" s="4"/>
      <c r="AE222" s="4" t="s">
        <v>2155</v>
      </c>
      <c r="AF222" s="4"/>
      <c r="AG222" s="4"/>
      <c r="AH222" s="4"/>
      <c r="AI222" s="4"/>
      <c r="AJ222" s="4"/>
      <c r="AK222" s="4"/>
      <c r="AL222" s="4"/>
      <c r="AM222" s="4"/>
      <c r="AN222" s="4"/>
      <c r="AO222" s="12" t="str">
        <f>IF($A222="","",admin!$B$2&amp;"\Charts\"&amp;$A222)</f>
        <v>C:\Backups\InsiderTechSol\Aviation\Jetelio_v3\.LAYOUT\resources\Charts\TRPG</v>
      </c>
      <c r="AP222" s="12" t="str">
        <f>IF($A222="","",admin!$B$2&amp;"\RunwayDiagrams\"&amp;$A222&amp;".pdf")</f>
        <v>C:\Backups\InsiderTechSol\Aviation\Jetelio_v3\.LAYOUT\resources\RunwayDiagrams\TRPG.pdf</v>
      </c>
      <c r="AQ222" s="12" t="str">
        <f>IF($A222="","",admin!$B$2&amp;"\Images\"&amp;$A222)</f>
        <v>C:\Backups\InsiderTechSol\Aviation\Jetelio_v3\.LAYOUT\resources\Images\TRPG</v>
      </c>
      <c r="AR222" s="12" t="str">
        <f>IF($A222="","",admin!$B$2&amp;"\CityMaps\"&amp;$A222&amp;".png")</f>
        <v>C:\Backups\InsiderTechSol\Aviation\Jetelio_v3\.LAYOUT\resources\CityMaps\TRPG.png</v>
      </c>
      <c r="AS222" s="16" t="str">
        <f t="shared" si="20"/>
        <v>VISA sheet</v>
      </c>
      <c r="AT222" s="16" t="str">
        <f t="shared" si="21"/>
        <v>Vendors sheet</v>
      </c>
      <c r="AU222" s="4"/>
      <c r="AV222" s="15">
        <f t="shared" ca="1" si="22"/>
        <v>46243</v>
      </c>
      <c r="AX222" s="6"/>
      <c r="AY222" t="str">
        <f t="shared" si="23"/>
        <v>INCOMPLETE - NOT SELECTABLE AS TECH STOP</v>
      </c>
    </row>
    <row r="223" spans="1:51" x14ac:dyDescent="0.3">
      <c r="A223" s="4" t="s">
        <v>1287</v>
      </c>
      <c r="B223" s="4" t="s">
        <v>1288</v>
      </c>
      <c r="C223" s="4"/>
      <c r="D223" s="4"/>
      <c r="E223" s="4" t="s">
        <v>1596</v>
      </c>
      <c r="F223" s="4" t="s">
        <v>82</v>
      </c>
      <c r="G223" s="4"/>
      <c r="H223" s="4" t="s">
        <v>1800</v>
      </c>
      <c r="I223" s="4" t="s">
        <v>1801</v>
      </c>
      <c r="J223" s="4"/>
      <c r="K223" s="4"/>
      <c r="L223" s="4"/>
      <c r="M223" s="4"/>
      <c r="N223" s="12" t="str">
        <f t="shared" si="18"/>
        <v>35°50′45″N 014°29′30″E</v>
      </c>
      <c r="O223" s="7">
        <v>35.845930000000003</v>
      </c>
      <c r="P223" s="7">
        <v>14.49155</v>
      </c>
      <c r="Q223" s="13">
        <f t="shared" si="19"/>
        <v>91</v>
      </c>
      <c r="R223" s="11">
        <v>300</v>
      </c>
      <c r="S223" s="4"/>
      <c r="T223" s="4" t="s">
        <v>2036</v>
      </c>
      <c r="U223" s="8">
        <v>1</v>
      </c>
      <c r="V223" s="14">
        <f ca="1">IF($U223="","",MOD(NOW()-admin!$B$1/24+$U223/24,1))</f>
        <v>0.65349305554991588</v>
      </c>
      <c r="W223" s="4"/>
      <c r="X223" s="4"/>
      <c r="Y223" s="4"/>
      <c r="Z223" s="4"/>
      <c r="AA223" s="4"/>
      <c r="AB223" s="4"/>
      <c r="AC223" s="4"/>
      <c r="AD223" s="4"/>
      <c r="AE223" s="4" t="s">
        <v>2156</v>
      </c>
      <c r="AF223" s="4"/>
      <c r="AG223" s="4"/>
      <c r="AH223" s="4"/>
      <c r="AI223" s="4"/>
      <c r="AJ223" s="4"/>
      <c r="AK223" s="4"/>
      <c r="AL223" s="4"/>
      <c r="AM223" s="4"/>
      <c r="AN223" s="4"/>
      <c r="AO223" s="12" t="str">
        <f>IF($A223="","",admin!$B$2&amp;"\Charts\"&amp;$A223)</f>
        <v>C:\Backups\InsiderTechSol\Aviation\Jetelio_v3\.LAYOUT\resources\Charts\LMML</v>
      </c>
      <c r="AP223" s="12" t="str">
        <f>IF($A223="","",admin!$B$2&amp;"\RunwayDiagrams\"&amp;$A223&amp;".pdf")</f>
        <v>C:\Backups\InsiderTechSol\Aviation\Jetelio_v3\.LAYOUT\resources\RunwayDiagrams\LMML.pdf</v>
      </c>
      <c r="AQ223" s="12" t="str">
        <f>IF($A223="","",admin!$B$2&amp;"\Images\"&amp;$A223)</f>
        <v>C:\Backups\InsiderTechSol\Aviation\Jetelio_v3\.LAYOUT\resources\Images\LMML</v>
      </c>
      <c r="AR223" s="12" t="str">
        <f>IF($A223="","",admin!$B$2&amp;"\CityMaps\"&amp;$A223&amp;".png")</f>
        <v>C:\Backups\InsiderTechSol\Aviation\Jetelio_v3\.LAYOUT\resources\CityMaps\LMML.png</v>
      </c>
      <c r="AS223" s="16" t="str">
        <f t="shared" si="20"/>
        <v>VISA sheet</v>
      </c>
      <c r="AT223" s="16" t="str">
        <f t="shared" si="21"/>
        <v>Vendors sheet</v>
      </c>
      <c r="AU223" s="4"/>
      <c r="AV223" s="15">
        <f t="shared" ca="1" si="22"/>
        <v>46243</v>
      </c>
      <c r="AX223" s="6"/>
      <c r="AY223" t="str">
        <f t="shared" si="23"/>
        <v>INCOMPLETE - NOT SELECTABLE AS TECH STOP</v>
      </c>
    </row>
    <row r="224" spans="1:51" x14ac:dyDescent="0.3">
      <c r="A224" s="4" t="s">
        <v>1289</v>
      </c>
      <c r="B224" s="4" t="s">
        <v>1290</v>
      </c>
      <c r="C224" s="4"/>
      <c r="D224" s="4"/>
      <c r="E224" s="4" t="s">
        <v>1597</v>
      </c>
      <c r="F224" s="4" t="s">
        <v>82</v>
      </c>
      <c r="G224" s="4"/>
      <c r="H224" s="4" t="s">
        <v>1802</v>
      </c>
      <c r="I224" s="4" t="s">
        <v>1803</v>
      </c>
      <c r="J224" s="4"/>
      <c r="K224" s="4"/>
      <c r="L224" s="4"/>
      <c r="M224" s="4"/>
      <c r="N224" s="12" t="str">
        <f t="shared" si="18"/>
        <v>20°25′49″S 057°41′01″E</v>
      </c>
      <c r="O224" s="7">
        <v>-20.430199999999999</v>
      </c>
      <c r="P224" s="7">
        <v>57.683599999999998</v>
      </c>
      <c r="Q224" s="13">
        <f t="shared" si="19"/>
        <v>57</v>
      </c>
      <c r="R224" s="11">
        <v>186</v>
      </c>
      <c r="S224" s="4"/>
      <c r="T224" s="4" t="s">
        <v>2037</v>
      </c>
      <c r="U224" s="8">
        <v>4</v>
      </c>
      <c r="V224" s="14">
        <f ca="1">IF($U224="","",MOD(NOW()-admin!$B$1/24+$U224/24,1))</f>
        <v>0.77849305554991588</v>
      </c>
      <c r="W224" s="4"/>
      <c r="X224" s="4"/>
      <c r="Y224" s="4"/>
      <c r="Z224" s="4"/>
      <c r="AA224" s="4"/>
      <c r="AB224" s="4"/>
      <c r="AC224" s="4"/>
      <c r="AD224" s="4"/>
      <c r="AE224" s="4" t="s">
        <v>2157</v>
      </c>
      <c r="AF224" s="4"/>
      <c r="AG224" s="4"/>
      <c r="AH224" s="4"/>
      <c r="AI224" s="4"/>
      <c r="AJ224" s="4"/>
      <c r="AK224" s="4"/>
      <c r="AL224" s="4"/>
      <c r="AM224" s="4"/>
      <c r="AN224" s="4"/>
      <c r="AO224" s="12" t="str">
        <f>IF($A224="","",admin!$B$2&amp;"\Charts\"&amp;$A224)</f>
        <v>C:\Backups\InsiderTechSol\Aviation\Jetelio_v3\.LAYOUT\resources\Charts\FIMP</v>
      </c>
      <c r="AP224" s="12" t="str">
        <f>IF($A224="","",admin!$B$2&amp;"\RunwayDiagrams\"&amp;$A224&amp;".pdf")</f>
        <v>C:\Backups\InsiderTechSol\Aviation\Jetelio_v3\.LAYOUT\resources\RunwayDiagrams\FIMP.pdf</v>
      </c>
      <c r="AQ224" s="12" t="str">
        <f>IF($A224="","",admin!$B$2&amp;"\Images\"&amp;$A224)</f>
        <v>C:\Backups\InsiderTechSol\Aviation\Jetelio_v3\.LAYOUT\resources\Images\FIMP</v>
      </c>
      <c r="AR224" s="12" t="str">
        <f>IF($A224="","",admin!$B$2&amp;"\CityMaps\"&amp;$A224&amp;".png")</f>
        <v>C:\Backups\InsiderTechSol\Aviation\Jetelio_v3\.LAYOUT\resources\CityMaps\FIMP.png</v>
      </c>
      <c r="AS224" s="16" t="str">
        <f t="shared" si="20"/>
        <v>VISA sheet</v>
      </c>
      <c r="AT224" s="16" t="str">
        <f t="shared" si="21"/>
        <v>Vendors sheet</v>
      </c>
      <c r="AU224" s="4"/>
      <c r="AV224" s="15">
        <f t="shared" ca="1" si="22"/>
        <v>46243</v>
      </c>
      <c r="AX224" s="6"/>
      <c r="AY224" t="str">
        <f t="shared" si="23"/>
        <v>INCOMPLETE - NOT SELECTABLE AS TECH STOP</v>
      </c>
    </row>
    <row r="225" spans="1:51" x14ac:dyDescent="0.3">
      <c r="A225" s="4" t="s">
        <v>1291</v>
      </c>
      <c r="B225" s="4" t="s">
        <v>1292</v>
      </c>
      <c r="C225" s="4"/>
      <c r="D225" s="4"/>
      <c r="E225" s="4" t="s">
        <v>1598</v>
      </c>
      <c r="F225" s="4" t="s">
        <v>82</v>
      </c>
      <c r="G225" s="4"/>
      <c r="H225" s="4" t="s">
        <v>1804</v>
      </c>
      <c r="I225" s="4" t="s">
        <v>1805</v>
      </c>
      <c r="J225" s="4"/>
      <c r="K225" s="4"/>
      <c r="L225" s="4"/>
      <c r="M225" s="4"/>
      <c r="N225" s="12" t="str">
        <f t="shared" si="18"/>
        <v>00°41′35″S 073°09′09″E</v>
      </c>
      <c r="O225" s="7">
        <v>-0.69298000000000004</v>
      </c>
      <c r="P225" s="7">
        <v>73.152630000000002</v>
      </c>
      <c r="Q225" s="13">
        <f t="shared" si="19"/>
        <v>2</v>
      </c>
      <c r="R225" s="11">
        <v>6</v>
      </c>
      <c r="S225" s="4"/>
      <c r="T225" s="4" t="s">
        <v>2038</v>
      </c>
      <c r="U225" s="8">
        <v>5</v>
      </c>
      <c r="V225" s="14">
        <f ca="1">IF($U225="","",MOD(NOW()-admin!$B$1/24+$U225/24,1))</f>
        <v>0.82015972222143319</v>
      </c>
      <c r="W225" s="4"/>
      <c r="X225" s="4"/>
      <c r="Y225" s="4"/>
      <c r="Z225" s="4"/>
      <c r="AA225" s="4"/>
      <c r="AB225" s="4"/>
      <c r="AC225" s="4"/>
      <c r="AD225" s="4"/>
      <c r="AE225" s="4" t="s">
        <v>2158</v>
      </c>
      <c r="AF225" s="4"/>
      <c r="AG225" s="4"/>
      <c r="AH225" s="4"/>
      <c r="AI225" s="4"/>
      <c r="AJ225" s="4"/>
      <c r="AK225" s="4"/>
      <c r="AL225" s="4"/>
      <c r="AM225" s="4"/>
      <c r="AN225" s="4"/>
      <c r="AO225" s="12" t="str">
        <f>IF($A225="","",admin!$B$2&amp;"\Charts\"&amp;$A225)</f>
        <v>C:\Backups\InsiderTechSol\Aviation\Jetelio_v3\.LAYOUT\resources\Charts\VRMG</v>
      </c>
      <c r="AP225" s="12" t="str">
        <f>IF($A225="","",admin!$B$2&amp;"\RunwayDiagrams\"&amp;$A225&amp;".pdf")</f>
        <v>C:\Backups\InsiderTechSol\Aviation\Jetelio_v3\.LAYOUT\resources\RunwayDiagrams\VRMG.pdf</v>
      </c>
      <c r="AQ225" s="12" t="str">
        <f>IF($A225="","",admin!$B$2&amp;"\Images\"&amp;$A225)</f>
        <v>C:\Backups\InsiderTechSol\Aviation\Jetelio_v3\.LAYOUT\resources\Images\VRMG</v>
      </c>
      <c r="AR225" s="12" t="str">
        <f>IF($A225="","",admin!$B$2&amp;"\CityMaps\"&amp;$A225&amp;".png")</f>
        <v>C:\Backups\InsiderTechSol\Aviation\Jetelio_v3\.LAYOUT\resources\CityMaps\VRMG.png</v>
      </c>
      <c r="AS225" s="16" t="str">
        <f t="shared" si="20"/>
        <v>VISA sheet</v>
      </c>
      <c r="AT225" s="16" t="str">
        <f t="shared" si="21"/>
        <v>Vendors sheet</v>
      </c>
      <c r="AU225" s="4"/>
      <c r="AV225" s="15">
        <f t="shared" ca="1" si="22"/>
        <v>46243</v>
      </c>
      <c r="AX225" s="6"/>
      <c r="AY225" t="str">
        <f t="shared" si="23"/>
        <v>INCOMPLETE - NOT SELECTABLE AS TECH STOP</v>
      </c>
    </row>
    <row r="226" spans="1:51" x14ac:dyDescent="0.3">
      <c r="A226" s="4" t="s">
        <v>1293</v>
      </c>
      <c r="B226" s="4" t="s">
        <v>1294</v>
      </c>
      <c r="C226" s="4"/>
      <c r="D226" s="4"/>
      <c r="E226" s="4" t="s">
        <v>1599</v>
      </c>
      <c r="F226" s="4" t="s">
        <v>82</v>
      </c>
      <c r="G226" s="4"/>
      <c r="H226" s="4" t="s">
        <v>1804</v>
      </c>
      <c r="I226" s="4" t="s">
        <v>1806</v>
      </c>
      <c r="J226" s="4"/>
      <c r="K226" s="4"/>
      <c r="L226" s="4"/>
      <c r="M226" s="4"/>
      <c r="N226" s="12" t="str">
        <f t="shared" si="18"/>
        <v>06°44′36″N 073°10′01″E</v>
      </c>
      <c r="O226" s="7">
        <v>6.7432400000000001</v>
      </c>
      <c r="P226" s="7">
        <v>73.167069999999995</v>
      </c>
      <c r="Q226" s="13">
        <f t="shared" si="19"/>
        <v>1</v>
      </c>
      <c r="R226" s="11">
        <v>4</v>
      </c>
      <c r="S226" s="4"/>
      <c r="T226" s="4" t="s">
        <v>2038</v>
      </c>
      <c r="U226" s="8">
        <v>5</v>
      </c>
      <c r="V226" s="14">
        <f ca="1">IF($U226="","",MOD(NOW()-admin!$B$1/24+$U226/24,1))</f>
        <v>0.82015972222143319</v>
      </c>
      <c r="W226" s="4"/>
      <c r="X226" s="4"/>
      <c r="Y226" s="4"/>
      <c r="Z226" s="4"/>
      <c r="AA226" s="4"/>
      <c r="AB226" s="4"/>
      <c r="AC226" s="4"/>
      <c r="AD226" s="4"/>
      <c r="AE226" s="4" t="s">
        <v>2159</v>
      </c>
      <c r="AF226" s="4"/>
      <c r="AG226" s="4"/>
      <c r="AH226" s="4"/>
      <c r="AI226" s="4"/>
      <c r="AJ226" s="4"/>
      <c r="AK226" s="4"/>
      <c r="AL226" s="4"/>
      <c r="AM226" s="4"/>
      <c r="AN226" s="4"/>
      <c r="AO226" s="12" t="str">
        <f>IF($A226="","",admin!$B$2&amp;"\Charts\"&amp;$A226)</f>
        <v>C:\Backups\InsiderTechSol\Aviation\Jetelio_v3\.LAYOUT\resources\Charts\VRMH</v>
      </c>
      <c r="AP226" s="12" t="str">
        <f>IF($A226="","",admin!$B$2&amp;"\RunwayDiagrams\"&amp;$A226&amp;".pdf")</f>
        <v>C:\Backups\InsiderTechSol\Aviation\Jetelio_v3\.LAYOUT\resources\RunwayDiagrams\VRMH.pdf</v>
      </c>
      <c r="AQ226" s="12" t="str">
        <f>IF($A226="","",admin!$B$2&amp;"\Images\"&amp;$A226)</f>
        <v>C:\Backups\InsiderTechSol\Aviation\Jetelio_v3\.LAYOUT\resources\Images\VRMH</v>
      </c>
      <c r="AR226" s="12" t="str">
        <f>IF($A226="","",admin!$B$2&amp;"\CityMaps\"&amp;$A226&amp;".png")</f>
        <v>C:\Backups\InsiderTechSol\Aviation\Jetelio_v3\.LAYOUT\resources\CityMaps\VRMH.png</v>
      </c>
      <c r="AS226" s="16" t="str">
        <f t="shared" si="20"/>
        <v>VISA sheet</v>
      </c>
      <c r="AT226" s="16" t="str">
        <f t="shared" si="21"/>
        <v>Vendors sheet</v>
      </c>
      <c r="AU226" s="4"/>
      <c r="AV226" s="15">
        <f t="shared" ca="1" si="22"/>
        <v>46243</v>
      </c>
      <c r="AX226" s="6"/>
      <c r="AY226" t="str">
        <f t="shared" si="23"/>
        <v>INCOMPLETE - NOT SELECTABLE AS TECH STOP</v>
      </c>
    </row>
    <row r="227" spans="1:51" x14ac:dyDescent="0.3">
      <c r="A227" s="4" t="s">
        <v>1295</v>
      </c>
      <c r="B227" s="4" t="s">
        <v>1296</v>
      </c>
      <c r="C227" s="4"/>
      <c r="D227" s="4"/>
      <c r="E227" s="4" t="s">
        <v>1600</v>
      </c>
      <c r="F227" s="4" t="s">
        <v>82</v>
      </c>
      <c r="G227" s="4"/>
      <c r="H227" s="4" t="s">
        <v>10</v>
      </c>
      <c r="I227" s="4" t="s">
        <v>1807</v>
      </c>
      <c r="J227" s="4"/>
      <c r="K227" s="4"/>
      <c r="L227" s="4"/>
      <c r="M227" s="4"/>
      <c r="N227" s="12" t="str">
        <f t="shared" si="18"/>
        <v>15°40′38″S 034°58′20″E</v>
      </c>
      <c r="O227" s="7">
        <v>-15.67719</v>
      </c>
      <c r="P227" s="7">
        <v>34.972320000000003</v>
      </c>
      <c r="Q227" s="13">
        <f t="shared" si="19"/>
        <v>779</v>
      </c>
      <c r="R227" s="11">
        <v>2555</v>
      </c>
      <c r="S227" s="4"/>
      <c r="T227" s="4" t="s">
        <v>2039</v>
      </c>
      <c r="U227" s="8">
        <v>2</v>
      </c>
      <c r="V227" s="14">
        <f ca="1">IF($U227="","",MOD(NOW()-admin!$B$1/24+$U227/24,1))</f>
        <v>0.69515972222143319</v>
      </c>
      <c r="W227" s="4"/>
      <c r="X227" s="4"/>
      <c r="Y227" s="4"/>
      <c r="Z227" s="4"/>
      <c r="AA227" s="4"/>
      <c r="AB227" s="4"/>
      <c r="AC227" s="4"/>
      <c r="AD227" s="4"/>
      <c r="AE227" s="4" t="s">
        <v>2160</v>
      </c>
      <c r="AF227" s="4"/>
      <c r="AG227" s="4"/>
      <c r="AH227" s="4"/>
      <c r="AI227" s="4"/>
      <c r="AJ227" s="4"/>
      <c r="AK227" s="4"/>
      <c r="AL227" s="4"/>
      <c r="AM227" s="4"/>
      <c r="AN227" s="4"/>
      <c r="AO227" s="12" t="str">
        <f>IF($A227="","",admin!$B$2&amp;"\Charts\"&amp;$A227)</f>
        <v>C:\Backups\InsiderTechSol\Aviation\Jetelio_v3\.LAYOUT\resources\Charts\FWCL</v>
      </c>
      <c r="AP227" s="12" t="str">
        <f>IF($A227="","",admin!$B$2&amp;"\RunwayDiagrams\"&amp;$A227&amp;".pdf")</f>
        <v>C:\Backups\InsiderTechSol\Aviation\Jetelio_v3\.LAYOUT\resources\RunwayDiagrams\FWCL.pdf</v>
      </c>
      <c r="AQ227" s="12" t="str">
        <f>IF($A227="","",admin!$B$2&amp;"\Images\"&amp;$A227)</f>
        <v>C:\Backups\InsiderTechSol\Aviation\Jetelio_v3\.LAYOUT\resources\Images\FWCL</v>
      </c>
      <c r="AR227" s="12" t="str">
        <f>IF($A227="","",admin!$B$2&amp;"\CityMaps\"&amp;$A227&amp;".png")</f>
        <v>C:\Backups\InsiderTechSol\Aviation\Jetelio_v3\.LAYOUT\resources\CityMaps\FWCL.png</v>
      </c>
      <c r="AS227" s="16" t="str">
        <f t="shared" si="20"/>
        <v>VISA sheet</v>
      </c>
      <c r="AT227" s="16" t="str">
        <f t="shared" si="21"/>
        <v>Vendors sheet</v>
      </c>
      <c r="AU227" s="4"/>
      <c r="AV227" s="15">
        <f t="shared" ca="1" si="22"/>
        <v>46243</v>
      </c>
      <c r="AX227" s="6"/>
      <c r="AY227" t="str">
        <f t="shared" si="23"/>
        <v>INCOMPLETE - NOT SELECTABLE AS TECH STOP</v>
      </c>
    </row>
    <row r="228" spans="1:51" x14ac:dyDescent="0.3">
      <c r="A228" s="4" t="s">
        <v>1297</v>
      </c>
      <c r="B228" s="4" t="s">
        <v>1298</v>
      </c>
      <c r="C228" s="4"/>
      <c r="D228" s="4"/>
      <c r="E228" s="4" t="s">
        <v>1601</v>
      </c>
      <c r="F228" s="4" t="s">
        <v>82</v>
      </c>
      <c r="G228" s="4"/>
      <c r="H228" s="4" t="s">
        <v>10</v>
      </c>
      <c r="I228" s="4" t="s">
        <v>1808</v>
      </c>
      <c r="J228" s="4"/>
      <c r="K228" s="4"/>
      <c r="L228" s="4"/>
      <c r="M228" s="4"/>
      <c r="N228" s="12" t="str">
        <f t="shared" si="18"/>
        <v>13°47′22″S 033°46′52″E</v>
      </c>
      <c r="O228" s="7">
        <v>-13.789400000000001</v>
      </c>
      <c r="P228" s="7">
        <v>33.780999999999999</v>
      </c>
      <c r="Q228" s="13">
        <f t="shared" si="19"/>
        <v>1230</v>
      </c>
      <c r="R228" s="11">
        <v>4035</v>
      </c>
      <c r="S228" s="4"/>
      <c r="T228" s="4" t="s">
        <v>2039</v>
      </c>
      <c r="U228" s="8">
        <v>2</v>
      </c>
      <c r="V228" s="14">
        <f ca="1">IF($U228="","",MOD(NOW()-admin!$B$1/24+$U228/24,1))</f>
        <v>0.69515972222143319</v>
      </c>
      <c r="W228" s="4"/>
      <c r="X228" s="4"/>
      <c r="Y228" s="4"/>
      <c r="Z228" s="4"/>
      <c r="AA228" s="4"/>
      <c r="AB228" s="4"/>
      <c r="AC228" s="4"/>
      <c r="AD228" s="4"/>
      <c r="AE228" s="4" t="s">
        <v>2161</v>
      </c>
      <c r="AF228" s="4"/>
      <c r="AG228" s="4"/>
      <c r="AH228" s="4"/>
      <c r="AI228" s="4"/>
      <c r="AJ228" s="4"/>
      <c r="AK228" s="4"/>
      <c r="AL228" s="4"/>
      <c r="AM228" s="4"/>
      <c r="AN228" s="4"/>
      <c r="AO228" s="12" t="str">
        <f>IF($A228="","",admin!$B$2&amp;"\Charts\"&amp;$A228)</f>
        <v>C:\Backups\InsiderTechSol\Aviation\Jetelio_v3\.LAYOUT\resources\Charts\FWKI</v>
      </c>
      <c r="AP228" s="12" t="str">
        <f>IF($A228="","",admin!$B$2&amp;"\RunwayDiagrams\"&amp;$A228&amp;".pdf")</f>
        <v>C:\Backups\InsiderTechSol\Aviation\Jetelio_v3\.LAYOUT\resources\RunwayDiagrams\FWKI.pdf</v>
      </c>
      <c r="AQ228" s="12" t="str">
        <f>IF($A228="","",admin!$B$2&amp;"\Images\"&amp;$A228)</f>
        <v>C:\Backups\InsiderTechSol\Aviation\Jetelio_v3\.LAYOUT\resources\Images\FWKI</v>
      </c>
      <c r="AR228" s="12" t="str">
        <f>IF($A228="","",admin!$B$2&amp;"\CityMaps\"&amp;$A228&amp;".png")</f>
        <v>C:\Backups\InsiderTechSol\Aviation\Jetelio_v3\.LAYOUT\resources\CityMaps\FWKI.png</v>
      </c>
      <c r="AS228" s="16" t="str">
        <f t="shared" si="20"/>
        <v>VISA sheet</v>
      </c>
      <c r="AT228" s="16" t="str">
        <f t="shared" si="21"/>
        <v>Vendors sheet</v>
      </c>
      <c r="AU228" s="4"/>
      <c r="AV228" s="15">
        <f t="shared" ca="1" si="22"/>
        <v>46243</v>
      </c>
      <c r="AX228" s="6"/>
      <c r="AY228" t="str">
        <f t="shared" si="23"/>
        <v>INCOMPLETE - NOT SELECTABLE AS TECH STOP</v>
      </c>
    </row>
    <row r="229" spans="1:51" x14ac:dyDescent="0.3">
      <c r="A229" s="4" t="s">
        <v>1299</v>
      </c>
      <c r="B229" s="4" t="s">
        <v>1300</v>
      </c>
      <c r="C229" s="4"/>
      <c r="D229" s="4"/>
      <c r="E229" s="4" t="s">
        <v>1602</v>
      </c>
      <c r="F229" s="4" t="s">
        <v>82</v>
      </c>
      <c r="G229" s="4"/>
      <c r="H229" s="4" t="s">
        <v>1809</v>
      </c>
      <c r="I229" s="4" t="s">
        <v>1810</v>
      </c>
      <c r="J229" s="4"/>
      <c r="K229" s="4"/>
      <c r="L229" s="4"/>
      <c r="M229" s="4"/>
      <c r="N229" s="12" t="str">
        <f t="shared" si="18"/>
        <v>16°45′26″N 099°45′11″W</v>
      </c>
      <c r="O229" s="7">
        <v>16.75713</v>
      </c>
      <c r="P229" s="7">
        <v>-99.753110000000007</v>
      </c>
      <c r="Q229" s="13">
        <f t="shared" si="19"/>
        <v>5</v>
      </c>
      <c r="R229" s="11">
        <v>16</v>
      </c>
      <c r="S229" s="4"/>
      <c r="T229" s="4" t="s">
        <v>2040</v>
      </c>
      <c r="U229" s="8">
        <v>-6</v>
      </c>
      <c r="V229" s="14">
        <f ca="1">IF($U229="","",MOD(NOW()-admin!$B$1/24+$U229/24,1))</f>
        <v>0.36182638888567453</v>
      </c>
      <c r="W229" s="4"/>
      <c r="X229" s="4"/>
      <c r="Y229" s="4"/>
      <c r="Z229" s="4"/>
      <c r="AA229" s="4"/>
      <c r="AB229" s="4"/>
      <c r="AC229" s="4"/>
      <c r="AD229" s="4"/>
      <c r="AE229" s="4" t="s">
        <v>2162</v>
      </c>
      <c r="AF229" s="4"/>
      <c r="AG229" s="4"/>
      <c r="AH229" s="4"/>
      <c r="AI229" s="4"/>
      <c r="AJ229" s="4"/>
      <c r="AK229" s="4"/>
      <c r="AL229" s="4"/>
      <c r="AM229" s="4"/>
      <c r="AN229" s="4"/>
      <c r="AO229" s="12" t="str">
        <f>IF($A229="","",admin!$B$2&amp;"\Charts\"&amp;$A229)</f>
        <v>C:\Backups\InsiderTechSol\Aviation\Jetelio_v3\.LAYOUT\resources\Charts\MMAA</v>
      </c>
      <c r="AP229" s="12" t="str">
        <f>IF($A229="","",admin!$B$2&amp;"\RunwayDiagrams\"&amp;$A229&amp;".pdf")</f>
        <v>C:\Backups\InsiderTechSol\Aviation\Jetelio_v3\.LAYOUT\resources\RunwayDiagrams\MMAA.pdf</v>
      </c>
      <c r="AQ229" s="12" t="str">
        <f>IF($A229="","",admin!$B$2&amp;"\Images\"&amp;$A229)</f>
        <v>C:\Backups\InsiderTechSol\Aviation\Jetelio_v3\.LAYOUT\resources\Images\MMAA</v>
      </c>
      <c r="AR229" s="12" t="str">
        <f>IF($A229="","",admin!$B$2&amp;"\CityMaps\"&amp;$A229&amp;".png")</f>
        <v>C:\Backups\InsiderTechSol\Aviation\Jetelio_v3\.LAYOUT\resources\CityMaps\MMAA.png</v>
      </c>
      <c r="AS229" s="16" t="str">
        <f t="shared" si="20"/>
        <v>VISA sheet</v>
      </c>
      <c r="AT229" s="16" t="str">
        <f t="shared" si="21"/>
        <v>Vendors sheet</v>
      </c>
      <c r="AU229" s="4"/>
      <c r="AV229" s="15">
        <f t="shared" ca="1" si="22"/>
        <v>46243</v>
      </c>
      <c r="AX229" s="6"/>
      <c r="AY229" t="str">
        <f t="shared" si="23"/>
        <v>INCOMPLETE - NOT SELECTABLE AS TECH STOP</v>
      </c>
    </row>
    <row r="230" spans="1:51" x14ac:dyDescent="0.3">
      <c r="A230" s="4" t="s">
        <v>1301</v>
      </c>
      <c r="B230" s="4" t="s">
        <v>1302</v>
      </c>
      <c r="C230" s="4"/>
      <c r="D230" s="4"/>
      <c r="E230" s="4" t="s">
        <v>1603</v>
      </c>
      <c r="F230" s="4" t="s">
        <v>82</v>
      </c>
      <c r="G230" s="4"/>
      <c r="H230" s="4" t="s">
        <v>1809</v>
      </c>
      <c r="I230" s="4" t="s">
        <v>1811</v>
      </c>
      <c r="J230" s="4"/>
      <c r="K230" s="4"/>
      <c r="L230" s="4"/>
      <c r="M230" s="4"/>
      <c r="N230" s="12" t="str">
        <f t="shared" si="18"/>
        <v>21°41′59″N 102°19′06″W</v>
      </c>
      <c r="O230" s="7">
        <v>21.699590000000001</v>
      </c>
      <c r="P230" s="7">
        <v>-102.31837</v>
      </c>
      <c r="Q230" s="13">
        <f t="shared" si="19"/>
        <v>1863</v>
      </c>
      <c r="R230" s="11">
        <v>6112</v>
      </c>
      <c r="S230" s="4"/>
      <c r="T230" s="4" t="s">
        <v>2040</v>
      </c>
      <c r="U230" s="8">
        <v>-6</v>
      </c>
      <c r="V230" s="14">
        <f ca="1">IF($U230="","",MOD(NOW()-admin!$B$1/24+$U230/24,1))</f>
        <v>0.36182638888567453</v>
      </c>
      <c r="W230" s="4"/>
      <c r="X230" s="4"/>
      <c r="Y230" s="4"/>
      <c r="Z230" s="4"/>
      <c r="AA230" s="4"/>
      <c r="AB230" s="4"/>
      <c r="AC230" s="4"/>
      <c r="AD230" s="4"/>
      <c r="AE230" s="4" t="s">
        <v>2163</v>
      </c>
      <c r="AF230" s="4"/>
      <c r="AG230" s="4"/>
      <c r="AH230" s="4"/>
      <c r="AI230" s="4"/>
      <c r="AJ230" s="4"/>
      <c r="AK230" s="4"/>
      <c r="AL230" s="4"/>
      <c r="AM230" s="4"/>
      <c r="AN230" s="4"/>
      <c r="AO230" s="12" t="str">
        <f>IF($A230="","",admin!$B$2&amp;"\Charts\"&amp;$A230)</f>
        <v>C:\Backups\InsiderTechSol\Aviation\Jetelio_v3\.LAYOUT\resources\Charts\MMAS</v>
      </c>
      <c r="AP230" s="12" t="str">
        <f>IF($A230="","",admin!$B$2&amp;"\RunwayDiagrams\"&amp;$A230&amp;".pdf")</f>
        <v>C:\Backups\InsiderTechSol\Aviation\Jetelio_v3\.LAYOUT\resources\RunwayDiagrams\MMAS.pdf</v>
      </c>
      <c r="AQ230" s="12" t="str">
        <f>IF($A230="","",admin!$B$2&amp;"\Images\"&amp;$A230)</f>
        <v>C:\Backups\InsiderTechSol\Aviation\Jetelio_v3\.LAYOUT\resources\Images\MMAS</v>
      </c>
      <c r="AR230" s="12" t="str">
        <f>IF($A230="","",admin!$B$2&amp;"\CityMaps\"&amp;$A230&amp;".png")</f>
        <v>C:\Backups\InsiderTechSol\Aviation\Jetelio_v3\.LAYOUT\resources\CityMaps\MMAS.png</v>
      </c>
      <c r="AS230" s="16" t="str">
        <f t="shared" si="20"/>
        <v>VISA sheet</v>
      </c>
      <c r="AT230" s="16" t="str">
        <f t="shared" si="21"/>
        <v>Vendors sheet</v>
      </c>
      <c r="AU230" s="4"/>
      <c r="AV230" s="15">
        <f t="shared" ca="1" si="22"/>
        <v>46243</v>
      </c>
      <c r="AX230" s="6"/>
      <c r="AY230" t="str">
        <f t="shared" si="23"/>
        <v>INCOMPLETE - NOT SELECTABLE AS TECH STOP</v>
      </c>
    </row>
    <row r="231" spans="1:51" x14ac:dyDescent="0.3">
      <c r="A231" s="4" t="s">
        <v>1303</v>
      </c>
      <c r="B231" s="4" t="s">
        <v>1304</v>
      </c>
      <c r="C231" s="4"/>
      <c r="D231" s="4"/>
      <c r="E231" s="4" t="s">
        <v>1604</v>
      </c>
      <c r="F231" s="4" t="s">
        <v>82</v>
      </c>
      <c r="G231" s="4"/>
      <c r="H231" s="4" t="s">
        <v>1812</v>
      </c>
      <c r="I231" s="4" t="s">
        <v>1813</v>
      </c>
      <c r="J231" s="4"/>
      <c r="K231" s="4"/>
      <c r="L231" s="4"/>
      <c r="M231" s="4"/>
      <c r="N231" s="12" t="str">
        <f t="shared" si="18"/>
        <v>01°29′14″N 110°21′10″E</v>
      </c>
      <c r="O231" s="7">
        <v>1.48736</v>
      </c>
      <c r="P231" s="7">
        <v>110.35286000000001</v>
      </c>
      <c r="Q231" s="13">
        <f t="shared" si="19"/>
        <v>27</v>
      </c>
      <c r="R231" s="11">
        <v>89</v>
      </c>
      <c r="S231" s="4"/>
      <c r="T231" s="4" t="s">
        <v>2041</v>
      </c>
      <c r="U231" s="8">
        <v>8</v>
      </c>
      <c r="V231" s="14">
        <f ca="1">IF($U231="","",MOD(NOW()-admin!$B$1/24+$U231/24,1))</f>
        <v>0.94515972222143319</v>
      </c>
      <c r="W231" s="4"/>
      <c r="X231" s="4"/>
      <c r="Y231" s="4"/>
      <c r="Z231" s="4"/>
      <c r="AA231" s="4"/>
      <c r="AB231" s="4"/>
      <c r="AC231" s="4"/>
      <c r="AD231" s="4"/>
      <c r="AE231" s="4" t="s">
        <v>2164</v>
      </c>
      <c r="AF231" s="4"/>
      <c r="AG231" s="4"/>
      <c r="AH231" s="4"/>
      <c r="AI231" s="4"/>
      <c r="AJ231" s="4"/>
      <c r="AK231" s="4"/>
      <c r="AL231" s="4"/>
      <c r="AM231" s="4"/>
      <c r="AN231" s="4"/>
      <c r="AO231" s="12" t="str">
        <f>IF($A231="","",admin!$B$2&amp;"\Charts\"&amp;$A231)</f>
        <v>C:\Backups\InsiderTechSol\Aviation\Jetelio_v3\.LAYOUT\resources\Charts\WBGG</v>
      </c>
      <c r="AP231" s="12" t="str">
        <f>IF($A231="","",admin!$B$2&amp;"\RunwayDiagrams\"&amp;$A231&amp;".pdf")</f>
        <v>C:\Backups\InsiderTechSol\Aviation\Jetelio_v3\.LAYOUT\resources\RunwayDiagrams\WBGG.pdf</v>
      </c>
      <c r="AQ231" s="12" t="str">
        <f>IF($A231="","",admin!$B$2&amp;"\Images\"&amp;$A231)</f>
        <v>C:\Backups\InsiderTechSol\Aviation\Jetelio_v3\.LAYOUT\resources\Images\WBGG</v>
      </c>
      <c r="AR231" s="12" t="str">
        <f>IF($A231="","",admin!$B$2&amp;"\CityMaps\"&amp;$A231&amp;".png")</f>
        <v>C:\Backups\InsiderTechSol\Aviation\Jetelio_v3\.LAYOUT\resources\CityMaps\WBGG.png</v>
      </c>
      <c r="AS231" s="16" t="str">
        <f t="shared" si="20"/>
        <v>VISA sheet</v>
      </c>
      <c r="AT231" s="16" t="str">
        <f t="shared" si="21"/>
        <v>Vendors sheet</v>
      </c>
      <c r="AU231" s="4"/>
      <c r="AV231" s="15">
        <f t="shared" ca="1" si="22"/>
        <v>46243</v>
      </c>
      <c r="AX231" s="6"/>
      <c r="AY231" t="str">
        <f t="shared" si="23"/>
        <v>INCOMPLETE - NOT SELECTABLE AS TECH STOP</v>
      </c>
    </row>
    <row r="232" spans="1:51" x14ac:dyDescent="0.3">
      <c r="A232" s="4" t="s">
        <v>1305</v>
      </c>
      <c r="B232" s="4" t="s">
        <v>1306</v>
      </c>
      <c r="C232" s="4"/>
      <c r="D232" s="4"/>
      <c r="E232" s="4" t="s">
        <v>1605</v>
      </c>
      <c r="F232" s="4" t="s">
        <v>82</v>
      </c>
      <c r="G232" s="4"/>
      <c r="H232" s="4" t="s">
        <v>1812</v>
      </c>
      <c r="I232" s="4" t="s">
        <v>1814</v>
      </c>
      <c r="J232" s="4"/>
      <c r="K232" s="4"/>
      <c r="L232" s="4"/>
      <c r="M232" s="4"/>
      <c r="N232" s="12" t="str">
        <f t="shared" si="18"/>
        <v>05°55′58″N 116°02′58″E</v>
      </c>
      <c r="O232" s="7">
        <v>5.9327399999999999</v>
      </c>
      <c r="P232" s="7">
        <v>116.04931999999999</v>
      </c>
      <c r="Q232" s="13">
        <f t="shared" si="19"/>
        <v>3</v>
      </c>
      <c r="R232" s="11">
        <v>10</v>
      </c>
      <c r="S232" s="4"/>
      <c r="T232" s="4" t="s">
        <v>2041</v>
      </c>
      <c r="U232" s="8">
        <v>8</v>
      </c>
      <c r="V232" s="14">
        <f ca="1">IF($U232="","",MOD(NOW()-admin!$B$1/24+$U232/24,1))</f>
        <v>0.94515972222143319</v>
      </c>
      <c r="W232" s="4"/>
      <c r="X232" s="4"/>
      <c r="Y232" s="4"/>
      <c r="Z232" s="4"/>
      <c r="AA232" s="4"/>
      <c r="AB232" s="4"/>
      <c r="AC232" s="4"/>
      <c r="AD232" s="4"/>
      <c r="AE232" s="4" t="s">
        <v>2165</v>
      </c>
      <c r="AF232" s="4"/>
      <c r="AG232" s="4"/>
      <c r="AH232" s="4"/>
      <c r="AI232" s="4"/>
      <c r="AJ232" s="4"/>
      <c r="AK232" s="4"/>
      <c r="AL232" s="4"/>
      <c r="AM232" s="4"/>
      <c r="AN232" s="4"/>
      <c r="AO232" s="12" t="str">
        <f>IF($A232="","",admin!$B$2&amp;"\Charts\"&amp;$A232)</f>
        <v>C:\Backups\InsiderTechSol\Aviation\Jetelio_v3\.LAYOUT\resources\Charts\WBKK</v>
      </c>
      <c r="AP232" s="12" t="str">
        <f>IF($A232="","",admin!$B$2&amp;"\RunwayDiagrams\"&amp;$A232&amp;".pdf")</f>
        <v>C:\Backups\InsiderTechSol\Aviation\Jetelio_v3\.LAYOUT\resources\RunwayDiagrams\WBKK.pdf</v>
      </c>
      <c r="AQ232" s="12" t="str">
        <f>IF($A232="","",admin!$B$2&amp;"\Images\"&amp;$A232)</f>
        <v>C:\Backups\InsiderTechSol\Aviation\Jetelio_v3\.LAYOUT\resources\Images\WBKK</v>
      </c>
      <c r="AR232" s="12" t="str">
        <f>IF($A232="","",admin!$B$2&amp;"\CityMaps\"&amp;$A232&amp;".png")</f>
        <v>C:\Backups\InsiderTechSol\Aviation\Jetelio_v3\.LAYOUT\resources\CityMaps\WBKK.png</v>
      </c>
      <c r="AS232" s="16" t="str">
        <f t="shared" si="20"/>
        <v>VISA sheet</v>
      </c>
      <c r="AT232" s="16" t="str">
        <f t="shared" si="21"/>
        <v>Vendors sheet</v>
      </c>
      <c r="AU232" s="4"/>
      <c r="AV232" s="15">
        <f t="shared" ca="1" si="22"/>
        <v>46243</v>
      </c>
      <c r="AX232" s="6"/>
      <c r="AY232" t="str">
        <f t="shared" si="23"/>
        <v>INCOMPLETE - NOT SELECTABLE AS TECH STOP</v>
      </c>
    </row>
    <row r="233" spans="1:51" x14ac:dyDescent="0.3">
      <c r="A233" s="4" t="s">
        <v>1307</v>
      </c>
      <c r="B233" s="4" t="s">
        <v>1308</v>
      </c>
      <c r="C233" s="4"/>
      <c r="D233" s="4"/>
      <c r="E233" s="4" t="s">
        <v>1606</v>
      </c>
      <c r="F233" s="4" t="s">
        <v>82</v>
      </c>
      <c r="G233" s="4"/>
      <c r="H233" s="4" t="s">
        <v>1815</v>
      </c>
      <c r="I233" s="4" t="s">
        <v>1816</v>
      </c>
      <c r="J233" s="4"/>
      <c r="K233" s="4"/>
      <c r="L233" s="4"/>
      <c r="M233" s="4"/>
      <c r="N233" s="12" t="str">
        <f t="shared" si="18"/>
        <v>19°47′47″S 034°54′27″E</v>
      </c>
      <c r="O233" s="7">
        <v>-19.796399999999998</v>
      </c>
      <c r="P233" s="7">
        <v>34.907600000000002</v>
      </c>
      <c r="Q233" s="13">
        <f t="shared" si="19"/>
        <v>10</v>
      </c>
      <c r="R233" s="11">
        <v>33</v>
      </c>
      <c r="S233" s="4"/>
      <c r="T233" s="4" t="s">
        <v>2042</v>
      </c>
      <c r="U233" s="8">
        <v>2</v>
      </c>
      <c r="V233" s="14">
        <f ca="1">IF($U233="","",MOD(NOW()-admin!$B$1/24+$U233/24,1))</f>
        <v>0.69515972222143319</v>
      </c>
      <c r="W233" s="4"/>
      <c r="X233" s="4"/>
      <c r="Y233" s="4"/>
      <c r="Z233" s="4"/>
      <c r="AA233" s="4"/>
      <c r="AB233" s="4"/>
      <c r="AC233" s="4"/>
      <c r="AD233" s="4"/>
      <c r="AE233" s="4" t="s">
        <v>2166</v>
      </c>
      <c r="AF233" s="4"/>
      <c r="AG233" s="4"/>
      <c r="AH233" s="4"/>
      <c r="AI233" s="4"/>
      <c r="AJ233" s="4"/>
      <c r="AK233" s="4"/>
      <c r="AL233" s="4"/>
      <c r="AM233" s="4"/>
      <c r="AN233" s="4"/>
      <c r="AO233" s="12" t="str">
        <f>IF($A233="","",admin!$B$2&amp;"\Charts\"&amp;$A233)</f>
        <v>C:\Backups\InsiderTechSol\Aviation\Jetelio_v3\.LAYOUT\resources\Charts\FQBR</v>
      </c>
      <c r="AP233" s="12" t="str">
        <f>IF($A233="","",admin!$B$2&amp;"\RunwayDiagrams\"&amp;$A233&amp;".pdf")</f>
        <v>C:\Backups\InsiderTechSol\Aviation\Jetelio_v3\.LAYOUT\resources\RunwayDiagrams\FQBR.pdf</v>
      </c>
      <c r="AQ233" s="12" t="str">
        <f>IF($A233="","",admin!$B$2&amp;"\Images\"&amp;$A233)</f>
        <v>C:\Backups\InsiderTechSol\Aviation\Jetelio_v3\.LAYOUT\resources\Images\FQBR</v>
      </c>
      <c r="AR233" s="12" t="str">
        <f>IF($A233="","",admin!$B$2&amp;"\CityMaps\"&amp;$A233&amp;".png")</f>
        <v>C:\Backups\InsiderTechSol\Aviation\Jetelio_v3\.LAYOUT\resources\CityMaps\FQBR.png</v>
      </c>
      <c r="AS233" s="16" t="str">
        <f t="shared" si="20"/>
        <v>VISA sheet</v>
      </c>
      <c r="AT233" s="16" t="str">
        <f t="shared" si="21"/>
        <v>Vendors sheet</v>
      </c>
      <c r="AU233" s="4"/>
      <c r="AV233" s="15">
        <f t="shared" ca="1" si="22"/>
        <v>46243</v>
      </c>
      <c r="AX233" s="6"/>
      <c r="AY233" t="str">
        <f t="shared" si="23"/>
        <v>INCOMPLETE - NOT SELECTABLE AS TECH STOP</v>
      </c>
    </row>
    <row r="234" spans="1:51" x14ac:dyDescent="0.3">
      <c r="A234" s="4" t="s">
        <v>1309</v>
      </c>
      <c r="B234" s="4" t="s">
        <v>1310</v>
      </c>
      <c r="C234" s="4"/>
      <c r="D234" s="4"/>
      <c r="E234" s="4" t="s">
        <v>1607</v>
      </c>
      <c r="F234" s="4" t="s">
        <v>82</v>
      </c>
      <c r="G234" s="4"/>
      <c r="H234" s="4" t="s">
        <v>1815</v>
      </c>
      <c r="I234" s="4" t="s">
        <v>1817</v>
      </c>
      <c r="J234" s="4"/>
      <c r="K234" s="4"/>
      <c r="L234" s="4"/>
      <c r="M234" s="4"/>
      <c r="N234" s="12" t="str">
        <f t="shared" si="18"/>
        <v>25°55′15″S 032°34′21″E</v>
      </c>
      <c r="O234" s="7">
        <v>-25.9208</v>
      </c>
      <c r="P234" s="7">
        <v>32.572600000000001</v>
      </c>
      <c r="Q234" s="13">
        <f t="shared" si="19"/>
        <v>44</v>
      </c>
      <c r="R234" s="11">
        <v>145</v>
      </c>
      <c r="S234" s="4"/>
      <c r="T234" s="4" t="s">
        <v>2042</v>
      </c>
      <c r="U234" s="8">
        <v>2</v>
      </c>
      <c r="V234" s="14">
        <f ca="1">IF($U234="","",MOD(NOW()-admin!$B$1/24+$U234/24,1))</f>
        <v>0.69515972222143319</v>
      </c>
      <c r="W234" s="4"/>
      <c r="X234" s="4"/>
      <c r="Y234" s="4"/>
      <c r="Z234" s="4"/>
      <c r="AA234" s="4"/>
      <c r="AB234" s="4"/>
      <c r="AC234" s="4"/>
      <c r="AD234" s="4"/>
      <c r="AE234" s="4" t="s">
        <v>2167</v>
      </c>
      <c r="AF234" s="4"/>
      <c r="AG234" s="4"/>
      <c r="AH234" s="4"/>
      <c r="AI234" s="4"/>
      <c r="AJ234" s="4"/>
      <c r="AK234" s="4"/>
      <c r="AL234" s="4"/>
      <c r="AM234" s="4"/>
      <c r="AN234" s="4"/>
      <c r="AO234" s="12" t="str">
        <f>IF($A234="","",admin!$B$2&amp;"\Charts\"&amp;$A234)</f>
        <v>C:\Backups\InsiderTechSol\Aviation\Jetelio_v3\.LAYOUT\resources\Charts\FQMA</v>
      </c>
      <c r="AP234" s="12" t="str">
        <f>IF($A234="","",admin!$B$2&amp;"\RunwayDiagrams\"&amp;$A234&amp;".pdf")</f>
        <v>C:\Backups\InsiderTechSol\Aviation\Jetelio_v3\.LAYOUT\resources\RunwayDiagrams\FQMA.pdf</v>
      </c>
      <c r="AQ234" s="12" t="str">
        <f>IF($A234="","",admin!$B$2&amp;"\Images\"&amp;$A234)</f>
        <v>C:\Backups\InsiderTechSol\Aviation\Jetelio_v3\.LAYOUT\resources\Images\FQMA</v>
      </c>
      <c r="AR234" s="12" t="str">
        <f>IF($A234="","",admin!$B$2&amp;"\CityMaps\"&amp;$A234&amp;".png")</f>
        <v>C:\Backups\InsiderTechSol\Aviation\Jetelio_v3\.LAYOUT\resources\CityMaps\FQMA.png</v>
      </c>
      <c r="AS234" s="16" t="str">
        <f t="shared" si="20"/>
        <v>VISA sheet</v>
      </c>
      <c r="AT234" s="16" t="str">
        <f t="shared" si="21"/>
        <v>Vendors sheet</v>
      </c>
      <c r="AU234" s="4"/>
      <c r="AV234" s="15">
        <f t="shared" ca="1" si="22"/>
        <v>46243</v>
      </c>
      <c r="AX234" s="6"/>
      <c r="AY234" t="str">
        <f t="shared" si="23"/>
        <v>INCOMPLETE - NOT SELECTABLE AS TECH STOP</v>
      </c>
    </row>
    <row r="235" spans="1:51" x14ac:dyDescent="0.3">
      <c r="A235" s="4" t="s">
        <v>1311</v>
      </c>
      <c r="B235" s="4" t="s">
        <v>1312</v>
      </c>
      <c r="C235" s="4"/>
      <c r="D235" s="4"/>
      <c r="E235" s="4" t="s">
        <v>1608</v>
      </c>
      <c r="F235" s="4" t="s">
        <v>82</v>
      </c>
      <c r="G235" s="4"/>
      <c r="H235" s="4" t="s">
        <v>1818</v>
      </c>
      <c r="I235" s="4" t="s">
        <v>1819</v>
      </c>
      <c r="J235" s="4"/>
      <c r="K235" s="4"/>
      <c r="L235" s="4"/>
      <c r="M235" s="4"/>
      <c r="N235" s="12" t="str">
        <f t="shared" si="18"/>
        <v>22°00′53″S 166°12′47″E</v>
      </c>
      <c r="O235" s="7">
        <v>-22.014600000000002</v>
      </c>
      <c r="P235" s="7">
        <v>166.21299999999999</v>
      </c>
      <c r="Q235" s="13">
        <f t="shared" si="19"/>
        <v>16</v>
      </c>
      <c r="R235" s="11">
        <v>52</v>
      </c>
      <c r="S235" s="4"/>
      <c r="T235" s="4" t="s">
        <v>2043</v>
      </c>
      <c r="U235" s="8">
        <v>11</v>
      </c>
      <c r="V235" s="14">
        <f ca="1">IF($U235="","",MOD(NOW()-admin!$B$1/24+$U235/24,1))</f>
        <v>7.0159722221433185E-2</v>
      </c>
      <c r="W235" s="4"/>
      <c r="X235" s="4"/>
      <c r="Y235" s="4"/>
      <c r="Z235" s="4"/>
      <c r="AA235" s="4"/>
      <c r="AB235" s="4"/>
      <c r="AC235" s="4"/>
      <c r="AD235" s="4"/>
      <c r="AE235" s="4" t="s">
        <v>2168</v>
      </c>
      <c r="AF235" s="4"/>
      <c r="AG235" s="4"/>
      <c r="AH235" s="4"/>
      <c r="AI235" s="4"/>
      <c r="AJ235" s="4"/>
      <c r="AK235" s="4"/>
      <c r="AL235" s="4"/>
      <c r="AM235" s="4"/>
      <c r="AN235" s="4"/>
      <c r="AO235" s="12" t="str">
        <f>IF($A235="","",admin!$B$2&amp;"\Charts\"&amp;$A235)</f>
        <v>C:\Backups\InsiderTechSol\Aviation\Jetelio_v3\.LAYOUT\resources\Charts\NWWW</v>
      </c>
      <c r="AP235" s="12" t="str">
        <f>IF($A235="","",admin!$B$2&amp;"\RunwayDiagrams\"&amp;$A235&amp;".pdf")</f>
        <v>C:\Backups\InsiderTechSol\Aviation\Jetelio_v3\.LAYOUT\resources\RunwayDiagrams\NWWW.pdf</v>
      </c>
      <c r="AQ235" s="12" t="str">
        <f>IF($A235="","",admin!$B$2&amp;"\Images\"&amp;$A235)</f>
        <v>C:\Backups\InsiderTechSol\Aviation\Jetelio_v3\.LAYOUT\resources\Images\NWWW</v>
      </c>
      <c r="AR235" s="12" t="str">
        <f>IF($A235="","",admin!$B$2&amp;"\CityMaps\"&amp;$A235&amp;".png")</f>
        <v>C:\Backups\InsiderTechSol\Aviation\Jetelio_v3\.LAYOUT\resources\CityMaps\NWWW.png</v>
      </c>
      <c r="AS235" s="16" t="str">
        <f t="shared" si="20"/>
        <v>VISA sheet</v>
      </c>
      <c r="AT235" s="16" t="str">
        <f t="shared" si="21"/>
        <v>Vendors sheet</v>
      </c>
      <c r="AU235" s="4"/>
      <c r="AV235" s="15">
        <f t="shared" ca="1" si="22"/>
        <v>46243</v>
      </c>
      <c r="AX235" s="6"/>
      <c r="AY235" t="str">
        <f t="shared" si="23"/>
        <v>INCOMPLETE - NOT SELECTABLE AS TECH STOP</v>
      </c>
    </row>
    <row r="236" spans="1:51" x14ac:dyDescent="0.3">
      <c r="A236" s="4" t="s">
        <v>1313</v>
      </c>
      <c r="B236" s="4" t="s">
        <v>1314</v>
      </c>
      <c r="C236" s="4"/>
      <c r="D236" s="4"/>
      <c r="E236" s="4" t="s">
        <v>1609</v>
      </c>
      <c r="F236" s="4" t="s">
        <v>82</v>
      </c>
      <c r="G236" s="4"/>
      <c r="H236" s="4" t="s">
        <v>1820</v>
      </c>
      <c r="I236" s="4" t="s">
        <v>1821</v>
      </c>
      <c r="J236" s="4"/>
      <c r="K236" s="4"/>
      <c r="L236" s="4"/>
      <c r="M236" s="4"/>
      <c r="N236" s="12" t="str">
        <f t="shared" si="18"/>
        <v>13°28′53″N 002°11′01″E</v>
      </c>
      <c r="O236" s="7">
        <v>13.4815</v>
      </c>
      <c r="P236" s="7">
        <v>2.1836099999999998</v>
      </c>
      <c r="Q236" s="13">
        <f t="shared" si="19"/>
        <v>223</v>
      </c>
      <c r="R236" s="11">
        <v>732</v>
      </c>
      <c r="S236" s="4"/>
      <c r="T236" s="4" t="s">
        <v>2044</v>
      </c>
      <c r="U236" s="8">
        <v>1</v>
      </c>
      <c r="V236" s="14">
        <f ca="1">IF($U236="","",MOD(NOW()-admin!$B$1/24+$U236/24,1))</f>
        <v>0.65349305554991588</v>
      </c>
      <c r="W236" s="4"/>
      <c r="X236" s="4"/>
      <c r="Y236" s="4"/>
      <c r="Z236" s="4"/>
      <c r="AA236" s="4"/>
      <c r="AB236" s="4"/>
      <c r="AC236" s="4"/>
      <c r="AD236" s="4"/>
      <c r="AE236" s="4" t="s">
        <v>2169</v>
      </c>
      <c r="AF236" s="4"/>
      <c r="AG236" s="4"/>
      <c r="AH236" s="4"/>
      <c r="AI236" s="4"/>
      <c r="AJ236" s="4"/>
      <c r="AK236" s="4"/>
      <c r="AL236" s="4"/>
      <c r="AM236" s="4"/>
      <c r="AN236" s="4"/>
      <c r="AO236" s="12" t="str">
        <f>IF($A236="","",admin!$B$2&amp;"\Charts\"&amp;$A236)</f>
        <v>C:\Backups\InsiderTechSol\Aviation\Jetelio_v3\.LAYOUT\resources\Charts\DRRN</v>
      </c>
      <c r="AP236" s="12" t="str">
        <f>IF($A236="","",admin!$B$2&amp;"\RunwayDiagrams\"&amp;$A236&amp;".pdf")</f>
        <v>C:\Backups\InsiderTechSol\Aviation\Jetelio_v3\.LAYOUT\resources\RunwayDiagrams\DRRN.pdf</v>
      </c>
      <c r="AQ236" s="12" t="str">
        <f>IF($A236="","",admin!$B$2&amp;"\Images\"&amp;$A236)</f>
        <v>C:\Backups\InsiderTechSol\Aviation\Jetelio_v3\.LAYOUT\resources\Images\DRRN</v>
      </c>
      <c r="AR236" s="12" t="str">
        <f>IF($A236="","",admin!$B$2&amp;"\CityMaps\"&amp;$A236&amp;".png")</f>
        <v>C:\Backups\InsiderTechSol\Aviation\Jetelio_v3\.LAYOUT\resources\CityMaps\DRRN.png</v>
      </c>
      <c r="AS236" s="16" t="str">
        <f t="shared" si="20"/>
        <v>VISA sheet</v>
      </c>
      <c r="AT236" s="16" t="str">
        <f t="shared" si="21"/>
        <v>Vendors sheet</v>
      </c>
      <c r="AU236" s="4"/>
      <c r="AV236" s="15">
        <f t="shared" ca="1" si="22"/>
        <v>46243</v>
      </c>
      <c r="AX236" s="6"/>
      <c r="AY236" t="str">
        <f t="shared" si="23"/>
        <v>INCOMPLETE - NOT SELECTABLE AS TECH STOP</v>
      </c>
    </row>
    <row r="237" spans="1:51" x14ac:dyDescent="0.3">
      <c r="A237" s="4" t="s">
        <v>1315</v>
      </c>
      <c r="B237" s="4" t="s">
        <v>1316</v>
      </c>
      <c r="C237" s="4"/>
      <c r="D237" s="4"/>
      <c r="E237" s="4" t="s">
        <v>1610</v>
      </c>
      <c r="F237" s="4" t="s">
        <v>82</v>
      </c>
      <c r="G237" s="4"/>
      <c r="H237" s="4" t="s">
        <v>1822</v>
      </c>
      <c r="I237" s="4" t="s">
        <v>1823</v>
      </c>
      <c r="J237" s="4"/>
      <c r="K237" s="4"/>
      <c r="L237" s="4"/>
      <c r="M237" s="4"/>
      <c r="N237" s="12" t="str">
        <f t="shared" si="18"/>
        <v>09°00′24″N 007°15′47″E</v>
      </c>
      <c r="O237" s="7">
        <v>9.0067900000000005</v>
      </c>
      <c r="P237" s="7">
        <v>7.2631699999999997</v>
      </c>
      <c r="Q237" s="13">
        <f t="shared" si="19"/>
        <v>342</v>
      </c>
      <c r="R237" s="11">
        <v>1123</v>
      </c>
      <c r="S237" s="4"/>
      <c r="T237" s="4" t="s">
        <v>2045</v>
      </c>
      <c r="U237" s="8">
        <v>1</v>
      </c>
      <c r="V237" s="14">
        <f ca="1">IF($U237="","",MOD(NOW()-admin!$B$1/24+$U237/24,1))</f>
        <v>0.65349305554991588</v>
      </c>
      <c r="W237" s="4"/>
      <c r="X237" s="4"/>
      <c r="Y237" s="4"/>
      <c r="Z237" s="4"/>
      <c r="AA237" s="4"/>
      <c r="AB237" s="4"/>
      <c r="AC237" s="4"/>
      <c r="AD237" s="4"/>
      <c r="AE237" s="4" t="s">
        <v>2170</v>
      </c>
      <c r="AF237" s="4"/>
      <c r="AG237" s="4"/>
      <c r="AH237" s="4"/>
      <c r="AI237" s="4"/>
      <c r="AJ237" s="4"/>
      <c r="AK237" s="4"/>
      <c r="AL237" s="4"/>
      <c r="AM237" s="4"/>
      <c r="AN237" s="4"/>
      <c r="AO237" s="12" t="str">
        <f>IF($A237="","",admin!$B$2&amp;"\Charts\"&amp;$A237)</f>
        <v>C:\Backups\InsiderTechSol\Aviation\Jetelio_v3\.LAYOUT\resources\Charts\DNAA</v>
      </c>
      <c r="AP237" s="12" t="str">
        <f>IF($A237="","",admin!$B$2&amp;"\RunwayDiagrams\"&amp;$A237&amp;".pdf")</f>
        <v>C:\Backups\InsiderTechSol\Aviation\Jetelio_v3\.LAYOUT\resources\RunwayDiagrams\DNAA.pdf</v>
      </c>
      <c r="AQ237" s="12" t="str">
        <f>IF($A237="","",admin!$B$2&amp;"\Images\"&amp;$A237)</f>
        <v>C:\Backups\InsiderTechSol\Aviation\Jetelio_v3\.LAYOUT\resources\Images\DNAA</v>
      </c>
      <c r="AR237" s="12" t="str">
        <f>IF($A237="","",admin!$B$2&amp;"\CityMaps\"&amp;$A237&amp;".png")</f>
        <v>C:\Backups\InsiderTechSol\Aviation\Jetelio_v3\.LAYOUT\resources\CityMaps\DNAA.png</v>
      </c>
      <c r="AS237" s="16" t="str">
        <f t="shared" si="20"/>
        <v>VISA sheet</v>
      </c>
      <c r="AT237" s="16" t="str">
        <f t="shared" si="21"/>
        <v>Vendors sheet</v>
      </c>
      <c r="AU237" s="4"/>
      <c r="AV237" s="15">
        <f t="shared" ca="1" si="22"/>
        <v>46243</v>
      </c>
      <c r="AX237" s="6"/>
      <c r="AY237" t="str">
        <f t="shared" si="23"/>
        <v>INCOMPLETE - NOT SELECTABLE AS TECH STOP</v>
      </c>
    </row>
    <row r="238" spans="1:51" x14ac:dyDescent="0.3">
      <c r="A238" s="4" t="s">
        <v>1317</v>
      </c>
      <c r="B238" s="4" t="s">
        <v>1318</v>
      </c>
      <c r="C238" s="4"/>
      <c r="D238" s="4"/>
      <c r="E238" s="4" t="s">
        <v>1611</v>
      </c>
      <c r="F238" s="4" t="s">
        <v>82</v>
      </c>
      <c r="G238" s="4"/>
      <c r="H238" s="4" t="s">
        <v>1822</v>
      </c>
      <c r="I238" s="4" t="s">
        <v>1824</v>
      </c>
      <c r="J238" s="4"/>
      <c r="K238" s="4"/>
      <c r="L238" s="4"/>
      <c r="M238" s="4"/>
      <c r="N238" s="12" t="str">
        <f t="shared" si="18"/>
        <v>06°12′15″N 006°39′55″E</v>
      </c>
      <c r="O238" s="7">
        <v>6.2041700000000004</v>
      </c>
      <c r="P238" s="7">
        <v>6.6652800000000001</v>
      </c>
      <c r="Q238" s="13">
        <f t="shared" si="19"/>
        <v>93</v>
      </c>
      <c r="R238" s="11">
        <v>305</v>
      </c>
      <c r="S238" s="4"/>
      <c r="T238" s="4" t="s">
        <v>2045</v>
      </c>
      <c r="U238" s="8">
        <v>1</v>
      </c>
      <c r="V238" s="14">
        <f ca="1">IF($U238="","",MOD(NOW()-admin!$B$1/24+$U238/24,1))</f>
        <v>0.65349305554991588</v>
      </c>
      <c r="W238" s="4"/>
      <c r="X238" s="4"/>
      <c r="Y238" s="4"/>
      <c r="Z238" s="4"/>
      <c r="AA238" s="4"/>
      <c r="AB238" s="4"/>
      <c r="AC238" s="4"/>
      <c r="AD238" s="4"/>
      <c r="AE238" s="4" t="s">
        <v>2171</v>
      </c>
      <c r="AF238" s="4"/>
      <c r="AG238" s="4"/>
      <c r="AH238" s="4"/>
      <c r="AI238" s="4"/>
      <c r="AJ238" s="4"/>
      <c r="AK238" s="4"/>
      <c r="AL238" s="4"/>
      <c r="AM238" s="4"/>
      <c r="AN238" s="4"/>
      <c r="AO238" s="12" t="str">
        <f>IF($A238="","",admin!$B$2&amp;"\Charts\"&amp;$A238)</f>
        <v>C:\Backups\InsiderTechSol\Aviation\Jetelio_v3\.LAYOUT\resources\Charts\DNAS</v>
      </c>
      <c r="AP238" s="12" t="str">
        <f>IF($A238="","",admin!$B$2&amp;"\RunwayDiagrams\"&amp;$A238&amp;".pdf")</f>
        <v>C:\Backups\InsiderTechSol\Aviation\Jetelio_v3\.LAYOUT\resources\RunwayDiagrams\DNAS.pdf</v>
      </c>
      <c r="AQ238" s="12" t="str">
        <f>IF($A238="","",admin!$B$2&amp;"\Images\"&amp;$A238)</f>
        <v>C:\Backups\InsiderTechSol\Aviation\Jetelio_v3\.LAYOUT\resources\Images\DNAS</v>
      </c>
      <c r="AR238" s="12" t="str">
        <f>IF($A238="","",admin!$B$2&amp;"\CityMaps\"&amp;$A238&amp;".png")</f>
        <v>C:\Backups\InsiderTechSol\Aviation\Jetelio_v3\.LAYOUT\resources\CityMaps\DNAS.png</v>
      </c>
      <c r="AS238" s="16" t="str">
        <f t="shared" si="20"/>
        <v>VISA sheet</v>
      </c>
      <c r="AT238" s="16" t="str">
        <f t="shared" si="21"/>
        <v>Vendors sheet</v>
      </c>
      <c r="AU238" s="4"/>
      <c r="AV238" s="15">
        <f t="shared" ca="1" si="22"/>
        <v>46243</v>
      </c>
      <c r="AX238" s="6"/>
      <c r="AY238" t="str">
        <f t="shared" si="23"/>
        <v>INCOMPLETE - NOT SELECTABLE AS TECH STOP</v>
      </c>
    </row>
    <row r="239" spans="1:51" x14ac:dyDescent="0.3">
      <c r="A239" s="4" t="s">
        <v>1319</v>
      </c>
      <c r="B239" s="4" t="s">
        <v>1320</v>
      </c>
      <c r="C239" s="4"/>
      <c r="D239" s="4"/>
      <c r="E239" s="4" t="s">
        <v>1612</v>
      </c>
      <c r="F239" s="4" t="s">
        <v>82</v>
      </c>
      <c r="G239" s="4"/>
      <c r="H239" s="4" t="s">
        <v>1825</v>
      </c>
      <c r="I239" s="4" t="s">
        <v>1826</v>
      </c>
      <c r="J239" s="4"/>
      <c r="K239" s="4"/>
      <c r="L239" s="4"/>
      <c r="M239" s="4"/>
      <c r="N239" s="12" t="str">
        <f t="shared" si="18"/>
        <v>12°08′29″N 086°10′06″W</v>
      </c>
      <c r="O239" s="7">
        <v>12.141500000000001</v>
      </c>
      <c r="P239" s="7">
        <v>-86.168199999999999</v>
      </c>
      <c r="Q239" s="13">
        <f t="shared" si="19"/>
        <v>59</v>
      </c>
      <c r="R239" s="11">
        <v>194</v>
      </c>
      <c r="S239" s="4"/>
      <c r="T239" s="4" t="s">
        <v>2046</v>
      </c>
      <c r="U239" s="8">
        <v>-6</v>
      </c>
      <c r="V239" s="14">
        <f ca="1">IF($U239="","",MOD(NOW()-admin!$B$1/24+$U239/24,1))</f>
        <v>0.36182638888567453</v>
      </c>
      <c r="W239" s="4"/>
      <c r="X239" s="4"/>
      <c r="Y239" s="4"/>
      <c r="Z239" s="4"/>
      <c r="AA239" s="4"/>
      <c r="AB239" s="4"/>
      <c r="AC239" s="4"/>
      <c r="AD239" s="4"/>
      <c r="AE239" s="4" t="s">
        <v>2172</v>
      </c>
      <c r="AF239" s="4"/>
      <c r="AG239" s="4"/>
      <c r="AH239" s="4"/>
      <c r="AI239" s="4"/>
      <c r="AJ239" s="4"/>
      <c r="AK239" s="4"/>
      <c r="AL239" s="4"/>
      <c r="AM239" s="4"/>
      <c r="AN239" s="4"/>
      <c r="AO239" s="12" t="str">
        <f>IF($A239="","",admin!$B$2&amp;"\Charts\"&amp;$A239)</f>
        <v>C:\Backups\InsiderTechSol\Aviation\Jetelio_v3\.LAYOUT\resources\Charts\MNMG</v>
      </c>
      <c r="AP239" s="12" t="str">
        <f>IF($A239="","",admin!$B$2&amp;"\RunwayDiagrams\"&amp;$A239&amp;".pdf")</f>
        <v>C:\Backups\InsiderTechSol\Aviation\Jetelio_v3\.LAYOUT\resources\RunwayDiagrams\MNMG.pdf</v>
      </c>
      <c r="AQ239" s="12" t="str">
        <f>IF($A239="","",admin!$B$2&amp;"\Images\"&amp;$A239)</f>
        <v>C:\Backups\InsiderTechSol\Aviation\Jetelio_v3\.LAYOUT\resources\Images\MNMG</v>
      </c>
      <c r="AR239" s="12" t="str">
        <f>IF($A239="","",admin!$B$2&amp;"\CityMaps\"&amp;$A239&amp;".png")</f>
        <v>C:\Backups\InsiderTechSol\Aviation\Jetelio_v3\.LAYOUT\resources\CityMaps\MNMG.png</v>
      </c>
      <c r="AS239" s="16" t="str">
        <f t="shared" si="20"/>
        <v>VISA sheet</v>
      </c>
      <c r="AT239" s="16" t="str">
        <f t="shared" si="21"/>
        <v>Vendors sheet</v>
      </c>
      <c r="AU239" s="4"/>
      <c r="AV239" s="15">
        <f t="shared" ca="1" si="22"/>
        <v>46243</v>
      </c>
      <c r="AX239" s="6"/>
      <c r="AY239" t="str">
        <f t="shared" si="23"/>
        <v>INCOMPLETE - NOT SELECTABLE AS TECH STOP</v>
      </c>
    </row>
    <row r="240" spans="1:51" x14ac:dyDescent="0.3">
      <c r="A240" s="4" t="s">
        <v>1321</v>
      </c>
      <c r="B240" s="4" t="s">
        <v>1322</v>
      </c>
      <c r="C240" s="4"/>
      <c r="D240" s="4"/>
      <c r="E240" s="4" t="s">
        <v>1613</v>
      </c>
      <c r="F240" s="4" t="s">
        <v>82</v>
      </c>
      <c r="G240" s="4"/>
      <c r="H240" s="4" t="s">
        <v>1827</v>
      </c>
      <c r="I240" s="4" t="s">
        <v>1828</v>
      </c>
      <c r="J240" s="4"/>
      <c r="K240" s="4"/>
      <c r="L240" s="4"/>
      <c r="M240" s="4"/>
      <c r="N240" s="12" t="str">
        <f t="shared" si="18"/>
        <v>52°18′31″N 004°45′50″E</v>
      </c>
      <c r="O240" s="7">
        <v>52.308599999999998</v>
      </c>
      <c r="P240" s="7">
        <v>4.76389</v>
      </c>
      <c r="Q240" s="13">
        <f t="shared" si="19"/>
        <v>-3</v>
      </c>
      <c r="R240" s="11">
        <v>-11</v>
      </c>
      <c r="S240" s="4"/>
      <c r="T240" s="4" t="s">
        <v>2047</v>
      </c>
      <c r="U240" s="8">
        <v>1</v>
      </c>
      <c r="V240" s="14">
        <f ca="1">IF($U240="","",MOD(NOW()-admin!$B$1/24+$U240/24,1))</f>
        <v>0.65349305554991588</v>
      </c>
      <c r="W240" s="4"/>
      <c r="X240" s="4"/>
      <c r="Y240" s="4"/>
      <c r="Z240" s="4"/>
      <c r="AA240" s="4"/>
      <c r="AB240" s="4"/>
      <c r="AC240" s="4"/>
      <c r="AD240" s="4"/>
      <c r="AE240" s="4" t="s">
        <v>2173</v>
      </c>
      <c r="AF240" s="4"/>
      <c r="AG240" s="4"/>
      <c r="AH240" s="4"/>
      <c r="AI240" s="4"/>
      <c r="AJ240" s="4"/>
      <c r="AK240" s="4"/>
      <c r="AL240" s="4"/>
      <c r="AM240" s="4"/>
      <c r="AN240" s="4"/>
      <c r="AO240" s="12" t="str">
        <f>IF($A240="","",admin!$B$2&amp;"\Charts\"&amp;$A240)</f>
        <v>C:\Backups\InsiderTechSol\Aviation\Jetelio_v3\.LAYOUT\resources\Charts\EHAM</v>
      </c>
      <c r="AP240" s="12" t="str">
        <f>IF($A240="","",admin!$B$2&amp;"\RunwayDiagrams\"&amp;$A240&amp;".pdf")</f>
        <v>C:\Backups\InsiderTechSol\Aviation\Jetelio_v3\.LAYOUT\resources\RunwayDiagrams\EHAM.pdf</v>
      </c>
      <c r="AQ240" s="12" t="str">
        <f>IF($A240="","",admin!$B$2&amp;"\Images\"&amp;$A240)</f>
        <v>C:\Backups\InsiderTechSol\Aviation\Jetelio_v3\.LAYOUT\resources\Images\EHAM</v>
      </c>
      <c r="AR240" s="12" t="str">
        <f>IF($A240="","",admin!$B$2&amp;"\CityMaps\"&amp;$A240&amp;".png")</f>
        <v>C:\Backups\InsiderTechSol\Aviation\Jetelio_v3\.LAYOUT\resources\CityMaps\EHAM.png</v>
      </c>
      <c r="AS240" s="16" t="str">
        <f t="shared" si="20"/>
        <v>VISA sheet</v>
      </c>
      <c r="AT240" s="16" t="str">
        <f t="shared" si="21"/>
        <v>Vendors sheet</v>
      </c>
      <c r="AU240" s="4"/>
      <c r="AV240" s="15">
        <f t="shared" ca="1" si="22"/>
        <v>46243</v>
      </c>
      <c r="AX240" s="6"/>
      <c r="AY240" t="str">
        <f t="shared" si="23"/>
        <v>INCOMPLETE - NOT SELECTABLE AS TECH STOP</v>
      </c>
    </row>
    <row r="241" spans="1:51" x14ac:dyDescent="0.3">
      <c r="A241" s="4" t="s">
        <v>1323</v>
      </c>
      <c r="B241" s="4" t="s">
        <v>1324</v>
      </c>
      <c r="C241" s="4"/>
      <c r="D241" s="4"/>
      <c r="E241" s="4" t="s">
        <v>1614</v>
      </c>
      <c r="F241" s="4" t="s">
        <v>82</v>
      </c>
      <c r="G241" s="4"/>
      <c r="H241" s="4" t="s">
        <v>1827</v>
      </c>
      <c r="I241" s="4" t="s">
        <v>1829</v>
      </c>
      <c r="J241" s="4"/>
      <c r="K241" s="4"/>
      <c r="L241" s="4"/>
      <c r="M241" s="4"/>
      <c r="N241" s="12" t="str">
        <f t="shared" si="18"/>
        <v>50°54′40″N 005°46′10″E</v>
      </c>
      <c r="O241" s="7">
        <v>50.911090000000002</v>
      </c>
      <c r="P241" s="7">
        <v>5.7694000000000001</v>
      </c>
      <c r="Q241" s="13">
        <f t="shared" si="19"/>
        <v>114</v>
      </c>
      <c r="R241" s="11">
        <v>375</v>
      </c>
      <c r="S241" s="4"/>
      <c r="T241" s="4" t="s">
        <v>2047</v>
      </c>
      <c r="U241" s="8">
        <v>1</v>
      </c>
      <c r="V241" s="14">
        <f ca="1">IF($U241="","",MOD(NOW()-admin!$B$1/24+$U241/24,1))</f>
        <v>0.65349305554991588</v>
      </c>
      <c r="W241" s="4"/>
      <c r="X241" s="4"/>
      <c r="Y241" s="4"/>
      <c r="Z241" s="4"/>
      <c r="AA241" s="4"/>
      <c r="AB241" s="4"/>
      <c r="AC241" s="4"/>
      <c r="AD241" s="4"/>
      <c r="AE241" s="4" t="s">
        <v>2174</v>
      </c>
      <c r="AF241" s="4"/>
      <c r="AG241" s="4"/>
      <c r="AH241" s="4"/>
      <c r="AI241" s="4"/>
      <c r="AJ241" s="4"/>
      <c r="AK241" s="4"/>
      <c r="AL241" s="4"/>
      <c r="AM241" s="4"/>
      <c r="AN241" s="4"/>
      <c r="AO241" s="12" t="str">
        <f>IF($A241="","",admin!$B$2&amp;"\Charts\"&amp;$A241)</f>
        <v>C:\Backups\InsiderTechSol\Aviation\Jetelio_v3\.LAYOUT\resources\Charts\EHBK</v>
      </c>
      <c r="AP241" s="12" t="str">
        <f>IF($A241="","",admin!$B$2&amp;"\RunwayDiagrams\"&amp;$A241&amp;".pdf")</f>
        <v>C:\Backups\InsiderTechSol\Aviation\Jetelio_v3\.LAYOUT\resources\RunwayDiagrams\EHBK.pdf</v>
      </c>
      <c r="AQ241" s="12" t="str">
        <f>IF($A241="","",admin!$B$2&amp;"\Images\"&amp;$A241)</f>
        <v>C:\Backups\InsiderTechSol\Aviation\Jetelio_v3\.LAYOUT\resources\Images\EHBK</v>
      </c>
      <c r="AR241" s="12" t="str">
        <f>IF($A241="","",admin!$B$2&amp;"\CityMaps\"&amp;$A241&amp;".png")</f>
        <v>C:\Backups\InsiderTechSol\Aviation\Jetelio_v3\.LAYOUT\resources\CityMaps\EHBK.png</v>
      </c>
      <c r="AS241" s="16" t="str">
        <f t="shared" si="20"/>
        <v>VISA sheet</v>
      </c>
      <c r="AT241" s="16" t="str">
        <f t="shared" si="21"/>
        <v>Vendors sheet</v>
      </c>
      <c r="AU241" s="4"/>
      <c r="AV241" s="15">
        <f t="shared" ca="1" si="22"/>
        <v>46243</v>
      </c>
      <c r="AX241" s="6"/>
      <c r="AY241" t="str">
        <f t="shared" si="23"/>
        <v>INCOMPLETE - NOT SELECTABLE AS TECH STOP</v>
      </c>
    </row>
    <row r="242" spans="1:51" x14ac:dyDescent="0.3">
      <c r="A242" s="4" t="s">
        <v>1325</v>
      </c>
      <c r="B242" s="4" t="s">
        <v>1326</v>
      </c>
      <c r="C242" s="4"/>
      <c r="D242" s="4"/>
      <c r="E242" s="4" t="s">
        <v>1615</v>
      </c>
      <c r="F242" s="4" t="s">
        <v>82</v>
      </c>
      <c r="G242" s="4"/>
      <c r="H242" s="4" t="s">
        <v>1830</v>
      </c>
      <c r="I242" s="4" t="s">
        <v>1831</v>
      </c>
      <c r="J242" s="4"/>
      <c r="K242" s="4"/>
      <c r="L242" s="4"/>
      <c r="M242" s="4"/>
      <c r="N242" s="12" t="str">
        <f t="shared" si="18"/>
        <v>62°33′38″N 006°06′39″E</v>
      </c>
      <c r="O242" s="7">
        <v>62.56044</v>
      </c>
      <c r="P242" s="7">
        <v>6.1108500000000001</v>
      </c>
      <c r="Q242" s="13">
        <f t="shared" si="19"/>
        <v>21</v>
      </c>
      <c r="R242" s="11">
        <v>69</v>
      </c>
      <c r="S242" s="4"/>
      <c r="T242" s="4" t="s">
        <v>2048</v>
      </c>
      <c r="U242" s="8">
        <v>1</v>
      </c>
      <c r="V242" s="14">
        <f ca="1">IF($U242="","",MOD(NOW()-admin!$B$1/24+$U242/24,1))</f>
        <v>0.65349305554991588</v>
      </c>
      <c r="W242" s="4"/>
      <c r="X242" s="4"/>
      <c r="Y242" s="4"/>
      <c r="Z242" s="4"/>
      <c r="AA242" s="4"/>
      <c r="AB242" s="4"/>
      <c r="AC242" s="4"/>
      <c r="AD242" s="4"/>
      <c r="AE242" s="4" t="s">
        <v>2175</v>
      </c>
      <c r="AF242" s="4"/>
      <c r="AG242" s="4"/>
      <c r="AH242" s="4"/>
      <c r="AI242" s="4"/>
      <c r="AJ242" s="4"/>
      <c r="AK242" s="4"/>
      <c r="AL242" s="4"/>
      <c r="AM242" s="4"/>
      <c r="AN242" s="4"/>
      <c r="AO242" s="12" t="str">
        <f>IF($A242="","",admin!$B$2&amp;"\Charts\"&amp;$A242)</f>
        <v>C:\Backups\InsiderTechSol\Aviation\Jetelio_v3\.LAYOUT\resources\Charts\ENAL</v>
      </c>
      <c r="AP242" s="12" t="str">
        <f>IF($A242="","",admin!$B$2&amp;"\RunwayDiagrams\"&amp;$A242&amp;".pdf")</f>
        <v>C:\Backups\InsiderTechSol\Aviation\Jetelio_v3\.LAYOUT\resources\RunwayDiagrams\ENAL.pdf</v>
      </c>
      <c r="AQ242" s="12" t="str">
        <f>IF($A242="","",admin!$B$2&amp;"\Images\"&amp;$A242)</f>
        <v>C:\Backups\InsiderTechSol\Aviation\Jetelio_v3\.LAYOUT\resources\Images\ENAL</v>
      </c>
      <c r="AR242" s="12" t="str">
        <f>IF($A242="","",admin!$B$2&amp;"\CityMaps\"&amp;$A242&amp;".png")</f>
        <v>C:\Backups\InsiderTechSol\Aviation\Jetelio_v3\.LAYOUT\resources\CityMaps\ENAL.png</v>
      </c>
      <c r="AS242" s="16" t="str">
        <f t="shared" si="20"/>
        <v>VISA sheet</v>
      </c>
      <c r="AT242" s="16" t="str">
        <f t="shared" si="21"/>
        <v>Vendors sheet</v>
      </c>
      <c r="AU242" s="4"/>
      <c r="AV242" s="15">
        <f t="shared" ca="1" si="22"/>
        <v>46243</v>
      </c>
      <c r="AX242" s="6"/>
      <c r="AY242" t="str">
        <f t="shared" si="23"/>
        <v>INCOMPLETE - NOT SELECTABLE AS TECH STOP</v>
      </c>
    </row>
    <row r="243" spans="1:51" x14ac:dyDescent="0.3">
      <c r="A243" s="4" t="s">
        <v>1327</v>
      </c>
      <c r="B243" s="4" t="s">
        <v>1328</v>
      </c>
      <c r="C243" s="4"/>
      <c r="D243" s="4"/>
      <c r="E243" s="4" t="s">
        <v>1616</v>
      </c>
      <c r="F243" s="4" t="s">
        <v>82</v>
      </c>
      <c r="G243" s="4"/>
      <c r="H243" s="4" t="s">
        <v>1830</v>
      </c>
      <c r="I243" s="4" t="s">
        <v>1832</v>
      </c>
      <c r="J243" s="4"/>
      <c r="K243" s="4"/>
      <c r="L243" s="4"/>
      <c r="M243" s="4"/>
      <c r="N243" s="12" t="str">
        <f t="shared" si="18"/>
        <v>67°16′09″N 014°21′55″E</v>
      </c>
      <c r="O243" s="7">
        <v>67.269199999999998</v>
      </c>
      <c r="P243" s="7">
        <v>14.3653</v>
      </c>
      <c r="Q243" s="13">
        <f t="shared" si="19"/>
        <v>13</v>
      </c>
      <c r="R243" s="11">
        <v>42</v>
      </c>
      <c r="S243" s="4"/>
      <c r="T243" s="4" t="s">
        <v>2048</v>
      </c>
      <c r="U243" s="8">
        <v>1</v>
      </c>
      <c r="V243" s="14">
        <f ca="1">IF($U243="","",MOD(NOW()-admin!$B$1/24+$U243/24,1))</f>
        <v>0.65349305554991588</v>
      </c>
      <c r="W243" s="4"/>
      <c r="X243" s="4"/>
      <c r="Y243" s="4"/>
      <c r="Z243" s="4"/>
      <c r="AA243" s="4"/>
      <c r="AB243" s="4"/>
      <c r="AC243" s="4"/>
      <c r="AD243" s="4"/>
      <c r="AE243" s="4" t="s">
        <v>2176</v>
      </c>
      <c r="AF243" s="4"/>
      <c r="AG243" s="4"/>
      <c r="AH243" s="4"/>
      <c r="AI243" s="4"/>
      <c r="AJ243" s="4"/>
      <c r="AK243" s="4"/>
      <c r="AL243" s="4"/>
      <c r="AM243" s="4"/>
      <c r="AN243" s="4"/>
      <c r="AO243" s="12" t="str">
        <f>IF($A243="","",admin!$B$2&amp;"\Charts\"&amp;$A243)</f>
        <v>C:\Backups\InsiderTechSol\Aviation\Jetelio_v3\.LAYOUT\resources\Charts\ENBO</v>
      </c>
      <c r="AP243" s="12" t="str">
        <f>IF($A243="","",admin!$B$2&amp;"\RunwayDiagrams\"&amp;$A243&amp;".pdf")</f>
        <v>C:\Backups\InsiderTechSol\Aviation\Jetelio_v3\.LAYOUT\resources\RunwayDiagrams\ENBO.pdf</v>
      </c>
      <c r="AQ243" s="12" t="str">
        <f>IF($A243="","",admin!$B$2&amp;"\Images\"&amp;$A243)</f>
        <v>C:\Backups\InsiderTechSol\Aviation\Jetelio_v3\.LAYOUT\resources\Images\ENBO</v>
      </c>
      <c r="AR243" s="12" t="str">
        <f>IF($A243="","",admin!$B$2&amp;"\CityMaps\"&amp;$A243&amp;".png")</f>
        <v>C:\Backups\InsiderTechSol\Aviation\Jetelio_v3\.LAYOUT\resources\CityMaps\ENBO.png</v>
      </c>
      <c r="AS243" s="16" t="str">
        <f t="shared" si="20"/>
        <v>VISA sheet</v>
      </c>
      <c r="AT243" s="16" t="str">
        <f t="shared" si="21"/>
        <v>Vendors sheet</v>
      </c>
      <c r="AU243" s="4"/>
      <c r="AV243" s="15">
        <f t="shared" ca="1" si="22"/>
        <v>46243</v>
      </c>
      <c r="AX243" s="6"/>
      <c r="AY243" t="str">
        <f t="shared" si="23"/>
        <v>INCOMPLETE - NOT SELECTABLE AS TECH STOP</v>
      </c>
    </row>
    <row r="244" spans="1:51" x14ac:dyDescent="0.3">
      <c r="A244" s="4" t="s">
        <v>1329</v>
      </c>
      <c r="B244" s="4" t="s">
        <v>1330</v>
      </c>
      <c r="C244" s="4"/>
      <c r="D244" s="4"/>
      <c r="E244" s="4" t="s">
        <v>1617</v>
      </c>
      <c r="F244" s="4" t="s">
        <v>82</v>
      </c>
      <c r="G244" s="4"/>
      <c r="H244" s="4" t="s">
        <v>1833</v>
      </c>
      <c r="I244" s="4" t="s">
        <v>1834</v>
      </c>
      <c r="J244" s="4"/>
      <c r="K244" s="4"/>
      <c r="L244" s="4"/>
      <c r="M244" s="4"/>
      <c r="N244" s="12" t="str">
        <f t="shared" si="18"/>
        <v>27°30′17″N 083°24′37″E</v>
      </c>
      <c r="O244" s="7">
        <v>27.504639999999998</v>
      </c>
      <c r="P244" s="7">
        <v>83.410380000000004</v>
      </c>
      <c r="Q244" s="13">
        <f t="shared" si="19"/>
        <v>109</v>
      </c>
      <c r="R244" s="11">
        <v>358</v>
      </c>
      <c r="S244" s="4"/>
      <c r="T244" s="4" t="s">
        <v>2049</v>
      </c>
      <c r="U244" s="8">
        <v>5.75</v>
      </c>
      <c r="V244" s="14">
        <f ca="1">IF($U244="","",MOD(NOW()-admin!$B$1/24+$U244/24,1))</f>
        <v>0.85140972222143319</v>
      </c>
      <c r="W244" s="4"/>
      <c r="X244" s="4"/>
      <c r="Y244" s="4"/>
      <c r="Z244" s="4"/>
      <c r="AA244" s="4"/>
      <c r="AB244" s="4"/>
      <c r="AC244" s="4"/>
      <c r="AD244" s="4"/>
      <c r="AE244" s="4" t="s">
        <v>2152</v>
      </c>
      <c r="AF244" s="4"/>
      <c r="AG244" s="4"/>
      <c r="AH244" s="4"/>
      <c r="AI244" s="4"/>
      <c r="AJ244" s="4"/>
      <c r="AK244" s="4"/>
      <c r="AL244" s="4"/>
      <c r="AM244" s="4"/>
      <c r="AN244" s="4"/>
      <c r="AO244" s="12" t="str">
        <f>IF($A244="","",admin!$B$2&amp;"\Charts\"&amp;$A244)</f>
        <v>C:\Backups\InsiderTechSol\Aviation\Jetelio_v3\.LAYOUT\resources\Charts\VNBW</v>
      </c>
      <c r="AP244" s="12" t="str">
        <f>IF($A244="","",admin!$B$2&amp;"\RunwayDiagrams\"&amp;$A244&amp;".pdf")</f>
        <v>C:\Backups\InsiderTechSol\Aviation\Jetelio_v3\.LAYOUT\resources\RunwayDiagrams\VNBW.pdf</v>
      </c>
      <c r="AQ244" s="12" t="str">
        <f>IF($A244="","",admin!$B$2&amp;"\Images\"&amp;$A244)</f>
        <v>C:\Backups\InsiderTechSol\Aviation\Jetelio_v3\.LAYOUT\resources\Images\VNBW</v>
      </c>
      <c r="AR244" s="12" t="str">
        <f>IF($A244="","",admin!$B$2&amp;"\CityMaps\"&amp;$A244&amp;".png")</f>
        <v>C:\Backups\InsiderTechSol\Aviation\Jetelio_v3\.LAYOUT\resources\CityMaps\VNBW.png</v>
      </c>
      <c r="AS244" s="16" t="str">
        <f t="shared" si="20"/>
        <v>VISA sheet</v>
      </c>
      <c r="AT244" s="16" t="str">
        <f t="shared" si="21"/>
        <v>Vendors sheet</v>
      </c>
      <c r="AU244" s="4"/>
      <c r="AV244" s="15">
        <f t="shared" ca="1" si="22"/>
        <v>46243</v>
      </c>
      <c r="AX244" s="6"/>
      <c r="AY244" t="str">
        <f t="shared" si="23"/>
        <v>INCOMPLETE - NOT SELECTABLE AS TECH STOP</v>
      </c>
    </row>
    <row r="245" spans="1:51" x14ac:dyDescent="0.3">
      <c r="A245" s="4" t="s">
        <v>1331</v>
      </c>
      <c r="B245" s="4" t="s">
        <v>1332</v>
      </c>
      <c r="C245" s="4"/>
      <c r="D245" s="4"/>
      <c r="E245" s="4" t="s">
        <v>1618</v>
      </c>
      <c r="F245" s="4" t="s">
        <v>82</v>
      </c>
      <c r="G245" s="4"/>
      <c r="H245" s="4" t="s">
        <v>1833</v>
      </c>
      <c r="I245" s="4" t="s">
        <v>1835</v>
      </c>
      <c r="J245" s="4"/>
      <c r="K245" s="4"/>
      <c r="L245" s="4"/>
      <c r="M245" s="4"/>
      <c r="N245" s="12" t="str">
        <f t="shared" si="18"/>
        <v>27°41′48″N 085°21′33″E</v>
      </c>
      <c r="O245" s="7">
        <v>27.6966</v>
      </c>
      <c r="P245" s="7">
        <v>85.359099999999998</v>
      </c>
      <c r="Q245" s="13">
        <f t="shared" si="19"/>
        <v>1338</v>
      </c>
      <c r="R245" s="11">
        <v>4390</v>
      </c>
      <c r="S245" s="4"/>
      <c r="T245" s="4" t="s">
        <v>2049</v>
      </c>
      <c r="U245" s="8">
        <v>5.75</v>
      </c>
      <c r="V245" s="14">
        <f ca="1">IF($U245="","",MOD(NOW()-admin!$B$1/24+$U245/24,1))</f>
        <v>0.85140972222143319</v>
      </c>
      <c r="W245" s="4"/>
      <c r="X245" s="4"/>
      <c r="Y245" s="4"/>
      <c r="Z245" s="4"/>
      <c r="AA245" s="4"/>
      <c r="AB245" s="4"/>
      <c r="AC245" s="4"/>
      <c r="AD245" s="4"/>
      <c r="AE245" s="4" t="s">
        <v>2177</v>
      </c>
      <c r="AF245" s="4"/>
      <c r="AG245" s="4"/>
      <c r="AH245" s="4"/>
      <c r="AI245" s="4"/>
      <c r="AJ245" s="4"/>
      <c r="AK245" s="4"/>
      <c r="AL245" s="4"/>
      <c r="AM245" s="4"/>
      <c r="AN245" s="4"/>
      <c r="AO245" s="12" t="str">
        <f>IF($A245="","",admin!$B$2&amp;"\Charts\"&amp;$A245)</f>
        <v>C:\Backups\InsiderTechSol\Aviation\Jetelio_v3\.LAYOUT\resources\Charts\VNKT</v>
      </c>
      <c r="AP245" s="12" t="str">
        <f>IF($A245="","",admin!$B$2&amp;"\RunwayDiagrams\"&amp;$A245&amp;".pdf")</f>
        <v>C:\Backups\InsiderTechSol\Aviation\Jetelio_v3\.LAYOUT\resources\RunwayDiagrams\VNKT.pdf</v>
      </c>
      <c r="AQ245" s="12" t="str">
        <f>IF($A245="","",admin!$B$2&amp;"\Images\"&amp;$A245)</f>
        <v>C:\Backups\InsiderTechSol\Aviation\Jetelio_v3\.LAYOUT\resources\Images\VNKT</v>
      </c>
      <c r="AR245" s="12" t="str">
        <f>IF($A245="","",admin!$B$2&amp;"\CityMaps\"&amp;$A245&amp;".png")</f>
        <v>C:\Backups\InsiderTechSol\Aviation\Jetelio_v3\.LAYOUT\resources\CityMaps\VNKT.png</v>
      </c>
      <c r="AS245" s="16" t="str">
        <f t="shared" si="20"/>
        <v>VISA sheet</v>
      </c>
      <c r="AT245" s="16" t="str">
        <f t="shared" si="21"/>
        <v>Vendors sheet</v>
      </c>
      <c r="AU245" s="4"/>
      <c r="AV245" s="15">
        <f t="shared" ca="1" si="22"/>
        <v>46243</v>
      </c>
      <c r="AX245" s="6"/>
      <c r="AY245" t="str">
        <f t="shared" si="23"/>
        <v>INCOMPLETE - NOT SELECTABLE AS TECH STOP</v>
      </c>
    </row>
    <row r="246" spans="1:51" x14ac:dyDescent="0.3">
      <c r="A246" s="4" t="s">
        <v>1333</v>
      </c>
      <c r="B246" s="4" t="s">
        <v>1334</v>
      </c>
      <c r="C246" s="4"/>
      <c r="D246" s="4"/>
      <c r="E246" s="4" t="s">
        <v>1619</v>
      </c>
      <c r="F246" s="4" t="s">
        <v>82</v>
      </c>
      <c r="G246" s="4"/>
      <c r="H246" s="4" t="s">
        <v>1836</v>
      </c>
      <c r="I246" s="4" t="s">
        <v>1837</v>
      </c>
      <c r="J246" s="4"/>
      <c r="K246" s="4"/>
      <c r="L246" s="4"/>
      <c r="M246" s="4"/>
      <c r="N246" s="12" t="str">
        <f t="shared" si="18"/>
        <v>37°00′43″S 174°47′11″E</v>
      </c>
      <c r="O246" s="7">
        <v>-37.011989999999997</v>
      </c>
      <c r="P246" s="7">
        <v>174.78632999999999</v>
      </c>
      <c r="Q246" s="13">
        <f t="shared" si="19"/>
        <v>7</v>
      </c>
      <c r="R246" s="11">
        <v>23</v>
      </c>
      <c r="S246" s="4"/>
      <c r="T246" s="4" t="s">
        <v>2050</v>
      </c>
      <c r="U246" s="8">
        <v>12</v>
      </c>
      <c r="V246" s="14">
        <f ca="1">IF($U246="","",MOD(NOW()-admin!$B$1/24+$U246/24,1))</f>
        <v>0.11182638888567453</v>
      </c>
      <c r="W246" s="4"/>
      <c r="X246" s="4"/>
      <c r="Y246" s="4"/>
      <c r="Z246" s="4"/>
      <c r="AA246" s="4"/>
      <c r="AB246" s="4"/>
      <c r="AC246" s="4"/>
      <c r="AD246" s="4"/>
      <c r="AE246" s="4" t="s">
        <v>2178</v>
      </c>
      <c r="AF246" s="4"/>
      <c r="AG246" s="4"/>
      <c r="AH246" s="4"/>
      <c r="AI246" s="4"/>
      <c r="AJ246" s="4"/>
      <c r="AK246" s="4"/>
      <c r="AL246" s="4"/>
      <c r="AM246" s="4"/>
      <c r="AN246" s="4"/>
      <c r="AO246" s="12" t="str">
        <f>IF($A246="","",admin!$B$2&amp;"\Charts\"&amp;$A246)</f>
        <v>C:\Backups\InsiderTechSol\Aviation\Jetelio_v3\.LAYOUT\resources\Charts\NZAA</v>
      </c>
      <c r="AP246" s="12" t="str">
        <f>IF($A246="","",admin!$B$2&amp;"\RunwayDiagrams\"&amp;$A246&amp;".pdf")</f>
        <v>C:\Backups\InsiderTechSol\Aviation\Jetelio_v3\.LAYOUT\resources\RunwayDiagrams\NZAA.pdf</v>
      </c>
      <c r="AQ246" s="12" t="str">
        <f>IF($A246="","",admin!$B$2&amp;"\Images\"&amp;$A246)</f>
        <v>C:\Backups\InsiderTechSol\Aviation\Jetelio_v3\.LAYOUT\resources\Images\NZAA</v>
      </c>
      <c r="AR246" s="12" t="str">
        <f>IF($A246="","",admin!$B$2&amp;"\CityMaps\"&amp;$A246&amp;".png")</f>
        <v>C:\Backups\InsiderTechSol\Aviation\Jetelio_v3\.LAYOUT\resources\CityMaps\NZAA.png</v>
      </c>
      <c r="AS246" s="16" t="str">
        <f t="shared" si="20"/>
        <v>VISA sheet</v>
      </c>
      <c r="AT246" s="16" t="str">
        <f t="shared" si="21"/>
        <v>Vendors sheet</v>
      </c>
      <c r="AU246" s="4"/>
      <c r="AV246" s="15">
        <f t="shared" ca="1" si="22"/>
        <v>46243</v>
      </c>
      <c r="AX246" s="6"/>
      <c r="AY246" t="str">
        <f t="shared" si="23"/>
        <v>INCOMPLETE - NOT SELECTABLE AS TECH STOP</v>
      </c>
    </row>
    <row r="247" spans="1:51" x14ac:dyDescent="0.3">
      <c r="A247" s="4" t="s">
        <v>1335</v>
      </c>
      <c r="B247" s="4" t="s">
        <v>1336</v>
      </c>
      <c r="C247" s="4"/>
      <c r="D247" s="4"/>
      <c r="E247" s="4" t="s">
        <v>1620</v>
      </c>
      <c r="F247" s="4" t="s">
        <v>82</v>
      </c>
      <c r="G247" s="4"/>
      <c r="H247" s="4" t="s">
        <v>1836</v>
      </c>
      <c r="I247" s="4" t="s">
        <v>1838</v>
      </c>
      <c r="J247" s="4"/>
      <c r="K247" s="4"/>
      <c r="L247" s="4"/>
      <c r="M247" s="4"/>
      <c r="N247" s="12" t="str">
        <f t="shared" si="18"/>
        <v>43°29′21″S 172°31′55″E</v>
      </c>
      <c r="O247" s="7">
        <v>-43.48903</v>
      </c>
      <c r="P247" s="7">
        <v>172.53206</v>
      </c>
      <c r="Q247" s="13">
        <f t="shared" si="19"/>
        <v>37</v>
      </c>
      <c r="R247" s="11">
        <v>123</v>
      </c>
      <c r="S247" s="4"/>
      <c r="T247" s="4" t="s">
        <v>2050</v>
      </c>
      <c r="U247" s="8">
        <v>12</v>
      </c>
      <c r="V247" s="14">
        <f ca="1">IF($U247="","",MOD(NOW()-admin!$B$1/24+$U247/24,1))</f>
        <v>0.11182638888567453</v>
      </c>
      <c r="W247" s="4"/>
      <c r="X247" s="4"/>
      <c r="Y247" s="4"/>
      <c r="Z247" s="4"/>
      <c r="AA247" s="4"/>
      <c r="AB247" s="4"/>
      <c r="AC247" s="4"/>
      <c r="AD247" s="4"/>
      <c r="AE247" s="4" t="s">
        <v>2179</v>
      </c>
      <c r="AF247" s="4"/>
      <c r="AG247" s="4"/>
      <c r="AH247" s="4"/>
      <c r="AI247" s="4"/>
      <c r="AJ247" s="4"/>
      <c r="AK247" s="4"/>
      <c r="AL247" s="4"/>
      <c r="AM247" s="4"/>
      <c r="AN247" s="4"/>
      <c r="AO247" s="12" t="str">
        <f>IF($A247="","",admin!$B$2&amp;"\Charts\"&amp;$A247)</f>
        <v>C:\Backups\InsiderTechSol\Aviation\Jetelio_v3\.LAYOUT\resources\Charts\NZCH</v>
      </c>
      <c r="AP247" s="12" t="str">
        <f>IF($A247="","",admin!$B$2&amp;"\RunwayDiagrams\"&amp;$A247&amp;".pdf")</f>
        <v>C:\Backups\InsiderTechSol\Aviation\Jetelio_v3\.LAYOUT\resources\RunwayDiagrams\NZCH.pdf</v>
      </c>
      <c r="AQ247" s="12" t="str">
        <f>IF($A247="","",admin!$B$2&amp;"\Images\"&amp;$A247)</f>
        <v>C:\Backups\InsiderTechSol\Aviation\Jetelio_v3\.LAYOUT\resources\Images\NZCH</v>
      </c>
      <c r="AR247" s="12" t="str">
        <f>IF($A247="","",admin!$B$2&amp;"\CityMaps\"&amp;$A247&amp;".png")</f>
        <v>C:\Backups\InsiderTechSol\Aviation\Jetelio_v3\.LAYOUT\resources\CityMaps\NZCH.png</v>
      </c>
      <c r="AS247" s="16" t="str">
        <f t="shared" si="20"/>
        <v>VISA sheet</v>
      </c>
      <c r="AT247" s="16" t="str">
        <f t="shared" si="21"/>
        <v>Vendors sheet</v>
      </c>
      <c r="AU247" s="4"/>
      <c r="AV247" s="15">
        <f t="shared" ca="1" si="22"/>
        <v>46243</v>
      </c>
      <c r="AX247" s="6"/>
      <c r="AY247" t="str">
        <f t="shared" si="23"/>
        <v>INCOMPLETE - NOT SELECTABLE AS TECH STOP</v>
      </c>
    </row>
    <row r="248" spans="1:51" x14ac:dyDescent="0.3">
      <c r="A248" s="4" t="s">
        <v>1337</v>
      </c>
      <c r="B248" s="4" t="s">
        <v>1338</v>
      </c>
      <c r="C248" s="4"/>
      <c r="D248" s="4"/>
      <c r="E248" s="4" t="s">
        <v>1621</v>
      </c>
      <c r="F248" s="4" t="s">
        <v>82</v>
      </c>
      <c r="G248" s="4"/>
      <c r="H248" s="4" t="s">
        <v>84</v>
      </c>
      <c r="I248" s="4" t="s">
        <v>1839</v>
      </c>
      <c r="J248" s="4"/>
      <c r="K248" s="4"/>
      <c r="L248" s="4"/>
      <c r="M248" s="4"/>
      <c r="N248" s="12" t="str">
        <f t="shared" si="18"/>
        <v>19°30′07″N 057°38′03″E</v>
      </c>
      <c r="O248" s="7">
        <v>19.501940000000001</v>
      </c>
      <c r="P248" s="7">
        <v>57.634169999999997</v>
      </c>
      <c r="Q248" s="13">
        <f t="shared" si="19"/>
        <v>111</v>
      </c>
      <c r="R248" s="11">
        <v>364</v>
      </c>
      <c r="S248" s="4"/>
      <c r="T248" s="4"/>
      <c r="U248" s="8">
        <v>4</v>
      </c>
      <c r="V248" s="14">
        <f ca="1">IF($U248="","",MOD(NOW()-admin!$B$1/24+$U248/24,1))</f>
        <v>0.77849305554991588</v>
      </c>
      <c r="W248" s="4"/>
      <c r="X248" s="4"/>
      <c r="Y248" s="4"/>
      <c r="Z248" s="4"/>
      <c r="AA248" s="4"/>
      <c r="AB248" s="4"/>
      <c r="AC248" s="4"/>
      <c r="AD248" s="4"/>
      <c r="AE248" s="4" t="s">
        <v>2180</v>
      </c>
      <c r="AF248" s="4"/>
      <c r="AG248" s="4"/>
      <c r="AH248" s="4"/>
      <c r="AI248" s="4"/>
      <c r="AJ248" s="4"/>
      <c r="AK248" s="4"/>
      <c r="AL248" s="4"/>
      <c r="AM248" s="4"/>
      <c r="AN248" s="4"/>
      <c r="AO248" s="12" t="str">
        <f>IF($A248="","",admin!$B$2&amp;"\Charts\"&amp;$A248)</f>
        <v>C:\Backups\InsiderTechSol\Aviation\Jetelio_v3\.LAYOUT\resources\Charts\OODQ</v>
      </c>
      <c r="AP248" s="12" t="str">
        <f>IF($A248="","",admin!$B$2&amp;"\RunwayDiagrams\"&amp;$A248&amp;".pdf")</f>
        <v>C:\Backups\InsiderTechSol\Aviation\Jetelio_v3\.LAYOUT\resources\RunwayDiagrams\OODQ.pdf</v>
      </c>
      <c r="AQ248" s="12" t="str">
        <f>IF($A248="","",admin!$B$2&amp;"\Images\"&amp;$A248)</f>
        <v>C:\Backups\InsiderTechSol\Aviation\Jetelio_v3\.LAYOUT\resources\Images\OODQ</v>
      </c>
      <c r="AR248" s="12" t="str">
        <f>IF($A248="","",admin!$B$2&amp;"\CityMaps\"&amp;$A248&amp;".png")</f>
        <v>C:\Backups\InsiderTechSol\Aviation\Jetelio_v3\.LAYOUT\resources\CityMaps\OODQ.png</v>
      </c>
      <c r="AS248" s="16" t="str">
        <f t="shared" si="20"/>
        <v>VISA sheet</v>
      </c>
      <c r="AT248" s="16" t="str">
        <f t="shared" si="21"/>
        <v>Vendors sheet</v>
      </c>
      <c r="AU248" s="4"/>
      <c r="AV248" s="15">
        <f t="shared" ca="1" si="22"/>
        <v>46243</v>
      </c>
      <c r="AX248" s="6"/>
      <c r="AY248" t="str">
        <f t="shared" si="23"/>
        <v>INCOMPLETE - NOT SELECTABLE AS TECH STOP</v>
      </c>
    </row>
    <row r="249" spans="1:51" x14ac:dyDescent="0.3">
      <c r="A249" s="4" t="s">
        <v>1339</v>
      </c>
      <c r="B249" s="4" t="s">
        <v>1340</v>
      </c>
      <c r="C249" s="4"/>
      <c r="D249" s="4"/>
      <c r="E249" s="4" t="s">
        <v>1622</v>
      </c>
      <c r="F249" s="4" t="s">
        <v>82</v>
      </c>
      <c r="G249" s="4"/>
      <c r="H249" s="4" t="s">
        <v>84</v>
      </c>
      <c r="I249" s="4" t="s">
        <v>1840</v>
      </c>
      <c r="J249" s="4"/>
      <c r="K249" s="4"/>
      <c r="L249" s="4"/>
      <c r="M249" s="4"/>
      <c r="N249" s="12" t="str">
        <f t="shared" si="18"/>
        <v>23°36′01″N 058°17′07″E</v>
      </c>
      <c r="O249" s="7">
        <v>23.60022</v>
      </c>
      <c r="P249" s="7">
        <v>58.285269999999997</v>
      </c>
      <c r="Q249" s="13">
        <f t="shared" si="19"/>
        <v>15</v>
      </c>
      <c r="R249" s="11">
        <v>48</v>
      </c>
      <c r="S249" s="4"/>
      <c r="T249" s="4" t="s">
        <v>88</v>
      </c>
      <c r="U249" s="8">
        <v>4</v>
      </c>
      <c r="V249" s="14">
        <f ca="1">IF($U249="","",MOD(NOW()-admin!$B$1/24+$U249/24,1))</f>
        <v>0.77849305554991588</v>
      </c>
      <c r="W249" s="4"/>
      <c r="X249" s="4"/>
      <c r="Y249" s="4"/>
      <c r="Z249" s="4"/>
      <c r="AA249" s="4"/>
      <c r="AB249" s="4"/>
      <c r="AC249" s="4"/>
      <c r="AD249" s="4"/>
      <c r="AE249" s="4" t="s">
        <v>2181</v>
      </c>
      <c r="AF249" s="4"/>
      <c r="AG249" s="4"/>
      <c r="AH249" s="4"/>
      <c r="AI249" s="4"/>
      <c r="AJ249" s="4"/>
      <c r="AK249" s="4"/>
      <c r="AL249" s="4"/>
      <c r="AM249" s="4"/>
      <c r="AN249" s="4"/>
      <c r="AO249" s="12" t="str">
        <f>IF($A249="","",admin!$B$2&amp;"\Charts\"&amp;$A249)</f>
        <v>C:\Backups\InsiderTechSol\Aviation\Jetelio_v3\.LAYOUT\resources\Charts\OOMS</v>
      </c>
      <c r="AP249" s="12" t="str">
        <f>IF($A249="","",admin!$B$2&amp;"\RunwayDiagrams\"&amp;$A249&amp;".pdf")</f>
        <v>C:\Backups\InsiderTechSol\Aviation\Jetelio_v3\.LAYOUT\resources\RunwayDiagrams\OOMS.pdf</v>
      </c>
      <c r="AQ249" s="12" t="str">
        <f>IF($A249="","",admin!$B$2&amp;"\Images\"&amp;$A249)</f>
        <v>C:\Backups\InsiderTechSol\Aviation\Jetelio_v3\.LAYOUT\resources\Images\OOMS</v>
      </c>
      <c r="AR249" s="12" t="str">
        <f>IF($A249="","",admin!$B$2&amp;"\CityMaps\"&amp;$A249&amp;".png")</f>
        <v>C:\Backups\InsiderTechSol\Aviation\Jetelio_v3\.LAYOUT\resources\CityMaps\OOMS.png</v>
      </c>
      <c r="AS249" s="16" t="str">
        <f t="shared" si="20"/>
        <v>VISA sheet</v>
      </c>
      <c r="AT249" s="16" t="str">
        <f t="shared" si="21"/>
        <v>Vendors sheet</v>
      </c>
      <c r="AU249" s="4"/>
      <c r="AV249" s="15">
        <f t="shared" ca="1" si="22"/>
        <v>46243</v>
      </c>
      <c r="AX249" s="6"/>
      <c r="AY249" t="str">
        <f t="shared" si="23"/>
        <v>INCOMPLETE - NOT SELECTABLE AS TECH STOP</v>
      </c>
    </row>
    <row r="250" spans="1:51" x14ac:dyDescent="0.3">
      <c r="A250" s="4" t="s">
        <v>1341</v>
      </c>
      <c r="B250" s="4" t="s">
        <v>1342</v>
      </c>
      <c r="C250" s="4"/>
      <c r="D250" s="4"/>
      <c r="E250" s="4" t="s">
        <v>1623</v>
      </c>
      <c r="F250" s="4" t="s">
        <v>82</v>
      </c>
      <c r="G250" s="4"/>
      <c r="H250" s="4" t="s">
        <v>1841</v>
      </c>
      <c r="I250" s="4" t="s">
        <v>1842</v>
      </c>
      <c r="J250" s="4"/>
      <c r="K250" s="4"/>
      <c r="L250" s="4"/>
      <c r="M250" s="4"/>
      <c r="N250" s="12" t="str">
        <f t="shared" si="18"/>
        <v>09°04′17″N 079°23′01″W</v>
      </c>
      <c r="O250" s="7">
        <v>9.0713600000000003</v>
      </c>
      <c r="P250" s="7">
        <v>-79.383499999999998</v>
      </c>
      <c r="Q250" s="13">
        <f t="shared" si="19"/>
        <v>41</v>
      </c>
      <c r="R250" s="11">
        <v>135</v>
      </c>
      <c r="S250" s="4"/>
      <c r="T250" s="4" t="s">
        <v>2051</v>
      </c>
      <c r="U250" s="8">
        <v>-5</v>
      </c>
      <c r="V250" s="14">
        <f ca="1">IF($U250="","",MOD(NOW()-admin!$B$1/24+$U250/24,1))</f>
        <v>0.40349305554991588</v>
      </c>
      <c r="W250" s="4"/>
      <c r="X250" s="4"/>
      <c r="Y250" s="4"/>
      <c r="Z250" s="4"/>
      <c r="AA250" s="4"/>
      <c r="AB250" s="4"/>
      <c r="AC250" s="4"/>
      <c r="AD250" s="4"/>
      <c r="AE250" s="4" t="s">
        <v>2182</v>
      </c>
      <c r="AF250" s="4"/>
      <c r="AG250" s="4"/>
      <c r="AH250" s="4"/>
      <c r="AI250" s="4"/>
      <c r="AJ250" s="4"/>
      <c r="AK250" s="4"/>
      <c r="AL250" s="4"/>
      <c r="AM250" s="4"/>
      <c r="AN250" s="4"/>
      <c r="AO250" s="12" t="str">
        <f>IF($A250="","",admin!$B$2&amp;"\Charts\"&amp;$A250)</f>
        <v>C:\Backups\InsiderTechSol\Aviation\Jetelio_v3\.LAYOUT\resources\Charts\MPTO</v>
      </c>
      <c r="AP250" s="12" t="str">
        <f>IF($A250="","",admin!$B$2&amp;"\RunwayDiagrams\"&amp;$A250&amp;".pdf")</f>
        <v>C:\Backups\InsiderTechSol\Aviation\Jetelio_v3\.LAYOUT\resources\RunwayDiagrams\MPTO.pdf</v>
      </c>
      <c r="AQ250" s="12" t="str">
        <f>IF($A250="","",admin!$B$2&amp;"\Images\"&amp;$A250)</f>
        <v>C:\Backups\InsiderTechSol\Aviation\Jetelio_v3\.LAYOUT\resources\Images\MPTO</v>
      </c>
      <c r="AR250" s="12" t="str">
        <f>IF($A250="","",admin!$B$2&amp;"\CityMaps\"&amp;$A250&amp;".png")</f>
        <v>C:\Backups\InsiderTechSol\Aviation\Jetelio_v3\.LAYOUT\resources\CityMaps\MPTO.png</v>
      </c>
      <c r="AS250" s="16" t="str">
        <f t="shared" si="20"/>
        <v>VISA sheet</v>
      </c>
      <c r="AT250" s="16" t="str">
        <f t="shared" si="21"/>
        <v>Vendors sheet</v>
      </c>
      <c r="AU250" s="4"/>
      <c r="AV250" s="15">
        <f t="shared" ca="1" si="22"/>
        <v>46243</v>
      </c>
      <c r="AX250" s="6"/>
      <c r="AY250" t="str">
        <f t="shared" si="23"/>
        <v>INCOMPLETE - NOT SELECTABLE AS TECH STOP</v>
      </c>
    </row>
    <row r="251" spans="1:51" x14ac:dyDescent="0.3">
      <c r="A251" s="4" t="s">
        <v>1343</v>
      </c>
      <c r="B251" s="4" t="s">
        <v>1344</v>
      </c>
      <c r="C251" s="4"/>
      <c r="D251" s="4"/>
      <c r="E251" s="4" t="s">
        <v>1624</v>
      </c>
      <c r="F251" s="4" t="s">
        <v>82</v>
      </c>
      <c r="G251" s="4"/>
      <c r="H251" s="4" t="s">
        <v>1843</v>
      </c>
      <c r="I251" s="4" t="s">
        <v>1844</v>
      </c>
      <c r="J251" s="4"/>
      <c r="K251" s="4"/>
      <c r="L251" s="4"/>
      <c r="M251" s="4"/>
      <c r="N251" s="12" t="str">
        <f t="shared" si="18"/>
        <v>08°22′41″S 074°34′28″W</v>
      </c>
      <c r="O251" s="7">
        <v>-8.3780599999999996</v>
      </c>
      <c r="P251" s="7">
        <v>-74.574489999999997</v>
      </c>
      <c r="Q251" s="13">
        <f t="shared" si="19"/>
        <v>156</v>
      </c>
      <c r="R251" s="11">
        <v>513</v>
      </c>
      <c r="S251" s="4"/>
      <c r="T251" s="4" t="s">
        <v>2052</v>
      </c>
      <c r="U251" s="8">
        <v>-5</v>
      </c>
      <c r="V251" s="14">
        <f ca="1">IF($U251="","",MOD(NOW()-admin!$B$1/24+$U251/24,1))</f>
        <v>0.40349305554991588</v>
      </c>
      <c r="W251" s="4"/>
      <c r="X251" s="4"/>
      <c r="Y251" s="4"/>
      <c r="Z251" s="4"/>
      <c r="AA251" s="4"/>
      <c r="AB251" s="4"/>
      <c r="AC251" s="4"/>
      <c r="AD251" s="4"/>
      <c r="AE251" s="4" t="s">
        <v>2183</v>
      </c>
      <c r="AF251" s="4"/>
      <c r="AG251" s="4"/>
      <c r="AH251" s="4"/>
      <c r="AI251" s="4"/>
      <c r="AJ251" s="4"/>
      <c r="AK251" s="4"/>
      <c r="AL251" s="4"/>
      <c r="AM251" s="4"/>
      <c r="AN251" s="4"/>
      <c r="AO251" s="12" t="str">
        <f>IF($A251="","",admin!$B$2&amp;"\Charts\"&amp;$A251)</f>
        <v>C:\Backups\InsiderTechSol\Aviation\Jetelio_v3\.LAYOUT\resources\Charts\SPCL</v>
      </c>
      <c r="AP251" s="12" t="str">
        <f>IF($A251="","",admin!$B$2&amp;"\RunwayDiagrams\"&amp;$A251&amp;".pdf")</f>
        <v>C:\Backups\InsiderTechSol\Aviation\Jetelio_v3\.LAYOUT\resources\RunwayDiagrams\SPCL.pdf</v>
      </c>
      <c r="AQ251" s="12" t="str">
        <f>IF($A251="","",admin!$B$2&amp;"\Images\"&amp;$A251)</f>
        <v>C:\Backups\InsiderTechSol\Aviation\Jetelio_v3\.LAYOUT\resources\Images\SPCL</v>
      </c>
      <c r="AR251" s="12" t="str">
        <f>IF($A251="","",admin!$B$2&amp;"\CityMaps\"&amp;$A251&amp;".png")</f>
        <v>C:\Backups\InsiderTechSol\Aviation\Jetelio_v3\.LAYOUT\resources\CityMaps\SPCL.png</v>
      </c>
      <c r="AS251" s="16" t="str">
        <f t="shared" si="20"/>
        <v>VISA sheet</v>
      </c>
      <c r="AT251" s="16" t="str">
        <f t="shared" si="21"/>
        <v>Vendors sheet</v>
      </c>
      <c r="AU251" s="4"/>
      <c r="AV251" s="15">
        <f t="shared" ca="1" si="22"/>
        <v>46243</v>
      </c>
      <c r="AX251" s="6"/>
      <c r="AY251" t="str">
        <f t="shared" si="23"/>
        <v>INCOMPLETE - NOT SELECTABLE AS TECH STOP</v>
      </c>
    </row>
    <row r="252" spans="1:51" x14ac:dyDescent="0.3">
      <c r="A252" s="4" t="s">
        <v>1345</v>
      </c>
      <c r="B252" s="4" t="s">
        <v>1346</v>
      </c>
      <c r="C252" s="4"/>
      <c r="D252" s="4"/>
      <c r="E252" s="4" t="s">
        <v>1625</v>
      </c>
      <c r="F252" s="4" t="s">
        <v>82</v>
      </c>
      <c r="G252" s="4"/>
      <c r="H252" s="4" t="s">
        <v>1843</v>
      </c>
      <c r="I252" s="4" t="s">
        <v>1845</v>
      </c>
      <c r="J252" s="4"/>
      <c r="K252" s="4"/>
      <c r="L252" s="4"/>
      <c r="M252" s="4"/>
      <c r="N252" s="12" t="str">
        <f t="shared" si="18"/>
        <v>06°47′21″S 079°49′42″W</v>
      </c>
      <c r="O252" s="7">
        <v>-6.7892200000000003</v>
      </c>
      <c r="P252" s="7">
        <v>-79.828249999999997</v>
      </c>
      <c r="Q252" s="13">
        <f t="shared" si="19"/>
        <v>30</v>
      </c>
      <c r="R252" s="11">
        <v>97</v>
      </c>
      <c r="S252" s="4"/>
      <c r="T252" s="4" t="s">
        <v>2052</v>
      </c>
      <c r="U252" s="8">
        <v>-5</v>
      </c>
      <c r="V252" s="14">
        <f ca="1">IF($U252="","",MOD(NOW()-admin!$B$1/24+$U252/24,1))</f>
        <v>0.40349305554991588</v>
      </c>
      <c r="W252" s="4"/>
      <c r="X252" s="4"/>
      <c r="Y252" s="4"/>
      <c r="Z252" s="4"/>
      <c r="AA252" s="4"/>
      <c r="AB252" s="4"/>
      <c r="AC252" s="4"/>
      <c r="AD252" s="4"/>
      <c r="AE252" s="4" t="s">
        <v>2184</v>
      </c>
      <c r="AF252" s="4"/>
      <c r="AG252" s="4"/>
      <c r="AH252" s="4"/>
      <c r="AI252" s="4"/>
      <c r="AJ252" s="4"/>
      <c r="AK252" s="4"/>
      <c r="AL252" s="4"/>
      <c r="AM252" s="4"/>
      <c r="AN252" s="4"/>
      <c r="AO252" s="12" t="str">
        <f>IF($A252="","",admin!$B$2&amp;"\Charts\"&amp;$A252)</f>
        <v>C:\Backups\InsiderTechSol\Aviation\Jetelio_v3\.LAYOUT\resources\Charts\SPHI</v>
      </c>
      <c r="AP252" s="12" t="str">
        <f>IF($A252="","",admin!$B$2&amp;"\RunwayDiagrams\"&amp;$A252&amp;".pdf")</f>
        <v>C:\Backups\InsiderTechSol\Aviation\Jetelio_v3\.LAYOUT\resources\RunwayDiagrams\SPHI.pdf</v>
      </c>
      <c r="AQ252" s="12" t="str">
        <f>IF($A252="","",admin!$B$2&amp;"\Images\"&amp;$A252)</f>
        <v>C:\Backups\InsiderTechSol\Aviation\Jetelio_v3\.LAYOUT\resources\Images\SPHI</v>
      </c>
      <c r="AR252" s="12" t="str">
        <f>IF($A252="","",admin!$B$2&amp;"\CityMaps\"&amp;$A252&amp;".png")</f>
        <v>C:\Backups\InsiderTechSol\Aviation\Jetelio_v3\.LAYOUT\resources\CityMaps\SPHI.png</v>
      </c>
      <c r="AS252" s="16" t="str">
        <f t="shared" si="20"/>
        <v>VISA sheet</v>
      </c>
      <c r="AT252" s="16" t="str">
        <f t="shared" si="21"/>
        <v>Vendors sheet</v>
      </c>
      <c r="AU252" s="4"/>
      <c r="AV252" s="15">
        <f t="shared" ca="1" si="22"/>
        <v>46243</v>
      </c>
      <c r="AX252" s="6"/>
      <c r="AY252" t="str">
        <f t="shared" si="23"/>
        <v>INCOMPLETE - NOT SELECTABLE AS TECH STOP</v>
      </c>
    </row>
    <row r="253" spans="1:51" x14ac:dyDescent="0.3">
      <c r="A253" s="4" t="s">
        <v>1347</v>
      </c>
      <c r="B253" s="4" t="s">
        <v>1348</v>
      </c>
      <c r="C253" s="4"/>
      <c r="D253" s="4"/>
      <c r="E253" s="4" t="s">
        <v>1626</v>
      </c>
      <c r="F253" s="4" t="s">
        <v>82</v>
      </c>
      <c r="G253" s="4"/>
      <c r="H253" s="4" t="s">
        <v>1846</v>
      </c>
      <c r="I253" s="4" t="s">
        <v>1847</v>
      </c>
      <c r="J253" s="4"/>
      <c r="K253" s="4"/>
      <c r="L253" s="4"/>
      <c r="M253" s="4"/>
      <c r="N253" s="12" t="str">
        <f t="shared" si="18"/>
        <v>17°33′12″S 149°36′25″W</v>
      </c>
      <c r="O253" s="7">
        <v>-17.553470000000001</v>
      </c>
      <c r="P253" s="7">
        <v>-149.60694000000001</v>
      </c>
      <c r="Q253" s="13">
        <f t="shared" si="19"/>
        <v>2</v>
      </c>
      <c r="R253" s="11">
        <v>5</v>
      </c>
      <c r="S253" s="4"/>
      <c r="T253" s="4" t="s">
        <v>2053</v>
      </c>
      <c r="U253" s="8">
        <v>-10</v>
      </c>
      <c r="V253" s="14">
        <f ca="1">IF($U253="","",MOD(NOW()-admin!$B$1/24+$U253/24,1))</f>
        <v>0.19515972222143319</v>
      </c>
      <c r="W253" s="4"/>
      <c r="X253" s="4"/>
      <c r="Y253" s="4"/>
      <c r="Z253" s="4"/>
      <c r="AA253" s="4"/>
      <c r="AB253" s="4"/>
      <c r="AC253" s="4"/>
      <c r="AD253" s="4"/>
      <c r="AE253" s="4" t="s">
        <v>2185</v>
      </c>
      <c r="AF253" s="4"/>
      <c r="AG253" s="4"/>
      <c r="AH253" s="4"/>
      <c r="AI253" s="4"/>
      <c r="AJ253" s="4"/>
      <c r="AK253" s="4"/>
      <c r="AL253" s="4"/>
      <c r="AM253" s="4"/>
      <c r="AN253" s="4"/>
      <c r="AO253" s="12" t="str">
        <f>IF($A253="","",admin!$B$2&amp;"\Charts\"&amp;$A253)</f>
        <v>C:\Backups\InsiderTechSol\Aviation\Jetelio_v3\.LAYOUT\resources\Charts\NTAA</v>
      </c>
      <c r="AP253" s="12" t="str">
        <f>IF($A253="","",admin!$B$2&amp;"\RunwayDiagrams\"&amp;$A253&amp;".pdf")</f>
        <v>C:\Backups\InsiderTechSol\Aviation\Jetelio_v3\.LAYOUT\resources\RunwayDiagrams\NTAA.pdf</v>
      </c>
      <c r="AQ253" s="12" t="str">
        <f>IF($A253="","",admin!$B$2&amp;"\Images\"&amp;$A253)</f>
        <v>C:\Backups\InsiderTechSol\Aviation\Jetelio_v3\.LAYOUT\resources\Images\NTAA</v>
      </c>
      <c r="AR253" s="12" t="str">
        <f>IF($A253="","",admin!$B$2&amp;"\CityMaps\"&amp;$A253&amp;".png")</f>
        <v>C:\Backups\InsiderTechSol\Aviation\Jetelio_v3\.LAYOUT\resources\CityMaps\NTAA.png</v>
      </c>
      <c r="AS253" s="16" t="str">
        <f t="shared" si="20"/>
        <v>VISA sheet</v>
      </c>
      <c r="AT253" s="16" t="str">
        <f t="shared" si="21"/>
        <v>Vendors sheet</v>
      </c>
      <c r="AU253" s="4"/>
      <c r="AV253" s="15">
        <f t="shared" ca="1" si="22"/>
        <v>46243</v>
      </c>
      <c r="AX253" s="6"/>
      <c r="AY253" t="str">
        <f t="shared" si="23"/>
        <v>INCOMPLETE - NOT SELECTABLE AS TECH STOP</v>
      </c>
    </row>
    <row r="254" spans="1:51" x14ac:dyDescent="0.3">
      <c r="A254" s="4" t="s">
        <v>1349</v>
      </c>
      <c r="B254" s="4" t="s">
        <v>1350</v>
      </c>
      <c r="C254" s="4"/>
      <c r="D254" s="4"/>
      <c r="E254" s="4" t="s">
        <v>1627</v>
      </c>
      <c r="F254" s="4" t="s">
        <v>82</v>
      </c>
      <c r="G254" s="4"/>
      <c r="H254" s="4" t="s">
        <v>1848</v>
      </c>
      <c r="I254" s="4" t="s">
        <v>1849</v>
      </c>
      <c r="J254" s="4"/>
      <c r="K254" s="4"/>
      <c r="L254" s="4"/>
      <c r="M254" s="4"/>
      <c r="N254" s="12" t="str">
        <f t="shared" si="18"/>
        <v>06°34′05″S 146°43′36″E</v>
      </c>
      <c r="O254" s="7">
        <v>-6.56799</v>
      </c>
      <c r="P254" s="7">
        <v>146.72654</v>
      </c>
      <c r="Q254" s="13">
        <f t="shared" si="19"/>
        <v>73</v>
      </c>
      <c r="R254" s="11">
        <v>239</v>
      </c>
      <c r="S254" s="4"/>
      <c r="T254" s="4" t="s">
        <v>2054</v>
      </c>
      <c r="U254" s="8">
        <v>10</v>
      </c>
      <c r="V254" s="14">
        <f ca="1">IF($U254="","",MOD(NOW()-admin!$B$1/24+$U254/24,1))</f>
        <v>2.849305554991588E-2</v>
      </c>
      <c r="W254" s="4"/>
      <c r="X254" s="4"/>
      <c r="Y254" s="4"/>
      <c r="Z254" s="4"/>
      <c r="AA254" s="4"/>
      <c r="AB254" s="4"/>
      <c r="AC254" s="4"/>
      <c r="AD254" s="4"/>
      <c r="AE254" s="4" t="s">
        <v>2186</v>
      </c>
      <c r="AF254" s="4"/>
      <c r="AG254" s="4"/>
      <c r="AH254" s="4"/>
      <c r="AI254" s="4"/>
      <c r="AJ254" s="4"/>
      <c r="AK254" s="4"/>
      <c r="AL254" s="4"/>
      <c r="AM254" s="4"/>
      <c r="AN254" s="4"/>
      <c r="AO254" s="12" t="str">
        <f>IF($A254="","",admin!$B$2&amp;"\Charts\"&amp;$A254)</f>
        <v>C:\Backups\InsiderTechSol\Aviation\Jetelio_v3\.LAYOUT\resources\Charts\AYNZ</v>
      </c>
      <c r="AP254" s="12" t="str">
        <f>IF($A254="","",admin!$B$2&amp;"\RunwayDiagrams\"&amp;$A254&amp;".pdf")</f>
        <v>C:\Backups\InsiderTechSol\Aviation\Jetelio_v3\.LAYOUT\resources\RunwayDiagrams\AYNZ.pdf</v>
      </c>
      <c r="AQ254" s="12" t="str">
        <f>IF($A254="","",admin!$B$2&amp;"\Images\"&amp;$A254)</f>
        <v>C:\Backups\InsiderTechSol\Aviation\Jetelio_v3\.LAYOUT\resources\Images\AYNZ</v>
      </c>
      <c r="AR254" s="12" t="str">
        <f>IF($A254="","",admin!$B$2&amp;"\CityMaps\"&amp;$A254&amp;".png")</f>
        <v>C:\Backups\InsiderTechSol\Aviation\Jetelio_v3\.LAYOUT\resources\CityMaps\AYNZ.png</v>
      </c>
      <c r="AS254" s="16" t="str">
        <f t="shared" si="20"/>
        <v>VISA sheet</v>
      </c>
      <c r="AT254" s="16" t="str">
        <f t="shared" si="21"/>
        <v>Vendors sheet</v>
      </c>
      <c r="AU254" s="4"/>
      <c r="AV254" s="15">
        <f t="shared" ca="1" si="22"/>
        <v>46243</v>
      </c>
      <c r="AX254" s="6"/>
      <c r="AY254" t="str">
        <f t="shared" si="23"/>
        <v>INCOMPLETE - NOT SELECTABLE AS TECH STOP</v>
      </c>
    </row>
    <row r="255" spans="1:51" x14ac:dyDescent="0.3">
      <c r="A255" s="4" t="s">
        <v>1351</v>
      </c>
      <c r="B255" s="4" t="s">
        <v>1352</v>
      </c>
      <c r="C255" s="4"/>
      <c r="D255" s="4"/>
      <c r="E255" s="4" t="s">
        <v>1628</v>
      </c>
      <c r="F255" s="4" t="s">
        <v>82</v>
      </c>
      <c r="G255" s="4"/>
      <c r="H255" s="4" t="s">
        <v>1848</v>
      </c>
      <c r="I255" s="4" t="s">
        <v>1850</v>
      </c>
      <c r="J255" s="4"/>
      <c r="K255" s="4"/>
      <c r="L255" s="4"/>
      <c r="M255" s="4"/>
      <c r="N255" s="12" t="str">
        <f t="shared" si="18"/>
        <v>09°26′36″S 147°13′12″E</v>
      </c>
      <c r="O255" s="7">
        <v>-9.4433799999999994</v>
      </c>
      <c r="P255" s="7">
        <v>147.22</v>
      </c>
      <c r="Q255" s="13">
        <f t="shared" si="19"/>
        <v>45</v>
      </c>
      <c r="R255" s="11">
        <v>146</v>
      </c>
      <c r="S255" s="4"/>
      <c r="T255" s="4" t="s">
        <v>2054</v>
      </c>
      <c r="U255" s="8">
        <v>10</v>
      </c>
      <c r="V255" s="14">
        <f ca="1">IF($U255="","",MOD(NOW()-admin!$B$1/24+$U255/24,1))</f>
        <v>2.849305554991588E-2</v>
      </c>
      <c r="W255" s="4"/>
      <c r="X255" s="4"/>
      <c r="Y255" s="4"/>
      <c r="Z255" s="4"/>
      <c r="AA255" s="4"/>
      <c r="AB255" s="4"/>
      <c r="AC255" s="4"/>
      <c r="AD255" s="4"/>
      <c r="AE255" s="4" t="s">
        <v>2187</v>
      </c>
      <c r="AF255" s="4"/>
      <c r="AG255" s="4"/>
      <c r="AH255" s="4"/>
      <c r="AI255" s="4"/>
      <c r="AJ255" s="4"/>
      <c r="AK255" s="4"/>
      <c r="AL255" s="4"/>
      <c r="AM255" s="4"/>
      <c r="AN255" s="4"/>
      <c r="AO255" s="12" t="str">
        <f>IF($A255="","",admin!$B$2&amp;"\Charts\"&amp;$A255)</f>
        <v>C:\Backups\InsiderTechSol\Aviation\Jetelio_v3\.LAYOUT\resources\Charts\AYPY</v>
      </c>
      <c r="AP255" s="12" t="str">
        <f>IF($A255="","",admin!$B$2&amp;"\RunwayDiagrams\"&amp;$A255&amp;".pdf")</f>
        <v>C:\Backups\InsiderTechSol\Aviation\Jetelio_v3\.LAYOUT\resources\RunwayDiagrams\AYPY.pdf</v>
      </c>
      <c r="AQ255" s="12" t="str">
        <f>IF($A255="","",admin!$B$2&amp;"\Images\"&amp;$A255)</f>
        <v>C:\Backups\InsiderTechSol\Aviation\Jetelio_v3\.LAYOUT\resources\Images\AYPY</v>
      </c>
      <c r="AR255" s="12" t="str">
        <f>IF($A255="","",admin!$B$2&amp;"\CityMaps\"&amp;$A255&amp;".png")</f>
        <v>C:\Backups\InsiderTechSol\Aviation\Jetelio_v3\.LAYOUT\resources\CityMaps\AYPY.png</v>
      </c>
      <c r="AS255" s="16" t="str">
        <f t="shared" si="20"/>
        <v>VISA sheet</v>
      </c>
      <c r="AT255" s="16" t="str">
        <f t="shared" si="21"/>
        <v>Vendors sheet</v>
      </c>
      <c r="AU255" s="4"/>
      <c r="AV255" s="15">
        <f t="shared" ca="1" si="22"/>
        <v>46243</v>
      </c>
      <c r="AX255" s="6"/>
      <c r="AY255" t="str">
        <f t="shared" si="23"/>
        <v>INCOMPLETE - NOT SELECTABLE AS TECH STOP</v>
      </c>
    </row>
    <row r="256" spans="1:51" x14ac:dyDescent="0.3">
      <c r="A256" s="4" t="s">
        <v>1353</v>
      </c>
      <c r="B256" s="4" t="s">
        <v>1354</v>
      </c>
      <c r="C256" s="4"/>
      <c r="D256" s="4"/>
      <c r="E256" s="4" t="s">
        <v>1629</v>
      </c>
      <c r="F256" s="4" t="s">
        <v>82</v>
      </c>
      <c r="G256" s="4"/>
      <c r="H256" s="4" t="s">
        <v>1851</v>
      </c>
      <c r="I256" s="4" t="s">
        <v>1852</v>
      </c>
      <c r="J256" s="4"/>
      <c r="K256" s="4"/>
      <c r="L256" s="4"/>
      <c r="M256" s="4"/>
      <c r="N256" s="12" t="str">
        <f t="shared" si="18"/>
        <v>14°47′41″N 120°16′19″E</v>
      </c>
      <c r="O256" s="7">
        <v>14.794829999999999</v>
      </c>
      <c r="P256" s="7">
        <v>120.27188</v>
      </c>
      <c r="Q256" s="13">
        <f t="shared" si="19"/>
        <v>20</v>
      </c>
      <c r="R256" s="11">
        <v>64</v>
      </c>
      <c r="S256" s="4"/>
      <c r="T256" s="4" t="s">
        <v>2055</v>
      </c>
      <c r="U256" s="8">
        <v>8</v>
      </c>
      <c r="V256" s="14">
        <f ca="1">IF($U256="","",MOD(NOW()-admin!$B$1/24+$U256/24,1))</f>
        <v>0.94515972222143319</v>
      </c>
      <c r="W256" s="4"/>
      <c r="X256" s="4"/>
      <c r="Y256" s="4"/>
      <c r="Z256" s="4"/>
      <c r="AA256" s="4"/>
      <c r="AB256" s="4"/>
      <c r="AC256" s="4"/>
      <c r="AD256" s="4"/>
      <c r="AE256" s="4" t="s">
        <v>1031</v>
      </c>
      <c r="AF256" s="4"/>
      <c r="AG256" s="4"/>
      <c r="AH256" s="4"/>
      <c r="AI256" s="4"/>
      <c r="AJ256" s="4"/>
      <c r="AK256" s="4"/>
      <c r="AL256" s="4"/>
      <c r="AM256" s="4"/>
      <c r="AN256" s="4"/>
      <c r="AO256" s="12" t="str">
        <f>IF($A256="","",admin!$B$2&amp;"\Charts\"&amp;$A256)</f>
        <v>C:\Backups\InsiderTechSol\Aviation\Jetelio_v3\.LAYOUT\resources\Charts\RPLB</v>
      </c>
      <c r="AP256" s="12" t="str">
        <f>IF($A256="","",admin!$B$2&amp;"\RunwayDiagrams\"&amp;$A256&amp;".pdf")</f>
        <v>C:\Backups\InsiderTechSol\Aviation\Jetelio_v3\.LAYOUT\resources\RunwayDiagrams\RPLB.pdf</v>
      </c>
      <c r="AQ256" s="12" t="str">
        <f>IF($A256="","",admin!$B$2&amp;"\Images\"&amp;$A256)</f>
        <v>C:\Backups\InsiderTechSol\Aviation\Jetelio_v3\.LAYOUT\resources\Images\RPLB</v>
      </c>
      <c r="AR256" s="12" t="str">
        <f>IF($A256="","",admin!$B$2&amp;"\CityMaps\"&amp;$A256&amp;".png")</f>
        <v>C:\Backups\InsiderTechSol\Aviation\Jetelio_v3\.LAYOUT\resources\CityMaps\RPLB.png</v>
      </c>
      <c r="AS256" s="16" t="str">
        <f t="shared" si="20"/>
        <v>VISA sheet</v>
      </c>
      <c r="AT256" s="16" t="str">
        <f t="shared" si="21"/>
        <v>Vendors sheet</v>
      </c>
      <c r="AU256" s="4"/>
      <c r="AV256" s="15">
        <f t="shared" ca="1" si="22"/>
        <v>46243</v>
      </c>
      <c r="AX256" s="6"/>
      <c r="AY256" t="str">
        <f t="shared" si="23"/>
        <v>INCOMPLETE - NOT SELECTABLE AS TECH STOP</v>
      </c>
    </row>
    <row r="257" spans="1:51" x14ac:dyDescent="0.3">
      <c r="A257" s="4" t="s">
        <v>1355</v>
      </c>
      <c r="B257" s="4" t="s">
        <v>1356</v>
      </c>
      <c r="C257" s="4"/>
      <c r="D257" s="4"/>
      <c r="E257" s="4" t="s">
        <v>1630</v>
      </c>
      <c r="F257" s="4" t="s">
        <v>82</v>
      </c>
      <c r="G257" s="4"/>
      <c r="H257" s="4" t="s">
        <v>1851</v>
      </c>
      <c r="I257" s="4" t="s">
        <v>1853</v>
      </c>
      <c r="J257" s="4"/>
      <c r="K257" s="4"/>
      <c r="L257" s="4"/>
      <c r="M257" s="4"/>
      <c r="N257" s="12" t="str">
        <f t="shared" si="18"/>
        <v>15°11′10″N 120°33′36″E</v>
      </c>
      <c r="O257" s="7">
        <v>15.186</v>
      </c>
      <c r="P257" s="7">
        <v>120.56</v>
      </c>
      <c r="Q257" s="13">
        <f t="shared" si="19"/>
        <v>148</v>
      </c>
      <c r="R257" s="11">
        <v>484</v>
      </c>
      <c r="S257" s="4"/>
      <c r="T257" s="4" t="s">
        <v>2055</v>
      </c>
      <c r="U257" s="8">
        <v>8</v>
      </c>
      <c r="V257" s="14">
        <f ca="1">IF($U257="","",MOD(NOW()-admin!$B$1/24+$U257/24,1))</f>
        <v>0.94515972222143319</v>
      </c>
      <c r="W257" s="4"/>
      <c r="X257" s="4"/>
      <c r="Y257" s="4"/>
      <c r="Z257" s="4"/>
      <c r="AA257" s="4"/>
      <c r="AB257" s="4"/>
      <c r="AC257" s="4"/>
      <c r="AD257" s="4"/>
      <c r="AE257" s="4" t="s">
        <v>2188</v>
      </c>
      <c r="AF257" s="4"/>
      <c r="AG257" s="4"/>
      <c r="AH257" s="4"/>
      <c r="AI257" s="4"/>
      <c r="AJ257" s="4"/>
      <c r="AK257" s="4"/>
      <c r="AL257" s="4"/>
      <c r="AM257" s="4"/>
      <c r="AN257" s="4"/>
      <c r="AO257" s="12" t="str">
        <f>IF($A257="","",admin!$B$2&amp;"\Charts\"&amp;$A257)</f>
        <v>C:\Backups\InsiderTechSol\Aviation\Jetelio_v3\.LAYOUT\resources\Charts\RPLC</v>
      </c>
      <c r="AP257" s="12" t="str">
        <f>IF($A257="","",admin!$B$2&amp;"\RunwayDiagrams\"&amp;$A257&amp;".pdf")</f>
        <v>C:\Backups\InsiderTechSol\Aviation\Jetelio_v3\.LAYOUT\resources\RunwayDiagrams\RPLC.pdf</v>
      </c>
      <c r="AQ257" s="12" t="str">
        <f>IF($A257="","",admin!$B$2&amp;"\Images\"&amp;$A257)</f>
        <v>C:\Backups\InsiderTechSol\Aviation\Jetelio_v3\.LAYOUT\resources\Images\RPLC</v>
      </c>
      <c r="AR257" s="12" t="str">
        <f>IF($A257="","",admin!$B$2&amp;"\CityMaps\"&amp;$A257&amp;".png")</f>
        <v>C:\Backups\InsiderTechSol\Aviation\Jetelio_v3\.LAYOUT\resources\CityMaps\RPLC.png</v>
      </c>
      <c r="AS257" s="16" t="str">
        <f t="shared" si="20"/>
        <v>VISA sheet</v>
      </c>
      <c r="AT257" s="16" t="str">
        <f t="shared" si="21"/>
        <v>Vendors sheet</v>
      </c>
      <c r="AU257" s="4"/>
      <c r="AV257" s="15">
        <f t="shared" ca="1" si="22"/>
        <v>46243</v>
      </c>
      <c r="AX257" s="6"/>
      <c r="AY257" t="str">
        <f t="shared" si="23"/>
        <v>INCOMPLETE - NOT SELECTABLE AS TECH STOP</v>
      </c>
    </row>
    <row r="258" spans="1:51" x14ac:dyDescent="0.3">
      <c r="A258" s="4" t="s">
        <v>1357</v>
      </c>
      <c r="B258" s="4" t="s">
        <v>1358</v>
      </c>
      <c r="C258" s="4"/>
      <c r="D258" s="4"/>
      <c r="E258" s="4" t="s">
        <v>1631</v>
      </c>
      <c r="F258" s="4" t="s">
        <v>82</v>
      </c>
      <c r="G258" s="4"/>
      <c r="H258" s="4" t="s">
        <v>1854</v>
      </c>
      <c r="I258" s="4" t="s">
        <v>1855</v>
      </c>
      <c r="J258" s="4"/>
      <c r="K258" s="4"/>
      <c r="L258" s="4"/>
      <c r="M258" s="4"/>
      <c r="N258" s="12" t="str">
        <f t="shared" si="18"/>
        <v>31°21′54″N 072°59′43″E</v>
      </c>
      <c r="O258" s="7">
        <v>31.364920000000001</v>
      </c>
      <c r="P258" s="7">
        <v>72.995320000000007</v>
      </c>
      <c r="Q258" s="13">
        <f t="shared" si="19"/>
        <v>180</v>
      </c>
      <c r="R258" s="11">
        <v>591</v>
      </c>
      <c r="S258" s="4"/>
      <c r="T258" s="4" t="s">
        <v>2056</v>
      </c>
      <c r="U258" s="8">
        <v>5</v>
      </c>
      <c r="V258" s="14">
        <f ca="1">IF($U258="","",MOD(NOW()-admin!$B$1/24+$U258/24,1))</f>
        <v>0.82015972222143319</v>
      </c>
      <c r="W258" s="4"/>
      <c r="X258" s="4"/>
      <c r="Y258" s="4"/>
      <c r="Z258" s="4"/>
      <c r="AA258" s="4"/>
      <c r="AB258" s="4"/>
      <c r="AC258" s="4"/>
      <c r="AD258" s="4"/>
      <c r="AE258" s="4" t="s">
        <v>2189</v>
      </c>
      <c r="AF258" s="4"/>
      <c r="AG258" s="4"/>
      <c r="AH258" s="4"/>
      <c r="AI258" s="4"/>
      <c r="AJ258" s="4"/>
      <c r="AK258" s="4"/>
      <c r="AL258" s="4"/>
      <c r="AM258" s="4"/>
      <c r="AN258" s="4"/>
      <c r="AO258" s="12" t="str">
        <f>IF($A258="","",admin!$B$2&amp;"\Charts\"&amp;$A258)</f>
        <v>C:\Backups\InsiderTechSol\Aviation\Jetelio_v3\.LAYOUT\resources\Charts\OPFA</v>
      </c>
      <c r="AP258" s="12" t="str">
        <f>IF($A258="","",admin!$B$2&amp;"\RunwayDiagrams\"&amp;$A258&amp;".pdf")</f>
        <v>C:\Backups\InsiderTechSol\Aviation\Jetelio_v3\.LAYOUT\resources\RunwayDiagrams\OPFA.pdf</v>
      </c>
      <c r="AQ258" s="12" t="str">
        <f>IF($A258="","",admin!$B$2&amp;"\Images\"&amp;$A258)</f>
        <v>C:\Backups\InsiderTechSol\Aviation\Jetelio_v3\.LAYOUT\resources\Images\OPFA</v>
      </c>
      <c r="AR258" s="12" t="str">
        <f>IF($A258="","",admin!$B$2&amp;"\CityMaps\"&amp;$A258&amp;".png")</f>
        <v>C:\Backups\InsiderTechSol\Aviation\Jetelio_v3\.LAYOUT\resources\CityMaps\OPFA.png</v>
      </c>
      <c r="AS258" s="16" t="str">
        <f t="shared" si="20"/>
        <v>VISA sheet</v>
      </c>
      <c r="AT258" s="16" t="str">
        <f t="shared" si="21"/>
        <v>Vendors sheet</v>
      </c>
      <c r="AU258" s="4"/>
      <c r="AV258" s="15">
        <f t="shared" ca="1" si="22"/>
        <v>46243</v>
      </c>
      <c r="AX258" s="6"/>
      <c r="AY258" t="str">
        <f t="shared" si="23"/>
        <v>INCOMPLETE - NOT SELECTABLE AS TECH STOP</v>
      </c>
    </row>
    <row r="259" spans="1:51" x14ac:dyDescent="0.3">
      <c r="A259" s="4" t="s">
        <v>1359</v>
      </c>
      <c r="B259" s="4" t="s">
        <v>1360</v>
      </c>
      <c r="C259" s="4"/>
      <c r="D259" s="4"/>
      <c r="E259" s="4" t="s">
        <v>1632</v>
      </c>
      <c r="F259" s="4" t="s">
        <v>82</v>
      </c>
      <c r="G259" s="4"/>
      <c r="H259" s="4" t="s">
        <v>1854</v>
      </c>
      <c r="I259" s="4" t="s">
        <v>1856</v>
      </c>
      <c r="J259" s="4"/>
      <c r="K259" s="4"/>
      <c r="L259" s="4"/>
      <c r="M259" s="4"/>
      <c r="N259" s="12" t="str">
        <f t="shared" si="18"/>
        <v>25°17′48″N 062°29′56″E</v>
      </c>
      <c r="O259" s="7">
        <v>25.29673</v>
      </c>
      <c r="P259" s="7">
        <v>62.498820000000002</v>
      </c>
      <c r="Q259" s="13">
        <f t="shared" si="19"/>
        <v>19</v>
      </c>
      <c r="R259" s="11">
        <v>61</v>
      </c>
      <c r="S259" s="4"/>
      <c r="T259" s="4"/>
      <c r="U259" s="8"/>
      <c r="V259" s="14" t="str">
        <f ca="1">IF($U259="","",MOD(NOW()-admin!$B$1/24+$U259/24,1))</f>
        <v/>
      </c>
      <c r="W259" s="4"/>
      <c r="X259" s="4"/>
      <c r="Y259" s="4"/>
      <c r="Z259" s="4"/>
      <c r="AA259" s="4"/>
      <c r="AB259" s="4"/>
      <c r="AC259" s="4"/>
      <c r="AD259" s="4"/>
      <c r="AE259" s="4" t="s">
        <v>2190</v>
      </c>
      <c r="AF259" s="4"/>
      <c r="AG259" s="4"/>
      <c r="AH259" s="4"/>
      <c r="AI259" s="4"/>
      <c r="AJ259" s="4"/>
      <c r="AK259" s="4"/>
      <c r="AL259" s="4"/>
      <c r="AM259" s="4"/>
      <c r="AN259" s="4"/>
      <c r="AO259" s="12" t="str">
        <f>IF($A259="","",admin!$B$2&amp;"\Charts\"&amp;$A259)</f>
        <v>C:\Backups\InsiderTechSol\Aviation\Jetelio_v3\.LAYOUT\resources\Charts\OPGW</v>
      </c>
      <c r="AP259" s="12" t="str">
        <f>IF($A259="","",admin!$B$2&amp;"\RunwayDiagrams\"&amp;$A259&amp;".pdf")</f>
        <v>C:\Backups\InsiderTechSol\Aviation\Jetelio_v3\.LAYOUT\resources\RunwayDiagrams\OPGW.pdf</v>
      </c>
      <c r="AQ259" s="12" t="str">
        <f>IF($A259="","",admin!$B$2&amp;"\Images\"&amp;$A259)</f>
        <v>C:\Backups\InsiderTechSol\Aviation\Jetelio_v3\.LAYOUT\resources\Images\OPGW</v>
      </c>
      <c r="AR259" s="12" t="str">
        <f>IF($A259="","",admin!$B$2&amp;"\CityMaps\"&amp;$A259&amp;".png")</f>
        <v>C:\Backups\InsiderTechSol\Aviation\Jetelio_v3\.LAYOUT\resources\CityMaps\OPGW.png</v>
      </c>
      <c r="AS259" s="16" t="str">
        <f t="shared" si="20"/>
        <v>VISA sheet</v>
      </c>
      <c r="AT259" s="16" t="str">
        <f t="shared" si="21"/>
        <v>Vendors sheet</v>
      </c>
      <c r="AU259" s="4"/>
      <c r="AV259" s="15">
        <f t="shared" ca="1" si="22"/>
        <v>46243</v>
      </c>
      <c r="AX259" s="6"/>
      <c r="AY259" t="str">
        <f t="shared" si="23"/>
        <v>INCOMPLETE - NOT SELECTABLE AS TECH STOP</v>
      </c>
    </row>
    <row r="260" spans="1:51" x14ac:dyDescent="0.3">
      <c r="A260" s="4" t="s">
        <v>1361</v>
      </c>
      <c r="B260" s="4" t="s">
        <v>1362</v>
      </c>
      <c r="C260" s="4"/>
      <c r="D260" s="4"/>
      <c r="E260" s="4" t="s">
        <v>1633</v>
      </c>
      <c r="F260" s="4" t="s">
        <v>82</v>
      </c>
      <c r="G260" s="4"/>
      <c r="H260" s="4" t="s">
        <v>1857</v>
      </c>
      <c r="I260" s="4" t="s">
        <v>1858</v>
      </c>
      <c r="J260" s="4"/>
      <c r="K260" s="4"/>
      <c r="L260" s="4"/>
      <c r="M260" s="4"/>
      <c r="N260" s="12" t="str">
        <f t="shared" ref="N260:N323" si="24">IF(OR($O260="",$P260=""),"",TEXT(INT(ROUND(ABS($O260)*3600,0)/3600),"00")&amp;"°"&amp;TEXT(INT(MOD(ROUND(ABS($O260)*3600,0),3600)/60),"00")&amp;"′"&amp;TEXT(MOD(ROUND(ABS($O260)*3600,0),60),"00")&amp;"″"&amp;IF($O260&gt;=0,"N","S")&amp;" "&amp;TEXT(INT(ROUND(ABS($P260)*3600,0)/3600),"000")&amp;"°"&amp;TEXT(INT(MOD(ROUND(ABS($P260)*3600,0),3600)/60),"00")&amp;"′"&amp;TEXT(MOD(ROUND(ABS($P260)*3600,0),60),"00")&amp;"″"&amp;IF($P260&gt;=0,"E","W"))</f>
        <v>54°22′39″N 018°27′58″E</v>
      </c>
      <c r="O260" s="7">
        <v>54.377600000000001</v>
      </c>
      <c r="P260" s="7">
        <v>18.466200000000001</v>
      </c>
      <c r="Q260" s="13">
        <f t="shared" ref="Q260:Q323" si="25">IF($R260="","",ROUND($R260*0.3048,0))</f>
        <v>149</v>
      </c>
      <c r="R260" s="11">
        <v>489</v>
      </c>
      <c r="S260" s="4"/>
      <c r="T260" s="4" t="s">
        <v>2057</v>
      </c>
      <c r="U260" s="8">
        <v>1</v>
      </c>
      <c r="V260" s="14">
        <f ca="1">IF($U260="","",MOD(NOW()-admin!$B$1/24+$U260/24,1))</f>
        <v>0.65349305554991588</v>
      </c>
      <c r="W260" s="4"/>
      <c r="X260" s="4"/>
      <c r="Y260" s="4"/>
      <c r="Z260" s="4"/>
      <c r="AA260" s="4"/>
      <c r="AB260" s="4"/>
      <c r="AC260" s="4"/>
      <c r="AD260" s="4"/>
      <c r="AE260" s="4" t="s">
        <v>2191</v>
      </c>
      <c r="AF260" s="4"/>
      <c r="AG260" s="4"/>
      <c r="AH260" s="4"/>
      <c r="AI260" s="4"/>
      <c r="AJ260" s="4"/>
      <c r="AK260" s="4"/>
      <c r="AL260" s="4"/>
      <c r="AM260" s="4"/>
      <c r="AN260" s="4"/>
      <c r="AO260" s="12" t="str">
        <f>IF($A260="","",admin!$B$2&amp;"\Charts\"&amp;$A260)</f>
        <v>C:\Backups\InsiderTechSol\Aviation\Jetelio_v3\.LAYOUT\resources\Charts\EPGD</v>
      </c>
      <c r="AP260" s="12" t="str">
        <f>IF($A260="","",admin!$B$2&amp;"\RunwayDiagrams\"&amp;$A260&amp;".pdf")</f>
        <v>C:\Backups\InsiderTechSol\Aviation\Jetelio_v3\.LAYOUT\resources\RunwayDiagrams\EPGD.pdf</v>
      </c>
      <c r="AQ260" s="12" t="str">
        <f>IF($A260="","",admin!$B$2&amp;"\Images\"&amp;$A260)</f>
        <v>C:\Backups\InsiderTechSol\Aviation\Jetelio_v3\.LAYOUT\resources\Images\EPGD</v>
      </c>
      <c r="AR260" s="12" t="str">
        <f>IF($A260="","",admin!$B$2&amp;"\CityMaps\"&amp;$A260&amp;".png")</f>
        <v>C:\Backups\InsiderTechSol\Aviation\Jetelio_v3\.LAYOUT\resources\CityMaps\EPGD.png</v>
      </c>
      <c r="AS260" s="16" t="str">
        <f t="shared" ref="AS260:AS323" si="26">IF($A260="","","VISA sheet")</f>
        <v>VISA sheet</v>
      </c>
      <c r="AT260" s="16" t="str">
        <f t="shared" ref="AT260:AT323" si="27">IF($A260="","","Vendors sheet")</f>
        <v>Vendors sheet</v>
      </c>
      <c r="AU260" s="4"/>
      <c r="AV260" s="15">
        <f t="shared" ref="AV260:AV323" ca="1" si="28">IF($A260="","",TODAY())</f>
        <v>46243</v>
      </c>
      <c r="AX260" s="6"/>
      <c r="AY260" t="str">
        <f t="shared" ref="AY260:AY323" si="29">IF($A260="","",IF(OR(TRIM($Y260)="",TRIM($AG260)="",TRIM($X260)=""),"INCOMPLETE - NOT SELECTABLE AS TECH STOP",IF(OR($AW260="",$AX260=""),"UNVERIFIED - ADVISORY ONLY","VERIFIED")))</f>
        <v>INCOMPLETE - NOT SELECTABLE AS TECH STOP</v>
      </c>
    </row>
    <row r="261" spans="1:51" x14ac:dyDescent="0.3">
      <c r="A261" s="4" t="s">
        <v>1363</v>
      </c>
      <c r="B261" s="4" t="s">
        <v>1364</v>
      </c>
      <c r="C261" s="4"/>
      <c r="D261" s="4"/>
      <c r="E261" s="4" t="s">
        <v>1634</v>
      </c>
      <c r="F261" s="4" t="s">
        <v>82</v>
      </c>
      <c r="G261" s="4"/>
      <c r="H261" s="4" t="s">
        <v>1857</v>
      </c>
      <c r="I261" s="4" t="s">
        <v>1859</v>
      </c>
      <c r="J261" s="4"/>
      <c r="K261" s="4"/>
      <c r="L261" s="4"/>
      <c r="M261" s="4"/>
      <c r="N261" s="12" t="str">
        <f t="shared" si="24"/>
        <v>50°04′40″N 019°47′05″E</v>
      </c>
      <c r="O261" s="7">
        <v>50.0777</v>
      </c>
      <c r="P261" s="7">
        <v>19.784800000000001</v>
      </c>
      <c r="Q261" s="13">
        <f t="shared" si="25"/>
        <v>241</v>
      </c>
      <c r="R261" s="11">
        <v>791</v>
      </c>
      <c r="S261" s="4"/>
      <c r="T261" s="4" t="s">
        <v>2057</v>
      </c>
      <c r="U261" s="8">
        <v>1</v>
      </c>
      <c r="V261" s="14">
        <f ca="1">IF($U261="","",MOD(NOW()-admin!$B$1/24+$U261/24,1))</f>
        <v>0.65349305554991588</v>
      </c>
      <c r="W261" s="4"/>
      <c r="X261" s="4"/>
      <c r="Y261" s="4"/>
      <c r="Z261" s="4"/>
      <c r="AA261" s="4"/>
      <c r="AB261" s="4"/>
      <c r="AC261" s="4"/>
      <c r="AD261" s="4"/>
      <c r="AE261" s="4" t="s">
        <v>2192</v>
      </c>
      <c r="AF261" s="4"/>
      <c r="AG261" s="4"/>
      <c r="AH261" s="4"/>
      <c r="AI261" s="4"/>
      <c r="AJ261" s="4"/>
      <c r="AK261" s="4"/>
      <c r="AL261" s="4"/>
      <c r="AM261" s="4"/>
      <c r="AN261" s="4"/>
      <c r="AO261" s="12" t="str">
        <f>IF($A261="","",admin!$B$2&amp;"\Charts\"&amp;$A261)</f>
        <v>C:\Backups\InsiderTechSol\Aviation\Jetelio_v3\.LAYOUT\resources\Charts\EPKK</v>
      </c>
      <c r="AP261" s="12" t="str">
        <f>IF($A261="","",admin!$B$2&amp;"\RunwayDiagrams\"&amp;$A261&amp;".pdf")</f>
        <v>C:\Backups\InsiderTechSol\Aviation\Jetelio_v3\.LAYOUT\resources\RunwayDiagrams\EPKK.pdf</v>
      </c>
      <c r="AQ261" s="12" t="str">
        <f>IF($A261="","",admin!$B$2&amp;"\Images\"&amp;$A261)</f>
        <v>C:\Backups\InsiderTechSol\Aviation\Jetelio_v3\.LAYOUT\resources\Images\EPKK</v>
      </c>
      <c r="AR261" s="12" t="str">
        <f>IF($A261="","",admin!$B$2&amp;"\CityMaps\"&amp;$A261&amp;".png")</f>
        <v>C:\Backups\InsiderTechSol\Aviation\Jetelio_v3\.LAYOUT\resources\CityMaps\EPKK.png</v>
      </c>
      <c r="AS261" s="16" t="str">
        <f t="shared" si="26"/>
        <v>VISA sheet</v>
      </c>
      <c r="AT261" s="16" t="str">
        <f t="shared" si="27"/>
        <v>Vendors sheet</v>
      </c>
      <c r="AU261" s="4"/>
      <c r="AV261" s="15">
        <f t="shared" ca="1" si="28"/>
        <v>46243</v>
      </c>
      <c r="AX261" s="6"/>
      <c r="AY261" t="str">
        <f t="shared" si="29"/>
        <v>INCOMPLETE - NOT SELECTABLE AS TECH STOP</v>
      </c>
    </row>
    <row r="262" spans="1:51" x14ac:dyDescent="0.3">
      <c r="A262" s="4" t="s">
        <v>1365</v>
      </c>
      <c r="B262" s="4" t="s">
        <v>1366</v>
      </c>
      <c r="C262" s="4"/>
      <c r="D262" s="4"/>
      <c r="E262" s="4" t="s">
        <v>1635</v>
      </c>
      <c r="F262" s="4" t="s">
        <v>82</v>
      </c>
      <c r="G262" s="4"/>
      <c r="H262" s="4" t="s">
        <v>1860</v>
      </c>
      <c r="I262" s="4" t="s">
        <v>1861</v>
      </c>
      <c r="J262" s="4"/>
      <c r="K262" s="4"/>
      <c r="L262" s="4"/>
      <c r="M262" s="4"/>
      <c r="N262" s="12" t="str">
        <f t="shared" si="24"/>
        <v>18°26′22″N 066°00′06″W</v>
      </c>
      <c r="O262" s="7">
        <v>18.439399999999999</v>
      </c>
      <c r="P262" s="7">
        <v>-66.001800000000003</v>
      </c>
      <c r="Q262" s="13">
        <f t="shared" si="25"/>
        <v>3</v>
      </c>
      <c r="R262" s="11">
        <v>9</v>
      </c>
      <c r="S262" s="4"/>
      <c r="T262" s="4" t="s">
        <v>2058</v>
      </c>
      <c r="U262" s="8">
        <v>-4</v>
      </c>
      <c r="V262" s="14">
        <f ca="1">IF($U262="","",MOD(NOW()-admin!$B$1/24+$U262/24,1))</f>
        <v>0.44515972222143319</v>
      </c>
      <c r="W262" s="4"/>
      <c r="X262" s="4"/>
      <c r="Y262" s="4"/>
      <c r="Z262" s="4"/>
      <c r="AA262" s="4"/>
      <c r="AB262" s="4"/>
      <c r="AC262" s="4"/>
      <c r="AD262" s="4"/>
      <c r="AE262" s="4" t="s">
        <v>2193</v>
      </c>
      <c r="AF262" s="4"/>
      <c r="AG262" s="4"/>
      <c r="AH262" s="4"/>
      <c r="AI262" s="4"/>
      <c r="AJ262" s="4"/>
      <c r="AK262" s="4"/>
      <c r="AL262" s="4"/>
      <c r="AM262" s="4"/>
      <c r="AN262" s="4"/>
      <c r="AO262" s="12" t="str">
        <f>IF($A262="","",admin!$B$2&amp;"\Charts\"&amp;$A262)</f>
        <v>C:\Backups\InsiderTechSol\Aviation\Jetelio_v3\.LAYOUT\resources\Charts\TJSJ</v>
      </c>
      <c r="AP262" s="12" t="str">
        <f>IF($A262="","",admin!$B$2&amp;"\RunwayDiagrams\"&amp;$A262&amp;".pdf")</f>
        <v>C:\Backups\InsiderTechSol\Aviation\Jetelio_v3\.LAYOUT\resources\RunwayDiagrams\TJSJ.pdf</v>
      </c>
      <c r="AQ262" s="12" t="str">
        <f>IF($A262="","",admin!$B$2&amp;"\Images\"&amp;$A262)</f>
        <v>C:\Backups\InsiderTechSol\Aviation\Jetelio_v3\.LAYOUT\resources\Images\TJSJ</v>
      </c>
      <c r="AR262" s="12" t="str">
        <f>IF($A262="","",admin!$B$2&amp;"\CityMaps\"&amp;$A262&amp;".png")</f>
        <v>C:\Backups\InsiderTechSol\Aviation\Jetelio_v3\.LAYOUT\resources\CityMaps\TJSJ.png</v>
      </c>
      <c r="AS262" s="16" t="str">
        <f t="shared" si="26"/>
        <v>VISA sheet</v>
      </c>
      <c r="AT262" s="16" t="str">
        <f t="shared" si="27"/>
        <v>Vendors sheet</v>
      </c>
      <c r="AU262" s="4"/>
      <c r="AV262" s="15">
        <f t="shared" ca="1" si="28"/>
        <v>46243</v>
      </c>
      <c r="AX262" s="6"/>
      <c r="AY262" t="str">
        <f t="shared" si="29"/>
        <v>INCOMPLETE - NOT SELECTABLE AS TECH STOP</v>
      </c>
    </row>
    <row r="263" spans="1:51" x14ac:dyDescent="0.3">
      <c r="A263" s="4" t="s">
        <v>1367</v>
      </c>
      <c r="B263" s="4" t="s">
        <v>1368</v>
      </c>
      <c r="C263" s="4"/>
      <c r="D263" s="4"/>
      <c r="E263" s="4" t="s">
        <v>1636</v>
      </c>
      <c r="F263" s="4" t="s">
        <v>82</v>
      </c>
      <c r="G263" s="4"/>
      <c r="H263" s="4" t="s">
        <v>1862</v>
      </c>
      <c r="I263" s="4" t="s">
        <v>1863</v>
      </c>
      <c r="J263" s="4"/>
      <c r="K263" s="4"/>
      <c r="L263" s="4"/>
      <c r="M263" s="4"/>
      <c r="N263" s="12" t="str">
        <f t="shared" si="24"/>
        <v>37°00′57″N 007°58′15″W</v>
      </c>
      <c r="O263" s="7">
        <v>37.015909999999998</v>
      </c>
      <c r="P263" s="7">
        <v>-7.9709399999999997</v>
      </c>
      <c r="Q263" s="13">
        <f t="shared" si="25"/>
        <v>7</v>
      </c>
      <c r="R263" s="11">
        <v>24</v>
      </c>
      <c r="S263" s="4"/>
      <c r="T263" s="4" t="s">
        <v>2059</v>
      </c>
      <c r="U263" s="8">
        <v>0</v>
      </c>
      <c r="V263" s="14">
        <f ca="1">IF($U263="","",MOD(NOW()-admin!$B$1/24+$U263/24,1))</f>
        <v>0.61182638888567453</v>
      </c>
      <c r="W263" s="4"/>
      <c r="X263" s="4"/>
      <c r="Y263" s="4"/>
      <c r="Z263" s="4"/>
      <c r="AA263" s="4"/>
      <c r="AB263" s="4"/>
      <c r="AC263" s="4"/>
      <c r="AD263" s="4"/>
      <c r="AE263" s="4" t="s">
        <v>2194</v>
      </c>
      <c r="AF263" s="4"/>
      <c r="AG263" s="4"/>
      <c r="AH263" s="4"/>
      <c r="AI263" s="4"/>
      <c r="AJ263" s="4"/>
      <c r="AK263" s="4"/>
      <c r="AL263" s="4"/>
      <c r="AM263" s="4"/>
      <c r="AN263" s="4"/>
      <c r="AO263" s="12" t="str">
        <f>IF($A263="","",admin!$B$2&amp;"\Charts\"&amp;$A263)</f>
        <v>C:\Backups\InsiderTechSol\Aviation\Jetelio_v3\.LAYOUT\resources\Charts\LPFR</v>
      </c>
      <c r="AP263" s="12" t="str">
        <f>IF($A263="","",admin!$B$2&amp;"\RunwayDiagrams\"&amp;$A263&amp;".pdf")</f>
        <v>C:\Backups\InsiderTechSol\Aviation\Jetelio_v3\.LAYOUT\resources\RunwayDiagrams\LPFR.pdf</v>
      </c>
      <c r="AQ263" s="12" t="str">
        <f>IF($A263="","",admin!$B$2&amp;"\Images\"&amp;$A263)</f>
        <v>C:\Backups\InsiderTechSol\Aviation\Jetelio_v3\.LAYOUT\resources\Images\LPFR</v>
      </c>
      <c r="AR263" s="12" t="str">
        <f>IF($A263="","",admin!$B$2&amp;"\CityMaps\"&amp;$A263&amp;".png")</f>
        <v>C:\Backups\InsiderTechSol\Aviation\Jetelio_v3\.LAYOUT\resources\CityMaps\LPFR.png</v>
      </c>
      <c r="AS263" s="16" t="str">
        <f t="shared" si="26"/>
        <v>VISA sheet</v>
      </c>
      <c r="AT263" s="16" t="str">
        <f t="shared" si="27"/>
        <v>Vendors sheet</v>
      </c>
      <c r="AU263" s="4"/>
      <c r="AV263" s="15">
        <f t="shared" ca="1" si="28"/>
        <v>46243</v>
      </c>
      <c r="AX263" s="6"/>
      <c r="AY263" t="str">
        <f t="shared" si="29"/>
        <v>INCOMPLETE - NOT SELECTABLE AS TECH STOP</v>
      </c>
    </row>
    <row r="264" spans="1:51" x14ac:dyDescent="0.3">
      <c r="A264" s="4" t="s">
        <v>1369</v>
      </c>
      <c r="B264" s="4" t="s">
        <v>1370</v>
      </c>
      <c r="C264" s="4"/>
      <c r="D264" s="4"/>
      <c r="E264" s="4" t="s">
        <v>1637</v>
      </c>
      <c r="F264" s="4" t="s">
        <v>82</v>
      </c>
      <c r="G264" s="4"/>
      <c r="H264" s="4" t="s">
        <v>1862</v>
      </c>
      <c r="I264" s="4" t="s">
        <v>1864</v>
      </c>
      <c r="J264" s="4"/>
      <c r="K264" s="4"/>
      <c r="L264" s="4"/>
      <c r="M264" s="4"/>
      <c r="N264" s="12" t="str">
        <f t="shared" si="24"/>
        <v>32°41′52″N 016°46′29″W</v>
      </c>
      <c r="O264" s="7">
        <v>32.697809999999997</v>
      </c>
      <c r="P264" s="7">
        <v>-16.774609999999999</v>
      </c>
      <c r="Q264" s="13">
        <f t="shared" si="25"/>
        <v>59</v>
      </c>
      <c r="R264" s="11">
        <v>192</v>
      </c>
      <c r="S264" s="4"/>
      <c r="T264" s="4" t="s">
        <v>2059</v>
      </c>
      <c r="U264" s="8">
        <v>0</v>
      </c>
      <c r="V264" s="14">
        <f ca="1">IF($U264="","",MOD(NOW()-admin!$B$1/24+$U264/24,1))</f>
        <v>0.61182638888567453</v>
      </c>
      <c r="W264" s="4"/>
      <c r="X264" s="4"/>
      <c r="Y264" s="4"/>
      <c r="Z264" s="4"/>
      <c r="AA264" s="4"/>
      <c r="AB264" s="4"/>
      <c r="AC264" s="4"/>
      <c r="AD264" s="4"/>
      <c r="AE264" s="4" t="s">
        <v>2195</v>
      </c>
      <c r="AF264" s="4"/>
      <c r="AG264" s="4"/>
      <c r="AH264" s="4"/>
      <c r="AI264" s="4"/>
      <c r="AJ264" s="4"/>
      <c r="AK264" s="4"/>
      <c r="AL264" s="4"/>
      <c r="AM264" s="4"/>
      <c r="AN264" s="4"/>
      <c r="AO264" s="12" t="str">
        <f>IF($A264="","",admin!$B$2&amp;"\Charts\"&amp;$A264)</f>
        <v>C:\Backups\InsiderTechSol\Aviation\Jetelio_v3\.LAYOUT\resources\Charts\LPMA</v>
      </c>
      <c r="AP264" s="12" t="str">
        <f>IF($A264="","",admin!$B$2&amp;"\RunwayDiagrams\"&amp;$A264&amp;".pdf")</f>
        <v>C:\Backups\InsiderTechSol\Aviation\Jetelio_v3\.LAYOUT\resources\RunwayDiagrams\LPMA.pdf</v>
      </c>
      <c r="AQ264" s="12" t="str">
        <f>IF($A264="","",admin!$B$2&amp;"\Images\"&amp;$A264)</f>
        <v>C:\Backups\InsiderTechSol\Aviation\Jetelio_v3\.LAYOUT\resources\Images\LPMA</v>
      </c>
      <c r="AR264" s="12" t="str">
        <f>IF($A264="","",admin!$B$2&amp;"\CityMaps\"&amp;$A264&amp;".png")</f>
        <v>C:\Backups\InsiderTechSol\Aviation\Jetelio_v3\.LAYOUT\resources\CityMaps\LPMA.png</v>
      </c>
      <c r="AS264" s="16" t="str">
        <f t="shared" si="26"/>
        <v>VISA sheet</v>
      </c>
      <c r="AT264" s="16" t="str">
        <f t="shared" si="27"/>
        <v>Vendors sheet</v>
      </c>
      <c r="AU264" s="4"/>
      <c r="AV264" s="15">
        <f t="shared" ca="1" si="28"/>
        <v>46243</v>
      </c>
      <c r="AX264" s="6"/>
      <c r="AY264" t="str">
        <f t="shared" si="29"/>
        <v>INCOMPLETE - NOT SELECTABLE AS TECH STOP</v>
      </c>
    </row>
    <row r="265" spans="1:51" x14ac:dyDescent="0.3">
      <c r="A265" s="4" t="s">
        <v>1371</v>
      </c>
      <c r="B265" s="4" t="s">
        <v>1372</v>
      </c>
      <c r="C265" s="4"/>
      <c r="D265" s="4"/>
      <c r="E265" s="4" t="s">
        <v>1638</v>
      </c>
      <c r="F265" s="4" t="s">
        <v>82</v>
      </c>
      <c r="G265" s="4"/>
      <c r="H265" s="4" t="s">
        <v>1865</v>
      </c>
      <c r="I265" s="4" t="s">
        <v>1866</v>
      </c>
      <c r="J265" s="4"/>
      <c r="K265" s="4"/>
      <c r="L265" s="4"/>
      <c r="M265" s="4"/>
      <c r="N265" s="12" t="str">
        <f t="shared" si="24"/>
        <v>07°22′01″N 134°32′39″E</v>
      </c>
      <c r="O265" s="7">
        <v>7.3669700000000002</v>
      </c>
      <c r="P265" s="7">
        <v>134.54408000000001</v>
      </c>
      <c r="Q265" s="13">
        <f t="shared" si="25"/>
        <v>54</v>
      </c>
      <c r="R265" s="11">
        <v>176</v>
      </c>
      <c r="S265" s="4"/>
      <c r="T265" s="4" t="s">
        <v>2060</v>
      </c>
      <c r="U265" s="8">
        <v>9</v>
      </c>
      <c r="V265" s="14">
        <f ca="1">IF($U265="","",MOD(NOW()-admin!$B$1/24+$U265/24,1))</f>
        <v>0.98682638888567453</v>
      </c>
      <c r="W265" s="4"/>
      <c r="X265" s="4"/>
      <c r="Y265" s="4"/>
      <c r="Z265" s="4"/>
      <c r="AA265" s="4"/>
      <c r="AB265" s="4"/>
      <c r="AC265" s="4"/>
      <c r="AD265" s="4"/>
      <c r="AE265" s="4" t="s">
        <v>2196</v>
      </c>
      <c r="AF265" s="4"/>
      <c r="AG265" s="4"/>
      <c r="AH265" s="4"/>
      <c r="AI265" s="4"/>
      <c r="AJ265" s="4"/>
      <c r="AK265" s="4"/>
      <c r="AL265" s="4"/>
      <c r="AM265" s="4"/>
      <c r="AN265" s="4"/>
      <c r="AO265" s="12" t="str">
        <f>IF($A265="","",admin!$B$2&amp;"\Charts\"&amp;$A265)</f>
        <v>C:\Backups\InsiderTechSol\Aviation\Jetelio_v3\.LAYOUT\resources\Charts\PTRO</v>
      </c>
      <c r="AP265" s="12" t="str">
        <f>IF($A265="","",admin!$B$2&amp;"\RunwayDiagrams\"&amp;$A265&amp;".pdf")</f>
        <v>C:\Backups\InsiderTechSol\Aviation\Jetelio_v3\.LAYOUT\resources\RunwayDiagrams\PTRO.pdf</v>
      </c>
      <c r="AQ265" s="12" t="str">
        <f>IF($A265="","",admin!$B$2&amp;"\Images\"&amp;$A265)</f>
        <v>C:\Backups\InsiderTechSol\Aviation\Jetelio_v3\.LAYOUT\resources\Images\PTRO</v>
      </c>
      <c r="AR265" s="12" t="str">
        <f>IF($A265="","",admin!$B$2&amp;"\CityMaps\"&amp;$A265&amp;".png")</f>
        <v>C:\Backups\InsiderTechSol\Aviation\Jetelio_v3\.LAYOUT\resources\CityMaps\PTRO.png</v>
      </c>
      <c r="AS265" s="16" t="str">
        <f t="shared" si="26"/>
        <v>VISA sheet</v>
      </c>
      <c r="AT265" s="16" t="str">
        <f t="shared" si="27"/>
        <v>Vendors sheet</v>
      </c>
      <c r="AU265" s="4"/>
      <c r="AV265" s="15">
        <f t="shared" ca="1" si="28"/>
        <v>46243</v>
      </c>
      <c r="AX265" s="6"/>
      <c r="AY265" t="str">
        <f t="shared" si="29"/>
        <v>INCOMPLETE - NOT SELECTABLE AS TECH STOP</v>
      </c>
    </row>
    <row r="266" spans="1:51" x14ac:dyDescent="0.3">
      <c r="A266" s="4" t="s">
        <v>1373</v>
      </c>
      <c r="B266" s="4" t="s">
        <v>1374</v>
      </c>
      <c r="C266" s="4"/>
      <c r="D266" s="4"/>
      <c r="E266" s="4" t="s">
        <v>1639</v>
      </c>
      <c r="F266" s="4" t="s">
        <v>82</v>
      </c>
      <c r="G266" s="4"/>
      <c r="H266" s="4" t="s">
        <v>1867</v>
      </c>
      <c r="I266" s="4" t="s">
        <v>1868</v>
      </c>
      <c r="J266" s="4"/>
      <c r="K266" s="4"/>
      <c r="L266" s="4"/>
      <c r="M266" s="4"/>
      <c r="N266" s="12" t="str">
        <f t="shared" si="24"/>
        <v>25°14′25″S 057°31′09″W</v>
      </c>
      <c r="O266" s="7">
        <v>-25.240159999999999</v>
      </c>
      <c r="P266" s="7">
        <v>-57.51923</v>
      </c>
      <c r="Q266" s="13">
        <f t="shared" si="25"/>
        <v>89</v>
      </c>
      <c r="R266" s="11">
        <v>292</v>
      </c>
      <c r="S266" s="4"/>
      <c r="T266" s="4" t="s">
        <v>2061</v>
      </c>
      <c r="U266" s="8">
        <v>-4</v>
      </c>
      <c r="V266" s="14">
        <f ca="1">IF($U266="","",MOD(NOW()-admin!$B$1/24+$U266/24,1))</f>
        <v>0.44515972222143319</v>
      </c>
      <c r="W266" s="4"/>
      <c r="X266" s="4"/>
      <c r="Y266" s="4"/>
      <c r="Z266" s="4"/>
      <c r="AA266" s="4"/>
      <c r="AB266" s="4"/>
      <c r="AC266" s="4"/>
      <c r="AD266" s="4"/>
      <c r="AE266" s="4" t="s">
        <v>2197</v>
      </c>
      <c r="AF266" s="4"/>
      <c r="AG266" s="4"/>
      <c r="AH266" s="4"/>
      <c r="AI266" s="4"/>
      <c r="AJ266" s="4"/>
      <c r="AK266" s="4"/>
      <c r="AL266" s="4"/>
      <c r="AM266" s="4"/>
      <c r="AN266" s="4"/>
      <c r="AO266" s="12" t="str">
        <f>IF($A266="","",admin!$B$2&amp;"\Charts\"&amp;$A266)</f>
        <v>C:\Backups\InsiderTechSol\Aviation\Jetelio_v3\.LAYOUT\resources\Charts\SGAS</v>
      </c>
      <c r="AP266" s="12" t="str">
        <f>IF($A266="","",admin!$B$2&amp;"\RunwayDiagrams\"&amp;$A266&amp;".pdf")</f>
        <v>C:\Backups\InsiderTechSol\Aviation\Jetelio_v3\.LAYOUT\resources\RunwayDiagrams\SGAS.pdf</v>
      </c>
      <c r="AQ266" s="12" t="str">
        <f>IF($A266="","",admin!$B$2&amp;"\Images\"&amp;$A266)</f>
        <v>C:\Backups\InsiderTechSol\Aviation\Jetelio_v3\.LAYOUT\resources\Images\SGAS</v>
      </c>
      <c r="AR266" s="12" t="str">
        <f>IF($A266="","",admin!$B$2&amp;"\CityMaps\"&amp;$A266&amp;".png")</f>
        <v>C:\Backups\InsiderTechSol\Aviation\Jetelio_v3\.LAYOUT\resources\CityMaps\SGAS.png</v>
      </c>
      <c r="AS266" s="16" t="str">
        <f t="shared" si="26"/>
        <v>VISA sheet</v>
      </c>
      <c r="AT266" s="16" t="str">
        <f t="shared" si="27"/>
        <v>Vendors sheet</v>
      </c>
      <c r="AU266" s="4"/>
      <c r="AV266" s="15">
        <f t="shared" ca="1" si="28"/>
        <v>46243</v>
      </c>
      <c r="AX266" s="6"/>
      <c r="AY266" t="str">
        <f t="shared" si="29"/>
        <v>INCOMPLETE - NOT SELECTABLE AS TECH STOP</v>
      </c>
    </row>
    <row r="267" spans="1:51" x14ac:dyDescent="0.3">
      <c r="A267" s="4" t="s">
        <v>1375</v>
      </c>
      <c r="B267" s="4" t="s">
        <v>1376</v>
      </c>
      <c r="C267" s="4"/>
      <c r="D267" s="4"/>
      <c r="E267" s="4" t="s">
        <v>1640</v>
      </c>
      <c r="F267" s="4" t="s">
        <v>82</v>
      </c>
      <c r="G267" s="4"/>
      <c r="H267" s="4" t="s">
        <v>1867</v>
      </c>
      <c r="I267" s="4" t="s">
        <v>1869</v>
      </c>
      <c r="J267" s="4"/>
      <c r="K267" s="4"/>
      <c r="L267" s="4"/>
      <c r="M267" s="4"/>
      <c r="N267" s="12" t="str">
        <f t="shared" si="24"/>
        <v>27°13′39″S 055°50′15″W</v>
      </c>
      <c r="O267" s="7">
        <v>-27.227540000000001</v>
      </c>
      <c r="P267" s="7">
        <v>-55.837580000000003</v>
      </c>
      <c r="Q267" s="13">
        <f t="shared" si="25"/>
        <v>201</v>
      </c>
      <c r="R267" s="11">
        <v>659</v>
      </c>
      <c r="S267" s="4"/>
      <c r="T267" s="4"/>
      <c r="U267" s="8">
        <v>-4</v>
      </c>
      <c r="V267" s="14">
        <f ca="1">IF($U267="","",MOD(NOW()-admin!$B$1/24+$U267/24,1))</f>
        <v>0.44515972222143319</v>
      </c>
      <c r="W267" s="4"/>
      <c r="X267" s="4"/>
      <c r="Y267" s="4"/>
      <c r="Z267" s="4"/>
      <c r="AA267" s="4"/>
      <c r="AB267" s="4"/>
      <c r="AC267" s="4"/>
      <c r="AD267" s="4"/>
      <c r="AE267" s="4" t="s">
        <v>2198</v>
      </c>
      <c r="AF267" s="4"/>
      <c r="AG267" s="4"/>
      <c r="AH267" s="4"/>
      <c r="AI267" s="4"/>
      <c r="AJ267" s="4"/>
      <c r="AK267" s="4"/>
      <c r="AL267" s="4"/>
      <c r="AM267" s="4"/>
      <c r="AN267" s="4"/>
      <c r="AO267" s="12" t="str">
        <f>IF($A267="","",admin!$B$2&amp;"\Charts\"&amp;$A267)</f>
        <v>C:\Backups\InsiderTechSol\Aviation\Jetelio_v3\.LAYOUT\resources\Charts\SGEN</v>
      </c>
      <c r="AP267" s="12" t="str">
        <f>IF($A267="","",admin!$B$2&amp;"\RunwayDiagrams\"&amp;$A267&amp;".pdf")</f>
        <v>C:\Backups\InsiderTechSol\Aviation\Jetelio_v3\.LAYOUT\resources\RunwayDiagrams\SGEN.pdf</v>
      </c>
      <c r="AQ267" s="12" t="str">
        <f>IF($A267="","",admin!$B$2&amp;"\Images\"&amp;$A267)</f>
        <v>C:\Backups\InsiderTechSol\Aviation\Jetelio_v3\.LAYOUT\resources\Images\SGEN</v>
      </c>
      <c r="AR267" s="12" t="str">
        <f>IF($A267="","",admin!$B$2&amp;"\CityMaps\"&amp;$A267&amp;".png")</f>
        <v>C:\Backups\InsiderTechSol\Aviation\Jetelio_v3\.LAYOUT\resources\CityMaps\SGEN.png</v>
      </c>
      <c r="AS267" s="16" t="str">
        <f t="shared" si="26"/>
        <v>VISA sheet</v>
      </c>
      <c r="AT267" s="16" t="str">
        <f t="shared" si="27"/>
        <v>Vendors sheet</v>
      </c>
      <c r="AU267" s="4"/>
      <c r="AV267" s="15">
        <f t="shared" ca="1" si="28"/>
        <v>46243</v>
      </c>
      <c r="AX267" s="6"/>
      <c r="AY267" t="str">
        <f t="shared" si="29"/>
        <v>INCOMPLETE - NOT SELECTABLE AS TECH STOP</v>
      </c>
    </row>
    <row r="268" spans="1:51" x14ac:dyDescent="0.3">
      <c r="A268" s="4" t="s">
        <v>1377</v>
      </c>
      <c r="B268" s="4" t="s">
        <v>1378</v>
      </c>
      <c r="C268" s="4"/>
      <c r="D268" s="4"/>
      <c r="E268" s="4" t="s">
        <v>1641</v>
      </c>
      <c r="F268" s="4" t="s">
        <v>82</v>
      </c>
      <c r="G268" s="4"/>
      <c r="H268" s="4" t="s">
        <v>1870</v>
      </c>
      <c r="I268" s="4" t="s">
        <v>1871</v>
      </c>
      <c r="J268" s="4"/>
      <c r="K268" s="4"/>
      <c r="L268" s="4"/>
      <c r="M268" s="4"/>
      <c r="N268" s="12" t="str">
        <f t="shared" si="24"/>
        <v>25°15′34″N 051°33′56″E</v>
      </c>
      <c r="O268" s="7">
        <v>25.259429999999998</v>
      </c>
      <c r="P268" s="7">
        <v>51.565530000000003</v>
      </c>
      <c r="Q268" s="13">
        <f t="shared" si="25"/>
        <v>11</v>
      </c>
      <c r="R268" s="11">
        <v>35</v>
      </c>
      <c r="S268" s="4"/>
      <c r="T268" s="4" t="s">
        <v>2062</v>
      </c>
      <c r="U268" s="8">
        <v>3</v>
      </c>
      <c r="V268" s="14">
        <f ca="1">IF($U268="","",MOD(NOW()-admin!$B$1/24+$U268/24,1))</f>
        <v>0.73682638888567453</v>
      </c>
      <c r="W268" s="4"/>
      <c r="X268" s="4"/>
      <c r="Y268" s="4"/>
      <c r="Z268" s="4"/>
      <c r="AA268" s="4"/>
      <c r="AB268" s="4"/>
      <c r="AC268" s="4"/>
      <c r="AD268" s="4"/>
      <c r="AE268" s="4" t="s">
        <v>2199</v>
      </c>
      <c r="AF268" s="4"/>
      <c r="AG268" s="4"/>
      <c r="AH268" s="4"/>
      <c r="AI268" s="4"/>
      <c r="AJ268" s="4"/>
      <c r="AK268" s="4"/>
      <c r="AL268" s="4"/>
      <c r="AM268" s="4"/>
      <c r="AN268" s="4"/>
      <c r="AO268" s="12" t="str">
        <f>IF($A268="","",admin!$B$2&amp;"\Charts\"&amp;$A268)</f>
        <v>C:\Backups\InsiderTechSol\Aviation\Jetelio_v3\.LAYOUT\resources\Charts\OTBD</v>
      </c>
      <c r="AP268" s="12" t="str">
        <f>IF($A268="","",admin!$B$2&amp;"\RunwayDiagrams\"&amp;$A268&amp;".pdf")</f>
        <v>C:\Backups\InsiderTechSol\Aviation\Jetelio_v3\.LAYOUT\resources\RunwayDiagrams\OTBD.pdf</v>
      </c>
      <c r="AQ268" s="12" t="str">
        <f>IF($A268="","",admin!$B$2&amp;"\Images\"&amp;$A268)</f>
        <v>C:\Backups\InsiderTechSol\Aviation\Jetelio_v3\.LAYOUT\resources\Images\OTBD</v>
      </c>
      <c r="AR268" s="12" t="str">
        <f>IF($A268="","",admin!$B$2&amp;"\CityMaps\"&amp;$A268&amp;".png")</f>
        <v>C:\Backups\InsiderTechSol\Aviation\Jetelio_v3\.LAYOUT\resources\CityMaps\OTBD.png</v>
      </c>
      <c r="AS268" s="16" t="str">
        <f t="shared" si="26"/>
        <v>VISA sheet</v>
      </c>
      <c r="AT268" s="16" t="str">
        <f t="shared" si="27"/>
        <v>Vendors sheet</v>
      </c>
      <c r="AU268" s="4"/>
      <c r="AV268" s="15">
        <f t="shared" ca="1" si="28"/>
        <v>46243</v>
      </c>
      <c r="AX268" s="6"/>
      <c r="AY268" t="str">
        <f t="shared" si="29"/>
        <v>INCOMPLETE - NOT SELECTABLE AS TECH STOP</v>
      </c>
    </row>
    <row r="269" spans="1:51" x14ac:dyDescent="0.3">
      <c r="A269" s="4" t="s">
        <v>1379</v>
      </c>
      <c r="B269" s="4" t="s">
        <v>1380</v>
      </c>
      <c r="C269" s="4"/>
      <c r="D269" s="4"/>
      <c r="E269" s="4" t="s">
        <v>1642</v>
      </c>
      <c r="F269" s="4" t="s">
        <v>82</v>
      </c>
      <c r="G269" s="4"/>
      <c r="H269" s="4" t="s">
        <v>1870</v>
      </c>
      <c r="I269" s="4" t="s">
        <v>1871</v>
      </c>
      <c r="J269" s="4"/>
      <c r="K269" s="4"/>
      <c r="L269" s="4"/>
      <c r="M269" s="4"/>
      <c r="N269" s="12" t="str">
        <f t="shared" si="24"/>
        <v>25°16′23″N 051°36′29″E</v>
      </c>
      <c r="O269" s="7">
        <v>25.273060000000001</v>
      </c>
      <c r="P269" s="7">
        <v>51.608060000000002</v>
      </c>
      <c r="Q269" s="13">
        <f t="shared" si="25"/>
        <v>4</v>
      </c>
      <c r="R269" s="11">
        <v>13</v>
      </c>
      <c r="S269" s="4"/>
      <c r="T269" s="4"/>
      <c r="U269" s="8">
        <v>3</v>
      </c>
      <c r="V269" s="14">
        <f ca="1">IF($U269="","",MOD(NOW()-admin!$B$1/24+$U269/24,1))</f>
        <v>0.73682638888567453</v>
      </c>
      <c r="W269" s="4"/>
      <c r="X269" s="4"/>
      <c r="Y269" s="4"/>
      <c r="Z269" s="4"/>
      <c r="AA269" s="4"/>
      <c r="AB269" s="4"/>
      <c r="AC269" s="4"/>
      <c r="AD269" s="4"/>
      <c r="AE269" s="4" t="s">
        <v>2200</v>
      </c>
      <c r="AF269" s="4"/>
      <c r="AG269" s="4"/>
      <c r="AH269" s="4"/>
      <c r="AI269" s="4"/>
      <c r="AJ269" s="4"/>
      <c r="AK269" s="4"/>
      <c r="AL269" s="4"/>
      <c r="AM269" s="4"/>
      <c r="AN269" s="4"/>
      <c r="AO269" s="12" t="str">
        <f>IF($A269="","",admin!$B$2&amp;"\Charts\"&amp;$A269)</f>
        <v>C:\Backups\InsiderTechSol\Aviation\Jetelio_v3\.LAYOUT\resources\Charts\OTHH</v>
      </c>
      <c r="AP269" s="12" t="str">
        <f>IF($A269="","",admin!$B$2&amp;"\RunwayDiagrams\"&amp;$A269&amp;".pdf")</f>
        <v>C:\Backups\InsiderTechSol\Aviation\Jetelio_v3\.LAYOUT\resources\RunwayDiagrams\OTHH.pdf</v>
      </c>
      <c r="AQ269" s="12" t="str">
        <f>IF($A269="","",admin!$B$2&amp;"\Images\"&amp;$A269)</f>
        <v>C:\Backups\InsiderTechSol\Aviation\Jetelio_v3\.LAYOUT\resources\Images\OTHH</v>
      </c>
      <c r="AR269" s="12" t="str">
        <f>IF($A269="","",admin!$B$2&amp;"\CityMaps\"&amp;$A269&amp;".png")</f>
        <v>C:\Backups\InsiderTechSol\Aviation\Jetelio_v3\.LAYOUT\resources\CityMaps\OTHH.png</v>
      </c>
      <c r="AS269" s="16" t="str">
        <f t="shared" si="26"/>
        <v>VISA sheet</v>
      </c>
      <c r="AT269" s="16" t="str">
        <f t="shared" si="27"/>
        <v>Vendors sheet</v>
      </c>
      <c r="AU269" s="4"/>
      <c r="AV269" s="15">
        <f t="shared" ca="1" si="28"/>
        <v>46243</v>
      </c>
      <c r="AX269" s="6"/>
      <c r="AY269" t="str">
        <f t="shared" si="29"/>
        <v>INCOMPLETE - NOT SELECTABLE AS TECH STOP</v>
      </c>
    </row>
    <row r="270" spans="1:51" x14ac:dyDescent="0.3">
      <c r="A270" s="4" t="s">
        <v>1381</v>
      </c>
      <c r="B270" s="4" t="s">
        <v>1382</v>
      </c>
      <c r="C270" s="4"/>
      <c r="D270" s="4"/>
      <c r="E270" s="4" t="s">
        <v>1643</v>
      </c>
      <c r="F270" s="4" t="s">
        <v>82</v>
      </c>
      <c r="G270" s="4"/>
      <c r="H270" s="4" t="s">
        <v>1872</v>
      </c>
      <c r="I270" s="4" t="s">
        <v>1873</v>
      </c>
      <c r="J270" s="4"/>
      <c r="K270" s="4"/>
      <c r="L270" s="4"/>
      <c r="M270" s="4"/>
      <c r="N270" s="12" t="str">
        <f t="shared" si="24"/>
        <v>20°53′24″S 055°31′08″E</v>
      </c>
      <c r="O270" s="7">
        <v>-20.890090000000001</v>
      </c>
      <c r="P270" s="7">
        <v>55.518889999999999</v>
      </c>
      <c r="Q270" s="13">
        <f t="shared" si="25"/>
        <v>20</v>
      </c>
      <c r="R270" s="11">
        <v>66</v>
      </c>
      <c r="S270" s="4"/>
      <c r="T270" s="4" t="s">
        <v>2063</v>
      </c>
      <c r="U270" s="8">
        <v>4</v>
      </c>
      <c r="V270" s="14">
        <f ca="1">IF($U270="","",MOD(NOW()-admin!$B$1/24+$U270/24,1))</f>
        <v>0.77849305554991588</v>
      </c>
      <c r="W270" s="4"/>
      <c r="X270" s="4"/>
      <c r="Y270" s="4"/>
      <c r="Z270" s="4"/>
      <c r="AA270" s="4"/>
      <c r="AB270" s="4"/>
      <c r="AC270" s="4"/>
      <c r="AD270" s="4"/>
      <c r="AE270" s="4" t="s">
        <v>2201</v>
      </c>
      <c r="AF270" s="4"/>
      <c r="AG270" s="4"/>
      <c r="AH270" s="4"/>
      <c r="AI270" s="4"/>
      <c r="AJ270" s="4"/>
      <c r="AK270" s="4"/>
      <c r="AL270" s="4"/>
      <c r="AM270" s="4"/>
      <c r="AN270" s="4"/>
      <c r="AO270" s="12" t="str">
        <f>IF($A270="","",admin!$B$2&amp;"\Charts\"&amp;$A270)</f>
        <v>C:\Backups\InsiderTechSol\Aviation\Jetelio_v3\.LAYOUT\resources\Charts\FMEE</v>
      </c>
      <c r="AP270" s="12" t="str">
        <f>IF($A270="","",admin!$B$2&amp;"\RunwayDiagrams\"&amp;$A270&amp;".pdf")</f>
        <v>C:\Backups\InsiderTechSol\Aviation\Jetelio_v3\.LAYOUT\resources\RunwayDiagrams\FMEE.pdf</v>
      </c>
      <c r="AQ270" s="12" t="str">
        <f>IF($A270="","",admin!$B$2&amp;"\Images\"&amp;$A270)</f>
        <v>C:\Backups\InsiderTechSol\Aviation\Jetelio_v3\.LAYOUT\resources\Images\FMEE</v>
      </c>
      <c r="AR270" s="12" t="str">
        <f>IF($A270="","",admin!$B$2&amp;"\CityMaps\"&amp;$A270&amp;".png")</f>
        <v>C:\Backups\InsiderTechSol\Aviation\Jetelio_v3\.LAYOUT\resources\CityMaps\FMEE.png</v>
      </c>
      <c r="AS270" s="16" t="str">
        <f t="shared" si="26"/>
        <v>VISA sheet</v>
      </c>
      <c r="AT270" s="16" t="str">
        <f t="shared" si="27"/>
        <v>Vendors sheet</v>
      </c>
      <c r="AU270" s="4"/>
      <c r="AV270" s="15">
        <f t="shared" ca="1" si="28"/>
        <v>46243</v>
      </c>
      <c r="AX270" s="6"/>
      <c r="AY270" t="str">
        <f t="shared" si="29"/>
        <v>INCOMPLETE - NOT SELECTABLE AS TECH STOP</v>
      </c>
    </row>
    <row r="271" spans="1:51" x14ac:dyDescent="0.3">
      <c r="A271" s="4" t="s">
        <v>1383</v>
      </c>
      <c r="B271" s="4" t="s">
        <v>1384</v>
      </c>
      <c r="C271" s="4"/>
      <c r="D271" s="4"/>
      <c r="E271" s="4" t="s">
        <v>1644</v>
      </c>
      <c r="F271" s="4" t="s">
        <v>82</v>
      </c>
      <c r="G271" s="4"/>
      <c r="H271" s="4" t="s">
        <v>1872</v>
      </c>
      <c r="I271" s="4" t="s">
        <v>1874</v>
      </c>
      <c r="J271" s="4"/>
      <c r="K271" s="4"/>
      <c r="L271" s="4"/>
      <c r="M271" s="4"/>
      <c r="N271" s="12" t="str">
        <f t="shared" si="24"/>
        <v>21°19′10″S 055°25′21″E</v>
      </c>
      <c r="O271" s="7">
        <v>-21.31936</v>
      </c>
      <c r="P271" s="7">
        <v>55.422510000000003</v>
      </c>
      <c r="Q271" s="13">
        <f t="shared" si="25"/>
        <v>18</v>
      </c>
      <c r="R271" s="11">
        <v>59</v>
      </c>
      <c r="S271" s="4"/>
      <c r="T271" s="4" t="s">
        <v>2063</v>
      </c>
      <c r="U271" s="8">
        <v>4</v>
      </c>
      <c r="V271" s="14">
        <f ca="1">IF($U271="","",MOD(NOW()-admin!$B$1/24+$U271/24,1))</f>
        <v>0.77849305554991588</v>
      </c>
      <c r="W271" s="4"/>
      <c r="X271" s="4"/>
      <c r="Y271" s="4"/>
      <c r="Z271" s="4"/>
      <c r="AA271" s="4"/>
      <c r="AB271" s="4"/>
      <c r="AC271" s="4"/>
      <c r="AD271" s="4"/>
      <c r="AE271" s="4" t="s">
        <v>2202</v>
      </c>
      <c r="AF271" s="4"/>
      <c r="AG271" s="4"/>
      <c r="AH271" s="4"/>
      <c r="AI271" s="4"/>
      <c r="AJ271" s="4"/>
      <c r="AK271" s="4"/>
      <c r="AL271" s="4"/>
      <c r="AM271" s="4"/>
      <c r="AN271" s="4"/>
      <c r="AO271" s="12" t="str">
        <f>IF($A271="","",admin!$B$2&amp;"\Charts\"&amp;$A271)</f>
        <v>C:\Backups\InsiderTechSol\Aviation\Jetelio_v3\.LAYOUT\resources\Charts\FMEP</v>
      </c>
      <c r="AP271" s="12" t="str">
        <f>IF($A271="","",admin!$B$2&amp;"\RunwayDiagrams\"&amp;$A271&amp;".pdf")</f>
        <v>C:\Backups\InsiderTechSol\Aviation\Jetelio_v3\.LAYOUT\resources\RunwayDiagrams\FMEP.pdf</v>
      </c>
      <c r="AQ271" s="12" t="str">
        <f>IF($A271="","",admin!$B$2&amp;"\Images\"&amp;$A271)</f>
        <v>C:\Backups\InsiderTechSol\Aviation\Jetelio_v3\.LAYOUT\resources\Images\FMEP</v>
      </c>
      <c r="AR271" s="12" t="str">
        <f>IF($A271="","",admin!$B$2&amp;"\CityMaps\"&amp;$A271&amp;".png")</f>
        <v>C:\Backups\InsiderTechSol\Aviation\Jetelio_v3\.LAYOUT\resources\CityMaps\FMEP.png</v>
      </c>
      <c r="AS271" s="16" t="str">
        <f t="shared" si="26"/>
        <v>VISA sheet</v>
      </c>
      <c r="AT271" s="16" t="str">
        <f t="shared" si="27"/>
        <v>Vendors sheet</v>
      </c>
      <c r="AU271" s="4"/>
      <c r="AV271" s="15">
        <f t="shared" ca="1" si="28"/>
        <v>46243</v>
      </c>
      <c r="AX271" s="6"/>
      <c r="AY271" t="str">
        <f t="shared" si="29"/>
        <v>INCOMPLETE - NOT SELECTABLE AS TECH STOP</v>
      </c>
    </row>
    <row r="272" spans="1:51" x14ac:dyDescent="0.3">
      <c r="A272" s="4" t="s">
        <v>1385</v>
      </c>
      <c r="B272" s="4" t="s">
        <v>1386</v>
      </c>
      <c r="C272" s="4"/>
      <c r="D272" s="4"/>
      <c r="E272" s="4" t="s">
        <v>1645</v>
      </c>
      <c r="F272" s="4" t="s">
        <v>82</v>
      </c>
      <c r="G272" s="4"/>
      <c r="H272" s="4" t="s">
        <v>1875</v>
      </c>
      <c r="I272" s="4" t="s">
        <v>1876</v>
      </c>
      <c r="J272" s="4"/>
      <c r="K272" s="4"/>
      <c r="L272" s="4"/>
      <c r="M272" s="4"/>
      <c r="N272" s="12" t="str">
        <f t="shared" si="24"/>
        <v>46°31′19″N 026°54′37″E</v>
      </c>
      <c r="O272" s="7">
        <v>46.521900000000002</v>
      </c>
      <c r="P272" s="7">
        <v>26.910299999999999</v>
      </c>
      <c r="Q272" s="13">
        <f t="shared" si="25"/>
        <v>185</v>
      </c>
      <c r="R272" s="11">
        <v>607</v>
      </c>
      <c r="S272" s="4"/>
      <c r="T272" s="4" t="s">
        <v>2064</v>
      </c>
      <c r="U272" s="8">
        <v>2</v>
      </c>
      <c r="V272" s="14">
        <f ca="1">IF($U272="","",MOD(NOW()-admin!$B$1/24+$U272/24,1))</f>
        <v>0.69515972222143319</v>
      </c>
      <c r="W272" s="4"/>
      <c r="X272" s="4"/>
      <c r="Y272" s="4"/>
      <c r="Z272" s="4"/>
      <c r="AA272" s="4"/>
      <c r="AB272" s="4"/>
      <c r="AC272" s="4"/>
      <c r="AD272" s="4"/>
      <c r="AE272" s="4" t="s">
        <v>2203</v>
      </c>
      <c r="AF272" s="4"/>
      <c r="AG272" s="4"/>
      <c r="AH272" s="4"/>
      <c r="AI272" s="4"/>
      <c r="AJ272" s="4"/>
      <c r="AK272" s="4"/>
      <c r="AL272" s="4"/>
      <c r="AM272" s="4"/>
      <c r="AN272" s="4"/>
      <c r="AO272" s="12" t="str">
        <f>IF($A272="","",admin!$B$2&amp;"\Charts\"&amp;$A272)</f>
        <v>C:\Backups\InsiderTechSol\Aviation\Jetelio_v3\.LAYOUT\resources\Charts\LRBC</v>
      </c>
      <c r="AP272" s="12" t="str">
        <f>IF($A272="","",admin!$B$2&amp;"\RunwayDiagrams\"&amp;$A272&amp;".pdf")</f>
        <v>C:\Backups\InsiderTechSol\Aviation\Jetelio_v3\.LAYOUT\resources\RunwayDiagrams\LRBC.pdf</v>
      </c>
      <c r="AQ272" s="12" t="str">
        <f>IF($A272="","",admin!$B$2&amp;"\Images\"&amp;$A272)</f>
        <v>C:\Backups\InsiderTechSol\Aviation\Jetelio_v3\.LAYOUT\resources\Images\LRBC</v>
      </c>
      <c r="AR272" s="12" t="str">
        <f>IF($A272="","",admin!$B$2&amp;"\CityMaps\"&amp;$A272&amp;".png")</f>
        <v>C:\Backups\InsiderTechSol\Aviation\Jetelio_v3\.LAYOUT\resources\CityMaps\LRBC.png</v>
      </c>
      <c r="AS272" s="16" t="str">
        <f t="shared" si="26"/>
        <v>VISA sheet</v>
      </c>
      <c r="AT272" s="16" t="str">
        <f t="shared" si="27"/>
        <v>Vendors sheet</v>
      </c>
      <c r="AU272" s="4"/>
      <c r="AV272" s="15">
        <f t="shared" ca="1" si="28"/>
        <v>46243</v>
      </c>
      <c r="AX272" s="6"/>
      <c r="AY272" t="str">
        <f t="shared" si="29"/>
        <v>INCOMPLETE - NOT SELECTABLE AS TECH STOP</v>
      </c>
    </row>
    <row r="273" spans="1:51" x14ac:dyDescent="0.3">
      <c r="A273" s="4" t="s">
        <v>1387</v>
      </c>
      <c r="B273" s="4" t="s">
        <v>1388</v>
      </c>
      <c r="C273" s="4"/>
      <c r="D273" s="4"/>
      <c r="E273" s="4" t="s">
        <v>1646</v>
      </c>
      <c r="F273" s="4" t="s">
        <v>82</v>
      </c>
      <c r="G273" s="4"/>
      <c r="H273" s="4" t="s">
        <v>1875</v>
      </c>
      <c r="I273" s="4" t="s">
        <v>1877</v>
      </c>
      <c r="J273" s="4"/>
      <c r="K273" s="4"/>
      <c r="L273" s="4"/>
      <c r="M273" s="4"/>
      <c r="N273" s="12" t="str">
        <f t="shared" si="24"/>
        <v>44°30′11″N 026°06′11″E</v>
      </c>
      <c r="O273" s="7">
        <v>44.503129999999999</v>
      </c>
      <c r="P273" s="7">
        <v>26.10294</v>
      </c>
      <c r="Q273" s="13">
        <f t="shared" si="25"/>
        <v>91</v>
      </c>
      <c r="R273" s="11">
        <v>297</v>
      </c>
      <c r="S273" s="4"/>
      <c r="T273" s="4" t="s">
        <v>2064</v>
      </c>
      <c r="U273" s="8">
        <v>2</v>
      </c>
      <c r="V273" s="14">
        <f ca="1">IF($U273="","",MOD(NOW()-admin!$B$1/24+$U273/24,1))</f>
        <v>0.69515972222143319</v>
      </c>
      <c r="W273" s="4"/>
      <c r="X273" s="4"/>
      <c r="Y273" s="4"/>
      <c r="Z273" s="4"/>
      <c r="AA273" s="4"/>
      <c r="AB273" s="4"/>
      <c r="AC273" s="4"/>
      <c r="AD273" s="4"/>
      <c r="AE273" s="4" t="s">
        <v>2204</v>
      </c>
      <c r="AF273" s="4"/>
      <c r="AG273" s="4"/>
      <c r="AH273" s="4"/>
      <c r="AI273" s="4"/>
      <c r="AJ273" s="4"/>
      <c r="AK273" s="4"/>
      <c r="AL273" s="4"/>
      <c r="AM273" s="4"/>
      <c r="AN273" s="4"/>
      <c r="AO273" s="12" t="str">
        <f>IF($A273="","",admin!$B$2&amp;"\Charts\"&amp;$A273)</f>
        <v>C:\Backups\InsiderTechSol\Aviation\Jetelio_v3\.LAYOUT\resources\Charts\LRBS</v>
      </c>
      <c r="AP273" s="12" t="str">
        <f>IF($A273="","",admin!$B$2&amp;"\RunwayDiagrams\"&amp;$A273&amp;".pdf")</f>
        <v>C:\Backups\InsiderTechSol\Aviation\Jetelio_v3\.LAYOUT\resources\RunwayDiagrams\LRBS.pdf</v>
      </c>
      <c r="AQ273" s="12" t="str">
        <f>IF($A273="","",admin!$B$2&amp;"\Images\"&amp;$A273)</f>
        <v>C:\Backups\InsiderTechSol\Aviation\Jetelio_v3\.LAYOUT\resources\Images\LRBS</v>
      </c>
      <c r="AR273" s="12" t="str">
        <f>IF($A273="","",admin!$B$2&amp;"\CityMaps\"&amp;$A273&amp;".png")</f>
        <v>C:\Backups\InsiderTechSol\Aviation\Jetelio_v3\.LAYOUT\resources\CityMaps\LRBS.png</v>
      </c>
      <c r="AS273" s="16" t="str">
        <f t="shared" si="26"/>
        <v>VISA sheet</v>
      </c>
      <c r="AT273" s="16" t="str">
        <f t="shared" si="27"/>
        <v>Vendors sheet</v>
      </c>
      <c r="AU273" s="4"/>
      <c r="AV273" s="15">
        <f t="shared" ca="1" si="28"/>
        <v>46243</v>
      </c>
      <c r="AX273" s="6"/>
      <c r="AY273" t="str">
        <f t="shared" si="29"/>
        <v>INCOMPLETE - NOT SELECTABLE AS TECH STOP</v>
      </c>
    </row>
    <row r="274" spans="1:51" x14ac:dyDescent="0.3">
      <c r="A274" s="4" t="s">
        <v>1389</v>
      </c>
      <c r="B274" s="4" t="s">
        <v>1390</v>
      </c>
      <c r="C274" s="4"/>
      <c r="D274" s="4"/>
      <c r="E274" s="4" t="s">
        <v>1647</v>
      </c>
      <c r="F274" s="4" t="s">
        <v>82</v>
      </c>
      <c r="G274" s="4"/>
      <c r="H274" s="4" t="s">
        <v>1878</v>
      </c>
      <c r="I274" s="4" t="s">
        <v>1879</v>
      </c>
      <c r="J274" s="4"/>
      <c r="K274" s="4"/>
      <c r="L274" s="4"/>
      <c r="M274" s="4"/>
      <c r="N274" s="12" t="str">
        <f t="shared" si="24"/>
        <v>44°49′06″N 020°18′33″E</v>
      </c>
      <c r="O274" s="7">
        <v>44.818399999999997</v>
      </c>
      <c r="P274" s="7">
        <v>20.309100000000001</v>
      </c>
      <c r="Q274" s="13">
        <f t="shared" si="25"/>
        <v>102</v>
      </c>
      <c r="R274" s="11">
        <v>335</v>
      </c>
      <c r="S274" s="4"/>
      <c r="T274" s="4" t="s">
        <v>2065</v>
      </c>
      <c r="U274" s="8">
        <v>1</v>
      </c>
      <c r="V274" s="14">
        <f ca="1">IF($U274="","",MOD(NOW()-admin!$B$1/24+$U274/24,1))</f>
        <v>0.65349305554991588</v>
      </c>
      <c r="W274" s="4"/>
      <c r="X274" s="4"/>
      <c r="Y274" s="4"/>
      <c r="Z274" s="4"/>
      <c r="AA274" s="4"/>
      <c r="AB274" s="4"/>
      <c r="AC274" s="4"/>
      <c r="AD274" s="4"/>
      <c r="AE274" s="4" t="s">
        <v>2205</v>
      </c>
      <c r="AF274" s="4"/>
      <c r="AG274" s="4"/>
      <c r="AH274" s="4"/>
      <c r="AI274" s="4"/>
      <c r="AJ274" s="4"/>
      <c r="AK274" s="4"/>
      <c r="AL274" s="4"/>
      <c r="AM274" s="4"/>
      <c r="AN274" s="4"/>
      <c r="AO274" s="12" t="str">
        <f>IF($A274="","",admin!$B$2&amp;"\Charts\"&amp;$A274)</f>
        <v>C:\Backups\InsiderTechSol\Aviation\Jetelio_v3\.LAYOUT\resources\Charts\LYBE</v>
      </c>
      <c r="AP274" s="12" t="str">
        <f>IF($A274="","",admin!$B$2&amp;"\RunwayDiagrams\"&amp;$A274&amp;".pdf")</f>
        <v>C:\Backups\InsiderTechSol\Aviation\Jetelio_v3\.LAYOUT\resources\RunwayDiagrams\LYBE.pdf</v>
      </c>
      <c r="AQ274" s="12" t="str">
        <f>IF($A274="","",admin!$B$2&amp;"\Images\"&amp;$A274)</f>
        <v>C:\Backups\InsiderTechSol\Aviation\Jetelio_v3\.LAYOUT\resources\Images\LYBE</v>
      </c>
      <c r="AR274" s="12" t="str">
        <f>IF($A274="","",admin!$B$2&amp;"\CityMaps\"&amp;$A274&amp;".png")</f>
        <v>C:\Backups\InsiderTechSol\Aviation\Jetelio_v3\.LAYOUT\resources\CityMaps\LYBE.png</v>
      </c>
      <c r="AS274" s="16" t="str">
        <f t="shared" si="26"/>
        <v>VISA sheet</v>
      </c>
      <c r="AT274" s="16" t="str">
        <f t="shared" si="27"/>
        <v>Vendors sheet</v>
      </c>
      <c r="AU274" s="4"/>
      <c r="AV274" s="15">
        <f t="shared" ca="1" si="28"/>
        <v>46243</v>
      </c>
      <c r="AX274" s="6"/>
      <c r="AY274" t="str">
        <f t="shared" si="29"/>
        <v>INCOMPLETE - NOT SELECTABLE AS TECH STOP</v>
      </c>
    </row>
    <row r="275" spans="1:51" x14ac:dyDescent="0.3">
      <c r="A275" s="4" t="s">
        <v>1391</v>
      </c>
      <c r="B275" s="4" t="s">
        <v>1392</v>
      </c>
      <c r="C275" s="4"/>
      <c r="D275" s="4"/>
      <c r="E275" s="4" t="s">
        <v>1648</v>
      </c>
      <c r="F275" s="4" t="s">
        <v>82</v>
      </c>
      <c r="G275" s="4"/>
      <c r="H275" s="4" t="s">
        <v>1878</v>
      </c>
      <c r="I275" s="4" t="s">
        <v>1880</v>
      </c>
      <c r="J275" s="4"/>
      <c r="K275" s="4"/>
      <c r="L275" s="4"/>
      <c r="M275" s="4"/>
      <c r="N275" s="12" t="str">
        <f t="shared" si="24"/>
        <v>43°20′12″N 021°51′22″E</v>
      </c>
      <c r="O275" s="7">
        <v>43.336539999999999</v>
      </c>
      <c r="P275" s="7">
        <v>21.85624</v>
      </c>
      <c r="Q275" s="13">
        <f t="shared" si="25"/>
        <v>198</v>
      </c>
      <c r="R275" s="11">
        <v>648</v>
      </c>
      <c r="S275" s="4"/>
      <c r="T275" s="4" t="s">
        <v>2065</v>
      </c>
      <c r="U275" s="8">
        <v>1</v>
      </c>
      <c r="V275" s="14">
        <f ca="1">IF($U275="","",MOD(NOW()-admin!$B$1/24+$U275/24,1))</f>
        <v>0.65349305554991588</v>
      </c>
      <c r="W275" s="4"/>
      <c r="X275" s="4"/>
      <c r="Y275" s="4"/>
      <c r="Z275" s="4"/>
      <c r="AA275" s="4"/>
      <c r="AB275" s="4"/>
      <c r="AC275" s="4"/>
      <c r="AD275" s="4"/>
      <c r="AE275" s="4" t="s">
        <v>2206</v>
      </c>
      <c r="AF275" s="4"/>
      <c r="AG275" s="4"/>
      <c r="AH275" s="4"/>
      <c r="AI275" s="4"/>
      <c r="AJ275" s="4"/>
      <c r="AK275" s="4"/>
      <c r="AL275" s="4"/>
      <c r="AM275" s="4"/>
      <c r="AN275" s="4"/>
      <c r="AO275" s="12" t="str">
        <f>IF($A275="","",admin!$B$2&amp;"\Charts\"&amp;$A275)</f>
        <v>C:\Backups\InsiderTechSol\Aviation\Jetelio_v3\.LAYOUT\resources\Charts\LYNI</v>
      </c>
      <c r="AP275" s="12" t="str">
        <f>IF($A275="","",admin!$B$2&amp;"\RunwayDiagrams\"&amp;$A275&amp;".pdf")</f>
        <v>C:\Backups\InsiderTechSol\Aviation\Jetelio_v3\.LAYOUT\resources\RunwayDiagrams\LYNI.pdf</v>
      </c>
      <c r="AQ275" s="12" t="str">
        <f>IF($A275="","",admin!$B$2&amp;"\Images\"&amp;$A275)</f>
        <v>C:\Backups\InsiderTechSol\Aviation\Jetelio_v3\.LAYOUT\resources\Images\LYNI</v>
      </c>
      <c r="AR275" s="12" t="str">
        <f>IF($A275="","",admin!$B$2&amp;"\CityMaps\"&amp;$A275&amp;".png")</f>
        <v>C:\Backups\InsiderTechSol\Aviation\Jetelio_v3\.LAYOUT\resources\CityMaps\LYNI.png</v>
      </c>
      <c r="AS275" s="16" t="str">
        <f t="shared" si="26"/>
        <v>VISA sheet</v>
      </c>
      <c r="AT275" s="16" t="str">
        <f t="shared" si="27"/>
        <v>Vendors sheet</v>
      </c>
      <c r="AU275" s="4"/>
      <c r="AV275" s="15">
        <f t="shared" ca="1" si="28"/>
        <v>46243</v>
      </c>
      <c r="AX275" s="6"/>
      <c r="AY275" t="str">
        <f t="shared" si="29"/>
        <v>INCOMPLETE - NOT SELECTABLE AS TECH STOP</v>
      </c>
    </row>
    <row r="276" spans="1:51" x14ac:dyDescent="0.3">
      <c r="A276" s="4" t="s">
        <v>1393</v>
      </c>
      <c r="B276" s="4" t="s">
        <v>1394</v>
      </c>
      <c r="C276" s="4"/>
      <c r="D276" s="4"/>
      <c r="E276" s="4" t="s">
        <v>1649</v>
      </c>
      <c r="F276" s="4" t="s">
        <v>82</v>
      </c>
      <c r="G276" s="4"/>
      <c r="H276" s="4" t="s">
        <v>1881</v>
      </c>
      <c r="I276" s="4" t="s">
        <v>1882</v>
      </c>
      <c r="J276" s="4"/>
      <c r="K276" s="4"/>
      <c r="L276" s="4"/>
      <c r="M276" s="4"/>
      <c r="N276" s="12" t="str">
        <f t="shared" si="24"/>
        <v>62°05′36″N 129°46′16″E</v>
      </c>
      <c r="O276" s="7">
        <v>62.093299999999999</v>
      </c>
      <c r="P276" s="7">
        <v>129.77099999999999</v>
      </c>
      <c r="Q276" s="13">
        <f t="shared" si="25"/>
        <v>99</v>
      </c>
      <c r="R276" s="11">
        <v>325</v>
      </c>
      <c r="S276" s="4"/>
      <c r="T276" s="4" t="s">
        <v>2066</v>
      </c>
      <c r="U276" s="8">
        <v>9</v>
      </c>
      <c r="V276" s="14">
        <f ca="1">IF($U276="","",MOD(NOW()-admin!$B$1/24+$U276/24,1))</f>
        <v>0.98682638888567453</v>
      </c>
      <c r="W276" s="4"/>
      <c r="X276" s="4"/>
      <c r="Y276" s="4"/>
      <c r="Z276" s="4"/>
      <c r="AA276" s="4"/>
      <c r="AB276" s="4"/>
      <c r="AC276" s="4"/>
      <c r="AD276" s="4"/>
      <c r="AE276" s="4" t="s">
        <v>2207</v>
      </c>
      <c r="AF276" s="4"/>
      <c r="AG276" s="4"/>
      <c r="AH276" s="4"/>
      <c r="AI276" s="4"/>
      <c r="AJ276" s="4"/>
      <c r="AK276" s="4"/>
      <c r="AL276" s="4"/>
      <c r="AM276" s="4"/>
      <c r="AN276" s="4"/>
      <c r="AO276" s="12" t="str">
        <f>IF($A276="","",admin!$B$2&amp;"\Charts\"&amp;$A276)</f>
        <v>C:\Backups\InsiderTechSol\Aviation\Jetelio_v3\.LAYOUT\resources\Charts\UEEE</v>
      </c>
      <c r="AP276" s="12" t="str">
        <f>IF($A276="","",admin!$B$2&amp;"\RunwayDiagrams\"&amp;$A276&amp;".pdf")</f>
        <v>C:\Backups\InsiderTechSol\Aviation\Jetelio_v3\.LAYOUT\resources\RunwayDiagrams\UEEE.pdf</v>
      </c>
      <c r="AQ276" s="12" t="str">
        <f>IF($A276="","",admin!$B$2&amp;"\Images\"&amp;$A276)</f>
        <v>C:\Backups\InsiderTechSol\Aviation\Jetelio_v3\.LAYOUT\resources\Images\UEEE</v>
      </c>
      <c r="AR276" s="12" t="str">
        <f>IF($A276="","",admin!$B$2&amp;"\CityMaps\"&amp;$A276&amp;".png")</f>
        <v>C:\Backups\InsiderTechSol\Aviation\Jetelio_v3\.LAYOUT\resources\CityMaps\UEEE.png</v>
      </c>
      <c r="AS276" s="16" t="str">
        <f t="shared" si="26"/>
        <v>VISA sheet</v>
      </c>
      <c r="AT276" s="16" t="str">
        <f t="shared" si="27"/>
        <v>Vendors sheet</v>
      </c>
      <c r="AU276" s="4"/>
      <c r="AV276" s="15">
        <f t="shared" ca="1" si="28"/>
        <v>46243</v>
      </c>
      <c r="AX276" s="6"/>
      <c r="AY276" t="str">
        <f t="shared" si="29"/>
        <v>INCOMPLETE - NOT SELECTABLE AS TECH STOP</v>
      </c>
    </row>
    <row r="277" spans="1:51" x14ac:dyDescent="0.3">
      <c r="A277" s="4" t="s">
        <v>1395</v>
      </c>
      <c r="B277" s="4" t="s">
        <v>1396</v>
      </c>
      <c r="C277" s="4"/>
      <c r="D277" s="4"/>
      <c r="E277" s="4" t="s">
        <v>1650</v>
      </c>
      <c r="F277" s="4" t="s">
        <v>82</v>
      </c>
      <c r="G277" s="4"/>
      <c r="H277" s="4" t="s">
        <v>1881</v>
      </c>
      <c r="I277" s="4" t="s">
        <v>1883</v>
      </c>
      <c r="J277" s="4"/>
      <c r="K277" s="4"/>
      <c r="L277" s="4"/>
      <c r="M277" s="4"/>
      <c r="N277" s="12" t="str">
        <f t="shared" si="24"/>
        <v>53°10′07″N 158°27′04″E</v>
      </c>
      <c r="O277" s="7">
        <v>53.16872</v>
      </c>
      <c r="P277" s="7">
        <v>158.45106999999999</v>
      </c>
      <c r="Q277" s="13">
        <f t="shared" si="25"/>
        <v>40</v>
      </c>
      <c r="R277" s="11">
        <v>131</v>
      </c>
      <c r="S277" s="4"/>
      <c r="T277" s="4" t="s">
        <v>2067</v>
      </c>
      <c r="U277" s="8">
        <v>12</v>
      </c>
      <c r="V277" s="14">
        <f ca="1">IF($U277="","",MOD(NOW()-admin!$B$1/24+$U277/24,1))</f>
        <v>0.11182638888567453</v>
      </c>
      <c r="W277" s="4"/>
      <c r="X277" s="4"/>
      <c r="Y277" s="4"/>
      <c r="Z277" s="4"/>
      <c r="AA277" s="4"/>
      <c r="AB277" s="4"/>
      <c r="AC277" s="4"/>
      <c r="AD277" s="4"/>
      <c r="AE277" s="4" t="s">
        <v>2208</v>
      </c>
      <c r="AF277" s="4"/>
      <c r="AG277" s="4"/>
      <c r="AH277" s="4"/>
      <c r="AI277" s="4"/>
      <c r="AJ277" s="4"/>
      <c r="AK277" s="4"/>
      <c r="AL277" s="4"/>
      <c r="AM277" s="4"/>
      <c r="AN277" s="4"/>
      <c r="AO277" s="12" t="str">
        <f>IF($A277="","",admin!$B$2&amp;"\Charts\"&amp;$A277)</f>
        <v>C:\Backups\InsiderTechSol\Aviation\Jetelio_v3\.LAYOUT\resources\Charts\UHPP</v>
      </c>
      <c r="AP277" s="12" t="str">
        <f>IF($A277="","",admin!$B$2&amp;"\RunwayDiagrams\"&amp;$A277&amp;".pdf")</f>
        <v>C:\Backups\InsiderTechSol\Aviation\Jetelio_v3\.LAYOUT\resources\RunwayDiagrams\UHPP.pdf</v>
      </c>
      <c r="AQ277" s="12" t="str">
        <f>IF($A277="","",admin!$B$2&amp;"\Images\"&amp;$A277)</f>
        <v>C:\Backups\InsiderTechSol\Aviation\Jetelio_v3\.LAYOUT\resources\Images\UHPP</v>
      </c>
      <c r="AR277" s="12" t="str">
        <f>IF($A277="","",admin!$B$2&amp;"\CityMaps\"&amp;$A277&amp;".png")</f>
        <v>C:\Backups\InsiderTechSol\Aviation\Jetelio_v3\.LAYOUT\resources\CityMaps\UHPP.png</v>
      </c>
      <c r="AS277" s="16" t="str">
        <f t="shared" si="26"/>
        <v>VISA sheet</v>
      </c>
      <c r="AT277" s="16" t="str">
        <f t="shared" si="27"/>
        <v>Vendors sheet</v>
      </c>
      <c r="AU277" s="4"/>
      <c r="AV277" s="15">
        <f t="shared" ca="1" si="28"/>
        <v>46243</v>
      </c>
      <c r="AX277" s="6"/>
      <c r="AY277" t="str">
        <f t="shared" si="29"/>
        <v>INCOMPLETE - NOT SELECTABLE AS TECH STOP</v>
      </c>
    </row>
    <row r="278" spans="1:51" x14ac:dyDescent="0.3">
      <c r="A278" s="4" t="s">
        <v>1397</v>
      </c>
      <c r="B278" s="4" t="s">
        <v>1398</v>
      </c>
      <c r="C278" s="4"/>
      <c r="D278" s="4"/>
      <c r="E278" s="4" t="s">
        <v>1651</v>
      </c>
      <c r="F278" s="4" t="s">
        <v>82</v>
      </c>
      <c r="G278" s="4"/>
      <c r="H278" s="4" t="s">
        <v>1884</v>
      </c>
      <c r="I278" s="4" t="s">
        <v>1885</v>
      </c>
      <c r="J278" s="4"/>
      <c r="K278" s="4"/>
      <c r="L278" s="4"/>
      <c r="M278" s="4"/>
      <c r="N278" s="12" t="str">
        <f t="shared" si="24"/>
        <v>01°58′07″S 030°08′22″E</v>
      </c>
      <c r="O278" s="7">
        <v>-1.9686300000000001</v>
      </c>
      <c r="P278" s="7">
        <v>30.139500000000002</v>
      </c>
      <c r="Q278" s="13">
        <f t="shared" si="25"/>
        <v>1481</v>
      </c>
      <c r="R278" s="11">
        <v>4859</v>
      </c>
      <c r="S278" s="4"/>
      <c r="T278" s="4" t="s">
        <v>2068</v>
      </c>
      <c r="U278" s="8">
        <v>2</v>
      </c>
      <c r="V278" s="14">
        <f ca="1">IF($U278="","",MOD(NOW()-admin!$B$1/24+$U278/24,1))</f>
        <v>0.69515972222143319</v>
      </c>
      <c r="W278" s="4"/>
      <c r="X278" s="4"/>
      <c r="Y278" s="4"/>
      <c r="Z278" s="4"/>
      <c r="AA278" s="4"/>
      <c r="AB278" s="4"/>
      <c r="AC278" s="4"/>
      <c r="AD278" s="4"/>
      <c r="AE278" s="4" t="s">
        <v>2209</v>
      </c>
      <c r="AF278" s="4"/>
      <c r="AG278" s="4"/>
      <c r="AH278" s="4"/>
      <c r="AI278" s="4"/>
      <c r="AJ278" s="4"/>
      <c r="AK278" s="4"/>
      <c r="AL278" s="4"/>
      <c r="AM278" s="4"/>
      <c r="AN278" s="4"/>
      <c r="AO278" s="12" t="str">
        <f>IF($A278="","",admin!$B$2&amp;"\Charts\"&amp;$A278)</f>
        <v>C:\Backups\InsiderTechSol\Aviation\Jetelio_v3\.LAYOUT\resources\Charts\HRYR</v>
      </c>
      <c r="AP278" s="12" t="str">
        <f>IF($A278="","",admin!$B$2&amp;"\RunwayDiagrams\"&amp;$A278&amp;".pdf")</f>
        <v>C:\Backups\InsiderTechSol\Aviation\Jetelio_v3\.LAYOUT\resources\RunwayDiagrams\HRYR.pdf</v>
      </c>
      <c r="AQ278" s="12" t="str">
        <f>IF($A278="","",admin!$B$2&amp;"\Images\"&amp;$A278)</f>
        <v>C:\Backups\InsiderTechSol\Aviation\Jetelio_v3\.LAYOUT\resources\Images\HRYR</v>
      </c>
      <c r="AR278" s="12" t="str">
        <f>IF($A278="","",admin!$B$2&amp;"\CityMaps\"&amp;$A278&amp;".png")</f>
        <v>C:\Backups\InsiderTechSol\Aviation\Jetelio_v3\.LAYOUT\resources\CityMaps\HRYR.png</v>
      </c>
      <c r="AS278" s="16" t="str">
        <f t="shared" si="26"/>
        <v>VISA sheet</v>
      </c>
      <c r="AT278" s="16" t="str">
        <f t="shared" si="27"/>
        <v>Vendors sheet</v>
      </c>
      <c r="AU278" s="4"/>
      <c r="AV278" s="15">
        <f t="shared" ca="1" si="28"/>
        <v>46243</v>
      </c>
      <c r="AX278" s="6"/>
      <c r="AY278" t="str">
        <f t="shared" si="29"/>
        <v>INCOMPLETE - NOT SELECTABLE AS TECH STOP</v>
      </c>
    </row>
    <row r="279" spans="1:51" x14ac:dyDescent="0.3">
      <c r="A279" s="4" t="s">
        <v>1399</v>
      </c>
      <c r="B279" s="4" t="s">
        <v>1400</v>
      </c>
      <c r="C279" s="4"/>
      <c r="D279" s="4"/>
      <c r="E279" s="4" t="s">
        <v>1652</v>
      </c>
      <c r="F279" s="4" t="s">
        <v>82</v>
      </c>
      <c r="G279" s="4"/>
      <c r="H279" s="4" t="s">
        <v>1886</v>
      </c>
      <c r="I279" s="4" t="s">
        <v>1887</v>
      </c>
      <c r="J279" s="4"/>
      <c r="K279" s="4"/>
      <c r="L279" s="4"/>
      <c r="M279" s="4"/>
      <c r="N279" s="12" t="str">
        <f t="shared" si="24"/>
        <v>18°14′25″N 042°39′24″E</v>
      </c>
      <c r="O279" s="7">
        <v>18.240400000000001</v>
      </c>
      <c r="P279" s="7">
        <v>42.656599999999997</v>
      </c>
      <c r="Q279" s="13">
        <f t="shared" si="25"/>
        <v>2090</v>
      </c>
      <c r="R279" s="11">
        <v>6858</v>
      </c>
      <c r="S279" s="4"/>
      <c r="T279" s="4" t="s">
        <v>2069</v>
      </c>
      <c r="U279" s="8">
        <v>3</v>
      </c>
      <c r="V279" s="14">
        <f ca="1">IF($U279="","",MOD(NOW()-admin!$B$1/24+$U279/24,1))</f>
        <v>0.73682638888567453</v>
      </c>
      <c r="W279" s="4"/>
      <c r="X279" s="4"/>
      <c r="Y279" s="4"/>
      <c r="Z279" s="4"/>
      <c r="AA279" s="4"/>
      <c r="AB279" s="4"/>
      <c r="AC279" s="4"/>
      <c r="AD279" s="4"/>
      <c r="AE279" s="4" t="s">
        <v>2210</v>
      </c>
      <c r="AF279" s="4"/>
      <c r="AG279" s="4"/>
      <c r="AH279" s="4"/>
      <c r="AI279" s="4"/>
      <c r="AJ279" s="4"/>
      <c r="AK279" s="4"/>
      <c r="AL279" s="4"/>
      <c r="AM279" s="4"/>
      <c r="AN279" s="4"/>
      <c r="AO279" s="12" t="str">
        <f>IF($A279="","",admin!$B$2&amp;"\Charts\"&amp;$A279)</f>
        <v>C:\Backups\InsiderTechSol\Aviation\Jetelio_v3\.LAYOUT\resources\Charts\OEAB</v>
      </c>
      <c r="AP279" s="12" t="str">
        <f>IF($A279="","",admin!$B$2&amp;"\RunwayDiagrams\"&amp;$A279&amp;".pdf")</f>
        <v>C:\Backups\InsiderTechSol\Aviation\Jetelio_v3\.LAYOUT\resources\RunwayDiagrams\OEAB.pdf</v>
      </c>
      <c r="AQ279" s="12" t="str">
        <f>IF($A279="","",admin!$B$2&amp;"\Images\"&amp;$A279)</f>
        <v>C:\Backups\InsiderTechSol\Aviation\Jetelio_v3\.LAYOUT\resources\Images\OEAB</v>
      </c>
      <c r="AR279" s="12" t="str">
        <f>IF($A279="","",admin!$B$2&amp;"\CityMaps\"&amp;$A279&amp;".png")</f>
        <v>C:\Backups\InsiderTechSol\Aviation\Jetelio_v3\.LAYOUT\resources\CityMaps\OEAB.png</v>
      </c>
      <c r="AS279" s="16" t="str">
        <f t="shared" si="26"/>
        <v>VISA sheet</v>
      </c>
      <c r="AT279" s="16" t="str">
        <f t="shared" si="27"/>
        <v>Vendors sheet</v>
      </c>
      <c r="AU279" s="4"/>
      <c r="AV279" s="15">
        <f t="shared" ca="1" si="28"/>
        <v>46243</v>
      </c>
      <c r="AX279" s="6"/>
      <c r="AY279" t="str">
        <f t="shared" si="29"/>
        <v>INCOMPLETE - NOT SELECTABLE AS TECH STOP</v>
      </c>
    </row>
    <row r="280" spans="1:51" x14ac:dyDescent="0.3">
      <c r="A280" s="4" t="s">
        <v>1401</v>
      </c>
      <c r="B280" s="4" t="s">
        <v>1402</v>
      </c>
      <c r="C280" s="4"/>
      <c r="D280" s="4"/>
      <c r="E280" s="4" t="s">
        <v>1653</v>
      </c>
      <c r="F280" s="4" t="s">
        <v>82</v>
      </c>
      <c r="G280" s="4"/>
      <c r="H280" s="4" t="s">
        <v>1886</v>
      </c>
      <c r="I280" s="4" t="s">
        <v>1888</v>
      </c>
      <c r="J280" s="4"/>
      <c r="K280" s="4"/>
      <c r="L280" s="4"/>
      <c r="M280" s="4"/>
      <c r="N280" s="12" t="str">
        <f t="shared" si="24"/>
        <v>25°17′07″N 049°29′07″E</v>
      </c>
      <c r="O280" s="7">
        <v>25.285299999999999</v>
      </c>
      <c r="P280" s="7">
        <v>49.485199999999999</v>
      </c>
      <c r="Q280" s="13">
        <f t="shared" si="25"/>
        <v>179</v>
      </c>
      <c r="R280" s="11">
        <v>588</v>
      </c>
      <c r="S280" s="4"/>
      <c r="T280" s="4" t="s">
        <v>2069</v>
      </c>
      <c r="U280" s="8">
        <v>3</v>
      </c>
      <c r="V280" s="14">
        <f ca="1">IF($U280="","",MOD(NOW()-admin!$B$1/24+$U280/24,1))</f>
        <v>0.73682638888567453</v>
      </c>
      <c r="W280" s="4"/>
      <c r="X280" s="4"/>
      <c r="Y280" s="4"/>
      <c r="Z280" s="4"/>
      <c r="AA280" s="4"/>
      <c r="AB280" s="4"/>
      <c r="AC280" s="4"/>
      <c r="AD280" s="4"/>
      <c r="AE280" s="4" t="s">
        <v>2211</v>
      </c>
      <c r="AF280" s="4"/>
      <c r="AG280" s="4"/>
      <c r="AH280" s="4"/>
      <c r="AI280" s="4"/>
      <c r="AJ280" s="4"/>
      <c r="AK280" s="4"/>
      <c r="AL280" s="4"/>
      <c r="AM280" s="4"/>
      <c r="AN280" s="4"/>
      <c r="AO280" s="12" t="str">
        <f>IF($A280="","",admin!$B$2&amp;"\Charts\"&amp;$A280)</f>
        <v>C:\Backups\InsiderTechSol\Aviation\Jetelio_v3\.LAYOUT\resources\Charts\OEAH</v>
      </c>
      <c r="AP280" s="12" t="str">
        <f>IF($A280="","",admin!$B$2&amp;"\RunwayDiagrams\"&amp;$A280&amp;".pdf")</f>
        <v>C:\Backups\InsiderTechSol\Aviation\Jetelio_v3\.LAYOUT\resources\RunwayDiagrams\OEAH.pdf</v>
      </c>
      <c r="AQ280" s="12" t="str">
        <f>IF($A280="","",admin!$B$2&amp;"\Images\"&amp;$A280)</f>
        <v>C:\Backups\InsiderTechSol\Aviation\Jetelio_v3\.LAYOUT\resources\Images\OEAH</v>
      </c>
      <c r="AR280" s="12" t="str">
        <f>IF($A280="","",admin!$B$2&amp;"\CityMaps\"&amp;$A280&amp;".png")</f>
        <v>C:\Backups\InsiderTechSol\Aviation\Jetelio_v3\.LAYOUT\resources\CityMaps\OEAH.png</v>
      </c>
      <c r="AS280" s="16" t="str">
        <f t="shared" si="26"/>
        <v>VISA sheet</v>
      </c>
      <c r="AT280" s="16" t="str">
        <f t="shared" si="27"/>
        <v>Vendors sheet</v>
      </c>
      <c r="AU280" s="4"/>
      <c r="AV280" s="15">
        <f t="shared" ca="1" si="28"/>
        <v>46243</v>
      </c>
      <c r="AX280" s="6"/>
      <c r="AY280" t="str">
        <f t="shared" si="29"/>
        <v>INCOMPLETE - NOT SELECTABLE AS TECH STOP</v>
      </c>
    </row>
    <row r="281" spans="1:51" x14ac:dyDescent="0.3">
      <c r="A281" s="4" t="s">
        <v>1403</v>
      </c>
      <c r="B281" s="4" t="s">
        <v>1404</v>
      </c>
      <c r="C281" s="4"/>
      <c r="D281" s="4"/>
      <c r="E281" s="4" t="s">
        <v>1654</v>
      </c>
      <c r="F281" s="4" t="s">
        <v>82</v>
      </c>
      <c r="G281" s="4"/>
      <c r="H281" s="4" t="s">
        <v>1889</v>
      </c>
      <c r="I281" s="4" t="s">
        <v>1890</v>
      </c>
      <c r="J281" s="4"/>
      <c r="K281" s="4"/>
      <c r="L281" s="4"/>
      <c r="M281" s="4"/>
      <c r="N281" s="12" t="str">
        <f t="shared" si="24"/>
        <v>09°25′41″S 160°03′18″E</v>
      </c>
      <c r="O281" s="7">
        <v>-9.4280000000000008</v>
      </c>
      <c r="P281" s="7">
        <v>160.05499</v>
      </c>
      <c r="Q281" s="13">
        <f t="shared" si="25"/>
        <v>9</v>
      </c>
      <c r="R281" s="11">
        <v>28</v>
      </c>
      <c r="S281" s="4"/>
      <c r="T281" s="4" t="s">
        <v>2070</v>
      </c>
      <c r="U281" s="8">
        <v>11</v>
      </c>
      <c r="V281" s="14">
        <f ca="1">IF($U281="","",MOD(NOW()-admin!$B$1/24+$U281/24,1))</f>
        <v>7.0159722221433185E-2</v>
      </c>
      <c r="W281" s="4"/>
      <c r="X281" s="4"/>
      <c r="Y281" s="4"/>
      <c r="Z281" s="4"/>
      <c r="AA281" s="4"/>
      <c r="AB281" s="4"/>
      <c r="AC281" s="4"/>
      <c r="AD281" s="4"/>
      <c r="AE281" s="4" t="s">
        <v>2212</v>
      </c>
      <c r="AF281" s="4"/>
      <c r="AG281" s="4"/>
      <c r="AH281" s="4"/>
      <c r="AI281" s="4"/>
      <c r="AJ281" s="4"/>
      <c r="AK281" s="4"/>
      <c r="AL281" s="4"/>
      <c r="AM281" s="4"/>
      <c r="AN281" s="4"/>
      <c r="AO281" s="12" t="str">
        <f>IF($A281="","",admin!$B$2&amp;"\Charts\"&amp;$A281)</f>
        <v>C:\Backups\InsiderTechSol\Aviation\Jetelio_v3\.LAYOUT\resources\Charts\AGGH</v>
      </c>
      <c r="AP281" s="12" t="str">
        <f>IF($A281="","",admin!$B$2&amp;"\RunwayDiagrams\"&amp;$A281&amp;".pdf")</f>
        <v>C:\Backups\InsiderTechSol\Aviation\Jetelio_v3\.LAYOUT\resources\RunwayDiagrams\AGGH.pdf</v>
      </c>
      <c r="AQ281" s="12" t="str">
        <f>IF($A281="","",admin!$B$2&amp;"\Images\"&amp;$A281)</f>
        <v>C:\Backups\InsiderTechSol\Aviation\Jetelio_v3\.LAYOUT\resources\Images\AGGH</v>
      </c>
      <c r="AR281" s="12" t="str">
        <f>IF($A281="","",admin!$B$2&amp;"\CityMaps\"&amp;$A281&amp;".png")</f>
        <v>C:\Backups\InsiderTechSol\Aviation\Jetelio_v3\.LAYOUT\resources\CityMaps\AGGH.png</v>
      </c>
      <c r="AS281" s="16" t="str">
        <f t="shared" si="26"/>
        <v>VISA sheet</v>
      </c>
      <c r="AT281" s="16" t="str">
        <f t="shared" si="27"/>
        <v>Vendors sheet</v>
      </c>
      <c r="AU281" s="4"/>
      <c r="AV281" s="15">
        <f t="shared" ca="1" si="28"/>
        <v>46243</v>
      </c>
      <c r="AX281" s="6"/>
      <c r="AY281" t="str">
        <f t="shared" si="29"/>
        <v>INCOMPLETE - NOT SELECTABLE AS TECH STOP</v>
      </c>
    </row>
    <row r="282" spans="1:51" x14ac:dyDescent="0.3">
      <c r="A282" s="4" t="s">
        <v>1405</v>
      </c>
      <c r="B282" s="4" t="s">
        <v>1406</v>
      </c>
      <c r="C282" s="4"/>
      <c r="D282" s="4"/>
      <c r="E282" s="4" t="s">
        <v>1655</v>
      </c>
      <c r="F282" s="4" t="s">
        <v>82</v>
      </c>
      <c r="G282" s="4"/>
      <c r="H282" s="4" t="s">
        <v>1891</v>
      </c>
      <c r="I282" s="4" t="s">
        <v>1892</v>
      </c>
      <c r="J282" s="4"/>
      <c r="K282" s="4"/>
      <c r="L282" s="4"/>
      <c r="M282" s="4"/>
      <c r="N282" s="12" t="str">
        <f t="shared" si="24"/>
        <v>04°40′28″S 055°31′18″E</v>
      </c>
      <c r="O282" s="7">
        <v>-4.6743399999999999</v>
      </c>
      <c r="P282" s="7">
        <v>55.521799999999999</v>
      </c>
      <c r="Q282" s="13">
        <f t="shared" si="25"/>
        <v>3</v>
      </c>
      <c r="R282" s="11">
        <v>10</v>
      </c>
      <c r="S282" s="4"/>
      <c r="T282" s="4" t="s">
        <v>2071</v>
      </c>
      <c r="U282" s="8">
        <v>4</v>
      </c>
      <c r="V282" s="14">
        <f ca="1">IF($U282="","",MOD(NOW()-admin!$B$1/24+$U282/24,1))</f>
        <v>0.77849305554991588</v>
      </c>
      <c r="W282" s="4"/>
      <c r="X282" s="4"/>
      <c r="Y282" s="4"/>
      <c r="Z282" s="4"/>
      <c r="AA282" s="4"/>
      <c r="AB282" s="4"/>
      <c r="AC282" s="4"/>
      <c r="AD282" s="4"/>
      <c r="AE282" s="4" t="s">
        <v>2213</v>
      </c>
      <c r="AF282" s="4"/>
      <c r="AG282" s="4"/>
      <c r="AH282" s="4"/>
      <c r="AI282" s="4"/>
      <c r="AJ282" s="4"/>
      <c r="AK282" s="4"/>
      <c r="AL282" s="4"/>
      <c r="AM282" s="4"/>
      <c r="AN282" s="4"/>
      <c r="AO282" s="12" t="str">
        <f>IF($A282="","",admin!$B$2&amp;"\Charts\"&amp;$A282)</f>
        <v>C:\Backups\InsiderTechSol\Aviation\Jetelio_v3\.LAYOUT\resources\Charts\FSIA</v>
      </c>
      <c r="AP282" s="12" t="str">
        <f>IF($A282="","",admin!$B$2&amp;"\RunwayDiagrams\"&amp;$A282&amp;".pdf")</f>
        <v>C:\Backups\InsiderTechSol\Aviation\Jetelio_v3\.LAYOUT\resources\RunwayDiagrams\FSIA.pdf</v>
      </c>
      <c r="AQ282" s="12" t="str">
        <f>IF($A282="","",admin!$B$2&amp;"\Images\"&amp;$A282)</f>
        <v>C:\Backups\InsiderTechSol\Aviation\Jetelio_v3\.LAYOUT\resources\Images\FSIA</v>
      </c>
      <c r="AR282" s="12" t="str">
        <f>IF($A282="","",admin!$B$2&amp;"\CityMaps\"&amp;$A282&amp;".png")</f>
        <v>C:\Backups\InsiderTechSol\Aviation\Jetelio_v3\.LAYOUT\resources\CityMaps\FSIA.png</v>
      </c>
      <c r="AS282" s="16" t="str">
        <f t="shared" si="26"/>
        <v>VISA sheet</v>
      </c>
      <c r="AT282" s="16" t="str">
        <f t="shared" si="27"/>
        <v>Vendors sheet</v>
      </c>
      <c r="AU282" s="4"/>
      <c r="AV282" s="15">
        <f t="shared" ca="1" si="28"/>
        <v>46243</v>
      </c>
      <c r="AX282" s="6"/>
      <c r="AY282" t="str">
        <f t="shared" si="29"/>
        <v>INCOMPLETE - NOT SELECTABLE AS TECH STOP</v>
      </c>
    </row>
    <row r="283" spans="1:51" x14ac:dyDescent="0.3">
      <c r="A283" s="4" t="s">
        <v>1407</v>
      </c>
      <c r="B283" s="4" t="s">
        <v>1408</v>
      </c>
      <c r="C283" s="4"/>
      <c r="D283" s="4"/>
      <c r="E283" s="4" t="s">
        <v>1656</v>
      </c>
      <c r="F283" s="4" t="s">
        <v>82</v>
      </c>
      <c r="G283" s="4"/>
      <c r="H283" s="4" t="s">
        <v>1893</v>
      </c>
      <c r="I283" s="4" t="s">
        <v>1894</v>
      </c>
      <c r="J283" s="4"/>
      <c r="K283" s="4"/>
      <c r="L283" s="4"/>
      <c r="M283" s="4"/>
      <c r="N283" s="12" t="str">
        <f t="shared" si="24"/>
        <v>19°26′04″N 037°14′03″E</v>
      </c>
      <c r="O283" s="7">
        <v>19.434560000000001</v>
      </c>
      <c r="P283" s="7">
        <v>37.234119999999997</v>
      </c>
      <c r="Q283" s="13">
        <f t="shared" si="25"/>
        <v>41</v>
      </c>
      <c r="R283" s="11">
        <v>135</v>
      </c>
      <c r="S283" s="4"/>
      <c r="T283" s="4" t="s">
        <v>2072</v>
      </c>
      <c r="U283" s="8">
        <v>3</v>
      </c>
      <c r="V283" s="14">
        <f ca="1">IF($U283="","",MOD(NOW()-admin!$B$1/24+$U283/24,1))</f>
        <v>0.73682638888567453</v>
      </c>
      <c r="W283" s="4"/>
      <c r="X283" s="4"/>
      <c r="Y283" s="4"/>
      <c r="Z283" s="4"/>
      <c r="AA283" s="4"/>
      <c r="AB283" s="4"/>
      <c r="AC283" s="4"/>
      <c r="AD283" s="4"/>
      <c r="AE283" s="4" t="s">
        <v>1047</v>
      </c>
      <c r="AF283" s="4"/>
      <c r="AG283" s="4"/>
      <c r="AH283" s="4"/>
      <c r="AI283" s="4"/>
      <c r="AJ283" s="4"/>
      <c r="AK283" s="4"/>
      <c r="AL283" s="4"/>
      <c r="AM283" s="4"/>
      <c r="AN283" s="4"/>
      <c r="AO283" s="12" t="str">
        <f>IF($A283="","",admin!$B$2&amp;"\Charts\"&amp;$A283)</f>
        <v>C:\Backups\InsiderTechSol\Aviation\Jetelio_v3\.LAYOUT\resources\Charts\HSPN</v>
      </c>
      <c r="AP283" s="12" t="str">
        <f>IF($A283="","",admin!$B$2&amp;"\RunwayDiagrams\"&amp;$A283&amp;".pdf")</f>
        <v>C:\Backups\InsiderTechSol\Aviation\Jetelio_v3\.LAYOUT\resources\RunwayDiagrams\HSPN.pdf</v>
      </c>
      <c r="AQ283" s="12" t="str">
        <f>IF($A283="","",admin!$B$2&amp;"\Images\"&amp;$A283)</f>
        <v>C:\Backups\InsiderTechSol\Aviation\Jetelio_v3\.LAYOUT\resources\Images\HSPN</v>
      </c>
      <c r="AR283" s="12" t="str">
        <f>IF($A283="","",admin!$B$2&amp;"\CityMaps\"&amp;$A283&amp;".png")</f>
        <v>C:\Backups\InsiderTechSol\Aviation\Jetelio_v3\.LAYOUT\resources\CityMaps\HSPN.png</v>
      </c>
      <c r="AS283" s="16" t="str">
        <f t="shared" si="26"/>
        <v>VISA sheet</v>
      </c>
      <c r="AT283" s="16" t="str">
        <f t="shared" si="27"/>
        <v>Vendors sheet</v>
      </c>
      <c r="AU283" s="4"/>
      <c r="AV283" s="15">
        <f t="shared" ca="1" si="28"/>
        <v>46243</v>
      </c>
      <c r="AX283" s="6"/>
      <c r="AY283" t="str">
        <f t="shared" si="29"/>
        <v>INCOMPLETE - NOT SELECTABLE AS TECH STOP</v>
      </c>
    </row>
    <row r="284" spans="1:51" x14ac:dyDescent="0.3">
      <c r="A284" s="4" t="s">
        <v>1409</v>
      </c>
      <c r="B284" s="4" t="s">
        <v>1410</v>
      </c>
      <c r="C284" s="4"/>
      <c r="D284" s="4"/>
      <c r="E284" s="4" t="s">
        <v>1657</v>
      </c>
      <c r="F284" s="4" t="s">
        <v>82</v>
      </c>
      <c r="G284" s="4"/>
      <c r="H284" s="4" t="s">
        <v>1893</v>
      </c>
      <c r="I284" s="4" t="s">
        <v>1895</v>
      </c>
      <c r="J284" s="4"/>
      <c r="K284" s="4"/>
      <c r="L284" s="4"/>
      <c r="M284" s="4"/>
      <c r="N284" s="12" t="str">
        <f t="shared" si="24"/>
        <v>15°35′22″N 032°33′12″E</v>
      </c>
      <c r="O284" s="7">
        <v>15.589499999999999</v>
      </c>
      <c r="P284" s="7">
        <v>32.553199999999997</v>
      </c>
      <c r="Q284" s="13">
        <f t="shared" si="25"/>
        <v>386</v>
      </c>
      <c r="R284" s="11">
        <v>1265</v>
      </c>
      <c r="S284" s="4"/>
      <c r="T284" s="4"/>
      <c r="U284" s="8"/>
      <c r="V284" s="14" t="str">
        <f ca="1">IF($U284="","",MOD(NOW()-admin!$B$1/24+$U284/24,1))</f>
        <v/>
      </c>
      <c r="W284" s="4"/>
      <c r="X284" s="4"/>
      <c r="Y284" s="4"/>
      <c r="Z284" s="4"/>
      <c r="AA284" s="4"/>
      <c r="AB284" s="4"/>
      <c r="AC284" s="4"/>
      <c r="AD284" s="4"/>
      <c r="AE284" s="4" t="s">
        <v>2214</v>
      </c>
      <c r="AF284" s="4"/>
      <c r="AG284" s="4"/>
      <c r="AH284" s="4"/>
      <c r="AI284" s="4"/>
      <c r="AJ284" s="4"/>
      <c r="AK284" s="4"/>
      <c r="AL284" s="4"/>
      <c r="AM284" s="4"/>
      <c r="AN284" s="4"/>
      <c r="AO284" s="12" t="str">
        <f>IF($A284="","",admin!$B$2&amp;"\Charts\"&amp;$A284)</f>
        <v>C:\Backups\InsiderTechSol\Aviation\Jetelio_v3\.LAYOUT\resources\Charts\HSSK</v>
      </c>
      <c r="AP284" s="12" t="str">
        <f>IF($A284="","",admin!$B$2&amp;"\RunwayDiagrams\"&amp;$A284&amp;".pdf")</f>
        <v>C:\Backups\InsiderTechSol\Aviation\Jetelio_v3\.LAYOUT\resources\RunwayDiagrams\HSSK.pdf</v>
      </c>
      <c r="AQ284" s="12" t="str">
        <f>IF($A284="","",admin!$B$2&amp;"\Images\"&amp;$A284)</f>
        <v>C:\Backups\InsiderTechSol\Aviation\Jetelio_v3\.LAYOUT\resources\Images\HSSK</v>
      </c>
      <c r="AR284" s="12" t="str">
        <f>IF($A284="","",admin!$B$2&amp;"\CityMaps\"&amp;$A284&amp;".png")</f>
        <v>C:\Backups\InsiderTechSol\Aviation\Jetelio_v3\.LAYOUT\resources\CityMaps\HSSK.png</v>
      </c>
      <c r="AS284" s="16" t="str">
        <f t="shared" si="26"/>
        <v>VISA sheet</v>
      </c>
      <c r="AT284" s="16" t="str">
        <f t="shared" si="27"/>
        <v>Vendors sheet</v>
      </c>
      <c r="AU284" s="4"/>
      <c r="AV284" s="15">
        <f t="shared" ca="1" si="28"/>
        <v>46243</v>
      </c>
      <c r="AX284" s="6"/>
      <c r="AY284" t="str">
        <f t="shared" si="29"/>
        <v>INCOMPLETE - NOT SELECTABLE AS TECH STOP</v>
      </c>
    </row>
    <row r="285" spans="1:51" x14ac:dyDescent="0.3">
      <c r="A285" s="4" t="s">
        <v>1411</v>
      </c>
      <c r="B285" s="4" t="s">
        <v>1412</v>
      </c>
      <c r="C285" s="4"/>
      <c r="D285" s="4"/>
      <c r="E285" s="4" t="s">
        <v>1658</v>
      </c>
      <c r="F285" s="4" t="s">
        <v>82</v>
      </c>
      <c r="G285" s="4"/>
      <c r="H285" s="4" t="s">
        <v>1896</v>
      </c>
      <c r="I285" s="4" t="s">
        <v>1897</v>
      </c>
      <c r="J285" s="4"/>
      <c r="K285" s="4"/>
      <c r="L285" s="4"/>
      <c r="M285" s="4"/>
      <c r="N285" s="12" t="str">
        <f t="shared" si="24"/>
        <v>57°39′46″N 012°16′47″E</v>
      </c>
      <c r="O285" s="7">
        <v>57.662799999999997</v>
      </c>
      <c r="P285" s="7">
        <v>12.2798</v>
      </c>
      <c r="Q285" s="13">
        <f t="shared" si="25"/>
        <v>154</v>
      </c>
      <c r="R285" s="11">
        <v>506</v>
      </c>
      <c r="S285" s="4"/>
      <c r="T285" s="4" t="s">
        <v>2073</v>
      </c>
      <c r="U285" s="8">
        <v>1</v>
      </c>
      <c r="V285" s="14">
        <f ca="1">IF($U285="","",MOD(NOW()-admin!$B$1/24+$U285/24,1))</f>
        <v>0.65349305554991588</v>
      </c>
      <c r="W285" s="4"/>
      <c r="X285" s="4"/>
      <c r="Y285" s="4"/>
      <c r="Z285" s="4"/>
      <c r="AA285" s="4"/>
      <c r="AB285" s="4"/>
      <c r="AC285" s="4"/>
      <c r="AD285" s="4"/>
      <c r="AE285" s="4" t="s">
        <v>2215</v>
      </c>
      <c r="AF285" s="4"/>
      <c r="AG285" s="4"/>
      <c r="AH285" s="4"/>
      <c r="AI285" s="4"/>
      <c r="AJ285" s="4"/>
      <c r="AK285" s="4"/>
      <c r="AL285" s="4"/>
      <c r="AM285" s="4"/>
      <c r="AN285" s="4"/>
      <c r="AO285" s="12" t="str">
        <f>IF($A285="","",admin!$B$2&amp;"\Charts\"&amp;$A285)</f>
        <v>C:\Backups\InsiderTechSol\Aviation\Jetelio_v3\.LAYOUT\resources\Charts\ESGG</v>
      </c>
      <c r="AP285" s="12" t="str">
        <f>IF($A285="","",admin!$B$2&amp;"\RunwayDiagrams\"&amp;$A285&amp;".pdf")</f>
        <v>C:\Backups\InsiderTechSol\Aviation\Jetelio_v3\.LAYOUT\resources\RunwayDiagrams\ESGG.pdf</v>
      </c>
      <c r="AQ285" s="12" t="str">
        <f>IF($A285="","",admin!$B$2&amp;"\Images\"&amp;$A285)</f>
        <v>C:\Backups\InsiderTechSol\Aviation\Jetelio_v3\.LAYOUT\resources\Images\ESGG</v>
      </c>
      <c r="AR285" s="12" t="str">
        <f>IF($A285="","",admin!$B$2&amp;"\CityMaps\"&amp;$A285&amp;".png")</f>
        <v>C:\Backups\InsiderTechSol\Aviation\Jetelio_v3\.LAYOUT\resources\CityMaps\ESGG.png</v>
      </c>
      <c r="AS285" s="16" t="str">
        <f t="shared" si="26"/>
        <v>VISA sheet</v>
      </c>
      <c r="AT285" s="16" t="str">
        <f t="shared" si="27"/>
        <v>Vendors sheet</v>
      </c>
      <c r="AU285" s="4"/>
      <c r="AV285" s="15">
        <f t="shared" ca="1" si="28"/>
        <v>46243</v>
      </c>
      <c r="AX285" s="6"/>
      <c r="AY285" t="str">
        <f t="shared" si="29"/>
        <v>INCOMPLETE - NOT SELECTABLE AS TECH STOP</v>
      </c>
    </row>
    <row r="286" spans="1:51" x14ac:dyDescent="0.3">
      <c r="A286" s="4" t="s">
        <v>1413</v>
      </c>
      <c r="B286" s="4" t="s">
        <v>1414</v>
      </c>
      <c r="C286" s="4"/>
      <c r="D286" s="4"/>
      <c r="E286" s="4" t="s">
        <v>1659</v>
      </c>
      <c r="F286" s="4" t="s">
        <v>82</v>
      </c>
      <c r="G286" s="4"/>
      <c r="H286" s="4" t="s">
        <v>1896</v>
      </c>
      <c r="I286" s="4" t="s">
        <v>1898</v>
      </c>
      <c r="J286" s="4"/>
      <c r="K286" s="4"/>
      <c r="L286" s="4"/>
      <c r="M286" s="4"/>
      <c r="N286" s="12" t="str">
        <f t="shared" si="24"/>
        <v>58°47′23″N 016°54′41″E</v>
      </c>
      <c r="O286" s="7">
        <v>58.789659999999998</v>
      </c>
      <c r="P286" s="7">
        <v>16.911480000000001</v>
      </c>
      <c r="Q286" s="13">
        <f t="shared" si="25"/>
        <v>43</v>
      </c>
      <c r="R286" s="11">
        <v>140</v>
      </c>
      <c r="S286" s="4"/>
      <c r="T286" s="4" t="s">
        <v>2073</v>
      </c>
      <c r="U286" s="8">
        <v>1</v>
      </c>
      <c r="V286" s="14">
        <f ca="1">IF($U286="","",MOD(NOW()-admin!$B$1/24+$U286/24,1))</f>
        <v>0.65349305554991588</v>
      </c>
      <c r="W286" s="4"/>
      <c r="X286" s="4"/>
      <c r="Y286" s="4"/>
      <c r="Z286" s="4"/>
      <c r="AA286" s="4"/>
      <c r="AB286" s="4"/>
      <c r="AC286" s="4"/>
      <c r="AD286" s="4"/>
      <c r="AE286" s="4" t="s">
        <v>2216</v>
      </c>
      <c r="AF286" s="4"/>
      <c r="AG286" s="4"/>
      <c r="AH286" s="4"/>
      <c r="AI286" s="4"/>
      <c r="AJ286" s="4"/>
      <c r="AK286" s="4"/>
      <c r="AL286" s="4"/>
      <c r="AM286" s="4"/>
      <c r="AN286" s="4"/>
      <c r="AO286" s="12" t="str">
        <f>IF($A286="","",admin!$B$2&amp;"\Charts\"&amp;$A286)</f>
        <v>C:\Backups\InsiderTechSol\Aviation\Jetelio_v3\.LAYOUT\resources\Charts\ESKN</v>
      </c>
      <c r="AP286" s="12" t="str">
        <f>IF($A286="","",admin!$B$2&amp;"\RunwayDiagrams\"&amp;$A286&amp;".pdf")</f>
        <v>C:\Backups\InsiderTechSol\Aviation\Jetelio_v3\.LAYOUT\resources\RunwayDiagrams\ESKN.pdf</v>
      </c>
      <c r="AQ286" s="12" t="str">
        <f>IF($A286="","",admin!$B$2&amp;"\Images\"&amp;$A286)</f>
        <v>C:\Backups\InsiderTechSol\Aviation\Jetelio_v3\.LAYOUT\resources\Images\ESKN</v>
      </c>
      <c r="AR286" s="12" t="str">
        <f>IF($A286="","",admin!$B$2&amp;"\CityMaps\"&amp;$A286&amp;".png")</f>
        <v>C:\Backups\InsiderTechSol\Aviation\Jetelio_v3\.LAYOUT\resources\CityMaps\ESKN.png</v>
      </c>
      <c r="AS286" s="16" t="str">
        <f t="shared" si="26"/>
        <v>VISA sheet</v>
      </c>
      <c r="AT286" s="16" t="str">
        <f t="shared" si="27"/>
        <v>Vendors sheet</v>
      </c>
      <c r="AU286" s="4"/>
      <c r="AV286" s="15">
        <f t="shared" ca="1" si="28"/>
        <v>46243</v>
      </c>
      <c r="AX286" s="6"/>
      <c r="AY286" t="str">
        <f t="shared" si="29"/>
        <v>INCOMPLETE - NOT SELECTABLE AS TECH STOP</v>
      </c>
    </row>
    <row r="287" spans="1:51" x14ac:dyDescent="0.3">
      <c r="A287" s="4" t="s">
        <v>1415</v>
      </c>
      <c r="B287" s="4" t="s">
        <v>1416</v>
      </c>
      <c r="C287" s="4"/>
      <c r="D287" s="4"/>
      <c r="E287" s="4" t="s">
        <v>1660</v>
      </c>
      <c r="F287" s="4" t="s">
        <v>82</v>
      </c>
      <c r="G287" s="4"/>
      <c r="H287" s="4" t="s">
        <v>1899</v>
      </c>
      <c r="I287" s="4" t="s">
        <v>1899</v>
      </c>
      <c r="J287" s="4"/>
      <c r="K287" s="4"/>
      <c r="L287" s="4"/>
      <c r="M287" s="4"/>
      <c r="N287" s="12" t="str">
        <f t="shared" si="24"/>
        <v>01°21′01″N 103°59′38″E</v>
      </c>
      <c r="O287" s="7">
        <v>1.35019</v>
      </c>
      <c r="P287" s="7">
        <v>103.994</v>
      </c>
      <c r="Q287" s="13">
        <f t="shared" si="25"/>
        <v>7</v>
      </c>
      <c r="R287" s="11">
        <v>22</v>
      </c>
      <c r="S287" s="4"/>
      <c r="T287" s="4" t="s">
        <v>2074</v>
      </c>
      <c r="U287" s="8">
        <v>8</v>
      </c>
      <c r="V287" s="14">
        <f ca="1">IF($U287="","",MOD(NOW()-admin!$B$1/24+$U287/24,1))</f>
        <v>0.94515972222143319</v>
      </c>
      <c r="W287" s="4"/>
      <c r="X287" s="4"/>
      <c r="Y287" s="4"/>
      <c r="Z287" s="4"/>
      <c r="AA287" s="4"/>
      <c r="AB287" s="4"/>
      <c r="AC287" s="4"/>
      <c r="AD287" s="4"/>
      <c r="AE287" s="4" t="s">
        <v>2217</v>
      </c>
      <c r="AF287" s="4"/>
      <c r="AG287" s="4"/>
      <c r="AH287" s="4"/>
      <c r="AI287" s="4"/>
      <c r="AJ287" s="4"/>
      <c r="AK287" s="4"/>
      <c r="AL287" s="4"/>
      <c r="AM287" s="4"/>
      <c r="AN287" s="4"/>
      <c r="AO287" s="12" t="str">
        <f>IF($A287="","",admin!$B$2&amp;"\Charts\"&amp;$A287)</f>
        <v>C:\Backups\InsiderTechSol\Aviation\Jetelio_v3\.LAYOUT\resources\Charts\WSSS</v>
      </c>
      <c r="AP287" s="12" t="str">
        <f>IF($A287="","",admin!$B$2&amp;"\RunwayDiagrams\"&amp;$A287&amp;".pdf")</f>
        <v>C:\Backups\InsiderTechSol\Aviation\Jetelio_v3\.LAYOUT\resources\RunwayDiagrams\WSSS.pdf</v>
      </c>
      <c r="AQ287" s="12" t="str">
        <f>IF($A287="","",admin!$B$2&amp;"\Images\"&amp;$A287)</f>
        <v>C:\Backups\InsiderTechSol\Aviation\Jetelio_v3\.LAYOUT\resources\Images\WSSS</v>
      </c>
      <c r="AR287" s="12" t="str">
        <f>IF($A287="","",admin!$B$2&amp;"\CityMaps\"&amp;$A287&amp;".png")</f>
        <v>C:\Backups\InsiderTechSol\Aviation\Jetelio_v3\.LAYOUT\resources\CityMaps\WSSS.png</v>
      </c>
      <c r="AS287" s="16" t="str">
        <f t="shared" si="26"/>
        <v>VISA sheet</v>
      </c>
      <c r="AT287" s="16" t="str">
        <f t="shared" si="27"/>
        <v>Vendors sheet</v>
      </c>
      <c r="AU287" s="4"/>
      <c r="AV287" s="15">
        <f t="shared" ca="1" si="28"/>
        <v>46243</v>
      </c>
      <c r="AX287" s="6"/>
      <c r="AY287" t="str">
        <f t="shared" si="29"/>
        <v>INCOMPLETE - NOT SELECTABLE AS TECH STOP</v>
      </c>
    </row>
    <row r="288" spans="1:51" x14ac:dyDescent="0.3">
      <c r="A288" s="4" t="s">
        <v>1417</v>
      </c>
      <c r="B288" s="4" t="s">
        <v>1418</v>
      </c>
      <c r="C288" s="4"/>
      <c r="D288" s="4"/>
      <c r="E288" s="4" t="s">
        <v>1661</v>
      </c>
      <c r="F288" s="4" t="s">
        <v>82</v>
      </c>
      <c r="G288" s="4"/>
      <c r="H288" s="4" t="s">
        <v>1900</v>
      </c>
      <c r="I288" s="4" t="s">
        <v>1901</v>
      </c>
      <c r="J288" s="4"/>
      <c r="K288" s="4"/>
      <c r="L288" s="4"/>
      <c r="M288" s="4"/>
      <c r="N288" s="12" t="str">
        <f t="shared" si="24"/>
        <v>46°13′25″N 014°27′27″E</v>
      </c>
      <c r="O288" s="7">
        <v>46.223700000000001</v>
      </c>
      <c r="P288" s="7">
        <v>14.457599999999999</v>
      </c>
      <c r="Q288" s="13">
        <f t="shared" si="25"/>
        <v>388</v>
      </c>
      <c r="R288" s="11">
        <v>1273</v>
      </c>
      <c r="S288" s="4"/>
      <c r="T288" s="4" t="s">
        <v>2075</v>
      </c>
      <c r="U288" s="8">
        <v>1</v>
      </c>
      <c r="V288" s="14">
        <f ca="1">IF($U288="","",MOD(NOW()-admin!$B$1/24+$U288/24,1))</f>
        <v>0.65349305554991588</v>
      </c>
      <c r="W288" s="4"/>
      <c r="X288" s="4"/>
      <c r="Y288" s="4"/>
      <c r="Z288" s="4"/>
      <c r="AA288" s="4"/>
      <c r="AB288" s="4"/>
      <c r="AC288" s="4"/>
      <c r="AD288" s="4"/>
      <c r="AE288" s="4" t="s">
        <v>2218</v>
      </c>
      <c r="AF288" s="4"/>
      <c r="AG288" s="4"/>
      <c r="AH288" s="4"/>
      <c r="AI288" s="4"/>
      <c r="AJ288" s="4"/>
      <c r="AK288" s="4"/>
      <c r="AL288" s="4"/>
      <c r="AM288" s="4"/>
      <c r="AN288" s="4"/>
      <c r="AO288" s="12" t="str">
        <f>IF($A288="","",admin!$B$2&amp;"\Charts\"&amp;$A288)</f>
        <v>C:\Backups\InsiderTechSol\Aviation\Jetelio_v3\.LAYOUT\resources\Charts\LJLJ</v>
      </c>
      <c r="AP288" s="12" t="str">
        <f>IF($A288="","",admin!$B$2&amp;"\RunwayDiagrams\"&amp;$A288&amp;".pdf")</f>
        <v>C:\Backups\InsiderTechSol\Aviation\Jetelio_v3\.LAYOUT\resources\RunwayDiagrams\LJLJ.pdf</v>
      </c>
      <c r="AQ288" s="12" t="str">
        <f>IF($A288="","",admin!$B$2&amp;"\Images\"&amp;$A288)</f>
        <v>C:\Backups\InsiderTechSol\Aviation\Jetelio_v3\.LAYOUT\resources\Images\LJLJ</v>
      </c>
      <c r="AR288" s="12" t="str">
        <f>IF($A288="","",admin!$B$2&amp;"\CityMaps\"&amp;$A288&amp;".png")</f>
        <v>C:\Backups\InsiderTechSol\Aviation\Jetelio_v3\.LAYOUT\resources\CityMaps\LJLJ.png</v>
      </c>
      <c r="AS288" s="16" t="str">
        <f t="shared" si="26"/>
        <v>VISA sheet</v>
      </c>
      <c r="AT288" s="16" t="str">
        <f t="shared" si="27"/>
        <v>Vendors sheet</v>
      </c>
      <c r="AU288" s="4"/>
      <c r="AV288" s="15">
        <f t="shared" ca="1" si="28"/>
        <v>46243</v>
      </c>
      <c r="AX288" s="6"/>
      <c r="AY288" t="str">
        <f t="shared" si="29"/>
        <v>INCOMPLETE - NOT SELECTABLE AS TECH STOP</v>
      </c>
    </row>
    <row r="289" spans="1:51" x14ac:dyDescent="0.3">
      <c r="A289" s="4" t="s">
        <v>1419</v>
      </c>
      <c r="B289" s="4" t="s">
        <v>1420</v>
      </c>
      <c r="C289" s="4"/>
      <c r="D289" s="4"/>
      <c r="E289" s="4" t="s">
        <v>1662</v>
      </c>
      <c r="F289" s="4" t="s">
        <v>82</v>
      </c>
      <c r="G289" s="4"/>
      <c r="H289" s="4" t="s">
        <v>1902</v>
      </c>
      <c r="I289" s="4" t="s">
        <v>1903</v>
      </c>
      <c r="J289" s="4"/>
      <c r="K289" s="4"/>
      <c r="L289" s="4"/>
      <c r="M289" s="4"/>
      <c r="N289" s="12" t="str">
        <f t="shared" si="24"/>
        <v>48°10′13″N 017°12′46″E</v>
      </c>
      <c r="O289" s="7">
        <v>48.170200000000001</v>
      </c>
      <c r="P289" s="7">
        <v>17.212700000000002</v>
      </c>
      <c r="Q289" s="13">
        <f t="shared" si="25"/>
        <v>133</v>
      </c>
      <c r="R289" s="11">
        <v>436</v>
      </c>
      <c r="S289" s="4"/>
      <c r="T289" s="4" t="s">
        <v>2076</v>
      </c>
      <c r="U289" s="8">
        <v>1</v>
      </c>
      <c r="V289" s="14">
        <f ca="1">IF($U289="","",MOD(NOW()-admin!$B$1/24+$U289/24,1))</f>
        <v>0.65349305554991588</v>
      </c>
      <c r="W289" s="4"/>
      <c r="X289" s="4"/>
      <c r="Y289" s="4"/>
      <c r="Z289" s="4"/>
      <c r="AA289" s="4"/>
      <c r="AB289" s="4"/>
      <c r="AC289" s="4"/>
      <c r="AD289" s="4"/>
      <c r="AE289" s="4" t="s">
        <v>2219</v>
      </c>
      <c r="AF289" s="4"/>
      <c r="AG289" s="4"/>
      <c r="AH289" s="4"/>
      <c r="AI289" s="4"/>
      <c r="AJ289" s="4"/>
      <c r="AK289" s="4"/>
      <c r="AL289" s="4"/>
      <c r="AM289" s="4"/>
      <c r="AN289" s="4"/>
      <c r="AO289" s="12" t="str">
        <f>IF($A289="","",admin!$B$2&amp;"\Charts\"&amp;$A289)</f>
        <v>C:\Backups\InsiderTechSol\Aviation\Jetelio_v3\.LAYOUT\resources\Charts\LZIB</v>
      </c>
      <c r="AP289" s="12" t="str">
        <f>IF($A289="","",admin!$B$2&amp;"\RunwayDiagrams\"&amp;$A289&amp;".pdf")</f>
        <v>C:\Backups\InsiderTechSol\Aviation\Jetelio_v3\.LAYOUT\resources\RunwayDiagrams\LZIB.pdf</v>
      </c>
      <c r="AQ289" s="12" t="str">
        <f>IF($A289="","",admin!$B$2&amp;"\Images\"&amp;$A289)</f>
        <v>C:\Backups\InsiderTechSol\Aviation\Jetelio_v3\.LAYOUT\resources\Images\LZIB</v>
      </c>
      <c r="AR289" s="12" t="str">
        <f>IF($A289="","",admin!$B$2&amp;"\CityMaps\"&amp;$A289&amp;".png")</f>
        <v>C:\Backups\InsiderTechSol\Aviation\Jetelio_v3\.LAYOUT\resources\CityMaps\LZIB.png</v>
      </c>
      <c r="AS289" s="16" t="str">
        <f t="shared" si="26"/>
        <v>VISA sheet</v>
      </c>
      <c r="AT289" s="16" t="str">
        <f t="shared" si="27"/>
        <v>Vendors sheet</v>
      </c>
      <c r="AU289" s="4"/>
      <c r="AV289" s="15">
        <f t="shared" ca="1" si="28"/>
        <v>46243</v>
      </c>
      <c r="AX289" s="6"/>
      <c r="AY289" t="str">
        <f t="shared" si="29"/>
        <v>INCOMPLETE - NOT SELECTABLE AS TECH STOP</v>
      </c>
    </row>
    <row r="290" spans="1:51" x14ac:dyDescent="0.3">
      <c r="A290" s="4" t="s">
        <v>1421</v>
      </c>
      <c r="B290" s="4" t="s">
        <v>1422</v>
      </c>
      <c r="C290" s="4"/>
      <c r="D290" s="4"/>
      <c r="E290" s="4" t="s">
        <v>1663</v>
      </c>
      <c r="F290" s="4" t="s">
        <v>82</v>
      </c>
      <c r="G290" s="4"/>
      <c r="H290" s="4" t="s">
        <v>1904</v>
      </c>
      <c r="I290" s="4" t="s">
        <v>1905</v>
      </c>
      <c r="J290" s="4"/>
      <c r="K290" s="4"/>
      <c r="L290" s="4"/>
      <c r="M290" s="4"/>
      <c r="N290" s="12" t="str">
        <f t="shared" si="24"/>
        <v>08°36′59″N 013°11′44″W</v>
      </c>
      <c r="O290" s="7">
        <v>8.6164400000000008</v>
      </c>
      <c r="P290" s="7">
        <v>-13.195499999999999</v>
      </c>
      <c r="Q290" s="13">
        <f t="shared" si="25"/>
        <v>26</v>
      </c>
      <c r="R290" s="11">
        <v>84</v>
      </c>
      <c r="S290" s="4"/>
      <c r="T290" s="4" t="s">
        <v>2077</v>
      </c>
      <c r="U290" s="8">
        <v>0</v>
      </c>
      <c r="V290" s="14">
        <f ca="1">IF($U290="","",MOD(NOW()-admin!$B$1/24+$U290/24,1))</f>
        <v>0.61182638888567453</v>
      </c>
      <c r="W290" s="4"/>
      <c r="X290" s="4"/>
      <c r="Y290" s="4"/>
      <c r="Z290" s="4"/>
      <c r="AA290" s="4"/>
      <c r="AB290" s="4"/>
      <c r="AC290" s="4"/>
      <c r="AD290" s="4"/>
      <c r="AE290" s="4" t="s">
        <v>2220</v>
      </c>
      <c r="AF290" s="4"/>
      <c r="AG290" s="4"/>
      <c r="AH290" s="4"/>
      <c r="AI290" s="4"/>
      <c r="AJ290" s="4"/>
      <c r="AK290" s="4"/>
      <c r="AL290" s="4"/>
      <c r="AM290" s="4"/>
      <c r="AN290" s="4"/>
      <c r="AO290" s="12" t="str">
        <f>IF($A290="","",admin!$B$2&amp;"\Charts\"&amp;$A290)</f>
        <v>C:\Backups\InsiderTechSol\Aviation\Jetelio_v3\.LAYOUT\resources\Charts\GFLL</v>
      </c>
      <c r="AP290" s="12" t="str">
        <f>IF($A290="","",admin!$B$2&amp;"\RunwayDiagrams\"&amp;$A290&amp;".pdf")</f>
        <v>C:\Backups\InsiderTechSol\Aviation\Jetelio_v3\.LAYOUT\resources\RunwayDiagrams\GFLL.pdf</v>
      </c>
      <c r="AQ290" s="12" t="str">
        <f>IF($A290="","",admin!$B$2&amp;"\Images\"&amp;$A290)</f>
        <v>C:\Backups\InsiderTechSol\Aviation\Jetelio_v3\.LAYOUT\resources\Images\GFLL</v>
      </c>
      <c r="AR290" s="12" t="str">
        <f>IF($A290="","",admin!$B$2&amp;"\CityMaps\"&amp;$A290&amp;".png")</f>
        <v>C:\Backups\InsiderTechSol\Aviation\Jetelio_v3\.LAYOUT\resources\CityMaps\GFLL.png</v>
      </c>
      <c r="AS290" s="16" t="str">
        <f t="shared" si="26"/>
        <v>VISA sheet</v>
      </c>
      <c r="AT290" s="16" t="str">
        <f t="shared" si="27"/>
        <v>Vendors sheet</v>
      </c>
      <c r="AU290" s="4"/>
      <c r="AV290" s="15">
        <f t="shared" ca="1" si="28"/>
        <v>46243</v>
      </c>
      <c r="AX290" s="6"/>
      <c r="AY290" t="str">
        <f t="shared" si="29"/>
        <v>INCOMPLETE - NOT SELECTABLE AS TECH STOP</v>
      </c>
    </row>
    <row r="291" spans="1:51" x14ac:dyDescent="0.3">
      <c r="A291" s="4" t="s">
        <v>1423</v>
      </c>
      <c r="B291" s="4" t="s">
        <v>1424</v>
      </c>
      <c r="C291" s="4"/>
      <c r="D291" s="4"/>
      <c r="E291" s="4" t="s">
        <v>1664</v>
      </c>
      <c r="F291" s="4" t="s">
        <v>82</v>
      </c>
      <c r="G291" s="4"/>
      <c r="H291" s="4" t="s">
        <v>1906</v>
      </c>
      <c r="I291" s="4" t="s">
        <v>1907</v>
      </c>
      <c r="J291" s="4"/>
      <c r="K291" s="4"/>
      <c r="L291" s="4"/>
      <c r="M291" s="4"/>
      <c r="N291" s="12" t="str">
        <f t="shared" si="24"/>
        <v>14°40′15″N 017°04′22″W</v>
      </c>
      <c r="O291" s="7">
        <v>14.67088</v>
      </c>
      <c r="P291" s="7">
        <v>-17.07283</v>
      </c>
      <c r="Q291" s="13">
        <f t="shared" si="25"/>
        <v>88</v>
      </c>
      <c r="R291" s="11">
        <v>290</v>
      </c>
      <c r="S291" s="4"/>
      <c r="T291" s="4"/>
      <c r="U291" s="8">
        <v>0</v>
      </c>
      <c r="V291" s="14">
        <f ca="1">IF($U291="","",MOD(NOW()-admin!$B$1/24+$U291/24,1))</f>
        <v>0.61182638888567453</v>
      </c>
      <c r="W291" s="4"/>
      <c r="X291" s="4"/>
      <c r="Y291" s="4"/>
      <c r="Z291" s="4"/>
      <c r="AA291" s="4"/>
      <c r="AB291" s="4"/>
      <c r="AC291" s="4"/>
      <c r="AD291" s="4"/>
      <c r="AE291" s="4" t="s">
        <v>2221</v>
      </c>
      <c r="AF291" s="4"/>
      <c r="AG291" s="4"/>
      <c r="AH291" s="4"/>
      <c r="AI291" s="4"/>
      <c r="AJ291" s="4"/>
      <c r="AK291" s="4"/>
      <c r="AL291" s="4"/>
      <c r="AM291" s="4"/>
      <c r="AN291" s="4"/>
      <c r="AO291" s="12" t="str">
        <f>IF($A291="","",admin!$B$2&amp;"\Charts\"&amp;$A291)</f>
        <v>C:\Backups\InsiderTechSol\Aviation\Jetelio_v3\.LAYOUT\resources\Charts\GOBD</v>
      </c>
      <c r="AP291" s="12" t="str">
        <f>IF($A291="","",admin!$B$2&amp;"\RunwayDiagrams\"&amp;$A291&amp;".pdf")</f>
        <v>C:\Backups\InsiderTechSol\Aviation\Jetelio_v3\.LAYOUT\resources\RunwayDiagrams\GOBD.pdf</v>
      </c>
      <c r="AQ291" s="12" t="str">
        <f>IF($A291="","",admin!$B$2&amp;"\Images\"&amp;$A291)</f>
        <v>C:\Backups\InsiderTechSol\Aviation\Jetelio_v3\.LAYOUT\resources\Images\GOBD</v>
      </c>
      <c r="AR291" s="12" t="str">
        <f>IF($A291="","",admin!$B$2&amp;"\CityMaps\"&amp;$A291&amp;".png")</f>
        <v>C:\Backups\InsiderTechSol\Aviation\Jetelio_v3\.LAYOUT\resources\CityMaps\GOBD.png</v>
      </c>
      <c r="AS291" s="16" t="str">
        <f t="shared" si="26"/>
        <v>VISA sheet</v>
      </c>
      <c r="AT291" s="16" t="str">
        <f t="shared" si="27"/>
        <v>Vendors sheet</v>
      </c>
      <c r="AU291" s="4"/>
      <c r="AV291" s="15">
        <f t="shared" ca="1" si="28"/>
        <v>46243</v>
      </c>
      <c r="AX291" s="6"/>
      <c r="AY291" t="str">
        <f t="shared" si="29"/>
        <v>INCOMPLETE - NOT SELECTABLE AS TECH STOP</v>
      </c>
    </row>
    <row r="292" spans="1:51" x14ac:dyDescent="0.3">
      <c r="A292" s="4" t="s">
        <v>1425</v>
      </c>
      <c r="B292" s="4" t="s">
        <v>1426</v>
      </c>
      <c r="C292" s="4"/>
      <c r="D292" s="4"/>
      <c r="E292" s="4" t="s">
        <v>1665</v>
      </c>
      <c r="F292" s="4" t="s">
        <v>82</v>
      </c>
      <c r="G292" s="4"/>
      <c r="H292" s="4" t="s">
        <v>1906</v>
      </c>
      <c r="I292" s="4" t="s">
        <v>1907</v>
      </c>
      <c r="J292" s="4"/>
      <c r="K292" s="4"/>
      <c r="L292" s="4"/>
      <c r="M292" s="4"/>
      <c r="N292" s="12" t="str">
        <f t="shared" si="24"/>
        <v>14°44′32″N 017°28′45″W</v>
      </c>
      <c r="O292" s="7">
        <v>14.74234</v>
      </c>
      <c r="P292" s="7">
        <v>-17.479220000000002</v>
      </c>
      <c r="Q292" s="13">
        <f t="shared" si="25"/>
        <v>26</v>
      </c>
      <c r="R292" s="11">
        <v>85</v>
      </c>
      <c r="S292" s="4"/>
      <c r="T292" s="4" t="s">
        <v>2078</v>
      </c>
      <c r="U292" s="8">
        <v>0</v>
      </c>
      <c r="V292" s="14">
        <f ca="1">IF($U292="","",MOD(NOW()-admin!$B$1/24+$U292/24,1))</f>
        <v>0.61182638888567453</v>
      </c>
      <c r="W292" s="4"/>
      <c r="X292" s="4"/>
      <c r="Y292" s="4"/>
      <c r="Z292" s="4"/>
      <c r="AA292" s="4"/>
      <c r="AB292" s="4"/>
      <c r="AC292" s="4"/>
      <c r="AD292" s="4"/>
      <c r="AE292" s="4" t="s">
        <v>2222</v>
      </c>
      <c r="AF292" s="4"/>
      <c r="AG292" s="4"/>
      <c r="AH292" s="4"/>
      <c r="AI292" s="4"/>
      <c r="AJ292" s="4"/>
      <c r="AK292" s="4"/>
      <c r="AL292" s="4"/>
      <c r="AM292" s="4"/>
      <c r="AN292" s="4"/>
      <c r="AO292" s="12" t="str">
        <f>IF($A292="","",admin!$B$2&amp;"\Charts\"&amp;$A292)</f>
        <v>C:\Backups\InsiderTechSol\Aviation\Jetelio_v3\.LAYOUT\resources\Charts\GOOY</v>
      </c>
      <c r="AP292" s="12" t="str">
        <f>IF($A292="","",admin!$B$2&amp;"\RunwayDiagrams\"&amp;$A292&amp;".pdf")</f>
        <v>C:\Backups\InsiderTechSol\Aviation\Jetelio_v3\.LAYOUT\resources\RunwayDiagrams\GOOY.pdf</v>
      </c>
      <c r="AQ292" s="12" t="str">
        <f>IF($A292="","",admin!$B$2&amp;"\Images\"&amp;$A292)</f>
        <v>C:\Backups\InsiderTechSol\Aviation\Jetelio_v3\.LAYOUT\resources\Images\GOOY</v>
      </c>
      <c r="AR292" s="12" t="str">
        <f>IF($A292="","",admin!$B$2&amp;"\CityMaps\"&amp;$A292&amp;".png")</f>
        <v>C:\Backups\InsiderTechSol\Aviation\Jetelio_v3\.LAYOUT\resources\CityMaps\GOOY.png</v>
      </c>
      <c r="AS292" s="16" t="str">
        <f t="shared" si="26"/>
        <v>VISA sheet</v>
      </c>
      <c r="AT292" s="16" t="str">
        <f t="shared" si="27"/>
        <v>Vendors sheet</v>
      </c>
      <c r="AU292" s="4"/>
      <c r="AV292" s="15">
        <f t="shared" ca="1" si="28"/>
        <v>46243</v>
      </c>
      <c r="AX292" s="6"/>
      <c r="AY292" t="str">
        <f t="shared" si="29"/>
        <v>INCOMPLETE - NOT SELECTABLE AS TECH STOP</v>
      </c>
    </row>
    <row r="293" spans="1:51" x14ac:dyDescent="0.3">
      <c r="A293" s="4" t="s">
        <v>1427</v>
      </c>
      <c r="B293" s="4" t="s">
        <v>1428</v>
      </c>
      <c r="C293" s="4"/>
      <c r="D293" s="4"/>
      <c r="E293" s="4" t="s">
        <v>1666</v>
      </c>
      <c r="F293" s="4" t="s">
        <v>82</v>
      </c>
      <c r="G293" s="4"/>
      <c r="H293" s="4" t="s">
        <v>1908</v>
      </c>
      <c r="I293" s="4" t="s">
        <v>1909</v>
      </c>
      <c r="J293" s="4"/>
      <c r="K293" s="4"/>
      <c r="L293" s="4"/>
      <c r="M293" s="4"/>
      <c r="N293" s="12" t="str">
        <f t="shared" si="24"/>
        <v>11°16′31″N 049°08′21″E</v>
      </c>
      <c r="O293" s="7">
        <v>11.27524</v>
      </c>
      <c r="P293" s="7">
        <v>49.139229999999998</v>
      </c>
      <c r="Q293" s="13">
        <f t="shared" si="25"/>
        <v>1</v>
      </c>
      <c r="R293" s="11">
        <v>3</v>
      </c>
      <c r="S293" s="4"/>
      <c r="T293" s="4" t="s">
        <v>2079</v>
      </c>
      <c r="U293" s="8">
        <v>3</v>
      </c>
      <c r="V293" s="14">
        <f ca="1">IF($U293="","",MOD(NOW()-admin!$B$1/24+$U293/24,1))</f>
        <v>0.73682638888567453</v>
      </c>
      <c r="W293" s="4"/>
      <c r="X293" s="4"/>
      <c r="Y293" s="4"/>
      <c r="Z293" s="4"/>
      <c r="AA293" s="4"/>
      <c r="AB293" s="4"/>
      <c r="AC293" s="4"/>
      <c r="AD293" s="4"/>
      <c r="AE293" s="4" t="s">
        <v>2223</v>
      </c>
      <c r="AF293" s="4"/>
      <c r="AG293" s="4"/>
      <c r="AH293" s="4"/>
      <c r="AI293" s="4"/>
      <c r="AJ293" s="4"/>
      <c r="AK293" s="4"/>
      <c r="AL293" s="4"/>
      <c r="AM293" s="4"/>
      <c r="AN293" s="4"/>
      <c r="AO293" s="12" t="str">
        <f>IF($A293="","",admin!$B$2&amp;"\Charts\"&amp;$A293)</f>
        <v>C:\Backups\InsiderTechSol\Aviation\Jetelio_v3\.LAYOUT\resources\Charts\HCMF</v>
      </c>
      <c r="AP293" s="12" t="str">
        <f>IF($A293="","",admin!$B$2&amp;"\RunwayDiagrams\"&amp;$A293&amp;".pdf")</f>
        <v>C:\Backups\InsiderTechSol\Aviation\Jetelio_v3\.LAYOUT\resources\RunwayDiagrams\HCMF.pdf</v>
      </c>
      <c r="AQ293" s="12" t="str">
        <f>IF($A293="","",admin!$B$2&amp;"\Images\"&amp;$A293)</f>
        <v>C:\Backups\InsiderTechSol\Aviation\Jetelio_v3\.LAYOUT\resources\Images\HCMF</v>
      </c>
      <c r="AR293" s="12" t="str">
        <f>IF($A293="","",admin!$B$2&amp;"\CityMaps\"&amp;$A293&amp;".png")</f>
        <v>C:\Backups\InsiderTechSol\Aviation\Jetelio_v3\.LAYOUT\resources\CityMaps\HCMF.png</v>
      </c>
      <c r="AS293" s="16" t="str">
        <f t="shared" si="26"/>
        <v>VISA sheet</v>
      </c>
      <c r="AT293" s="16" t="str">
        <f t="shared" si="27"/>
        <v>Vendors sheet</v>
      </c>
      <c r="AU293" s="4"/>
      <c r="AV293" s="15">
        <f t="shared" ca="1" si="28"/>
        <v>46243</v>
      </c>
      <c r="AX293" s="6"/>
      <c r="AY293" t="str">
        <f t="shared" si="29"/>
        <v>INCOMPLETE - NOT SELECTABLE AS TECH STOP</v>
      </c>
    </row>
    <row r="294" spans="1:51" x14ac:dyDescent="0.3">
      <c r="A294" s="4" t="s">
        <v>1429</v>
      </c>
      <c r="B294" s="4" t="s">
        <v>1430</v>
      </c>
      <c r="C294" s="4"/>
      <c r="D294" s="4"/>
      <c r="E294" s="4" t="s">
        <v>1667</v>
      </c>
      <c r="F294" s="4" t="s">
        <v>82</v>
      </c>
      <c r="G294" s="4"/>
      <c r="H294" s="4" t="s">
        <v>1908</v>
      </c>
      <c r="I294" s="4" t="s">
        <v>1910</v>
      </c>
      <c r="J294" s="4"/>
      <c r="K294" s="4"/>
      <c r="L294" s="4"/>
      <c r="M294" s="4"/>
      <c r="N294" s="12" t="str">
        <f t="shared" si="24"/>
        <v>09°30′51″N 044°05′00″E</v>
      </c>
      <c r="O294" s="7">
        <v>9.5140799999999999</v>
      </c>
      <c r="P294" s="7">
        <v>44.083469999999998</v>
      </c>
      <c r="Q294" s="13">
        <f t="shared" si="25"/>
        <v>1363</v>
      </c>
      <c r="R294" s="11">
        <v>4471</v>
      </c>
      <c r="S294" s="4"/>
      <c r="T294" s="4" t="s">
        <v>2079</v>
      </c>
      <c r="U294" s="8">
        <v>3</v>
      </c>
      <c r="V294" s="14">
        <f ca="1">IF($U294="","",MOD(NOW()-admin!$B$1/24+$U294/24,1))</f>
        <v>0.73682638888567453</v>
      </c>
      <c r="W294" s="4"/>
      <c r="X294" s="4"/>
      <c r="Y294" s="4"/>
      <c r="Z294" s="4"/>
      <c r="AA294" s="4"/>
      <c r="AB294" s="4"/>
      <c r="AC294" s="4"/>
      <c r="AD294" s="4"/>
      <c r="AE294" s="4" t="s">
        <v>2224</v>
      </c>
      <c r="AF294" s="4"/>
      <c r="AG294" s="4"/>
      <c r="AH294" s="4"/>
      <c r="AI294" s="4"/>
      <c r="AJ294" s="4"/>
      <c r="AK294" s="4"/>
      <c r="AL294" s="4"/>
      <c r="AM294" s="4"/>
      <c r="AN294" s="4"/>
      <c r="AO294" s="12" t="str">
        <f>IF($A294="","",admin!$B$2&amp;"\Charts\"&amp;$A294)</f>
        <v>C:\Backups\InsiderTechSol\Aviation\Jetelio_v3\.LAYOUT\resources\Charts\HCMH</v>
      </c>
      <c r="AP294" s="12" t="str">
        <f>IF($A294="","",admin!$B$2&amp;"\RunwayDiagrams\"&amp;$A294&amp;".pdf")</f>
        <v>C:\Backups\InsiderTechSol\Aviation\Jetelio_v3\.LAYOUT\resources\RunwayDiagrams\HCMH.pdf</v>
      </c>
      <c r="AQ294" s="12" t="str">
        <f>IF($A294="","",admin!$B$2&amp;"\Images\"&amp;$A294)</f>
        <v>C:\Backups\InsiderTechSol\Aviation\Jetelio_v3\.LAYOUT\resources\Images\HCMH</v>
      </c>
      <c r="AR294" s="12" t="str">
        <f>IF($A294="","",admin!$B$2&amp;"\CityMaps\"&amp;$A294&amp;".png")</f>
        <v>C:\Backups\InsiderTechSol\Aviation\Jetelio_v3\.LAYOUT\resources\CityMaps\HCMH.png</v>
      </c>
      <c r="AS294" s="16" t="str">
        <f t="shared" si="26"/>
        <v>VISA sheet</v>
      </c>
      <c r="AT294" s="16" t="str">
        <f t="shared" si="27"/>
        <v>Vendors sheet</v>
      </c>
      <c r="AU294" s="4"/>
      <c r="AV294" s="15">
        <f t="shared" ca="1" si="28"/>
        <v>46243</v>
      </c>
      <c r="AX294" s="6"/>
      <c r="AY294" t="str">
        <f t="shared" si="29"/>
        <v>INCOMPLETE - NOT SELECTABLE AS TECH STOP</v>
      </c>
    </row>
    <row r="295" spans="1:51" x14ac:dyDescent="0.3">
      <c r="A295" s="4" t="s">
        <v>1431</v>
      </c>
      <c r="B295" s="4" t="s">
        <v>1432</v>
      </c>
      <c r="C295" s="4"/>
      <c r="D295" s="4"/>
      <c r="E295" s="4" t="s">
        <v>1668</v>
      </c>
      <c r="F295" s="4" t="s">
        <v>82</v>
      </c>
      <c r="G295" s="4"/>
      <c r="H295" s="4" t="s">
        <v>1911</v>
      </c>
      <c r="I295" s="4" t="s">
        <v>1912</v>
      </c>
      <c r="J295" s="4"/>
      <c r="K295" s="4"/>
      <c r="L295" s="4"/>
      <c r="M295" s="4"/>
      <c r="N295" s="12" t="str">
        <f t="shared" si="24"/>
        <v>05°27′10″N 055°11′16″W</v>
      </c>
      <c r="O295" s="7">
        <v>5.4528299999999996</v>
      </c>
      <c r="P295" s="7">
        <v>-55.187800000000003</v>
      </c>
      <c r="Q295" s="13">
        <f t="shared" si="25"/>
        <v>18</v>
      </c>
      <c r="R295" s="11">
        <v>59</v>
      </c>
      <c r="S295" s="4"/>
      <c r="T295" s="4" t="s">
        <v>2080</v>
      </c>
      <c r="U295" s="8">
        <v>-3</v>
      </c>
      <c r="V295" s="14">
        <f ca="1">IF($U295="","",MOD(NOW()-admin!$B$1/24+$U295/24,1))</f>
        <v>0.48682638888567453</v>
      </c>
      <c r="W295" s="4"/>
      <c r="X295" s="4"/>
      <c r="Y295" s="4"/>
      <c r="Z295" s="4"/>
      <c r="AA295" s="4"/>
      <c r="AB295" s="4"/>
      <c r="AC295" s="4"/>
      <c r="AD295" s="4"/>
      <c r="AE295" s="4" t="s">
        <v>2225</v>
      </c>
      <c r="AF295" s="4"/>
      <c r="AG295" s="4"/>
      <c r="AH295" s="4"/>
      <c r="AI295" s="4"/>
      <c r="AJ295" s="4"/>
      <c r="AK295" s="4"/>
      <c r="AL295" s="4"/>
      <c r="AM295" s="4"/>
      <c r="AN295" s="4"/>
      <c r="AO295" s="12" t="str">
        <f>IF($A295="","",admin!$B$2&amp;"\Charts\"&amp;$A295)</f>
        <v>C:\Backups\InsiderTechSol\Aviation\Jetelio_v3\.LAYOUT\resources\Charts\SMJP</v>
      </c>
      <c r="AP295" s="12" t="str">
        <f>IF($A295="","",admin!$B$2&amp;"\RunwayDiagrams\"&amp;$A295&amp;".pdf")</f>
        <v>C:\Backups\InsiderTechSol\Aviation\Jetelio_v3\.LAYOUT\resources\RunwayDiagrams\SMJP.pdf</v>
      </c>
      <c r="AQ295" s="12" t="str">
        <f>IF($A295="","",admin!$B$2&amp;"\Images\"&amp;$A295)</f>
        <v>C:\Backups\InsiderTechSol\Aviation\Jetelio_v3\.LAYOUT\resources\Images\SMJP</v>
      </c>
      <c r="AR295" s="12" t="str">
        <f>IF($A295="","",admin!$B$2&amp;"\CityMaps\"&amp;$A295&amp;".png")</f>
        <v>C:\Backups\InsiderTechSol\Aviation\Jetelio_v3\.LAYOUT\resources\CityMaps\SMJP.png</v>
      </c>
      <c r="AS295" s="16" t="str">
        <f t="shared" si="26"/>
        <v>VISA sheet</v>
      </c>
      <c r="AT295" s="16" t="str">
        <f t="shared" si="27"/>
        <v>Vendors sheet</v>
      </c>
      <c r="AU295" s="4"/>
      <c r="AV295" s="15">
        <f t="shared" ca="1" si="28"/>
        <v>46243</v>
      </c>
      <c r="AX295" s="6"/>
      <c r="AY295" t="str">
        <f t="shared" si="29"/>
        <v>INCOMPLETE - NOT SELECTABLE AS TECH STOP</v>
      </c>
    </row>
    <row r="296" spans="1:51" x14ac:dyDescent="0.3">
      <c r="A296" s="4" t="s">
        <v>1433</v>
      </c>
      <c r="B296" s="4" t="s">
        <v>1434</v>
      </c>
      <c r="C296" s="4"/>
      <c r="D296" s="4"/>
      <c r="E296" s="4" t="s">
        <v>1669</v>
      </c>
      <c r="F296" s="4" t="s">
        <v>82</v>
      </c>
      <c r="G296" s="4"/>
      <c r="H296" s="4" t="s">
        <v>1913</v>
      </c>
      <c r="I296" s="4" t="s">
        <v>1914</v>
      </c>
      <c r="J296" s="4"/>
      <c r="K296" s="4"/>
      <c r="L296" s="4"/>
      <c r="M296" s="4"/>
      <c r="N296" s="12" t="str">
        <f t="shared" si="24"/>
        <v>04°52′19″N 031°36′04″E</v>
      </c>
      <c r="O296" s="7">
        <v>4.8720100000000004</v>
      </c>
      <c r="P296" s="7">
        <v>31.601099999999999</v>
      </c>
      <c r="Q296" s="13">
        <f t="shared" si="25"/>
        <v>461</v>
      </c>
      <c r="R296" s="11">
        <v>1513</v>
      </c>
      <c r="S296" s="4"/>
      <c r="T296" s="4"/>
      <c r="U296" s="8"/>
      <c r="V296" s="14" t="str">
        <f ca="1">IF($U296="","",MOD(NOW()-admin!$B$1/24+$U296/24,1))</f>
        <v/>
      </c>
      <c r="W296" s="4"/>
      <c r="X296" s="4"/>
      <c r="Y296" s="4"/>
      <c r="Z296" s="4"/>
      <c r="AA296" s="4"/>
      <c r="AB296" s="4"/>
      <c r="AC296" s="4"/>
      <c r="AD296" s="4"/>
      <c r="AE296" s="4" t="s">
        <v>2226</v>
      </c>
      <c r="AF296" s="4"/>
      <c r="AG296" s="4"/>
      <c r="AH296" s="4"/>
      <c r="AI296" s="4"/>
      <c r="AJ296" s="4"/>
      <c r="AK296" s="4"/>
      <c r="AL296" s="4"/>
      <c r="AM296" s="4"/>
      <c r="AN296" s="4"/>
      <c r="AO296" s="12" t="str">
        <f>IF($A296="","",admin!$B$2&amp;"\Charts\"&amp;$A296)</f>
        <v>C:\Backups\InsiderTechSol\Aviation\Jetelio_v3\.LAYOUT\resources\Charts\HJJJ</v>
      </c>
      <c r="AP296" s="12" t="str">
        <f>IF($A296="","",admin!$B$2&amp;"\RunwayDiagrams\"&amp;$A296&amp;".pdf")</f>
        <v>C:\Backups\InsiderTechSol\Aviation\Jetelio_v3\.LAYOUT\resources\RunwayDiagrams\HJJJ.pdf</v>
      </c>
      <c r="AQ296" s="12" t="str">
        <f>IF($A296="","",admin!$B$2&amp;"\Images\"&amp;$A296)</f>
        <v>C:\Backups\InsiderTechSol\Aviation\Jetelio_v3\.LAYOUT\resources\Images\HJJJ</v>
      </c>
      <c r="AR296" s="12" t="str">
        <f>IF($A296="","",admin!$B$2&amp;"\CityMaps\"&amp;$A296&amp;".png")</f>
        <v>C:\Backups\InsiderTechSol\Aviation\Jetelio_v3\.LAYOUT\resources\CityMaps\HJJJ.png</v>
      </c>
      <c r="AS296" s="16" t="str">
        <f t="shared" si="26"/>
        <v>VISA sheet</v>
      </c>
      <c r="AT296" s="16" t="str">
        <f t="shared" si="27"/>
        <v>Vendors sheet</v>
      </c>
      <c r="AU296" s="4"/>
      <c r="AV296" s="15">
        <f t="shared" ca="1" si="28"/>
        <v>46243</v>
      </c>
      <c r="AX296" s="6"/>
      <c r="AY296" t="str">
        <f t="shared" si="29"/>
        <v>INCOMPLETE - NOT SELECTABLE AS TECH STOP</v>
      </c>
    </row>
    <row r="297" spans="1:51" x14ac:dyDescent="0.3">
      <c r="A297" s="4" t="s">
        <v>1435</v>
      </c>
      <c r="B297" s="4" t="s">
        <v>1436</v>
      </c>
      <c r="C297" s="4"/>
      <c r="D297" s="4"/>
      <c r="E297" s="4" t="s">
        <v>1670</v>
      </c>
      <c r="F297" s="4" t="s">
        <v>82</v>
      </c>
      <c r="G297" s="4"/>
      <c r="H297" s="4" t="s">
        <v>1915</v>
      </c>
      <c r="I297" s="4" t="s">
        <v>1916</v>
      </c>
      <c r="J297" s="4"/>
      <c r="K297" s="4"/>
      <c r="L297" s="4"/>
      <c r="M297" s="4"/>
      <c r="N297" s="12" t="str">
        <f t="shared" si="24"/>
        <v>00°22′41″N 006°42′44″E</v>
      </c>
      <c r="O297" s="7">
        <v>0.37817000000000001</v>
      </c>
      <c r="P297" s="7">
        <v>6.7121500000000003</v>
      </c>
      <c r="Q297" s="13">
        <f t="shared" si="25"/>
        <v>10</v>
      </c>
      <c r="R297" s="11">
        <v>33</v>
      </c>
      <c r="S297" s="4"/>
      <c r="T297" s="4" t="s">
        <v>2081</v>
      </c>
      <c r="U297" s="8">
        <v>0</v>
      </c>
      <c r="V297" s="14">
        <f ca="1">IF($U297="","",MOD(NOW()-admin!$B$1/24+$U297/24,1))</f>
        <v>0.61182638888567453</v>
      </c>
      <c r="W297" s="4"/>
      <c r="X297" s="4"/>
      <c r="Y297" s="4"/>
      <c r="Z297" s="4"/>
      <c r="AA297" s="4"/>
      <c r="AB297" s="4"/>
      <c r="AC297" s="4"/>
      <c r="AD297" s="4"/>
      <c r="AE297" s="4" t="s">
        <v>2227</v>
      </c>
      <c r="AF297" s="4"/>
      <c r="AG297" s="4"/>
      <c r="AH297" s="4"/>
      <c r="AI297" s="4"/>
      <c r="AJ297" s="4"/>
      <c r="AK297" s="4"/>
      <c r="AL297" s="4"/>
      <c r="AM297" s="4"/>
      <c r="AN297" s="4"/>
      <c r="AO297" s="12" t="str">
        <f>IF($A297="","",admin!$B$2&amp;"\Charts\"&amp;$A297)</f>
        <v>C:\Backups\InsiderTechSol\Aviation\Jetelio_v3\.LAYOUT\resources\Charts\FPST</v>
      </c>
      <c r="AP297" s="12" t="str">
        <f>IF($A297="","",admin!$B$2&amp;"\RunwayDiagrams\"&amp;$A297&amp;".pdf")</f>
        <v>C:\Backups\InsiderTechSol\Aviation\Jetelio_v3\.LAYOUT\resources\RunwayDiagrams\FPST.pdf</v>
      </c>
      <c r="AQ297" s="12" t="str">
        <f>IF($A297="","",admin!$B$2&amp;"\Images\"&amp;$A297)</f>
        <v>C:\Backups\InsiderTechSol\Aviation\Jetelio_v3\.LAYOUT\resources\Images\FPST</v>
      </c>
      <c r="AR297" s="12" t="str">
        <f>IF($A297="","",admin!$B$2&amp;"\CityMaps\"&amp;$A297&amp;".png")</f>
        <v>C:\Backups\InsiderTechSol\Aviation\Jetelio_v3\.LAYOUT\resources\CityMaps\FPST.png</v>
      </c>
      <c r="AS297" s="16" t="str">
        <f t="shared" si="26"/>
        <v>VISA sheet</v>
      </c>
      <c r="AT297" s="16" t="str">
        <f t="shared" si="27"/>
        <v>Vendors sheet</v>
      </c>
      <c r="AU297" s="4"/>
      <c r="AV297" s="15">
        <f t="shared" ca="1" si="28"/>
        <v>46243</v>
      </c>
      <c r="AX297" s="6"/>
      <c r="AY297" t="str">
        <f t="shared" si="29"/>
        <v>INCOMPLETE - NOT SELECTABLE AS TECH STOP</v>
      </c>
    </row>
    <row r="298" spans="1:51" x14ac:dyDescent="0.3">
      <c r="A298" s="4" t="s">
        <v>1437</v>
      </c>
      <c r="B298" s="4" t="s">
        <v>1438</v>
      </c>
      <c r="C298" s="4"/>
      <c r="D298" s="4"/>
      <c r="E298" s="4" t="s">
        <v>1671</v>
      </c>
      <c r="F298" s="4" t="s">
        <v>82</v>
      </c>
      <c r="G298" s="4"/>
      <c r="H298" s="4" t="s">
        <v>1917</v>
      </c>
      <c r="I298" s="4" t="s">
        <v>1918</v>
      </c>
      <c r="J298" s="4"/>
      <c r="K298" s="4"/>
      <c r="L298" s="4"/>
      <c r="M298" s="4"/>
      <c r="N298" s="12" t="str">
        <f t="shared" si="24"/>
        <v>13°26′40″N 089°03′21″W</v>
      </c>
      <c r="O298" s="7">
        <v>13.444470000000001</v>
      </c>
      <c r="P298" s="7">
        <v>-89.055779999999999</v>
      </c>
      <c r="Q298" s="13">
        <f t="shared" si="25"/>
        <v>31</v>
      </c>
      <c r="R298" s="11">
        <v>101</v>
      </c>
      <c r="S298" s="4"/>
      <c r="T298" s="4" t="s">
        <v>2082</v>
      </c>
      <c r="U298" s="8">
        <v>-6</v>
      </c>
      <c r="V298" s="14">
        <f ca="1">IF($U298="","",MOD(NOW()-admin!$B$1/24+$U298/24,1))</f>
        <v>0.36182638888567453</v>
      </c>
      <c r="W298" s="4"/>
      <c r="X298" s="4"/>
      <c r="Y298" s="4"/>
      <c r="Z298" s="4"/>
      <c r="AA298" s="4"/>
      <c r="AB298" s="4"/>
      <c r="AC298" s="4"/>
      <c r="AD298" s="4"/>
      <c r="AE298" s="4" t="s">
        <v>2228</v>
      </c>
      <c r="AF298" s="4"/>
      <c r="AG298" s="4"/>
      <c r="AH298" s="4"/>
      <c r="AI298" s="4"/>
      <c r="AJ298" s="4"/>
      <c r="AK298" s="4"/>
      <c r="AL298" s="4"/>
      <c r="AM298" s="4"/>
      <c r="AN298" s="4"/>
      <c r="AO298" s="12" t="str">
        <f>IF($A298="","",admin!$B$2&amp;"\Charts\"&amp;$A298)</f>
        <v>C:\Backups\InsiderTechSol\Aviation\Jetelio_v3\.LAYOUT\resources\Charts\MSLP</v>
      </c>
      <c r="AP298" s="12" t="str">
        <f>IF($A298="","",admin!$B$2&amp;"\RunwayDiagrams\"&amp;$A298&amp;".pdf")</f>
        <v>C:\Backups\InsiderTechSol\Aviation\Jetelio_v3\.LAYOUT\resources\RunwayDiagrams\MSLP.pdf</v>
      </c>
      <c r="AQ298" s="12" t="str">
        <f>IF($A298="","",admin!$B$2&amp;"\Images\"&amp;$A298)</f>
        <v>C:\Backups\InsiderTechSol\Aviation\Jetelio_v3\.LAYOUT\resources\Images\MSLP</v>
      </c>
      <c r="AR298" s="12" t="str">
        <f>IF($A298="","",admin!$B$2&amp;"\CityMaps\"&amp;$A298&amp;".png")</f>
        <v>C:\Backups\InsiderTechSol\Aviation\Jetelio_v3\.LAYOUT\resources\CityMaps\MSLP.png</v>
      </c>
      <c r="AS298" s="16" t="str">
        <f t="shared" si="26"/>
        <v>VISA sheet</v>
      </c>
      <c r="AT298" s="16" t="str">
        <f t="shared" si="27"/>
        <v>Vendors sheet</v>
      </c>
      <c r="AU298" s="4"/>
      <c r="AV298" s="15">
        <f t="shared" ca="1" si="28"/>
        <v>46243</v>
      </c>
      <c r="AX298" s="6"/>
      <c r="AY298" t="str">
        <f t="shared" si="29"/>
        <v>INCOMPLETE - NOT SELECTABLE AS TECH STOP</v>
      </c>
    </row>
    <row r="299" spans="1:51" x14ac:dyDescent="0.3">
      <c r="A299" s="4" t="s">
        <v>1439</v>
      </c>
      <c r="B299" s="4" t="s">
        <v>1440</v>
      </c>
      <c r="C299" s="4"/>
      <c r="D299" s="4"/>
      <c r="E299" s="4" t="s">
        <v>1672</v>
      </c>
      <c r="F299" s="4" t="s">
        <v>82</v>
      </c>
      <c r="G299" s="4"/>
      <c r="H299" s="4" t="s">
        <v>1919</v>
      </c>
      <c r="I299" s="4" t="s">
        <v>1919</v>
      </c>
      <c r="J299" s="4"/>
      <c r="K299" s="4"/>
      <c r="L299" s="4"/>
      <c r="M299" s="4"/>
      <c r="N299" s="12" t="str">
        <f t="shared" si="24"/>
        <v>18°02′28″N 063°06′32″W</v>
      </c>
      <c r="O299" s="7">
        <v>18.041</v>
      </c>
      <c r="P299" s="7">
        <v>-63.108899999999998</v>
      </c>
      <c r="Q299" s="13">
        <f t="shared" si="25"/>
        <v>4</v>
      </c>
      <c r="R299" s="11">
        <v>13</v>
      </c>
      <c r="S299" s="4"/>
      <c r="T299" s="4" t="s">
        <v>945</v>
      </c>
      <c r="U299" s="8">
        <v>-4</v>
      </c>
      <c r="V299" s="14">
        <f ca="1">IF($U299="","",MOD(NOW()-admin!$B$1/24+$U299/24,1))</f>
        <v>0.44515972222143319</v>
      </c>
      <c r="W299" s="4"/>
      <c r="X299" s="4"/>
      <c r="Y299" s="4"/>
      <c r="Z299" s="4"/>
      <c r="AA299" s="4"/>
      <c r="AB299" s="4"/>
      <c r="AC299" s="4"/>
      <c r="AD299" s="4"/>
      <c r="AE299" s="4" t="s">
        <v>2229</v>
      </c>
      <c r="AF299" s="4"/>
      <c r="AG299" s="4"/>
      <c r="AH299" s="4"/>
      <c r="AI299" s="4"/>
      <c r="AJ299" s="4"/>
      <c r="AK299" s="4"/>
      <c r="AL299" s="4"/>
      <c r="AM299" s="4"/>
      <c r="AN299" s="4"/>
      <c r="AO299" s="12" t="str">
        <f>IF($A299="","",admin!$B$2&amp;"\Charts\"&amp;$A299)</f>
        <v>C:\Backups\InsiderTechSol\Aviation\Jetelio_v3\.LAYOUT\resources\Charts\TNCM</v>
      </c>
      <c r="AP299" s="12" t="str">
        <f>IF($A299="","",admin!$B$2&amp;"\RunwayDiagrams\"&amp;$A299&amp;".pdf")</f>
        <v>C:\Backups\InsiderTechSol\Aviation\Jetelio_v3\.LAYOUT\resources\RunwayDiagrams\TNCM.pdf</v>
      </c>
      <c r="AQ299" s="12" t="str">
        <f>IF($A299="","",admin!$B$2&amp;"\Images\"&amp;$A299)</f>
        <v>C:\Backups\InsiderTechSol\Aviation\Jetelio_v3\.LAYOUT\resources\Images\TNCM</v>
      </c>
      <c r="AR299" s="12" t="str">
        <f>IF($A299="","",admin!$B$2&amp;"\CityMaps\"&amp;$A299&amp;".png")</f>
        <v>C:\Backups\InsiderTechSol\Aviation\Jetelio_v3\.LAYOUT\resources\CityMaps\TNCM.png</v>
      </c>
      <c r="AS299" s="16" t="str">
        <f t="shared" si="26"/>
        <v>VISA sheet</v>
      </c>
      <c r="AT299" s="16" t="str">
        <f t="shared" si="27"/>
        <v>Vendors sheet</v>
      </c>
      <c r="AU299" s="4"/>
      <c r="AV299" s="15">
        <f t="shared" ca="1" si="28"/>
        <v>46243</v>
      </c>
      <c r="AX299" s="6"/>
      <c r="AY299" t="str">
        <f t="shared" si="29"/>
        <v>INCOMPLETE - NOT SELECTABLE AS TECH STOP</v>
      </c>
    </row>
    <row r="300" spans="1:51" x14ac:dyDescent="0.3">
      <c r="A300" s="4" t="s">
        <v>1441</v>
      </c>
      <c r="B300" s="4" t="s">
        <v>1442</v>
      </c>
      <c r="C300" s="4"/>
      <c r="D300" s="4"/>
      <c r="E300" s="4" t="s">
        <v>1673</v>
      </c>
      <c r="F300" s="4" t="s">
        <v>82</v>
      </c>
      <c r="G300" s="4"/>
      <c r="H300" s="4" t="s">
        <v>1920</v>
      </c>
      <c r="I300" s="4" t="s">
        <v>1921</v>
      </c>
      <c r="J300" s="4"/>
      <c r="K300" s="4"/>
      <c r="L300" s="4"/>
      <c r="M300" s="4"/>
      <c r="N300" s="12" t="str">
        <f t="shared" si="24"/>
        <v>36°10′53″N 037°13′37″E</v>
      </c>
      <c r="O300" s="7">
        <v>36.181260000000002</v>
      </c>
      <c r="P300" s="7">
        <v>37.226869999999998</v>
      </c>
      <c r="Q300" s="13">
        <f t="shared" si="25"/>
        <v>389</v>
      </c>
      <c r="R300" s="11">
        <v>1276</v>
      </c>
      <c r="S300" s="4"/>
      <c r="T300" s="4" t="s">
        <v>2083</v>
      </c>
      <c r="U300" s="8">
        <v>2</v>
      </c>
      <c r="V300" s="14">
        <f ca="1">IF($U300="","",MOD(NOW()-admin!$B$1/24+$U300/24,1))</f>
        <v>0.69515972222143319</v>
      </c>
      <c r="W300" s="4"/>
      <c r="X300" s="4"/>
      <c r="Y300" s="4"/>
      <c r="Z300" s="4"/>
      <c r="AA300" s="4"/>
      <c r="AB300" s="4"/>
      <c r="AC300" s="4"/>
      <c r="AD300" s="4"/>
      <c r="AE300" s="4" t="s">
        <v>2230</v>
      </c>
      <c r="AF300" s="4"/>
      <c r="AG300" s="4"/>
      <c r="AH300" s="4"/>
      <c r="AI300" s="4"/>
      <c r="AJ300" s="4"/>
      <c r="AK300" s="4"/>
      <c r="AL300" s="4"/>
      <c r="AM300" s="4"/>
      <c r="AN300" s="4"/>
      <c r="AO300" s="12" t="str">
        <f>IF($A300="","",admin!$B$2&amp;"\Charts\"&amp;$A300)</f>
        <v>C:\Backups\InsiderTechSol\Aviation\Jetelio_v3\.LAYOUT\resources\Charts\OSAP</v>
      </c>
      <c r="AP300" s="12" t="str">
        <f>IF($A300="","",admin!$B$2&amp;"\RunwayDiagrams\"&amp;$A300&amp;".pdf")</f>
        <v>C:\Backups\InsiderTechSol\Aviation\Jetelio_v3\.LAYOUT\resources\RunwayDiagrams\OSAP.pdf</v>
      </c>
      <c r="AQ300" s="12" t="str">
        <f>IF($A300="","",admin!$B$2&amp;"\Images\"&amp;$A300)</f>
        <v>C:\Backups\InsiderTechSol\Aviation\Jetelio_v3\.LAYOUT\resources\Images\OSAP</v>
      </c>
      <c r="AR300" s="12" t="str">
        <f>IF($A300="","",admin!$B$2&amp;"\CityMaps\"&amp;$A300&amp;".png")</f>
        <v>C:\Backups\InsiderTechSol\Aviation\Jetelio_v3\.LAYOUT\resources\CityMaps\OSAP.png</v>
      </c>
      <c r="AS300" s="16" t="str">
        <f t="shared" si="26"/>
        <v>VISA sheet</v>
      </c>
      <c r="AT300" s="16" t="str">
        <f t="shared" si="27"/>
        <v>Vendors sheet</v>
      </c>
      <c r="AU300" s="4"/>
      <c r="AV300" s="15">
        <f t="shared" ca="1" si="28"/>
        <v>46243</v>
      </c>
      <c r="AX300" s="6"/>
      <c r="AY300" t="str">
        <f t="shared" si="29"/>
        <v>INCOMPLETE - NOT SELECTABLE AS TECH STOP</v>
      </c>
    </row>
    <row r="301" spans="1:51" x14ac:dyDescent="0.3">
      <c r="A301" s="4" t="s">
        <v>1443</v>
      </c>
      <c r="B301" s="4" t="s">
        <v>1444</v>
      </c>
      <c r="C301" s="4"/>
      <c r="D301" s="4"/>
      <c r="E301" s="4" t="s">
        <v>1674</v>
      </c>
      <c r="F301" s="4" t="s">
        <v>82</v>
      </c>
      <c r="G301" s="4"/>
      <c r="H301" s="4" t="s">
        <v>1920</v>
      </c>
      <c r="I301" s="4" t="s">
        <v>1922</v>
      </c>
      <c r="J301" s="4"/>
      <c r="K301" s="4"/>
      <c r="L301" s="4"/>
      <c r="M301" s="4"/>
      <c r="N301" s="12" t="str">
        <f t="shared" si="24"/>
        <v>33°24′41″N 036°30′56″E</v>
      </c>
      <c r="O301" s="7">
        <v>33.411499999999997</v>
      </c>
      <c r="P301" s="7">
        <v>36.515599999999999</v>
      </c>
      <c r="Q301" s="13">
        <f t="shared" si="25"/>
        <v>616</v>
      </c>
      <c r="R301" s="11">
        <v>2020</v>
      </c>
      <c r="S301" s="4"/>
      <c r="T301" s="4" t="s">
        <v>2083</v>
      </c>
      <c r="U301" s="8">
        <v>2</v>
      </c>
      <c r="V301" s="14">
        <f ca="1">IF($U301="","",MOD(NOW()-admin!$B$1/24+$U301/24,1))</f>
        <v>0.69515972222143319</v>
      </c>
      <c r="W301" s="4"/>
      <c r="X301" s="4"/>
      <c r="Y301" s="4"/>
      <c r="Z301" s="4"/>
      <c r="AA301" s="4"/>
      <c r="AB301" s="4"/>
      <c r="AC301" s="4"/>
      <c r="AD301" s="4"/>
      <c r="AE301" s="4" t="s">
        <v>2231</v>
      </c>
      <c r="AF301" s="4"/>
      <c r="AG301" s="4"/>
      <c r="AH301" s="4"/>
      <c r="AI301" s="4"/>
      <c r="AJ301" s="4"/>
      <c r="AK301" s="4"/>
      <c r="AL301" s="4"/>
      <c r="AM301" s="4"/>
      <c r="AN301" s="4"/>
      <c r="AO301" s="12" t="str">
        <f>IF($A301="","",admin!$B$2&amp;"\Charts\"&amp;$A301)</f>
        <v>C:\Backups\InsiderTechSol\Aviation\Jetelio_v3\.LAYOUT\resources\Charts\OSDI</v>
      </c>
      <c r="AP301" s="12" t="str">
        <f>IF($A301="","",admin!$B$2&amp;"\RunwayDiagrams\"&amp;$A301&amp;".pdf")</f>
        <v>C:\Backups\InsiderTechSol\Aviation\Jetelio_v3\.LAYOUT\resources\RunwayDiagrams\OSDI.pdf</v>
      </c>
      <c r="AQ301" s="12" t="str">
        <f>IF($A301="","",admin!$B$2&amp;"\Images\"&amp;$A301)</f>
        <v>C:\Backups\InsiderTechSol\Aviation\Jetelio_v3\.LAYOUT\resources\Images\OSDI</v>
      </c>
      <c r="AR301" s="12" t="str">
        <f>IF($A301="","",admin!$B$2&amp;"\CityMaps\"&amp;$A301&amp;".png")</f>
        <v>C:\Backups\InsiderTechSol\Aviation\Jetelio_v3\.LAYOUT\resources\CityMaps\OSDI.png</v>
      </c>
      <c r="AS301" s="16" t="str">
        <f t="shared" si="26"/>
        <v>VISA sheet</v>
      </c>
      <c r="AT301" s="16" t="str">
        <f t="shared" si="27"/>
        <v>Vendors sheet</v>
      </c>
      <c r="AU301" s="4"/>
      <c r="AV301" s="15">
        <f t="shared" ca="1" si="28"/>
        <v>46243</v>
      </c>
      <c r="AX301" s="6"/>
      <c r="AY301" t="str">
        <f t="shared" si="29"/>
        <v>INCOMPLETE - NOT SELECTABLE AS TECH STOP</v>
      </c>
    </row>
    <row r="302" spans="1:51" x14ac:dyDescent="0.3">
      <c r="A302" s="4" t="s">
        <v>1445</v>
      </c>
      <c r="B302" s="4" t="s">
        <v>1446</v>
      </c>
      <c r="C302" s="4"/>
      <c r="D302" s="4"/>
      <c r="E302" s="4" t="s">
        <v>1675</v>
      </c>
      <c r="F302" s="4" t="s">
        <v>82</v>
      </c>
      <c r="G302" s="4"/>
      <c r="H302" s="4" t="s">
        <v>1923</v>
      </c>
      <c r="I302" s="4" t="s">
        <v>1924</v>
      </c>
      <c r="J302" s="4"/>
      <c r="K302" s="4"/>
      <c r="L302" s="4"/>
      <c r="M302" s="4"/>
      <c r="N302" s="12" t="str">
        <f t="shared" si="24"/>
        <v>26°21′31″S 031°43′01″E</v>
      </c>
      <c r="O302" s="7">
        <v>-26.358609999999999</v>
      </c>
      <c r="P302" s="7">
        <v>31.716940000000001</v>
      </c>
      <c r="Q302" s="13">
        <f t="shared" si="25"/>
        <v>333</v>
      </c>
      <c r="R302" s="11">
        <v>1092</v>
      </c>
      <c r="S302" s="4"/>
      <c r="T302" s="4"/>
      <c r="U302" s="8">
        <v>2</v>
      </c>
      <c r="V302" s="14">
        <f ca="1">IF($U302="","",MOD(NOW()-admin!$B$1/24+$U302/24,1))</f>
        <v>0.69515972222143319</v>
      </c>
      <c r="W302" s="4"/>
      <c r="X302" s="4"/>
      <c r="Y302" s="4"/>
      <c r="Z302" s="4"/>
      <c r="AA302" s="4"/>
      <c r="AB302" s="4"/>
      <c r="AC302" s="4"/>
      <c r="AD302" s="4"/>
      <c r="AE302" s="4" t="s">
        <v>2232</v>
      </c>
      <c r="AF302" s="4"/>
      <c r="AG302" s="4"/>
      <c r="AH302" s="4"/>
      <c r="AI302" s="4"/>
      <c r="AJ302" s="4"/>
      <c r="AK302" s="4"/>
      <c r="AL302" s="4"/>
      <c r="AM302" s="4"/>
      <c r="AN302" s="4"/>
      <c r="AO302" s="12" t="str">
        <f>IF($A302="","",admin!$B$2&amp;"\Charts\"&amp;$A302)</f>
        <v>C:\Backups\InsiderTechSol\Aviation\Jetelio_v3\.LAYOUT\resources\Charts\FDSK</v>
      </c>
      <c r="AP302" s="12" t="str">
        <f>IF($A302="","",admin!$B$2&amp;"\RunwayDiagrams\"&amp;$A302&amp;".pdf")</f>
        <v>C:\Backups\InsiderTechSol\Aviation\Jetelio_v3\.LAYOUT\resources\RunwayDiagrams\FDSK.pdf</v>
      </c>
      <c r="AQ302" s="12" t="str">
        <f>IF($A302="","",admin!$B$2&amp;"\Images\"&amp;$A302)</f>
        <v>C:\Backups\InsiderTechSol\Aviation\Jetelio_v3\.LAYOUT\resources\Images\FDSK</v>
      </c>
      <c r="AR302" s="12" t="str">
        <f>IF($A302="","",admin!$B$2&amp;"\CityMaps\"&amp;$A302&amp;".png")</f>
        <v>C:\Backups\InsiderTechSol\Aviation\Jetelio_v3\.LAYOUT\resources\CityMaps\FDSK.png</v>
      </c>
      <c r="AS302" s="16" t="str">
        <f t="shared" si="26"/>
        <v>VISA sheet</v>
      </c>
      <c r="AT302" s="16" t="str">
        <f t="shared" si="27"/>
        <v>Vendors sheet</v>
      </c>
      <c r="AU302" s="4"/>
      <c r="AV302" s="15">
        <f t="shared" ca="1" si="28"/>
        <v>46243</v>
      </c>
      <c r="AX302" s="6"/>
      <c r="AY302" t="str">
        <f t="shared" si="29"/>
        <v>INCOMPLETE - NOT SELECTABLE AS TECH STOP</v>
      </c>
    </row>
    <row r="303" spans="1:51" x14ac:dyDescent="0.3">
      <c r="A303" s="4" t="s">
        <v>1447</v>
      </c>
      <c r="B303" s="4" t="s">
        <v>1448</v>
      </c>
      <c r="C303" s="4"/>
      <c r="D303" s="4"/>
      <c r="E303" s="4" t="s">
        <v>1676</v>
      </c>
      <c r="F303" s="4" t="s">
        <v>82</v>
      </c>
      <c r="G303" s="4"/>
      <c r="H303" s="4" t="s">
        <v>1925</v>
      </c>
      <c r="I303" s="4" t="s">
        <v>1926</v>
      </c>
      <c r="J303" s="4"/>
      <c r="K303" s="4"/>
      <c r="L303" s="4"/>
      <c r="M303" s="4"/>
      <c r="N303" s="12" t="str">
        <f t="shared" si="24"/>
        <v>21°46′25″N 072°16′06″W</v>
      </c>
      <c r="O303" s="7">
        <v>21.773700000000002</v>
      </c>
      <c r="P303" s="7">
        <v>-72.268320000000003</v>
      </c>
      <c r="Q303" s="13">
        <f t="shared" si="25"/>
        <v>5</v>
      </c>
      <c r="R303" s="11">
        <v>15</v>
      </c>
      <c r="S303" s="4"/>
      <c r="T303" s="4" t="s">
        <v>2084</v>
      </c>
      <c r="U303" s="8">
        <v>-4</v>
      </c>
      <c r="V303" s="14">
        <f ca="1">IF($U303="","",MOD(NOW()-admin!$B$1/24+$U303/24,1))</f>
        <v>0.44515972222143319</v>
      </c>
      <c r="W303" s="4"/>
      <c r="X303" s="4"/>
      <c r="Y303" s="4"/>
      <c r="Z303" s="4"/>
      <c r="AA303" s="4"/>
      <c r="AB303" s="4"/>
      <c r="AC303" s="4"/>
      <c r="AD303" s="4"/>
      <c r="AE303" s="4" t="s">
        <v>2233</v>
      </c>
      <c r="AF303" s="4"/>
      <c r="AG303" s="4"/>
      <c r="AH303" s="4"/>
      <c r="AI303" s="4"/>
      <c r="AJ303" s="4"/>
      <c r="AK303" s="4"/>
      <c r="AL303" s="4"/>
      <c r="AM303" s="4"/>
      <c r="AN303" s="4"/>
      <c r="AO303" s="12" t="str">
        <f>IF($A303="","",admin!$B$2&amp;"\Charts\"&amp;$A303)</f>
        <v>C:\Backups\InsiderTechSol\Aviation\Jetelio_v3\.LAYOUT\resources\Charts\MBPV</v>
      </c>
      <c r="AP303" s="12" t="str">
        <f>IF($A303="","",admin!$B$2&amp;"\RunwayDiagrams\"&amp;$A303&amp;".pdf")</f>
        <v>C:\Backups\InsiderTechSol\Aviation\Jetelio_v3\.LAYOUT\resources\RunwayDiagrams\MBPV.pdf</v>
      </c>
      <c r="AQ303" s="12" t="str">
        <f>IF($A303="","",admin!$B$2&amp;"\Images\"&amp;$A303)</f>
        <v>C:\Backups\InsiderTechSol\Aviation\Jetelio_v3\.LAYOUT\resources\Images\MBPV</v>
      </c>
      <c r="AR303" s="12" t="str">
        <f>IF($A303="","",admin!$B$2&amp;"\CityMaps\"&amp;$A303&amp;".png")</f>
        <v>C:\Backups\InsiderTechSol\Aviation\Jetelio_v3\.LAYOUT\resources\CityMaps\MBPV.png</v>
      </c>
      <c r="AS303" s="16" t="str">
        <f t="shared" si="26"/>
        <v>VISA sheet</v>
      </c>
      <c r="AT303" s="16" t="str">
        <f t="shared" si="27"/>
        <v>Vendors sheet</v>
      </c>
      <c r="AU303" s="4"/>
      <c r="AV303" s="15">
        <f t="shared" ca="1" si="28"/>
        <v>46243</v>
      </c>
      <c r="AX303" s="6"/>
      <c r="AY303" t="str">
        <f t="shared" si="29"/>
        <v>INCOMPLETE - NOT SELECTABLE AS TECH STOP</v>
      </c>
    </row>
    <row r="304" spans="1:51" x14ac:dyDescent="0.3">
      <c r="A304" s="4" t="s">
        <v>1449</v>
      </c>
      <c r="B304" s="4" t="s">
        <v>1450</v>
      </c>
      <c r="C304" s="4"/>
      <c r="D304" s="4"/>
      <c r="E304" s="4" t="s">
        <v>1677</v>
      </c>
      <c r="F304" s="4" t="s">
        <v>82</v>
      </c>
      <c r="G304" s="4"/>
      <c r="H304" s="4" t="s">
        <v>1927</v>
      </c>
      <c r="I304" s="4" t="s">
        <v>1928</v>
      </c>
      <c r="J304" s="4"/>
      <c r="K304" s="4"/>
      <c r="L304" s="4"/>
      <c r="M304" s="4"/>
      <c r="N304" s="12" t="str">
        <f t="shared" si="24"/>
        <v>12°08′01″N 015°02′02″E</v>
      </c>
      <c r="O304" s="7">
        <v>12.133699999999999</v>
      </c>
      <c r="P304" s="7">
        <v>15.034000000000001</v>
      </c>
      <c r="Q304" s="13">
        <f t="shared" si="25"/>
        <v>295</v>
      </c>
      <c r="R304" s="11">
        <v>968</v>
      </c>
      <c r="S304" s="4"/>
      <c r="T304" s="4" t="s">
        <v>2085</v>
      </c>
      <c r="U304" s="8">
        <v>1</v>
      </c>
      <c r="V304" s="14">
        <f ca="1">IF($U304="","",MOD(NOW()-admin!$B$1/24+$U304/24,1))</f>
        <v>0.65349305554991588</v>
      </c>
      <c r="W304" s="4"/>
      <c r="X304" s="4"/>
      <c r="Y304" s="4"/>
      <c r="Z304" s="4"/>
      <c r="AA304" s="4"/>
      <c r="AB304" s="4"/>
      <c r="AC304" s="4"/>
      <c r="AD304" s="4"/>
      <c r="AE304" s="4" t="s">
        <v>2234</v>
      </c>
      <c r="AF304" s="4"/>
      <c r="AG304" s="4"/>
      <c r="AH304" s="4"/>
      <c r="AI304" s="4"/>
      <c r="AJ304" s="4"/>
      <c r="AK304" s="4"/>
      <c r="AL304" s="4"/>
      <c r="AM304" s="4"/>
      <c r="AN304" s="4"/>
      <c r="AO304" s="12" t="str">
        <f>IF($A304="","",admin!$B$2&amp;"\Charts\"&amp;$A304)</f>
        <v>C:\Backups\InsiderTechSol\Aviation\Jetelio_v3\.LAYOUT\resources\Charts\FTTJ</v>
      </c>
      <c r="AP304" s="12" t="str">
        <f>IF($A304="","",admin!$B$2&amp;"\RunwayDiagrams\"&amp;$A304&amp;".pdf")</f>
        <v>C:\Backups\InsiderTechSol\Aviation\Jetelio_v3\.LAYOUT\resources\RunwayDiagrams\FTTJ.pdf</v>
      </c>
      <c r="AQ304" s="12" t="str">
        <f>IF($A304="","",admin!$B$2&amp;"\Images\"&amp;$A304)</f>
        <v>C:\Backups\InsiderTechSol\Aviation\Jetelio_v3\.LAYOUT\resources\Images\FTTJ</v>
      </c>
      <c r="AR304" s="12" t="str">
        <f>IF($A304="","",admin!$B$2&amp;"\CityMaps\"&amp;$A304&amp;".png")</f>
        <v>C:\Backups\InsiderTechSol\Aviation\Jetelio_v3\.LAYOUT\resources\CityMaps\FTTJ.png</v>
      </c>
      <c r="AS304" s="16" t="str">
        <f t="shared" si="26"/>
        <v>VISA sheet</v>
      </c>
      <c r="AT304" s="16" t="str">
        <f t="shared" si="27"/>
        <v>Vendors sheet</v>
      </c>
      <c r="AU304" s="4"/>
      <c r="AV304" s="15">
        <f t="shared" ca="1" si="28"/>
        <v>46243</v>
      </c>
      <c r="AX304" s="6"/>
      <c r="AY304" t="str">
        <f t="shared" si="29"/>
        <v>INCOMPLETE - NOT SELECTABLE AS TECH STOP</v>
      </c>
    </row>
    <row r="305" spans="1:51" x14ac:dyDescent="0.3">
      <c r="A305" s="4" t="s">
        <v>1451</v>
      </c>
      <c r="B305" s="4" t="s">
        <v>1452</v>
      </c>
      <c r="C305" s="4"/>
      <c r="D305" s="4"/>
      <c r="E305" s="4" t="s">
        <v>1678</v>
      </c>
      <c r="F305" s="4" t="s">
        <v>82</v>
      </c>
      <c r="G305" s="4"/>
      <c r="H305" s="4" t="s">
        <v>1929</v>
      </c>
      <c r="I305" s="4" t="s">
        <v>1930</v>
      </c>
      <c r="J305" s="4"/>
      <c r="K305" s="4"/>
      <c r="L305" s="4"/>
      <c r="M305" s="4"/>
      <c r="N305" s="12" t="str">
        <f t="shared" si="24"/>
        <v>09°46′00″N 001°05′27″E</v>
      </c>
      <c r="O305" s="7">
        <v>9.7666699999999995</v>
      </c>
      <c r="P305" s="7">
        <v>1.09094</v>
      </c>
      <c r="Q305" s="13">
        <f t="shared" si="25"/>
        <v>462</v>
      </c>
      <c r="R305" s="11">
        <v>1515</v>
      </c>
      <c r="S305" s="4"/>
      <c r="T305" s="4" t="s">
        <v>2086</v>
      </c>
      <c r="U305" s="8">
        <v>0</v>
      </c>
      <c r="V305" s="14">
        <f ca="1">IF($U305="","",MOD(NOW()-admin!$B$1/24+$U305/24,1))</f>
        <v>0.61182638888567453</v>
      </c>
      <c r="W305" s="4"/>
      <c r="X305" s="4"/>
      <c r="Y305" s="4"/>
      <c r="Z305" s="4"/>
      <c r="AA305" s="4"/>
      <c r="AB305" s="4"/>
      <c r="AC305" s="4"/>
      <c r="AD305" s="4"/>
      <c r="AE305" s="4" t="s">
        <v>2235</v>
      </c>
      <c r="AF305" s="4"/>
      <c r="AG305" s="4"/>
      <c r="AH305" s="4"/>
      <c r="AI305" s="4"/>
      <c r="AJ305" s="4"/>
      <c r="AK305" s="4"/>
      <c r="AL305" s="4"/>
      <c r="AM305" s="4"/>
      <c r="AN305" s="4"/>
      <c r="AO305" s="12" t="str">
        <f>IF($A305="","",admin!$B$2&amp;"\Charts\"&amp;$A305)</f>
        <v>C:\Backups\InsiderTechSol\Aviation\Jetelio_v3\.LAYOUT\resources\Charts\DXNG</v>
      </c>
      <c r="AP305" s="12" t="str">
        <f>IF($A305="","",admin!$B$2&amp;"\RunwayDiagrams\"&amp;$A305&amp;".pdf")</f>
        <v>C:\Backups\InsiderTechSol\Aviation\Jetelio_v3\.LAYOUT\resources\RunwayDiagrams\DXNG.pdf</v>
      </c>
      <c r="AQ305" s="12" t="str">
        <f>IF($A305="","",admin!$B$2&amp;"\Images\"&amp;$A305)</f>
        <v>C:\Backups\InsiderTechSol\Aviation\Jetelio_v3\.LAYOUT\resources\Images\DXNG</v>
      </c>
      <c r="AR305" s="12" t="str">
        <f>IF($A305="","",admin!$B$2&amp;"\CityMaps\"&amp;$A305&amp;".png")</f>
        <v>C:\Backups\InsiderTechSol\Aviation\Jetelio_v3\.LAYOUT\resources\CityMaps\DXNG.png</v>
      </c>
      <c r="AS305" s="16" t="str">
        <f t="shared" si="26"/>
        <v>VISA sheet</v>
      </c>
      <c r="AT305" s="16" t="str">
        <f t="shared" si="27"/>
        <v>Vendors sheet</v>
      </c>
      <c r="AU305" s="4"/>
      <c r="AV305" s="15">
        <f t="shared" ca="1" si="28"/>
        <v>46243</v>
      </c>
      <c r="AX305" s="6"/>
      <c r="AY305" t="str">
        <f t="shared" si="29"/>
        <v>INCOMPLETE - NOT SELECTABLE AS TECH STOP</v>
      </c>
    </row>
    <row r="306" spans="1:51" x14ac:dyDescent="0.3">
      <c r="A306" s="4" t="s">
        <v>1453</v>
      </c>
      <c r="B306" s="4" t="s">
        <v>1454</v>
      </c>
      <c r="C306" s="4"/>
      <c r="D306" s="4"/>
      <c r="E306" s="4" t="s">
        <v>1679</v>
      </c>
      <c r="F306" s="4" t="s">
        <v>82</v>
      </c>
      <c r="G306" s="4"/>
      <c r="H306" s="4" t="s">
        <v>1929</v>
      </c>
      <c r="I306" s="4" t="s">
        <v>1931</v>
      </c>
      <c r="J306" s="4"/>
      <c r="K306" s="4"/>
      <c r="L306" s="4"/>
      <c r="M306" s="4"/>
      <c r="N306" s="12" t="str">
        <f t="shared" si="24"/>
        <v>06°09′56″N 001°15′16″E</v>
      </c>
      <c r="O306" s="7">
        <v>6.16561</v>
      </c>
      <c r="P306" s="7">
        <v>1.25451</v>
      </c>
      <c r="Q306" s="13">
        <f t="shared" si="25"/>
        <v>22</v>
      </c>
      <c r="R306" s="11">
        <v>72</v>
      </c>
      <c r="S306" s="4"/>
      <c r="T306" s="4" t="s">
        <v>2086</v>
      </c>
      <c r="U306" s="8">
        <v>0</v>
      </c>
      <c r="V306" s="14">
        <f ca="1">IF($U306="","",MOD(NOW()-admin!$B$1/24+$U306/24,1))</f>
        <v>0.61182638888567453</v>
      </c>
      <c r="W306" s="4"/>
      <c r="X306" s="4"/>
      <c r="Y306" s="4"/>
      <c r="Z306" s="4"/>
      <c r="AA306" s="4"/>
      <c r="AB306" s="4"/>
      <c r="AC306" s="4"/>
      <c r="AD306" s="4"/>
      <c r="AE306" s="4" t="s">
        <v>2236</v>
      </c>
      <c r="AF306" s="4"/>
      <c r="AG306" s="4"/>
      <c r="AH306" s="4"/>
      <c r="AI306" s="4"/>
      <c r="AJ306" s="4"/>
      <c r="AK306" s="4"/>
      <c r="AL306" s="4"/>
      <c r="AM306" s="4"/>
      <c r="AN306" s="4"/>
      <c r="AO306" s="12" t="str">
        <f>IF($A306="","",admin!$B$2&amp;"\Charts\"&amp;$A306)</f>
        <v>C:\Backups\InsiderTechSol\Aviation\Jetelio_v3\.LAYOUT\resources\Charts\DXXX</v>
      </c>
      <c r="AP306" s="12" t="str">
        <f>IF($A306="","",admin!$B$2&amp;"\RunwayDiagrams\"&amp;$A306&amp;".pdf")</f>
        <v>C:\Backups\InsiderTechSol\Aviation\Jetelio_v3\.LAYOUT\resources\RunwayDiagrams\DXXX.pdf</v>
      </c>
      <c r="AQ306" s="12" t="str">
        <f>IF($A306="","",admin!$B$2&amp;"\Images\"&amp;$A306)</f>
        <v>C:\Backups\InsiderTechSol\Aviation\Jetelio_v3\.LAYOUT\resources\Images\DXXX</v>
      </c>
      <c r="AR306" s="12" t="str">
        <f>IF($A306="","",admin!$B$2&amp;"\CityMaps\"&amp;$A306&amp;".png")</f>
        <v>C:\Backups\InsiderTechSol\Aviation\Jetelio_v3\.LAYOUT\resources\CityMaps\DXXX.png</v>
      </c>
      <c r="AS306" s="16" t="str">
        <f t="shared" si="26"/>
        <v>VISA sheet</v>
      </c>
      <c r="AT306" s="16" t="str">
        <f t="shared" si="27"/>
        <v>Vendors sheet</v>
      </c>
      <c r="AU306" s="4"/>
      <c r="AV306" s="15">
        <f t="shared" ca="1" si="28"/>
        <v>46243</v>
      </c>
      <c r="AX306" s="6"/>
      <c r="AY306" t="str">
        <f t="shared" si="29"/>
        <v>INCOMPLETE - NOT SELECTABLE AS TECH STOP</v>
      </c>
    </row>
    <row r="307" spans="1:51" x14ac:dyDescent="0.3">
      <c r="A307" s="4" t="s">
        <v>1455</v>
      </c>
      <c r="B307" s="4" t="s">
        <v>1456</v>
      </c>
      <c r="C307" s="4"/>
      <c r="D307" s="4"/>
      <c r="E307" s="4" t="s">
        <v>1680</v>
      </c>
      <c r="F307" s="4" t="s">
        <v>82</v>
      </c>
      <c r="G307" s="4"/>
      <c r="H307" s="4" t="s">
        <v>1932</v>
      </c>
      <c r="I307" s="4" t="s">
        <v>1933</v>
      </c>
      <c r="J307" s="4"/>
      <c r="K307" s="4"/>
      <c r="L307" s="4"/>
      <c r="M307" s="4"/>
      <c r="N307" s="12" t="str">
        <f t="shared" si="24"/>
        <v>13°54′45″N 100°36′25″E</v>
      </c>
      <c r="O307" s="7">
        <v>13.912599999999999</v>
      </c>
      <c r="P307" s="7">
        <v>100.607</v>
      </c>
      <c r="Q307" s="13">
        <f t="shared" si="25"/>
        <v>3</v>
      </c>
      <c r="R307" s="11">
        <v>9</v>
      </c>
      <c r="S307" s="4"/>
      <c r="T307" s="4" t="s">
        <v>2087</v>
      </c>
      <c r="U307" s="8">
        <v>7</v>
      </c>
      <c r="V307" s="14">
        <f ca="1">IF($U307="","",MOD(NOW()-admin!$B$1/24+$U307/24,1))</f>
        <v>0.90349305554991588</v>
      </c>
      <c r="W307" s="4"/>
      <c r="X307" s="4"/>
      <c r="Y307" s="4"/>
      <c r="Z307" s="4"/>
      <c r="AA307" s="4"/>
      <c r="AB307" s="4"/>
      <c r="AC307" s="4"/>
      <c r="AD307" s="4"/>
      <c r="AE307" s="4" t="s">
        <v>2237</v>
      </c>
      <c r="AF307" s="4"/>
      <c r="AG307" s="4"/>
      <c r="AH307" s="4"/>
      <c r="AI307" s="4"/>
      <c r="AJ307" s="4"/>
      <c r="AK307" s="4"/>
      <c r="AL307" s="4"/>
      <c r="AM307" s="4"/>
      <c r="AN307" s="4"/>
      <c r="AO307" s="12" t="str">
        <f>IF($A307="","",admin!$B$2&amp;"\Charts\"&amp;$A307)</f>
        <v>C:\Backups\InsiderTechSol\Aviation\Jetelio_v3\.LAYOUT\resources\Charts\VTBD</v>
      </c>
      <c r="AP307" s="12" t="str">
        <f>IF($A307="","",admin!$B$2&amp;"\RunwayDiagrams\"&amp;$A307&amp;".pdf")</f>
        <v>C:\Backups\InsiderTechSol\Aviation\Jetelio_v3\.LAYOUT\resources\RunwayDiagrams\VTBD.pdf</v>
      </c>
      <c r="AQ307" s="12" t="str">
        <f>IF($A307="","",admin!$B$2&amp;"\Images\"&amp;$A307)</f>
        <v>C:\Backups\InsiderTechSol\Aviation\Jetelio_v3\.LAYOUT\resources\Images\VTBD</v>
      </c>
      <c r="AR307" s="12" t="str">
        <f>IF($A307="","",admin!$B$2&amp;"\CityMaps\"&amp;$A307&amp;".png")</f>
        <v>C:\Backups\InsiderTechSol\Aviation\Jetelio_v3\.LAYOUT\resources\CityMaps\VTBD.png</v>
      </c>
      <c r="AS307" s="16" t="str">
        <f t="shared" si="26"/>
        <v>VISA sheet</v>
      </c>
      <c r="AT307" s="16" t="str">
        <f t="shared" si="27"/>
        <v>Vendors sheet</v>
      </c>
      <c r="AU307" s="4"/>
      <c r="AV307" s="15">
        <f t="shared" ca="1" si="28"/>
        <v>46243</v>
      </c>
      <c r="AX307" s="6"/>
      <c r="AY307" t="str">
        <f t="shared" si="29"/>
        <v>INCOMPLETE - NOT SELECTABLE AS TECH STOP</v>
      </c>
    </row>
    <row r="308" spans="1:51" x14ac:dyDescent="0.3">
      <c r="A308" s="4" t="s">
        <v>1457</v>
      </c>
      <c r="B308" s="4" t="s">
        <v>1458</v>
      </c>
      <c r="C308" s="4"/>
      <c r="D308" s="4"/>
      <c r="E308" s="4" t="s">
        <v>1681</v>
      </c>
      <c r="F308" s="4" t="s">
        <v>82</v>
      </c>
      <c r="G308" s="4"/>
      <c r="H308" s="4" t="s">
        <v>1932</v>
      </c>
      <c r="I308" s="4" t="s">
        <v>1933</v>
      </c>
      <c r="J308" s="4"/>
      <c r="K308" s="4"/>
      <c r="L308" s="4"/>
      <c r="M308" s="4"/>
      <c r="N308" s="12" t="str">
        <f t="shared" si="24"/>
        <v>13°40′52″N 100°44′49″E</v>
      </c>
      <c r="O308" s="7">
        <v>13.681100000000001</v>
      </c>
      <c r="P308" s="7">
        <v>100.747</v>
      </c>
      <c r="Q308" s="13">
        <f t="shared" si="25"/>
        <v>2</v>
      </c>
      <c r="R308" s="11">
        <v>5</v>
      </c>
      <c r="S308" s="4"/>
      <c r="T308" s="4" t="s">
        <v>2087</v>
      </c>
      <c r="U308" s="8">
        <v>7</v>
      </c>
      <c r="V308" s="14">
        <f ca="1">IF($U308="","",MOD(NOW()-admin!$B$1/24+$U308/24,1))</f>
        <v>0.90349305554991588</v>
      </c>
      <c r="W308" s="4"/>
      <c r="X308" s="4"/>
      <c r="Y308" s="4"/>
      <c r="Z308" s="4"/>
      <c r="AA308" s="4"/>
      <c r="AB308" s="4"/>
      <c r="AC308" s="4"/>
      <c r="AD308" s="4"/>
      <c r="AE308" s="4" t="s">
        <v>2238</v>
      </c>
      <c r="AF308" s="4"/>
      <c r="AG308" s="4"/>
      <c r="AH308" s="4"/>
      <c r="AI308" s="4"/>
      <c r="AJ308" s="4"/>
      <c r="AK308" s="4"/>
      <c r="AL308" s="4"/>
      <c r="AM308" s="4"/>
      <c r="AN308" s="4"/>
      <c r="AO308" s="12" t="str">
        <f>IF($A308="","",admin!$B$2&amp;"\Charts\"&amp;$A308)</f>
        <v>C:\Backups\InsiderTechSol\Aviation\Jetelio_v3\.LAYOUT\resources\Charts\VTBS</v>
      </c>
      <c r="AP308" s="12" t="str">
        <f>IF($A308="","",admin!$B$2&amp;"\RunwayDiagrams\"&amp;$A308&amp;".pdf")</f>
        <v>C:\Backups\InsiderTechSol\Aviation\Jetelio_v3\.LAYOUT\resources\RunwayDiagrams\VTBS.pdf</v>
      </c>
      <c r="AQ308" s="12" t="str">
        <f>IF($A308="","",admin!$B$2&amp;"\Images\"&amp;$A308)</f>
        <v>C:\Backups\InsiderTechSol\Aviation\Jetelio_v3\.LAYOUT\resources\Images\VTBS</v>
      </c>
      <c r="AR308" s="12" t="str">
        <f>IF($A308="","",admin!$B$2&amp;"\CityMaps\"&amp;$A308&amp;".png")</f>
        <v>C:\Backups\InsiderTechSol\Aviation\Jetelio_v3\.LAYOUT\resources\CityMaps\VTBS.png</v>
      </c>
      <c r="AS308" s="16" t="str">
        <f t="shared" si="26"/>
        <v>VISA sheet</v>
      </c>
      <c r="AT308" s="16" t="str">
        <f t="shared" si="27"/>
        <v>Vendors sheet</v>
      </c>
      <c r="AU308" s="4"/>
      <c r="AV308" s="15">
        <f t="shared" ca="1" si="28"/>
        <v>46243</v>
      </c>
      <c r="AX308" s="6"/>
      <c r="AY308" t="str">
        <f t="shared" si="29"/>
        <v>INCOMPLETE - NOT SELECTABLE AS TECH STOP</v>
      </c>
    </row>
    <row r="309" spans="1:51" x14ac:dyDescent="0.3">
      <c r="A309" s="4" t="s">
        <v>1459</v>
      </c>
      <c r="B309" s="4" t="s">
        <v>1460</v>
      </c>
      <c r="C309" s="4"/>
      <c r="D309" s="4"/>
      <c r="E309" s="4" t="s">
        <v>1682</v>
      </c>
      <c r="F309" s="4" t="s">
        <v>82</v>
      </c>
      <c r="G309" s="4"/>
      <c r="H309" s="4" t="s">
        <v>1934</v>
      </c>
      <c r="I309" s="4" t="s">
        <v>1935</v>
      </c>
      <c r="J309" s="4"/>
      <c r="K309" s="4"/>
      <c r="L309" s="4"/>
      <c r="M309" s="4"/>
      <c r="N309" s="12" t="str">
        <f t="shared" si="24"/>
        <v>38°32′38″N 068°49′23″E</v>
      </c>
      <c r="O309" s="7">
        <v>38.543750000000003</v>
      </c>
      <c r="P309" s="7">
        <v>68.822980000000001</v>
      </c>
      <c r="Q309" s="13">
        <f t="shared" si="25"/>
        <v>785</v>
      </c>
      <c r="R309" s="11">
        <v>2575</v>
      </c>
      <c r="S309" s="4"/>
      <c r="T309" s="4" t="s">
        <v>2088</v>
      </c>
      <c r="U309" s="8">
        <v>5</v>
      </c>
      <c r="V309" s="14">
        <f ca="1">IF($U309="","",MOD(NOW()-admin!$B$1/24+$U309/24,1))</f>
        <v>0.82015972222143319</v>
      </c>
      <c r="W309" s="4"/>
      <c r="X309" s="4"/>
      <c r="Y309" s="4"/>
      <c r="Z309" s="4"/>
      <c r="AA309" s="4"/>
      <c r="AB309" s="4"/>
      <c r="AC309" s="4"/>
      <c r="AD309" s="4"/>
      <c r="AE309" s="4" t="s">
        <v>1111</v>
      </c>
      <c r="AF309" s="4"/>
      <c r="AG309" s="4"/>
      <c r="AH309" s="4"/>
      <c r="AI309" s="4"/>
      <c r="AJ309" s="4"/>
      <c r="AK309" s="4"/>
      <c r="AL309" s="4"/>
      <c r="AM309" s="4"/>
      <c r="AN309" s="4"/>
      <c r="AO309" s="12" t="str">
        <f>IF($A309="","",admin!$B$2&amp;"\Charts\"&amp;$A309)</f>
        <v>C:\Backups\InsiderTechSol\Aviation\Jetelio_v3\.LAYOUT\resources\Charts\UTDD</v>
      </c>
      <c r="AP309" s="12" t="str">
        <f>IF($A309="","",admin!$B$2&amp;"\RunwayDiagrams\"&amp;$A309&amp;".pdf")</f>
        <v>C:\Backups\InsiderTechSol\Aviation\Jetelio_v3\.LAYOUT\resources\RunwayDiagrams\UTDD.pdf</v>
      </c>
      <c r="AQ309" s="12" t="str">
        <f>IF($A309="","",admin!$B$2&amp;"\Images\"&amp;$A309)</f>
        <v>C:\Backups\InsiderTechSol\Aviation\Jetelio_v3\.LAYOUT\resources\Images\UTDD</v>
      </c>
      <c r="AR309" s="12" t="str">
        <f>IF($A309="","",admin!$B$2&amp;"\CityMaps\"&amp;$A309&amp;".png")</f>
        <v>C:\Backups\InsiderTechSol\Aviation\Jetelio_v3\.LAYOUT\resources\CityMaps\UTDD.png</v>
      </c>
      <c r="AS309" s="16" t="str">
        <f t="shared" si="26"/>
        <v>VISA sheet</v>
      </c>
      <c r="AT309" s="16" t="str">
        <f t="shared" si="27"/>
        <v>Vendors sheet</v>
      </c>
      <c r="AU309" s="4"/>
      <c r="AV309" s="15">
        <f t="shared" ca="1" si="28"/>
        <v>46243</v>
      </c>
      <c r="AX309" s="6"/>
      <c r="AY309" t="str">
        <f t="shared" si="29"/>
        <v>INCOMPLETE - NOT SELECTABLE AS TECH STOP</v>
      </c>
    </row>
    <row r="310" spans="1:51" x14ac:dyDescent="0.3">
      <c r="A310" s="4" t="s">
        <v>1461</v>
      </c>
      <c r="B310" s="4" t="s">
        <v>1462</v>
      </c>
      <c r="C310" s="4"/>
      <c r="D310" s="4"/>
      <c r="E310" s="4" t="s">
        <v>1683</v>
      </c>
      <c r="F310" s="4" t="s">
        <v>82</v>
      </c>
      <c r="G310" s="4"/>
      <c r="H310" s="4" t="s">
        <v>1934</v>
      </c>
      <c r="I310" s="4" t="s">
        <v>1936</v>
      </c>
      <c r="J310" s="4"/>
      <c r="K310" s="4"/>
      <c r="L310" s="4"/>
      <c r="M310" s="4"/>
      <c r="N310" s="12" t="str">
        <f t="shared" si="24"/>
        <v>37°59′17″N 069°48′18″E</v>
      </c>
      <c r="O310" s="7">
        <v>37.988100000000003</v>
      </c>
      <c r="P310" s="7">
        <v>69.805000000000007</v>
      </c>
      <c r="Q310" s="13">
        <f t="shared" si="25"/>
        <v>699</v>
      </c>
      <c r="R310" s="11">
        <v>2293</v>
      </c>
      <c r="S310" s="4"/>
      <c r="T310" s="4" t="s">
        <v>2088</v>
      </c>
      <c r="U310" s="8">
        <v>5</v>
      </c>
      <c r="V310" s="14">
        <f ca="1">IF($U310="","",MOD(NOW()-admin!$B$1/24+$U310/24,1))</f>
        <v>0.82015972222143319</v>
      </c>
      <c r="W310" s="4"/>
      <c r="X310" s="4"/>
      <c r="Y310" s="4"/>
      <c r="Z310" s="4"/>
      <c r="AA310" s="4"/>
      <c r="AB310" s="4"/>
      <c r="AC310" s="4"/>
      <c r="AD310" s="4"/>
      <c r="AE310" s="4" t="s">
        <v>2239</v>
      </c>
      <c r="AF310" s="4"/>
      <c r="AG310" s="4"/>
      <c r="AH310" s="4"/>
      <c r="AI310" s="4"/>
      <c r="AJ310" s="4"/>
      <c r="AK310" s="4"/>
      <c r="AL310" s="4"/>
      <c r="AM310" s="4"/>
      <c r="AN310" s="4"/>
      <c r="AO310" s="12" t="str">
        <f>IF($A310="","",admin!$B$2&amp;"\Charts\"&amp;$A310)</f>
        <v>C:\Backups\InsiderTechSol\Aviation\Jetelio_v3\.LAYOUT\resources\Charts\UTDK</v>
      </c>
      <c r="AP310" s="12" t="str">
        <f>IF($A310="","",admin!$B$2&amp;"\RunwayDiagrams\"&amp;$A310&amp;".pdf")</f>
        <v>C:\Backups\InsiderTechSol\Aviation\Jetelio_v3\.LAYOUT\resources\RunwayDiagrams\UTDK.pdf</v>
      </c>
      <c r="AQ310" s="12" t="str">
        <f>IF($A310="","",admin!$B$2&amp;"\Images\"&amp;$A310)</f>
        <v>C:\Backups\InsiderTechSol\Aviation\Jetelio_v3\.LAYOUT\resources\Images\UTDK</v>
      </c>
      <c r="AR310" s="12" t="str">
        <f>IF($A310="","",admin!$B$2&amp;"\CityMaps\"&amp;$A310&amp;".png")</f>
        <v>C:\Backups\InsiderTechSol\Aviation\Jetelio_v3\.LAYOUT\resources\CityMaps\UTDK.png</v>
      </c>
      <c r="AS310" s="16" t="str">
        <f t="shared" si="26"/>
        <v>VISA sheet</v>
      </c>
      <c r="AT310" s="16" t="str">
        <f t="shared" si="27"/>
        <v>Vendors sheet</v>
      </c>
      <c r="AU310" s="4"/>
      <c r="AV310" s="15">
        <f t="shared" ca="1" si="28"/>
        <v>46243</v>
      </c>
      <c r="AX310" s="6"/>
      <c r="AY310" t="str">
        <f t="shared" si="29"/>
        <v>INCOMPLETE - NOT SELECTABLE AS TECH STOP</v>
      </c>
    </row>
    <row r="311" spans="1:51" x14ac:dyDescent="0.3">
      <c r="A311" s="4" t="s">
        <v>1463</v>
      </c>
      <c r="B311" s="4" t="s">
        <v>1464</v>
      </c>
      <c r="C311" s="4"/>
      <c r="D311" s="4"/>
      <c r="E311" s="4" t="s">
        <v>1684</v>
      </c>
      <c r="F311" s="4" t="s">
        <v>82</v>
      </c>
      <c r="G311" s="4"/>
      <c r="H311" s="4" t="s">
        <v>1937</v>
      </c>
      <c r="I311" s="4" t="s">
        <v>1938</v>
      </c>
      <c r="J311" s="4"/>
      <c r="K311" s="4"/>
      <c r="L311" s="4"/>
      <c r="M311" s="4"/>
      <c r="N311" s="12" t="str">
        <f t="shared" si="24"/>
        <v>08°32′48″S 125°31′28″E</v>
      </c>
      <c r="O311" s="7">
        <v>-8.5465599999999995</v>
      </c>
      <c r="P311" s="7">
        <v>125.52451000000001</v>
      </c>
      <c r="Q311" s="13">
        <f t="shared" si="25"/>
        <v>47</v>
      </c>
      <c r="R311" s="11">
        <v>154</v>
      </c>
      <c r="S311" s="4"/>
      <c r="T311" s="4" t="s">
        <v>2089</v>
      </c>
      <c r="U311" s="8">
        <v>9</v>
      </c>
      <c r="V311" s="14">
        <f ca="1">IF($U311="","",MOD(NOW()-admin!$B$1/24+$U311/24,1))</f>
        <v>0.98682638888567453</v>
      </c>
      <c r="W311" s="4"/>
      <c r="X311" s="4"/>
      <c r="Y311" s="4"/>
      <c r="Z311" s="4"/>
      <c r="AA311" s="4"/>
      <c r="AB311" s="4"/>
      <c r="AC311" s="4"/>
      <c r="AD311" s="4"/>
      <c r="AE311" s="4" t="s">
        <v>2240</v>
      </c>
      <c r="AF311" s="4"/>
      <c r="AG311" s="4"/>
      <c r="AH311" s="4"/>
      <c r="AI311" s="4"/>
      <c r="AJ311" s="4"/>
      <c r="AK311" s="4"/>
      <c r="AL311" s="4"/>
      <c r="AM311" s="4"/>
      <c r="AN311" s="4"/>
      <c r="AO311" s="12" t="str">
        <f>IF($A311="","",admin!$B$2&amp;"\Charts\"&amp;$A311)</f>
        <v>C:\Backups\InsiderTechSol\Aviation\Jetelio_v3\.LAYOUT\resources\Charts\WPDL</v>
      </c>
      <c r="AP311" s="12" t="str">
        <f>IF($A311="","",admin!$B$2&amp;"\RunwayDiagrams\"&amp;$A311&amp;".pdf")</f>
        <v>C:\Backups\InsiderTechSol\Aviation\Jetelio_v3\.LAYOUT\resources\RunwayDiagrams\WPDL.pdf</v>
      </c>
      <c r="AQ311" s="12" t="str">
        <f>IF($A311="","",admin!$B$2&amp;"\Images\"&amp;$A311)</f>
        <v>C:\Backups\InsiderTechSol\Aviation\Jetelio_v3\.LAYOUT\resources\Images\WPDL</v>
      </c>
      <c r="AR311" s="12" t="str">
        <f>IF($A311="","",admin!$B$2&amp;"\CityMaps\"&amp;$A311&amp;".png")</f>
        <v>C:\Backups\InsiderTechSol\Aviation\Jetelio_v3\.LAYOUT\resources\CityMaps\WPDL.png</v>
      </c>
      <c r="AS311" s="16" t="str">
        <f t="shared" si="26"/>
        <v>VISA sheet</v>
      </c>
      <c r="AT311" s="16" t="str">
        <f t="shared" si="27"/>
        <v>Vendors sheet</v>
      </c>
      <c r="AU311" s="4"/>
      <c r="AV311" s="15">
        <f t="shared" ca="1" si="28"/>
        <v>46243</v>
      </c>
      <c r="AX311" s="6"/>
      <c r="AY311" t="str">
        <f t="shared" si="29"/>
        <v>INCOMPLETE - NOT SELECTABLE AS TECH STOP</v>
      </c>
    </row>
    <row r="312" spans="1:51" x14ac:dyDescent="0.3">
      <c r="A312" s="4" t="s">
        <v>1465</v>
      </c>
      <c r="B312" s="4" t="s">
        <v>1466</v>
      </c>
      <c r="C312" s="4"/>
      <c r="D312" s="4"/>
      <c r="E312" s="4" t="s">
        <v>1685</v>
      </c>
      <c r="F312" s="4" t="s">
        <v>82</v>
      </c>
      <c r="G312" s="4"/>
      <c r="H312" s="4" t="s">
        <v>1937</v>
      </c>
      <c r="I312" s="4" t="s">
        <v>1939</v>
      </c>
      <c r="J312" s="4"/>
      <c r="K312" s="4"/>
      <c r="L312" s="4"/>
      <c r="M312" s="4"/>
      <c r="N312" s="12" t="str">
        <f t="shared" si="24"/>
        <v>09°11′54″S 124°20′16″E</v>
      </c>
      <c r="O312" s="7">
        <v>-9.1984200000000005</v>
      </c>
      <c r="P312" s="7">
        <v>124.33787</v>
      </c>
      <c r="Q312" s="13" t="str">
        <f t="shared" si="25"/>
        <v/>
      </c>
      <c r="R312" s="11"/>
      <c r="S312" s="4"/>
      <c r="T312" s="4"/>
      <c r="U312" s="8"/>
      <c r="V312" s="14" t="str">
        <f ca="1">IF($U312="","",MOD(NOW()-admin!$B$1/24+$U312/24,1))</f>
        <v/>
      </c>
      <c r="W312" s="4"/>
      <c r="X312" s="4"/>
      <c r="Y312" s="4"/>
      <c r="Z312" s="4"/>
      <c r="AA312" s="4"/>
      <c r="AB312" s="4"/>
      <c r="AC312" s="4"/>
      <c r="AD312" s="4"/>
      <c r="AE312" s="4" t="s">
        <v>2241</v>
      </c>
      <c r="AF312" s="4"/>
      <c r="AG312" s="4"/>
      <c r="AH312" s="4"/>
      <c r="AI312" s="4"/>
      <c r="AJ312" s="4"/>
      <c r="AK312" s="4"/>
      <c r="AL312" s="4"/>
      <c r="AM312" s="4"/>
      <c r="AN312" s="4"/>
      <c r="AO312" s="12" t="str">
        <f>IF($A312="","",admin!$B$2&amp;"\Charts\"&amp;$A312)</f>
        <v>C:\Backups\InsiderTechSol\Aviation\Jetelio_v3\.LAYOUT\resources\Charts\WPOC</v>
      </c>
      <c r="AP312" s="12" t="str">
        <f>IF($A312="","",admin!$B$2&amp;"\RunwayDiagrams\"&amp;$A312&amp;".pdf")</f>
        <v>C:\Backups\InsiderTechSol\Aviation\Jetelio_v3\.LAYOUT\resources\RunwayDiagrams\WPOC.pdf</v>
      </c>
      <c r="AQ312" s="12" t="str">
        <f>IF($A312="","",admin!$B$2&amp;"\Images\"&amp;$A312)</f>
        <v>C:\Backups\InsiderTechSol\Aviation\Jetelio_v3\.LAYOUT\resources\Images\WPOC</v>
      </c>
      <c r="AR312" s="12" t="str">
        <f>IF($A312="","",admin!$B$2&amp;"\CityMaps\"&amp;$A312&amp;".png")</f>
        <v>C:\Backups\InsiderTechSol\Aviation\Jetelio_v3\.LAYOUT\resources\CityMaps\WPOC.png</v>
      </c>
      <c r="AS312" s="16" t="str">
        <f t="shared" si="26"/>
        <v>VISA sheet</v>
      </c>
      <c r="AT312" s="16" t="str">
        <f t="shared" si="27"/>
        <v>Vendors sheet</v>
      </c>
      <c r="AU312" s="4"/>
      <c r="AV312" s="15">
        <f t="shared" ca="1" si="28"/>
        <v>46243</v>
      </c>
      <c r="AX312" s="6"/>
      <c r="AY312" t="str">
        <f t="shared" si="29"/>
        <v>INCOMPLETE - NOT SELECTABLE AS TECH STOP</v>
      </c>
    </row>
    <row r="313" spans="1:51" x14ac:dyDescent="0.3">
      <c r="A313" s="4" t="s">
        <v>1467</v>
      </c>
      <c r="B313" s="4" t="s">
        <v>1468</v>
      </c>
      <c r="C313" s="4"/>
      <c r="D313" s="4"/>
      <c r="E313" s="4" t="s">
        <v>1686</v>
      </c>
      <c r="F313" s="4" t="s">
        <v>82</v>
      </c>
      <c r="G313" s="4"/>
      <c r="H313" s="4" t="s">
        <v>1940</v>
      </c>
      <c r="I313" s="4" t="s">
        <v>1941</v>
      </c>
      <c r="J313" s="4"/>
      <c r="K313" s="4"/>
      <c r="L313" s="4"/>
      <c r="M313" s="4"/>
      <c r="N313" s="12" t="str">
        <f t="shared" si="24"/>
        <v>37°59′12″N 058°21′40″E</v>
      </c>
      <c r="O313" s="7">
        <v>37.986800000000002</v>
      </c>
      <c r="P313" s="7">
        <v>58.360999999999997</v>
      </c>
      <c r="Q313" s="13">
        <f t="shared" si="25"/>
        <v>211</v>
      </c>
      <c r="R313" s="11">
        <v>692</v>
      </c>
      <c r="S313" s="4"/>
      <c r="T313" s="4" t="s">
        <v>2090</v>
      </c>
      <c r="U313" s="8">
        <v>5</v>
      </c>
      <c r="V313" s="14">
        <f ca="1">IF($U313="","",MOD(NOW()-admin!$B$1/24+$U313/24,1))</f>
        <v>0.82015972222143319</v>
      </c>
      <c r="W313" s="4"/>
      <c r="X313" s="4"/>
      <c r="Y313" s="4"/>
      <c r="Z313" s="4"/>
      <c r="AA313" s="4"/>
      <c r="AB313" s="4"/>
      <c r="AC313" s="4"/>
      <c r="AD313" s="4"/>
      <c r="AE313" s="4" t="s">
        <v>2242</v>
      </c>
      <c r="AF313" s="4"/>
      <c r="AG313" s="4"/>
      <c r="AH313" s="4"/>
      <c r="AI313" s="4"/>
      <c r="AJ313" s="4"/>
      <c r="AK313" s="4"/>
      <c r="AL313" s="4"/>
      <c r="AM313" s="4"/>
      <c r="AN313" s="4"/>
      <c r="AO313" s="12" t="str">
        <f>IF($A313="","",admin!$B$2&amp;"\Charts\"&amp;$A313)</f>
        <v>C:\Backups\InsiderTechSol\Aviation\Jetelio_v3\.LAYOUT\resources\Charts\UTAA</v>
      </c>
      <c r="AP313" s="12" t="str">
        <f>IF($A313="","",admin!$B$2&amp;"\RunwayDiagrams\"&amp;$A313&amp;".pdf")</f>
        <v>C:\Backups\InsiderTechSol\Aviation\Jetelio_v3\.LAYOUT\resources\RunwayDiagrams\UTAA.pdf</v>
      </c>
      <c r="AQ313" s="12" t="str">
        <f>IF($A313="","",admin!$B$2&amp;"\Images\"&amp;$A313)</f>
        <v>C:\Backups\InsiderTechSol\Aviation\Jetelio_v3\.LAYOUT\resources\Images\UTAA</v>
      </c>
      <c r="AR313" s="12" t="str">
        <f>IF($A313="","",admin!$B$2&amp;"\CityMaps\"&amp;$A313&amp;".png")</f>
        <v>C:\Backups\InsiderTechSol\Aviation\Jetelio_v3\.LAYOUT\resources\CityMaps\UTAA.png</v>
      </c>
      <c r="AS313" s="16" t="str">
        <f t="shared" si="26"/>
        <v>VISA sheet</v>
      </c>
      <c r="AT313" s="16" t="str">
        <f t="shared" si="27"/>
        <v>Vendors sheet</v>
      </c>
      <c r="AU313" s="4"/>
      <c r="AV313" s="15">
        <f t="shared" ca="1" si="28"/>
        <v>46243</v>
      </c>
      <c r="AX313" s="6"/>
      <c r="AY313" t="str">
        <f t="shared" si="29"/>
        <v>INCOMPLETE - NOT SELECTABLE AS TECH STOP</v>
      </c>
    </row>
    <row r="314" spans="1:51" x14ac:dyDescent="0.3">
      <c r="A314" s="4" t="s">
        <v>1469</v>
      </c>
      <c r="B314" s="4" t="s">
        <v>1470</v>
      </c>
      <c r="C314" s="4"/>
      <c r="D314" s="4"/>
      <c r="E314" s="4" t="s">
        <v>1687</v>
      </c>
      <c r="F314" s="4" t="s">
        <v>82</v>
      </c>
      <c r="G314" s="4"/>
      <c r="H314" s="4" t="s">
        <v>1940</v>
      </c>
      <c r="I314" s="4" t="s">
        <v>1942</v>
      </c>
      <c r="J314" s="4"/>
      <c r="K314" s="4"/>
      <c r="L314" s="4"/>
      <c r="M314" s="4"/>
      <c r="N314" s="12" t="str">
        <f t="shared" si="24"/>
        <v>41°45′35″N 059°50′10″E</v>
      </c>
      <c r="O314" s="7">
        <v>41.75985</v>
      </c>
      <c r="P314" s="7">
        <v>59.836150000000004</v>
      </c>
      <c r="Q314" s="13">
        <f t="shared" si="25"/>
        <v>83</v>
      </c>
      <c r="R314" s="11">
        <v>272</v>
      </c>
      <c r="S314" s="4"/>
      <c r="T314" s="4" t="s">
        <v>2090</v>
      </c>
      <c r="U314" s="8">
        <v>5</v>
      </c>
      <c r="V314" s="14">
        <f ca="1">IF($U314="","",MOD(NOW()-admin!$B$1/24+$U314/24,1))</f>
        <v>0.82015972222143319</v>
      </c>
      <c r="W314" s="4"/>
      <c r="X314" s="4"/>
      <c r="Y314" s="4"/>
      <c r="Z314" s="4"/>
      <c r="AA314" s="4"/>
      <c r="AB314" s="4"/>
      <c r="AC314" s="4"/>
      <c r="AD314" s="4"/>
      <c r="AE314" s="4" t="s">
        <v>2243</v>
      </c>
      <c r="AF314" s="4"/>
      <c r="AG314" s="4"/>
      <c r="AH314" s="4"/>
      <c r="AI314" s="4"/>
      <c r="AJ314" s="4"/>
      <c r="AK314" s="4"/>
      <c r="AL314" s="4"/>
      <c r="AM314" s="4"/>
      <c r="AN314" s="4"/>
      <c r="AO314" s="12" t="str">
        <f>IF($A314="","",admin!$B$2&amp;"\Charts\"&amp;$A314)</f>
        <v>C:\Backups\InsiderTechSol\Aviation\Jetelio_v3\.LAYOUT\resources\Charts\UTAT</v>
      </c>
      <c r="AP314" s="12" t="str">
        <f>IF($A314="","",admin!$B$2&amp;"\RunwayDiagrams\"&amp;$A314&amp;".pdf")</f>
        <v>C:\Backups\InsiderTechSol\Aviation\Jetelio_v3\.LAYOUT\resources\RunwayDiagrams\UTAT.pdf</v>
      </c>
      <c r="AQ314" s="12" t="str">
        <f>IF($A314="","",admin!$B$2&amp;"\Images\"&amp;$A314)</f>
        <v>C:\Backups\InsiderTechSol\Aviation\Jetelio_v3\.LAYOUT\resources\Images\UTAT</v>
      </c>
      <c r="AR314" s="12" t="str">
        <f>IF($A314="","",admin!$B$2&amp;"\CityMaps\"&amp;$A314&amp;".png")</f>
        <v>C:\Backups\InsiderTechSol\Aviation\Jetelio_v3\.LAYOUT\resources\CityMaps\UTAT.png</v>
      </c>
      <c r="AS314" s="16" t="str">
        <f t="shared" si="26"/>
        <v>VISA sheet</v>
      </c>
      <c r="AT314" s="16" t="str">
        <f t="shared" si="27"/>
        <v>Vendors sheet</v>
      </c>
      <c r="AU314" s="4"/>
      <c r="AV314" s="15">
        <f t="shared" ca="1" si="28"/>
        <v>46243</v>
      </c>
      <c r="AX314" s="6"/>
      <c r="AY314" t="str">
        <f t="shared" si="29"/>
        <v>INCOMPLETE - NOT SELECTABLE AS TECH STOP</v>
      </c>
    </row>
    <row r="315" spans="1:51" x14ac:dyDescent="0.3">
      <c r="A315" s="4" t="s">
        <v>1471</v>
      </c>
      <c r="B315" s="4" t="s">
        <v>1472</v>
      </c>
      <c r="C315" s="4"/>
      <c r="D315" s="4"/>
      <c r="E315" s="4" t="s">
        <v>1688</v>
      </c>
      <c r="F315" s="4" t="s">
        <v>82</v>
      </c>
      <c r="G315" s="4"/>
      <c r="H315" s="4" t="s">
        <v>1943</v>
      </c>
      <c r="I315" s="4" t="s">
        <v>1944</v>
      </c>
      <c r="J315" s="4"/>
      <c r="K315" s="4"/>
      <c r="L315" s="4"/>
      <c r="M315" s="4"/>
      <c r="N315" s="12" t="str">
        <f t="shared" si="24"/>
        <v>36°51′04″N 010°13′38″E</v>
      </c>
      <c r="O315" s="7">
        <v>36.850999999999999</v>
      </c>
      <c r="P315" s="7">
        <v>10.2272</v>
      </c>
      <c r="Q315" s="13">
        <f t="shared" si="25"/>
        <v>7</v>
      </c>
      <c r="R315" s="11">
        <v>22</v>
      </c>
      <c r="S315" s="4"/>
      <c r="T315" s="4" t="s">
        <v>2091</v>
      </c>
      <c r="U315" s="8">
        <v>1</v>
      </c>
      <c r="V315" s="14">
        <f ca="1">IF($U315="","",MOD(NOW()-admin!$B$1/24+$U315/24,1))</f>
        <v>0.65349305554991588</v>
      </c>
      <c r="W315" s="4"/>
      <c r="X315" s="4"/>
      <c r="Y315" s="4"/>
      <c r="Z315" s="4"/>
      <c r="AA315" s="4"/>
      <c r="AB315" s="4"/>
      <c r="AC315" s="4"/>
      <c r="AD315" s="4"/>
      <c r="AE315" s="4" t="s">
        <v>2244</v>
      </c>
      <c r="AF315" s="4"/>
      <c r="AG315" s="4"/>
      <c r="AH315" s="4"/>
      <c r="AI315" s="4"/>
      <c r="AJ315" s="4"/>
      <c r="AK315" s="4"/>
      <c r="AL315" s="4"/>
      <c r="AM315" s="4"/>
      <c r="AN315" s="4"/>
      <c r="AO315" s="12" t="str">
        <f>IF($A315="","",admin!$B$2&amp;"\Charts\"&amp;$A315)</f>
        <v>C:\Backups\InsiderTechSol\Aviation\Jetelio_v3\.LAYOUT\resources\Charts\DTTA</v>
      </c>
      <c r="AP315" s="12" t="str">
        <f>IF($A315="","",admin!$B$2&amp;"\RunwayDiagrams\"&amp;$A315&amp;".pdf")</f>
        <v>C:\Backups\InsiderTechSol\Aviation\Jetelio_v3\.LAYOUT\resources\RunwayDiagrams\DTTA.pdf</v>
      </c>
      <c r="AQ315" s="12" t="str">
        <f>IF($A315="","",admin!$B$2&amp;"\Images\"&amp;$A315)</f>
        <v>C:\Backups\InsiderTechSol\Aviation\Jetelio_v3\.LAYOUT\resources\Images\DTTA</v>
      </c>
      <c r="AR315" s="12" t="str">
        <f>IF($A315="","",admin!$B$2&amp;"\CityMaps\"&amp;$A315&amp;".png")</f>
        <v>C:\Backups\InsiderTechSol\Aviation\Jetelio_v3\.LAYOUT\resources\CityMaps\DTTA.png</v>
      </c>
      <c r="AS315" s="16" t="str">
        <f t="shared" si="26"/>
        <v>VISA sheet</v>
      </c>
      <c r="AT315" s="16" t="str">
        <f t="shared" si="27"/>
        <v>Vendors sheet</v>
      </c>
      <c r="AU315" s="4"/>
      <c r="AV315" s="15">
        <f t="shared" ca="1" si="28"/>
        <v>46243</v>
      </c>
      <c r="AX315" s="6"/>
      <c r="AY315" t="str">
        <f t="shared" si="29"/>
        <v>INCOMPLETE - NOT SELECTABLE AS TECH STOP</v>
      </c>
    </row>
    <row r="316" spans="1:51" x14ac:dyDescent="0.3">
      <c r="A316" s="4" t="s">
        <v>1473</v>
      </c>
      <c r="B316" s="4" t="s">
        <v>1474</v>
      </c>
      <c r="C316" s="4"/>
      <c r="D316" s="4"/>
      <c r="E316" s="4" t="s">
        <v>1689</v>
      </c>
      <c r="F316" s="4" t="s">
        <v>82</v>
      </c>
      <c r="G316" s="4"/>
      <c r="H316" s="4" t="s">
        <v>1943</v>
      </c>
      <c r="I316" s="4" t="s">
        <v>1945</v>
      </c>
      <c r="J316" s="4"/>
      <c r="K316" s="4"/>
      <c r="L316" s="4"/>
      <c r="M316" s="4"/>
      <c r="N316" s="12" t="str">
        <f t="shared" si="24"/>
        <v>33°52′25″N 010°46′38″E</v>
      </c>
      <c r="O316" s="7">
        <v>33.873719999999999</v>
      </c>
      <c r="P316" s="7">
        <v>10.7773</v>
      </c>
      <c r="Q316" s="13">
        <f t="shared" si="25"/>
        <v>6</v>
      </c>
      <c r="R316" s="11">
        <v>19</v>
      </c>
      <c r="S316" s="4"/>
      <c r="T316" s="4" t="s">
        <v>2091</v>
      </c>
      <c r="U316" s="8">
        <v>1</v>
      </c>
      <c r="V316" s="14">
        <f ca="1">IF($U316="","",MOD(NOW()-admin!$B$1/24+$U316/24,1))</f>
        <v>0.65349305554991588</v>
      </c>
      <c r="W316" s="4"/>
      <c r="X316" s="4"/>
      <c r="Y316" s="4"/>
      <c r="Z316" s="4"/>
      <c r="AA316" s="4"/>
      <c r="AB316" s="4"/>
      <c r="AC316" s="4"/>
      <c r="AD316" s="4"/>
      <c r="AE316" s="4" t="s">
        <v>1111</v>
      </c>
      <c r="AF316" s="4"/>
      <c r="AG316" s="4"/>
      <c r="AH316" s="4"/>
      <c r="AI316" s="4"/>
      <c r="AJ316" s="4"/>
      <c r="AK316" s="4"/>
      <c r="AL316" s="4"/>
      <c r="AM316" s="4"/>
      <c r="AN316" s="4"/>
      <c r="AO316" s="12" t="str">
        <f>IF($A316="","",admin!$B$2&amp;"\Charts\"&amp;$A316)</f>
        <v>C:\Backups\InsiderTechSol\Aviation\Jetelio_v3\.LAYOUT\resources\Charts\DTTJ</v>
      </c>
      <c r="AP316" s="12" t="str">
        <f>IF($A316="","",admin!$B$2&amp;"\RunwayDiagrams\"&amp;$A316&amp;".pdf")</f>
        <v>C:\Backups\InsiderTechSol\Aviation\Jetelio_v3\.LAYOUT\resources\RunwayDiagrams\DTTJ.pdf</v>
      </c>
      <c r="AQ316" s="12" t="str">
        <f>IF($A316="","",admin!$B$2&amp;"\Images\"&amp;$A316)</f>
        <v>C:\Backups\InsiderTechSol\Aviation\Jetelio_v3\.LAYOUT\resources\Images\DTTJ</v>
      </c>
      <c r="AR316" s="12" t="str">
        <f>IF($A316="","",admin!$B$2&amp;"\CityMaps\"&amp;$A316&amp;".png")</f>
        <v>C:\Backups\InsiderTechSol\Aviation\Jetelio_v3\.LAYOUT\resources\CityMaps\DTTJ.png</v>
      </c>
      <c r="AS316" s="16" t="str">
        <f t="shared" si="26"/>
        <v>VISA sheet</v>
      </c>
      <c r="AT316" s="16" t="str">
        <f t="shared" si="27"/>
        <v>Vendors sheet</v>
      </c>
      <c r="AU316" s="4"/>
      <c r="AV316" s="15">
        <f t="shared" ca="1" si="28"/>
        <v>46243</v>
      </c>
      <c r="AX316" s="6"/>
      <c r="AY316" t="str">
        <f t="shared" si="29"/>
        <v>INCOMPLETE - NOT SELECTABLE AS TECH STOP</v>
      </c>
    </row>
    <row r="317" spans="1:51" x14ac:dyDescent="0.3">
      <c r="A317" s="4" t="s">
        <v>1475</v>
      </c>
      <c r="B317" s="4" t="s">
        <v>1476</v>
      </c>
      <c r="C317" s="4"/>
      <c r="D317" s="4"/>
      <c r="E317" s="4" t="s">
        <v>1690</v>
      </c>
      <c r="F317" s="4" t="s">
        <v>82</v>
      </c>
      <c r="G317" s="4"/>
      <c r="H317" s="4" t="s">
        <v>1946</v>
      </c>
      <c r="I317" s="4" t="s">
        <v>1947</v>
      </c>
      <c r="J317" s="4"/>
      <c r="K317" s="4"/>
      <c r="L317" s="4"/>
      <c r="M317" s="4"/>
      <c r="N317" s="12" t="str">
        <f t="shared" si="24"/>
        <v>21°14′29″S 175°08′57″W</v>
      </c>
      <c r="O317" s="7">
        <v>-21.241440000000001</v>
      </c>
      <c r="P317" s="7">
        <v>-175.14915999999999</v>
      </c>
      <c r="Q317" s="13">
        <f t="shared" si="25"/>
        <v>38</v>
      </c>
      <c r="R317" s="11">
        <v>126</v>
      </c>
      <c r="S317" s="4"/>
      <c r="T317" s="4" t="s">
        <v>2092</v>
      </c>
      <c r="U317" s="8">
        <v>13</v>
      </c>
      <c r="V317" s="14">
        <f ca="1">IF($U317="","",MOD(NOW()-admin!$B$1/24+$U317/24,1))</f>
        <v>0.15349305554991588</v>
      </c>
      <c r="W317" s="4"/>
      <c r="X317" s="4"/>
      <c r="Y317" s="4"/>
      <c r="Z317" s="4"/>
      <c r="AA317" s="4"/>
      <c r="AB317" s="4"/>
      <c r="AC317" s="4"/>
      <c r="AD317" s="4"/>
      <c r="AE317" s="4" t="s">
        <v>2245</v>
      </c>
      <c r="AF317" s="4"/>
      <c r="AG317" s="4"/>
      <c r="AH317" s="4"/>
      <c r="AI317" s="4"/>
      <c r="AJ317" s="4"/>
      <c r="AK317" s="4"/>
      <c r="AL317" s="4"/>
      <c r="AM317" s="4"/>
      <c r="AN317" s="4"/>
      <c r="AO317" s="12" t="str">
        <f>IF($A317="","",admin!$B$2&amp;"\Charts\"&amp;$A317)</f>
        <v>C:\Backups\InsiderTechSol\Aviation\Jetelio_v3\.LAYOUT\resources\Charts\NFTF</v>
      </c>
      <c r="AP317" s="12" t="str">
        <f>IF($A317="","",admin!$B$2&amp;"\RunwayDiagrams\"&amp;$A317&amp;".pdf")</f>
        <v>C:\Backups\InsiderTechSol\Aviation\Jetelio_v3\.LAYOUT\resources\RunwayDiagrams\NFTF.pdf</v>
      </c>
      <c r="AQ317" s="12" t="str">
        <f>IF($A317="","",admin!$B$2&amp;"\Images\"&amp;$A317)</f>
        <v>C:\Backups\InsiderTechSol\Aviation\Jetelio_v3\.LAYOUT\resources\Images\NFTF</v>
      </c>
      <c r="AR317" s="12" t="str">
        <f>IF($A317="","",admin!$B$2&amp;"\CityMaps\"&amp;$A317&amp;".png")</f>
        <v>C:\Backups\InsiderTechSol\Aviation\Jetelio_v3\.LAYOUT\resources\CityMaps\NFTF.png</v>
      </c>
      <c r="AS317" s="16" t="str">
        <f t="shared" si="26"/>
        <v>VISA sheet</v>
      </c>
      <c r="AT317" s="16" t="str">
        <f t="shared" si="27"/>
        <v>Vendors sheet</v>
      </c>
      <c r="AU317" s="4"/>
      <c r="AV317" s="15">
        <f t="shared" ca="1" si="28"/>
        <v>46243</v>
      </c>
      <c r="AX317" s="6"/>
      <c r="AY317" t="str">
        <f t="shared" si="29"/>
        <v>INCOMPLETE - NOT SELECTABLE AS TECH STOP</v>
      </c>
    </row>
    <row r="318" spans="1:51" x14ac:dyDescent="0.3">
      <c r="A318" s="4" t="s">
        <v>1477</v>
      </c>
      <c r="B318" s="4" t="s">
        <v>1478</v>
      </c>
      <c r="C318" s="4"/>
      <c r="D318" s="4"/>
      <c r="E318" s="4" t="s">
        <v>1691</v>
      </c>
      <c r="F318" s="4" t="s">
        <v>82</v>
      </c>
      <c r="G318" s="4"/>
      <c r="H318" s="4" t="s">
        <v>1946</v>
      </c>
      <c r="I318" s="4" t="s">
        <v>1948</v>
      </c>
      <c r="J318" s="4"/>
      <c r="K318" s="4"/>
      <c r="L318" s="4"/>
      <c r="M318" s="4"/>
      <c r="N318" s="12" t="str">
        <f t="shared" si="24"/>
        <v>18°35′07″S 173°57′43″W</v>
      </c>
      <c r="O318" s="7">
        <v>-18.5853</v>
      </c>
      <c r="P318" s="7">
        <v>-173.96200999999999</v>
      </c>
      <c r="Q318" s="13">
        <f t="shared" si="25"/>
        <v>72</v>
      </c>
      <c r="R318" s="11">
        <v>236</v>
      </c>
      <c r="S318" s="4"/>
      <c r="T318" s="4" t="s">
        <v>2092</v>
      </c>
      <c r="U318" s="8">
        <v>13</v>
      </c>
      <c r="V318" s="14">
        <f ca="1">IF($U318="","",MOD(NOW()-admin!$B$1/24+$U318/24,1))</f>
        <v>0.15349305554991588</v>
      </c>
      <c r="W318" s="4"/>
      <c r="X318" s="4"/>
      <c r="Y318" s="4"/>
      <c r="Z318" s="4"/>
      <c r="AA318" s="4"/>
      <c r="AB318" s="4"/>
      <c r="AC318" s="4"/>
      <c r="AD318" s="4"/>
      <c r="AE318" s="4" t="s">
        <v>2246</v>
      </c>
      <c r="AF318" s="4"/>
      <c r="AG318" s="4"/>
      <c r="AH318" s="4"/>
      <c r="AI318" s="4"/>
      <c r="AJ318" s="4"/>
      <c r="AK318" s="4"/>
      <c r="AL318" s="4"/>
      <c r="AM318" s="4"/>
      <c r="AN318" s="4"/>
      <c r="AO318" s="12" t="str">
        <f>IF($A318="","",admin!$B$2&amp;"\Charts\"&amp;$A318)</f>
        <v>C:\Backups\InsiderTechSol\Aviation\Jetelio_v3\.LAYOUT\resources\Charts\NFTV</v>
      </c>
      <c r="AP318" s="12" t="str">
        <f>IF($A318="","",admin!$B$2&amp;"\RunwayDiagrams\"&amp;$A318&amp;".pdf")</f>
        <v>C:\Backups\InsiderTechSol\Aviation\Jetelio_v3\.LAYOUT\resources\RunwayDiagrams\NFTV.pdf</v>
      </c>
      <c r="AQ318" s="12" t="str">
        <f>IF($A318="","",admin!$B$2&amp;"\Images\"&amp;$A318)</f>
        <v>C:\Backups\InsiderTechSol\Aviation\Jetelio_v3\.LAYOUT\resources\Images\NFTV</v>
      </c>
      <c r="AR318" s="12" t="str">
        <f>IF($A318="","",admin!$B$2&amp;"\CityMaps\"&amp;$A318&amp;".png")</f>
        <v>C:\Backups\InsiderTechSol\Aviation\Jetelio_v3\.LAYOUT\resources\CityMaps\NFTV.png</v>
      </c>
      <c r="AS318" s="16" t="str">
        <f t="shared" si="26"/>
        <v>VISA sheet</v>
      </c>
      <c r="AT318" s="16" t="str">
        <f t="shared" si="27"/>
        <v>Vendors sheet</v>
      </c>
      <c r="AU318" s="4"/>
      <c r="AV318" s="15">
        <f t="shared" ca="1" si="28"/>
        <v>46243</v>
      </c>
      <c r="AX318" s="6"/>
      <c r="AY318" t="str">
        <f t="shared" si="29"/>
        <v>INCOMPLETE - NOT SELECTABLE AS TECH STOP</v>
      </c>
    </row>
    <row r="319" spans="1:51" x14ac:dyDescent="0.3">
      <c r="A319" s="4" t="s">
        <v>1479</v>
      </c>
      <c r="B319" s="4" t="s">
        <v>1480</v>
      </c>
      <c r="C319" s="4"/>
      <c r="D319" s="4"/>
      <c r="E319" s="4" t="s">
        <v>1692</v>
      </c>
      <c r="F319" s="4" t="s">
        <v>82</v>
      </c>
      <c r="G319" s="4"/>
      <c r="H319" s="4" t="s">
        <v>1949</v>
      </c>
      <c r="I319" s="4" t="s">
        <v>1950</v>
      </c>
      <c r="J319" s="4"/>
      <c r="K319" s="4"/>
      <c r="L319" s="4"/>
      <c r="M319" s="4"/>
      <c r="N319" s="12" t="str">
        <f t="shared" si="24"/>
        <v>40°07′41″N 032°59′42″E</v>
      </c>
      <c r="O319" s="7">
        <v>40.128100000000003</v>
      </c>
      <c r="P319" s="7">
        <v>32.995100000000001</v>
      </c>
      <c r="Q319" s="13">
        <f t="shared" si="25"/>
        <v>953</v>
      </c>
      <c r="R319" s="11">
        <v>3125</v>
      </c>
      <c r="S319" s="4"/>
      <c r="T319" s="4" t="s">
        <v>2093</v>
      </c>
      <c r="U319" s="8">
        <v>3</v>
      </c>
      <c r="V319" s="14">
        <f ca="1">IF($U319="","",MOD(NOW()-admin!$B$1/24+$U319/24,1))</f>
        <v>0.73682638888567453</v>
      </c>
      <c r="W319" s="4"/>
      <c r="X319" s="4"/>
      <c r="Y319" s="4"/>
      <c r="Z319" s="4"/>
      <c r="AA319" s="4"/>
      <c r="AB319" s="4"/>
      <c r="AC319" s="4"/>
      <c r="AD319" s="4"/>
      <c r="AE319" s="4" t="s">
        <v>2247</v>
      </c>
      <c r="AF319" s="4"/>
      <c r="AG319" s="4"/>
      <c r="AH319" s="4"/>
      <c r="AI319" s="4"/>
      <c r="AJ319" s="4"/>
      <c r="AK319" s="4"/>
      <c r="AL319" s="4"/>
      <c r="AM319" s="4"/>
      <c r="AN319" s="4"/>
      <c r="AO319" s="12" t="str">
        <f>IF($A319="","",admin!$B$2&amp;"\Charts\"&amp;$A319)</f>
        <v>C:\Backups\InsiderTechSol\Aviation\Jetelio_v3\.LAYOUT\resources\Charts\LTAC</v>
      </c>
      <c r="AP319" s="12" t="str">
        <f>IF($A319="","",admin!$B$2&amp;"\RunwayDiagrams\"&amp;$A319&amp;".pdf")</f>
        <v>C:\Backups\InsiderTechSol\Aviation\Jetelio_v3\.LAYOUT\resources\RunwayDiagrams\LTAC.pdf</v>
      </c>
      <c r="AQ319" s="12" t="str">
        <f>IF($A319="","",admin!$B$2&amp;"\Images\"&amp;$A319)</f>
        <v>C:\Backups\InsiderTechSol\Aviation\Jetelio_v3\.LAYOUT\resources\Images\LTAC</v>
      </c>
      <c r="AR319" s="12" t="str">
        <f>IF($A319="","",admin!$B$2&amp;"\CityMaps\"&amp;$A319&amp;".png")</f>
        <v>C:\Backups\InsiderTechSol\Aviation\Jetelio_v3\.LAYOUT\resources\CityMaps\LTAC.png</v>
      </c>
      <c r="AS319" s="16" t="str">
        <f t="shared" si="26"/>
        <v>VISA sheet</v>
      </c>
      <c r="AT319" s="16" t="str">
        <f t="shared" si="27"/>
        <v>Vendors sheet</v>
      </c>
      <c r="AU319" s="4"/>
      <c r="AV319" s="15">
        <f t="shared" ca="1" si="28"/>
        <v>46243</v>
      </c>
      <c r="AX319" s="6"/>
      <c r="AY319" t="str">
        <f t="shared" si="29"/>
        <v>INCOMPLETE - NOT SELECTABLE AS TECH STOP</v>
      </c>
    </row>
    <row r="320" spans="1:51" x14ac:dyDescent="0.3">
      <c r="A320" s="4" t="s">
        <v>1481</v>
      </c>
      <c r="B320" s="4" t="s">
        <v>1482</v>
      </c>
      <c r="C320" s="4"/>
      <c r="D320" s="4"/>
      <c r="E320" s="4" t="s">
        <v>1693</v>
      </c>
      <c r="F320" s="4" t="s">
        <v>82</v>
      </c>
      <c r="G320" s="4"/>
      <c r="H320" s="4" t="s">
        <v>1949</v>
      </c>
      <c r="I320" s="4" t="s">
        <v>1951</v>
      </c>
      <c r="J320" s="4"/>
      <c r="K320" s="4"/>
      <c r="L320" s="4"/>
      <c r="M320" s="4"/>
      <c r="N320" s="12" t="str">
        <f t="shared" si="24"/>
        <v>36°53′55″N 030°48′02″E</v>
      </c>
      <c r="O320" s="7">
        <v>36.898699999999998</v>
      </c>
      <c r="P320" s="7">
        <v>30.8005</v>
      </c>
      <c r="Q320" s="13">
        <f t="shared" si="25"/>
        <v>54</v>
      </c>
      <c r="R320" s="11">
        <v>177</v>
      </c>
      <c r="S320" s="4"/>
      <c r="T320" s="4" t="s">
        <v>2093</v>
      </c>
      <c r="U320" s="8">
        <v>3</v>
      </c>
      <c r="V320" s="14">
        <f ca="1">IF($U320="","",MOD(NOW()-admin!$B$1/24+$U320/24,1))</f>
        <v>0.73682638888567453</v>
      </c>
      <c r="W320" s="4"/>
      <c r="X320" s="4"/>
      <c r="Y320" s="4"/>
      <c r="Z320" s="4"/>
      <c r="AA320" s="4"/>
      <c r="AB320" s="4"/>
      <c r="AC320" s="4"/>
      <c r="AD320" s="4"/>
      <c r="AE320" s="4" t="s">
        <v>2248</v>
      </c>
      <c r="AF320" s="4"/>
      <c r="AG320" s="4"/>
      <c r="AH320" s="4"/>
      <c r="AI320" s="4"/>
      <c r="AJ320" s="4"/>
      <c r="AK320" s="4"/>
      <c r="AL320" s="4"/>
      <c r="AM320" s="4"/>
      <c r="AN320" s="4"/>
      <c r="AO320" s="12" t="str">
        <f>IF($A320="","",admin!$B$2&amp;"\Charts\"&amp;$A320)</f>
        <v>C:\Backups\InsiderTechSol\Aviation\Jetelio_v3\.LAYOUT\resources\Charts\LTAI</v>
      </c>
      <c r="AP320" s="12" t="str">
        <f>IF($A320="","",admin!$B$2&amp;"\RunwayDiagrams\"&amp;$A320&amp;".pdf")</f>
        <v>C:\Backups\InsiderTechSol\Aviation\Jetelio_v3\.LAYOUT\resources\RunwayDiagrams\LTAI.pdf</v>
      </c>
      <c r="AQ320" s="12" t="str">
        <f>IF($A320="","",admin!$B$2&amp;"\Images\"&amp;$A320)</f>
        <v>C:\Backups\InsiderTechSol\Aviation\Jetelio_v3\.LAYOUT\resources\Images\LTAI</v>
      </c>
      <c r="AR320" s="12" t="str">
        <f>IF($A320="","",admin!$B$2&amp;"\CityMaps\"&amp;$A320&amp;".png")</f>
        <v>C:\Backups\InsiderTechSol\Aviation\Jetelio_v3\.LAYOUT\resources\CityMaps\LTAI.png</v>
      </c>
      <c r="AS320" s="16" t="str">
        <f t="shared" si="26"/>
        <v>VISA sheet</v>
      </c>
      <c r="AT320" s="16" t="str">
        <f t="shared" si="27"/>
        <v>Vendors sheet</v>
      </c>
      <c r="AU320" s="4"/>
      <c r="AV320" s="15">
        <f t="shared" ca="1" si="28"/>
        <v>46243</v>
      </c>
      <c r="AX320" s="6"/>
      <c r="AY320" t="str">
        <f t="shared" si="29"/>
        <v>INCOMPLETE - NOT SELECTABLE AS TECH STOP</v>
      </c>
    </row>
    <row r="321" spans="1:51" x14ac:dyDescent="0.3">
      <c r="A321" s="4" t="s">
        <v>1483</v>
      </c>
      <c r="B321" s="4" t="s">
        <v>1484</v>
      </c>
      <c r="C321" s="4"/>
      <c r="D321" s="4"/>
      <c r="E321" s="4" t="s">
        <v>1694</v>
      </c>
      <c r="F321" s="4" t="s">
        <v>82</v>
      </c>
      <c r="G321" s="4"/>
      <c r="H321" s="4" t="s">
        <v>1952</v>
      </c>
      <c r="I321" s="4" t="s">
        <v>1953</v>
      </c>
      <c r="J321" s="4"/>
      <c r="K321" s="4"/>
      <c r="L321" s="4"/>
      <c r="M321" s="4"/>
      <c r="N321" s="12" t="str">
        <f t="shared" si="24"/>
        <v>11°08′58″N 060°49′53″W</v>
      </c>
      <c r="O321" s="7">
        <v>11.149570000000001</v>
      </c>
      <c r="P321" s="7">
        <v>-60.831299999999999</v>
      </c>
      <c r="Q321" s="13">
        <f t="shared" si="25"/>
        <v>12</v>
      </c>
      <c r="R321" s="11">
        <v>38</v>
      </c>
      <c r="S321" s="4"/>
      <c r="T321" s="4" t="s">
        <v>2094</v>
      </c>
      <c r="U321" s="8">
        <v>-4</v>
      </c>
      <c r="V321" s="14">
        <f ca="1">IF($U321="","",MOD(NOW()-admin!$B$1/24+$U321/24,1))</f>
        <v>0.44515972222143319</v>
      </c>
      <c r="W321" s="4"/>
      <c r="X321" s="4"/>
      <c r="Y321" s="4"/>
      <c r="Z321" s="4"/>
      <c r="AA321" s="4"/>
      <c r="AB321" s="4"/>
      <c r="AC321" s="4"/>
      <c r="AD321" s="4"/>
      <c r="AE321" s="4" t="s">
        <v>2249</v>
      </c>
      <c r="AF321" s="4"/>
      <c r="AG321" s="4"/>
      <c r="AH321" s="4"/>
      <c r="AI321" s="4"/>
      <c r="AJ321" s="4"/>
      <c r="AK321" s="4"/>
      <c r="AL321" s="4"/>
      <c r="AM321" s="4"/>
      <c r="AN321" s="4"/>
      <c r="AO321" s="12" t="str">
        <f>IF($A321="","",admin!$B$2&amp;"\Charts\"&amp;$A321)</f>
        <v>C:\Backups\InsiderTechSol\Aviation\Jetelio_v3\.LAYOUT\resources\Charts\TTCP</v>
      </c>
      <c r="AP321" s="12" t="str">
        <f>IF($A321="","",admin!$B$2&amp;"\RunwayDiagrams\"&amp;$A321&amp;".pdf")</f>
        <v>C:\Backups\InsiderTechSol\Aviation\Jetelio_v3\.LAYOUT\resources\RunwayDiagrams\TTCP.pdf</v>
      </c>
      <c r="AQ321" s="12" t="str">
        <f>IF($A321="","",admin!$B$2&amp;"\Images\"&amp;$A321)</f>
        <v>C:\Backups\InsiderTechSol\Aviation\Jetelio_v3\.LAYOUT\resources\Images\TTCP</v>
      </c>
      <c r="AR321" s="12" t="str">
        <f>IF($A321="","",admin!$B$2&amp;"\CityMaps\"&amp;$A321&amp;".png")</f>
        <v>C:\Backups\InsiderTechSol\Aviation\Jetelio_v3\.LAYOUT\resources\CityMaps\TTCP.png</v>
      </c>
      <c r="AS321" s="16" t="str">
        <f t="shared" si="26"/>
        <v>VISA sheet</v>
      </c>
      <c r="AT321" s="16" t="str">
        <f t="shared" si="27"/>
        <v>Vendors sheet</v>
      </c>
      <c r="AU321" s="4"/>
      <c r="AV321" s="15">
        <f t="shared" ca="1" si="28"/>
        <v>46243</v>
      </c>
      <c r="AX321" s="6"/>
      <c r="AY321" t="str">
        <f t="shared" si="29"/>
        <v>INCOMPLETE - NOT SELECTABLE AS TECH STOP</v>
      </c>
    </row>
    <row r="322" spans="1:51" x14ac:dyDescent="0.3">
      <c r="A322" s="4" t="s">
        <v>1485</v>
      </c>
      <c r="B322" s="4" t="s">
        <v>1486</v>
      </c>
      <c r="C322" s="4"/>
      <c r="D322" s="4"/>
      <c r="E322" s="4" t="s">
        <v>1695</v>
      </c>
      <c r="F322" s="4" t="s">
        <v>82</v>
      </c>
      <c r="G322" s="4"/>
      <c r="H322" s="4" t="s">
        <v>1952</v>
      </c>
      <c r="I322" s="4" t="s">
        <v>1954</v>
      </c>
      <c r="J322" s="4"/>
      <c r="K322" s="4"/>
      <c r="L322" s="4"/>
      <c r="M322" s="4"/>
      <c r="N322" s="12" t="str">
        <f t="shared" si="24"/>
        <v>10°35′43″N 061°20′15″W</v>
      </c>
      <c r="O322" s="7">
        <v>10.59535</v>
      </c>
      <c r="P322" s="7">
        <v>-61.337569999999999</v>
      </c>
      <c r="Q322" s="13">
        <f t="shared" si="25"/>
        <v>18</v>
      </c>
      <c r="R322" s="11">
        <v>58</v>
      </c>
      <c r="S322" s="4"/>
      <c r="T322" s="4" t="s">
        <v>2094</v>
      </c>
      <c r="U322" s="8">
        <v>-4</v>
      </c>
      <c r="V322" s="14">
        <f ca="1">IF($U322="","",MOD(NOW()-admin!$B$1/24+$U322/24,1))</f>
        <v>0.44515972222143319</v>
      </c>
      <c r="W322" s="4"/>
      <c r="X322" s="4"/>
      <c r="Y322" s="4"/>
      <c r="Z322" s="4"/>
      <c r="AA322" s="4"/>
      <c r="AB322" s="4"/>
      <c r="AC322" s="4"/>
      <c r="AD322" s="4"/>
      <c r="AE322" s="4" t="s">
        <v>2250</v>
      </c>
      <c r="AF322" s="4"/>
      <c r="AG322" s="4"/>
      <c r="AH322" s="4"/>
      <c r="AI322" s="4"/>
      <c r="AJ322" s="4"/>
      <c r="AK322" s="4"/>
      <c r="AL322" s="4"/>
      <c r="AM322" s="4"/>
      <c r="AN322" s="4"/>
      <c r="AO322" s="12" t="str">
        <f>IF($A322="","",admin!$B$2&amp;"\Charts\"&amp;$A322)</f>
        <v>C:\Backups\InsiderTechSol\Aviation\Jetelio_v3\.LAYOUT\resources\Charts\TTPP</v>
      </c>
      <c r="AP322" s="12" t="str">
        <f>IF($A322="","",admin!$B$2&amp;"\RunwayDiagrams\"&amp;$A322&amp;".pdf")</f>
        <v>C:\Backups\InsiderTechSol\Aviation\Jetelio_v3\.LAYOUT\resources\RunwayDiagrams\TTPP.pdf</v>
      </c>
      <c r="AQ322" s="12" t="str">
        <f>IF($A322="","",admin!$B$2&amp;"\Images\"&amp;$A322)</f>
        <v>C:\Backups\InsiderTechSol\Aviation\Jetelio_v3\.LAYOUT\resources\Images\TTPP</v>
      </c>
      <c r="AR322" s="12" t="str">
        <f>IF($A322="","",admin!$B$2&amp;"\CityMaps\"&amp;$A322&amp;".png")</f>
        <v>C:\Backups\InsiderTechSol\Aviation\Jetelio_v3\.LAYOUT\resources\CityMaps\TTPP.png</v>
      </c>
      <c r="AS322" s="16" t="str">
        <f t="shared" si="26"/>
        <v>VISA sheet</v>
      </c>
      <c r="AT322" s="16" t="str">
        <f t="shared" si="27"/>
        <v>Vendors sheet</v>
      </c>
      <c r="AU322" s="4"/>
      <c r="AV322" s="15">
        <f t="shared" ca="1" si="28"/>
        <v>46243</v>
      </c>
      <c r="AX322" s="6"/>
      <c r="AY322" t="str">
        <f t="shared" si="29"/>
        <v>INCOMPLETE - NOT SELECTABLE AS TECH STOP</v>
      </c>
    </row>
    <row r="323" spans="1:51" x14ac:dyDescent="0.3">
      <c r="A323" s="4" t="s">
        <v>1487</v>
      </c>
      <c r="B323" s="4" t="s">
        <v>1488</v>
      </c>
      <c r="C323" s="4"/>
      <c r="D323" s="4"/>
      <c r="E323" s="4" t="s">
        <v>1696</v>
      </c>
      <c r="F323" s="4" t="s">
        <v>82</v>
      </c>
      <c r="G323" s="4"/>
      <c r="H323" s="4" t="s">
        <v>1955</v>
      </c>
      <c r="I323" s="4" t="s">
        <v>1956</v>
      </c>
      <c r="J323" s="4"/>
      <c r="K323" s="4"/>
      <c r="L323" s="4"/>
      <c r="M323" s="4"/>
      <c r="N323" s="12" t="str">
        <f t="shared" si="24"/>
        <v>22°34′38″N 120°21′00″E</v>
      </c>
      <c r="O323" s="7">
        <v>22.577100000000002</v>
      </c>
      <c r="P323" s="7">
        <v>120.35</v>
      </c>
      <c r="Q323" s="13">
        <f t="shared" si="25"/>
        <v>9</v>
      </c>
      <c r="R323" s="11">
        <v>31</v>
      </c>
      <c r="S323" s="4"/>
      <c r="T323" s="4" t="s">
        <v>2095</v>
      </c>
      <c r="U323" s="8">
        <v>8</v>
      </c>
      <c r="V323" s="14">
        <f ca="1">IF($U323="","",MOD(NOW()-admin!$B$1/24+$U323/24,1))</f>
        <v>0.94515972222143319</v>
      </c>
      <c r="W323" s="4"/>
      <c r="X323" s="4"/>
      <c r="Y323" s="4"/>
      <c r="Z323" s="4"/>
      <c r="AA323" s="4"/>
      <c r="AB323" s="4"/>
      <c r="AC323" s="4"/>
      <c r="AD323" s="4"/>
      <c r="AE323" s="4" t="s">
        <v>2251</v>
      </c>
      <c r="AF323" s="4"/>
      <c r="AG323" s="4"/>
      <c r="AH323" s="4"/>
      <c r="AI323" s="4"/>
      <c r="AJ323" s="4"/>
      <c r="AK323" s="4"/>
      <c r="AL323" s="4"/>
      <c r="AM323" s="4"/>
      <c r="AN323" s="4"/>
      <c r="AO323" s="12" t="str">
        <f>IF($A323="","",admin!$B$2&amp;"\Charts\"&amp;$A323)</f>
        <v>C:\Backups\InsiderTechSol\Aviation\Jetelio_v3\.LAYOUT\resources\Charts\RCKH</v>
      </c>
      <c r="AP323" s="12" t="str">
        <f>IF($A323="","",admin!$B$2&amp;"\RunwayDiagrams\"&amp;$A323&amp;".pdf")</f>
        <v>C:\Backups\InsiderTechSol\Aviation\Jetelio_v3\.LAYOUT\resources\RunwayDiagrams\RCKH.pdf</v>
      </c>
      <c r="AQ323" s="12" t="str">
        <f>IF($A323="","",admin!$B$2&amp;"\Images\"&amp;$A323)</f>
        <v>C:\Backups\InsiderTechSol\Aviation\Jetelio_v3\.LAYOUT\resources\Images\RCKH</v>
      </c>
      <c r="AR323" s="12" t="str">
        <f>IF($A323="","",admin!$B$2&amp;"\CityMaps\"&amp;$A323&amp;".png")</f>
        <v>C:\Backups\InsiderTechSol\Aviation\Jetelio_v3\.LAYOUT\resources\CityMaps\RCKH.png</v>
      </c>
      <c r="AS323" s="16" t="str">
        <f t="shared" si="26"/>
        <v>VISA sheet</v>
      </c>
      <c r="AT323" s="16" t="str">
        <f t="shared" si="27"/>
        <v>Vendors sheet</v>
      </c>
      <c r="AU323" s="4"/>
      <c r="AV323" s="15">
        <f t="shared" ca="1" si="28"/>
        <v>46243</v>
      </c>
      <c r="AX323" s="6"/>
      <c r="AY323" t="str">
        <f t="shared" si="29"/>
        <v>INCOMPLETE - NOT SELECTABLE AS TECH STOP</v>
      </c>
    </row>
    <row r="324" spans="1:51" x14ac:dyDescent="0.3">
      <c r="A324" s="4" t="s">
        <v>1489</v>
      </c>
      <c r="B324" s="4" t="s">
        <v>1490</v>
      </c>
      <c r="C324" s="4"/>
      <c r="D324" s="4"/>
      <c r="E324" s="4" t="s">
        <v>1697</v>
      </c>
      <c r="F324" s="4" t="s">
        <v>82</v>
      </c>
      <c r="G324" s="4"/>
      <c r="H324" s="4" t="s">
        <v>1955</v>
      </c>
      <c r="I324" s="4" t="s">
        <v>1957</v>
      </c>
      <c r="J324" s="4"/>
      <c r="K324" s="4"/>
      <c r="L324" s="4"/>
      <c r="M324" s="4"/>
      <c r="N324" s="12" t="str">
        <f t="shared" ref="N324:N382" si="30">IF(OR($O324="",$P324=""),"",TEXT(INT(ROUND(ABS($O324)*3600,0)/3600),"00")&amp;"°"&amp;TEXT(INT(MOD(ROUND(ABS($O324)*3600,0),3600)/60),"00")&amp;"′"&amp;TEXT(MOD(ROUND(ABS($O324)*3600,0),60),"00")&amp;"″"&amp;IF($O324&gt;=0,"N","S")&amp;" "&amp;TEXT(INT(ROUND(ABS($P324)*3600,0)/3600),"000")&amp;"°"&amp;TEXT(INT(MOD(ROUND(ABS($P324)*3600,0),3600)/60),"00")&amp;"′"&amp;TEXT(MOD(ROUND(ABS($P324)*3600,0),60),"00")&amp;"″"&amp;IF($P324&gt;=0,"E","W"))</f>
        <v>24°15′53″N 120°37′16″E</v>
      </c>
      <c r="O324" s="7">
        <v>24.264700000000001</v>
      </c>
      <c r="P324" s="7">
        <v>120.621</v>
      </c>
      <c r="Q324" s="13">
        <f t="shared" ref="Q324:Q382" si="31">IF($R324="","",ROUND($R324*0.3048,0))</f>
        <v>202</v>
      </c>
      <c r="R324" s="11">
        <v>663</v>
      </c>
      <c r="S324" s="4"/>
      <c r="T324" s="4" t="s">
        <v>2095</v>
      </c>
      <c r="U324" s="8">
        <v>8</v>
      </c>
      <c r="V324" s="14">
        <f ca="1">IF($U324="","",MOD(NOW()-admin!$B$1/24+$U324/24,1))</f>
        <v>0.94515972222143319</v>
      </c>
      <c r="W324" s="4"/>
      <c r="X324" s="4"/>
      <c r="Y324" s="4"/>
      <c r="Z324" s="4"/>
      <c r="AA324" s="4"/>
      <c r="AB324" s="4"/>
      <c r="AC324" s="4"/>
      <c r="AD324" s="4"/>
      <c r="AE324" s="4" t="s">
        <v>2252</v>
      </c>
      <c r="AF324" s="4"/>
      <c r="AG324" s="4"/>
      <c r="AH324" s="4"/>
      <c r="AI324" s="4"/>
      <c r="AJ324" s="4"/>
      <c r="AK324" s="4"/>
      <c r="AL324" s="4"/>
      <c r="AM324" s="4"/>
      <c r="AN324" s="4"/>
      <c r="AO324" s="12" t="str">
        <f>IF($A324="","",admin!$B$2&amp;"\Charts\"&amp;$A324)</f>
        <v>C:\Backups\InsiderTechSol\Aviation\Jetelio_v3\.LAYOUT\resources\Charts\RCMQ</v>
      </c>
      <c r="AP324" s="12" t="str">
        <f>IF($A324="","",admin!$B$2&amp;"\RunwayDiagrams\"&amp;$A324&amp;".pdf")</f>
        <v>C:\Backups\InsiderTechSol\Aviation\Jetelio_v3\.LAYOUT\resources\RunwayDiagrams\RCMQ.pdf</v>
      </c>
      <c r="AQ324" s="12" t="str">
        <f>IF($A324="","",admin!$B$2&amp;"\Images\"&amp;$A324)</f>
        <v>C:\Backups\InsiderTechSol\Aviation\Jetelio_v3\.LAYOUT\resources\Images\RCMQ</v>
      </c>
      <c r="AR324" s="12" t="str">
        <f>IF($A324="","",admin!$B$2&amp;"\CityMaps\"&amp;$A324&amp;".png")</f>
        <v>C:\Backups\InsiderTechSol\Aviation\Jetelio_v3\.LAYOUT\resources\CityMaps\RCMQ.png</v>
      </c>
      <c r="AS324" s="16" t="str">
        <f t="shared" ref="AS324:AS382" si="32">IF($A324="","","VISA sheet")</f>
        <v>VISA sheet</v>
      </c>
      <c r="AT324" s="16" t="str">
        <f t="shared" ref="AT324:AT382" si="33">IF($A324="","","Vendors sheet")</f>
        <v>Vendors sheet</v>
      </c>
      <c r="AU324" s="4"/>
      <c r="AV324" s="15">
        <f t="shared" ref="AV324:AV382" ca="1" si="34">IF($A324="","",TODAY())</f>
        <v>46243</v>
      </c>
      <c r="AX324" s="6"/>
      <c r="AY324" t="str">
        <f t="shared" ref="AY324:AY382" si="35">IF($A324="","",IF(OR(TRIM($Y324)="",TRIM($AG324)="",TRIM($X324)=""),"INCOMPLETE - NOT SELECTABLE AS TECH STOP",IF(OR($AW324="",$AX324=""),"UNVERIFIED - ADVISORY ONLY","VERIFIED")))</f>
        <v>INCOMPLETE - NOT SELECTABLE AS TECH STOP</v>
      </c>
    </row>
    <row r="325" spans="1:51" x14ac:dyDescent="0.3">
      <c r="A325" s="4" t="s">
        <v>1491</v>
      </c>
      <c r="B325" s="4" t="s">
        <v>1492</v>
      </c>
      <c r="C325" s="4"/>
      <c r="D325" s="4"/>
      <c r="E325" s="4" t="s">
        <v>1698</v>
      </c>
      <c r="F325" s="4" t="s">
        <v>82</v>
      </c>
      <c r="G325" s="4"/>
      <c r="H325" s="4" t="s">
        <v>9</v>
      </c>
      <c r="I325" s="4" t="s">
        <v>1958</v>
      </c>
      <c r="J325" s="4"/>
      <c r="K325" s="4"/>
      <c r="L325" s="4"/>
      <c r="M325" s="4"/>
      <c r="N325" s="12" t="str">
        <f t="shared" si="30"/>
        <v>06°52′25″S 039°12′26″E</v>
      </c>
      <c r="O325" s="7">
        <v>-6.8734999999999999</v>
      </c>
      <c r="P325" s="7">
        <v>39.20729</v>
      </c>
      <c r="Q325" s="13">
        <f t="shared" si="31"/>
        <v>55</v>
      </c>
      <c r="R325" s="11">
        <v>182</v>
      </c>
      <c r="S325" s="4"/>
      <c r="T325" s="4" t="s">
        <v>2096</v>
      </c>
      <c r="U325" s="8">
        <v>3</v>
      </c>
      <c r="V325" s="14">
        <f ca="1">IF($U325="","",MOD(NOW()-admin!$B$1/24+$U325/24,1))</f>
        <v>0.73682638888567453</v>
      </c>
      <c r="W325" s="4"/>
      <c r="X325" s="4"/>
      <c r="Y325" s="4"/>
      <c r="Z325" s="4"/>
      <c r="AA325" s="4"/>
      <c r="AB325" s="4"/>
      <c r="AC325" s="4"/>
      <c r="AD325" s="4"/>
      <c r="AE325" s="4" t="s">
        <v>2253</v>
      </c>
      <c r="AF325" s="4"/>
      <c r="AG325" s="4"/>
      <c r="AH325" s="4"/>
      <c r="AI325" s="4"/>
      <c r="AJ325" s="4"/>
      <c r="AK325" s="4"/>
      <c r="AL325" s="4"/>
      <c r="AM325" s="4"/>
      <c r="AN325" s="4"/>
      <c r="AO325" s="12" t="str">
        <f>IF($A325="","",admin!$B$2&amp;"\Charts\"&amp;$A325)</f>
        <v>C:\Backups\InsiderTechSol\Aviation\Jetelio_v3\.LAYOUT\resources\Charts\HTDA</v>
      </c>
      <c r="AP325" s="12" t="str">
        <f>IF($A325="","",admin!$B$2&amp;"\RunwayDiagrams\"&amp;$A325&amp;".pdf")</f>
        <v>C:\Backups\InsiderTechSol\Aviation\Jetelio_v3\.LAYOUT\resources\RunwayDiagrams\HTDA.pdf</v>
      </c>
      <c r="AQ325" s="12" t="str">
        <f>IF($A325="","",admin!$B$2&amp;"\Images\"&amp;$A325)</f>
        <v>C:\Backups\InsiderTechSol\Aviation\Jetelio_v3\.LAYOUT\resources\Images\HTDA</v>
      </c>
      <c r="AR325" s="12" t="str">
        <f>IF($A325="","",admin!$B$2&amp;"\CityMaps\"&amp;$A325&amp;".png")</f>
        <v>C:\Backups\InsiderTechSol\Aviation\Jetelio_v3\.LAYOUT\resources\CityMaps\HTDA.png</v>
      </c>
      <c r="AS325" s="16" t="str">
        <f t="shared" si="32"/>
        <v>VISA sheet</v>
      </c>
      <c r="AT325" s="16" t="str">
        <f t="shared" si="33"/>
        <v>Vendors sheet</v>
      </c>
      <c r="AU325" s="4"/>
      <c r="AV325" s="15">
        <f t="shared" ca="1" si="34"/>
        <v>46243</v>
      </c>
      <c r="AX325" s="6"/>
      <c r="AY325" t="str">
        <f t="shared" si="35"/>
        <v>INCOMPLETE - NOT SELECTABLE AS TECH STOP</v>
      </c>
    </row>
    <row r="326" spans="1:51" x14ac:dyDescent="0.3">
      <c r="A326" s="4" t="s">
        <v>1493</v>
      </c>
      <c r="B326" s="4" t="s">
        <v>1494</v>
      </c>
      <c r="C326" s="4"/>
      <c r="D326" s="4"/>
      <c r="E326" s="4" t="s">
        <v>1699</v>
      </c>
      <c r="F326" s="4" t="s">
        <v>82</v>
      </c>
      <c r="G326" s="4"/>
      <c r="H326" s="4" t="s">
        <v>9</v>
      </c>
      <c r="I326" s="4" t="s">
        <v>1959</v>
      </c>
      <c r="J326" s="4"/>
      <c r="K326" s="4"/>
      <c r="L326" s="4"/>
      <c r="M326" s="4"/>
      <c r="N326" s="12" t="str">
        <f t="shared" si="30"/>
        <v>03°25′37″S 037°04′25″E</v>
      </c>
      <c r="O326" s="7">
        <v>-3.4270499999999999</v>
      </c>
      <c r="P326" s="7">
        <v>37.073529999999998</v>
      </c>
      <c r="Q326" s="13">
        <f t="shared" si="31"/>
        <v>894</v>
      </c>
      <c r="R326" s="11">
        <v>2932</v>
      </c>
      <c r="S326" s="4"/>
      <c r="T326" s="4" t="s">
        <v>2096</v>
      </c>
      <c r="U326" s="8">
        <v>3</v>
      </c>
      <c r="V326" s="14">
        <f ca="1">IF($U326="","",MOD(NOW()-admin!$B$1/24+$U326/24,1))</f>
        <v>0.73682638888567453</v>
      </c>
      <c r="W326" s="4"/>
      <c r="X326" s="4"/>
      <c r="Y326" s="4"/>
      <c r="Z326" s="4"/>
      <c r="AA326" s="4"/>
      <c r="AB326" s="4"/>
      <c r="AC326" s="4"/>
      <c r="AD326" s="4"/>
      <c r="AE326" s="4" t="s">
        <v>2254</v>
      </c>
      <c r="AF326" s="4"/>
      <c r="AG326" s="4"/>
      <c r="AH326" s="4"/>
      <c r="AI326" s="4"/>
      <c r="AJ326" s="4"/>
      <c r="AK326" s="4"/>
      <c r="AL326" s="4"/>
      <c r="AM326" s="4"/>
      <c r="AN326" s="4"/>
      <c r="AO326" s="12" t="str">
        <f>IF($A326="","",admin!$B$2&amp;"\Charts\"&amp;$A326)</f>
        <v>C:\Backups\InsiderTechSol\Aviation\Jetelio_v3\.LAYOUT\resources\Charts\HTKJ</v>
      </c>
      <c r="AP326" s="12" t="str">
        <f>IF($A326="","",admin!$B$2&amp;"\RunwayDiagrams\"&amp;$A326&amp;".pdf")</f>
        <v>C:\Backups\InsiderTechSol\Aviation\Jetelio_v3\.LAYOUT\resources\RunwayDiagrams\HTKJ.pdf</v>
      </c>
      <c r="AQ326" s="12" t="str">
        <f>IF($A326="","",admin!$B$2&amp;"\Images\"&amp;$A326)</f>
        <v>C:\Backups\InsiderTechSol\Aviation\Jetelio_v3\.LAYOUT\resources\Images\HTKJ</v>
      </c>
      <c r="AR326" s="12" t="str">
        <f>IF($A326="","",admin!$B$2&amp;"\CityMaps\"&amp;$A326&amp;".png")</f>
        <v>C:\Backups\InsiderTechSol\Aviation\Jetelio_v3\.LAYOUT\resources\CityMaps\HTKJ.png</v>
      </c>
      <c r="AS326" s="16" t="str">
        <f t="shared" si="32"/>
        <v>VISA sheet</v>
      </c>
      <c r="AT326" s="16" t="str">
        <f t="shared" si="33"/>
        <v>Vendors sheet</v>
      </c>
      <c r="AU326" s="4"/>
      <c r="AV326" s="15">
        <f t="shared" ca="1" si="34"/>
        <v>46243</v>
      </c>
      <c r="AX326" s="6"/>
      <c r="AY326" t="str">
        <f t="shared" si="35"/>
        <v>INCOMPLETE - NOT SELECTABLE AS TECH STOP</v>
      </c>
    </row>
    <row r="327" spans="1:51" x14ac:dyDescent="0.3">
      <c r="A327" s="4" t="s">
        <v>1495</v>
      </c>
      <c r="B327" s="4" t="s">
        <v>1496</v>
      </c>
      <c r="C327" s="4"/>
      <c r="D327" s="4"/>
      <c r="E327" s="4" t="s">
        <v>1700</v>
      </c>
      <c r="F327" s="4" t="s">
        <v>82</v>
      </c>
      <c r="G327" s="4"/>
      <c r="H327" s="4" t="s">
        <v>1960</v>
      </c>
      <c r="I327" s="4" t="s">
        <v>1961</v>
      </c>
      <c r="J327" s="4"/>
      <c r="K327" s="4"/>
      <c r="L327" s="4"/>
      <c r="M327" s="4"/>
      <c r="N327" s="12" t="str">
        <f t="shared" si="30"/>
        <v>47°52′01″N 035°18′53″E</v>
      </c>
      <c r="O327" s="7">
        <v>47.866959999999999</v>
      </c>
      <c r="P327" s="7">
        <v>35.314720000000001</v>
      </c>
      <c r="Q327" s="13">
        <f t="shared" si="31"/>
        <v>114</v>
      </c>
      <c r="R327" s="11">
        <v>373</v>
      </c>
      <c r="S327" s="4"/>
      <c r="T327" s="4" t="s">
        <v>2097</v>
      </c>
      <c r="U327" s="8">
        <v>2</v>
      </c>
      <c r="V327" s="14">
        <f ca="1">IF($U327="","",MOD(NOW()-admin!$B$1/24+$U327/24,1))</f>
        <v>0.69515972222143319</v>
      </c>
      <c r="W327" s="4"/>
      <c r="X327" s="4"/>
      <c r="Y327" s="4"/>
      <c r="Z327" s="4"/>
      <c r="AA327" s="4"/>
      <c r="AB327" s="4"/>
      <c r="AC327" s="4"/>
      <c r="AD327" s="4"/>
      <c r="AE327" s="4" t="s">
        <v>2255</v>
      </c>
      <c r="AF327" s="4"/>
      <c r="AG327" s="4"/>
      <c r="AH327" s="4"/>
      <c r="AI327" s="4"/>
      <c r="AJ327" s="4"/>
      <c r="AK327" s="4"/>
      <c r="AL327" s="4"/>
      <c r="AM327" s="4"/>
      <c r="AN327" s="4"/>
      <c r="AO327" s="12" t="str">
        <f>IF($A327="","",admin!$B$2&amp;"\Charts\"&amp;$A327)</f>
        <v>C:\Backups\InsiderTechSol\Aviation\Jetelio_v3\.LAYOUT\resources\Charts\UKDE</v>
      </c>
      <c r="AP327" s="12" t="str">
        <f>IF($A327="","",admin!$B$2&amp;"\RunwayDiagrams\"&amp;$A327&amp;".pdf")</f>
        <v>C:\Backups\InsiderTechSol\Aviation\Jetelio_v3\.LAYOUT\resources\RunwayDiagrams\UKDE.pdf</v>
      </c>
      <c r="AQ327" s="12" t="str">
        <f>IF($A327="","",admin!$B$2&amp;"\Images\"&amp;$A327)</f>
        <v>C:\Backups\InsiderTechSol\Aviation\Jetelio_v3\.LAYOUT\resources\Images\UKDE</v>
      </c>
      <c r="AR327" s="12" t="str">
        <f>IF($A327="","",admin!$B$2&amp;"\CityMaps\"&amp;$A327&amp;".png")</f>
        <v>C:\Backups\InsiderTechSol\Aviation\Jetelio_v3\.LAYOUT\resources\CityMaps\UKDE.png</v>
      </c>
      <c r="AS327" s="16" t="str">
        <f t="shared" si="32"/>
        <v>VISA sheet</v>
      </c>
      <c r="AT327" s="16" t="str">
        <f t="shared" si="33"/>
        <v>Vendors sheet</v>
      </c>
      <c r="AU327" s="4"/>
      <c r="AV327" s="15">
        <f t="shared" ca="1" si="34"/>
        <v>46243</v>
      </c>
      <c r="AX327" s="6"/>
      <c r="AY327" t="str">
        <f t="shared" si="35"/>
        <v>INCOMPLETE - NOT SELECTABLE AS TECH STOP</v>
      </c>
    </row>
    <row r="328" spans="1:51" x14ac:dyDescent="0.3">
      <c r="A328" s="4" t="s">
        <v>1497</v>
      </c>
      <c r="B328" s="4" t="s">
        <v>1498</v>
      </c>
      <c r="C328" s="4"/>
      <c r="D328" s="4"/>
      <c r="E328" s="4" t="s">
        <v>1701</v>
      </c>
      <c r="F328" s="4" t="s">
        <v>82</v>
      </c>
      <c r="G328" s="4"/>
      <c r="H328" s="4" t="s">
        <v>1960</v>
      </c>
      <c r="I328" s="4" t="s">
        <v>1962</v>
      </c>
      <c r="J328" s="4"/>
      <c r="K328" s="4"/>
      <c r="L328" s="4"/>
      <c r="M328" s="4"/>
      <c r="N328" s="12" t="str">
        <f t="shared" si="30"/>
        <v>45°03′08″N 033°58′30″E</v>
      </c>
      <c r="O328" s="7">
        <v>45.052199999999999</v>
      </c>
      <c r="P328" s="7">
        <v>33.975099999999998</v>
      </c>
      <c r="Q328" s="13">
        <f t="shared" si="31"/>
        <v>195</v>
      </c>
      <c r="R328" s="11">
        <v>639</v>
      </c>
      <c r="S328" s="4"/>
      <c r="T328" s="4" t="s">
        <v>2098</v>
      </c>
      <c r="U328" s="8">
        <v>3</v>
      </c>
      <c r="V328" s="14">
        <f ca="1">IF($U328="","",MOD(NOW()-admin!$B$1/24+$U328/24,1))</f>
        <v>0.73682638888567453</v>
      </c>
      <c r="W328" s="4"/>
      <c r="X328" s="4"/>
      <c r="Y328" s="4"/>
      <c r="Z328" s="4"/>
      <c r="AA328" s="4"/>
      <c r="AB328" s="4"/>
      <c r="AC328" s="4"/>
      <c r="AD328" s="4"/>
      <c r="AE328" s="4" t="s">
        <v>2256</v>
      </c>
      <c r="AF328" s="4"/>
      <c r="AG328" s="4"/>
      <c r="AH328" s="4"/>
      <c r="AI328" s="4"/>
      <c r="AJ328" s="4"/>
      <c r="AK328" s="4"/>
      <c r="AL328" s="4"/>
      <c r="AM328" s="4"/>
      <c r="AN328" s="4"/>
      <c r="AO328" s="12" t="str">
        <f>IF($A328="","",admin!$B$2&amp;"\Charts\"&amp;$A328)</f>
        <v>C:\Backups\InsiderTechSol\Aviation\Jetelio_v3\.LAYOUT\resources\Charts\UKFF</v>
      </c>
      <c r="AP328" s="12" t="str">
        <f>IF($A328="","",admin!$B$2&amp;"\RunwayDiagrams\"&amp;$A328&amp;".pdf")</f>
        <v>C:\Backups\InsiderTechSol\Aviation\Jetelio_v3\.LAYOUT\resources\RunwayDiagrams\UKFF.pdf</v>
      </c>
      <c r="AQ328" s="12" t="str">
        <f>IF($A328="","",admin!$B$2&amp;"\Images\"&amp;$A328)</f>
        <v>C:\Backups\InsiderTechSol\Aviation\Jetelio_v3\.LAYOUT\resources\Images\UKFF</v>
      </c>
      <c r="AR328" s="12" t="str">
        <f>IF($A328="","",admin!$B$2&amp;"\CityMaps\"&amp;$A328&amp;".png")</f>
        <v>C:\Backups\InsiderTechSol\Aviation\Jetelio_v3\.LAYOUT\resources\CityMaps\UKFF.png</v>
      </c>
      <c r="AS328" s="16" t="str">
        <f t="shared" si="32"/>
        <v>VISA sheet</v>
      </c>
      <c r="AT328" s="16" t="str">
        <f t="shared" si="33"/>
        <v>Vendors sheet</v>
      </c>
      <c r="AU328" s="4"/>
      <c r="AV328" s="15">
        <f t="shared" ca="1" si="34"/>
        <v>46243</v>
      </c>
      <c r="AX328" s="6"/>
      <c r="AY328" t="str">
        <f t="shared" si="35"/>
        <v>INCOMPLETE - NOT SELECTABLE AS TECH STOP</v>
      </c>
    </row>
    <row r="329" spans="1:51" x14ac:dyDescent="0.3">
      <c r="A329" s="4" t="s">
        <v>1499</v>
      </c>
      <c r="B329" s="4" t="s">
        <v>1500</v>
      </c>
      <c r="C329" s="4"/>
      <c r="D329" s="4"/>
      <c r="E329" s="4" t="s">
        <v>1702</v>
      </c>
      <c r="F329" s="4" t="s">
        <v>82</v>
      </c>
      <c r="G329" s="4"/>
      <c r="H329" s="4" t="s">
        <v>1963</v>
      </c>
      <c r="I329" s="4" t="s">
        <v>1964</v>
      </c>
      <c r="J329" s="4"/>
      <c r="K329" s="4"/>
      <c r="L329" s="4"/>
      <c r="M329" s="4"/>
      <c r="N329" s="12" t="str">
        <f t="shared" si="30"/>
        <v>00°02′33″N 032°26′37″E</v>
      </c>
      <c r="O329" s="7">
        <v>4.2389999999999997E-2</v>
      </c>
      <c r="P329" s="7">
        <v>32.4435</v>
      </c>
      <c r="Q329" s="13">
        <f t="shared" si="31"/>
        <v>1153</v>
      </c>
      <c r="R329" s="11">
        <v>3782</v>
      </c>
      <c r="S329" s="4"/>
      <c r="T329" s="4" t="s">
        <v>2099</v>
      </c>
      <c r="U329" s="8">
        <v>3</v>
      </c>
      <c r="V329" s="14">
        <f ca="1">IF($U329="","",MOD(NOW()-admin!$B$1/24+$U329/24,1))</f>
        <v>0.73682638888567453</v>
      </c>
      <c r="W329" s="4"/>
      <c r="X329" s="4"/>
      <c r="Y329" s="4"/>
      <c r="Z329" s="4"/>
      <c r="AA329" s="4"/>
      <c r="AB329" s="4"/>
      <c r="AC329" s="4"/>
      <c r="AD329" s="4"/>
      <c r="AE329" s="4" t="s">
        <v>2257</v>
      </c>
      <c r="AF329" s="4"/>
      <c r="AG329" s="4"/>
      <c r="AH329" s="4"/>
      <c r="AI329" s="4"/>
      <c r="AJ329" s="4"/>
      <c r="AK329" s="4"/>
      <c r="AL329" s="4"/>
      <c r="AM329" s="4"/>
      <c r="AN329" s="4"/>
      <c r="AO329" s="12" t="str">
        <f>IF($A329="","",admin!$B$2&amp;"\Charts\"&amp;$A329)</f>
        <v>C:\Backups\InsiderTechSol\Aviation\Jetelio_v3\.LAYOUT\resources\Charts\HUEN</v>
      </c>
      <c r="AP329" s="12" t="str">
        <f>IF($A329="","",admin!$B$2&amp;"\RunwayDiagrams\"&amp;$A329&amp;".pdf")</f>
        <v>C:\Backups\InsiderTechSol\Aviation\Jetelio_v3\.LAYOUT\resources\RunwayDiagrams\HUEN.pdf</v>
      </c>
      <c r="AQ329" s="12" t="str">
        <f>IF($A329="","",admin!$B$2&amp;"\Images\"&amp;$A329)</f>
        <v>C:\Backups\InsiderTechSol\Aviation\Jetelio_v3\.LAYOUT\resources\Images\HUEN</v>
      </c>
      <c r="AR329" s="12" t="str">
        <f>IF($A329="","",admin!$B$2&amp;"\CityMaps\"&amp;$A329&amp;".png")</f>
        <v>C:\Backups\InsiderTechSol\Aviation\Jetelio_v3\.LAYOUT\resources\CityMaps\HUEN.png</v>
      </c>
      <c r="AS329" s="16" t="str">
        <f t="shared" si="32"/>
        <v>VISA sheet</v>
      </c>
      <c r="AT329" s="16" t="str">
        <f t="shared" si="33"/>
        <v>Vendors sheet</v>
      </c>
      <c r="AU329" s="4"/>
      <c r="AV329" s="15">
        <f t="shared" ca="1" si="34"/>
        <v>46243</v>
      </c>
      <c r="AX329" s="6"/>
      <c r="AY329" t="str">
        <f t="shared" si="35"/>
        <v>INCOMPLETE - NOT SELECTABLE AS TECH STOP</v>
      </c>
    </row>
    <row r="330" spans="1:51" x14ac:dyDescent="0.3">
      <c r="A330" s="4" t="s">
        <v>1501</v>
      </c>
      <c r="B330" s="4" t="s">
        <v>1502</v>
      </c>
      <c r="C330" s="4" t="s">
        <v>1502</v>
      </c>
      <c r="D330" s="4"/>
      <c r="E330" s="4" t="s">
        <v>1703</v>
      </c>
      <c r="F330" s="4" t="s">
        <v>82</v>
      </c>
      <c r="G330" s="4"/>
      <c r="H330" s="4" t="s">
        <v>1965</v>
      </c>
      <c r="I330" s="4" t="s">
        <v>1966</v>
      </c>
      <c r="J330" s="4"/>
      <c r="K330" s="4"/>
      <c r="L330" s="4"/>
      <c r="M330" s="4"/>
      <c r="N330" s="12" t="str">
        <f t="shared" si="30"/>
        <v>35°02′24″N 106°36′32″W</v>
      </c>
      <c r="O330" s="7">
        <v>35.03998</v>
      </c>
      <c r="P330" s="7">
        <v>-106.60892</v>
      </c>
      <c r="Q330" s="13">
        <f t="shared" si="31"/>
        <v>1632</v>
      </c>
      <c r="R330" s="11">
        <v>5355</v>
      </c>
      <c r="S330" s="4"/>
      <c r="T330" s="4" t="s">
        <v>2100</v>
      </c>
      <c r="U330" s="8">
        <v>-7</v>
      </c>
      <c r="V330" s="14">
        <f ca="1">IF($U330="","",MOD(NOW()-admin!$B$1/24+$U330/24,1))</f>
        <v>0.32015972222143319</v>
      </c>
      <c r="W330" s="4"/>
      <c r="X330" s="4"/>
      <c r="Y330" s="4"/>
      <c r="Z330" s="4"/>
      <c r="AA330" s="4"/>
      <c r="AB330" s="4"/>
      <c r="AC330" s="4"/>
      <c r="AD330" s="4"/>
      <c r="AE330" s="4" t="s">
        <v>2258</v>
      </c>
      <c r="AF330" s="4"/>
      <c r="AG330" s="4"/>
      <c r="AH330" s="4"/>
      <c r="AI330" s="4"/>
      <c r="AJ330" s="4"/>
      <c r="AK330" s="4"/>
      <c r="AL330" s="4"/>
      <c r="AM330" s="4"/>
      <c r="AN330" s="4"/>
      <c r="AO330" s="12" t="str">
        <f>IF($A330="","",admin!$B$2&amp;"\Charts\"&amp;$A330)</f>
        <v>C:\Backups\InsiderTechSol\Aviation\Jetelio_v3\.LAYOUT\resources\Charts\KABQ</v>
      </c>
      <c r="AP330" s="12" t="str">
        <f>IF($A330="","",admin!$B$2&amp;"\RunwayDiagrams\"&amp;$A330&amp;".pdf")</f>
        <v>C:\Backups\InsiderTechSol\Aviation\Jetelio_v3\.LAYOUT\resources\RunwayDiagrams\KABQ.pdf</v>
      </c>
      <c r="AQ330" s="12" t="str">
        <f>IF($A330="","",admin!$B$2&amp;"\Images\"&amp;$A330)</f>
        <v>C:\Backups\InsiderTechSol\Aviation\Jetelio_v3\.LAYOUT\resources\Images\KABQ</v>
      </c>
      <c r="AR330" s="12" t="str">
        <f>IF($A330="","",admin!$B$2&amp;"\CityMaps\"&amp;$A330&amp;".png")</f>
        <v>C:\Backups\InsiderTechSol\Aviation\Jetelio_v3\.LAYOUT\resources\CityMaps\KABQ.png</v>
      </c>
      <c r="AS330" s="16" t="str">
        <f t="shared" si="32"/>
        <v>VISA sheet</v>
      </c>
      <c r="AT330" s="16" t="str">
        <f t="shared" si="33"/>
        <v>Vendors sheet</v>
      </c>
      <c r="AU330" s="4"/>
      <c r="AV330" s="15">
        <f t="shared" ca="1" si="34"/>
        <v>46243</v>
      </c>
      <c r="AX330" s="6"/>
      <c r="AY330" t="str">
        <f t="shared" si="35"/>
        <v>INCOMPLETE - NOT SELECTABLE AS TECH STOP</v>
      </c>
    </row>
    <row r="331" spans="1:51" x14ac:dyDescent="0.3">
      <c r="A331" s="4" t="s">
        <v>1503</v>
      </c>
      <c r="B331" s="4" t="s">
        <v>1504</v>
      </c>
      <c r="C331" s="4" t="s">
        <v>1504</v>
      </c>
      <c r="D331" s="4"/>
      <c r="E331" s="4" t="s">
        <v>1704</v>
      </c>
      <c r="F331" s="4" t="s">
        <v>82</v>
      </c>
      <c r="G331" s="4"/>
      <c r="H331" s="4" t="s">
        <v>1965</v>
      </c>
      <c r="I331" s="4" t="s">
        <v>1967</v>
      </c>
      <c r="J331" s="4"/>
      <c r="K331" s="4"/>
      <c r="L331" s="4"/>
      <c r="M331" s="4"/>
      <c r="N331" s="12" t="str">
        <f t="shared" si="30"/>
        <v>42°44′54″N 073°48′06″W</v>
      </c>
      <c r="O331" s="7">
        <v>42.7483</v>
      </c>
      <c r="P331" s="7">
        <v>-73.801699999999997</v>
      </c>
      <c r="Q331" s="13">
        <f t="shared" si="31"/>
        <v>87</v>
      </c>
      <c r="R331" s="11">
        <v>285</v>
      </c>
      <c r="S331" s="4"/>
      <c r="T331" s="4" t="s">
        <v>2101</v>
      </c>
      <c r="U331" s="8">
        <v>-5</v>
      </c>
      <c r="V331" s="14">
        <f ca="1">IF($U331="","",MOD(NOW()-admin!$B$1/24+$U331/24,1))</f>
        <v>0.40349305554991588</v>
      </c>
      <c r="W331" s="4"/>
      <c r="X331" s="4"/>
      <c r="Y331" s="4"/>
      <c r="Z331" s="4"/>
      <c r="AA331" s="4"/>
      <c r="AB331" s="4"/>
      <c r="AC331" s="4"/>
      <c r="AD331" s="4"/>
      <c r="AE331" s="4" t="s">
        <v>2259</v>
      </c>
      <c r="AF331" s="4"/>
      <c r="AG331" s="4"/>
      <c r="AH331" s="4"/>
      <c r="AI331" s="4"/>
      <c r="AJ331" s="4"/>
      <c r="AK331" s="4"/>
      <c r="AL331" s="4"/>
      <c r="AM331" s="4"/>
      <c r="AN331" s="4"/>
      <c r="AO331" s="12" t="str">
        <f>IF($A331="","",admin!$B$2&amp;"\Charts\"&amp;$A331)</f>
        <v>C:\Backups\InsiderTechSol\Aviation\Jetelio_v3\.LAYOUT\resources\Charts\KALB</v>
      </c>
      <c r="AP331" s="12" t="str">
        <f>IF($A331="","",admin!$B$2&amp;"\RunwayDiagrams\"&amp;$A331&amp;".pdf")</f>
        <v>C:\Backups\InsiderTechSol\Aviation\Jetelio_v3\.LAYOUT\resources\RunwayDiagrams\KALB.pdf</v>
      </c>
      <c r="AQ331" s="12" t="str">
        <f>IF($A331="","",admin!$B$2&amp;"\Images\"&amp;$A331)</f>
        <v>C:\Backups\InsiderTechSol\Aviation\Jetelio_v3\.LAYOUT\resources\Images\KALB</v>
      </c>
      <c r="AR331" s="12" t="str">
        <f>IF($A331="","",admin!$B$2&amp;"\CityMaps\"&amp;$A331&amp;".png")</f>
        <v>C:\Backups\InsiderTechSol\Aviation\Jetelio_v3\.LAYOUT\resources\CityMaps\KALB.png</v>
      </c>
      <c r="AS331" s="16" t="str">
        <f t="shared" si="32"/>
        <v>VISA sheet</v>
      </c>
      <c r="AT331" s="16" t="str">
        <f t="shared" si="33"/>
        <v>Vendors sheet</v>
      </c>
      <c r="AU331" s="4"/>
      <c r="AV331" s="15">
        <f t="shared" ca="1" si="34"/>
        <v>46243</v>
      </c>
      <c r="AX331" s="6"/>
      <c r="AY331" t="str">
        <f t="shared" si="35"/>
        <v>INCOMPLETE - NOT SELECTABLE AS TECH STOP</v>
      </c>
    </row>
    <row r="332" spans="1:51" x14ac:dyDescent="0.3">
      <c r="A332" s="4" t="s">
        <v>1505</v>
      </c>
      <c r="B332" s="4" t="s">
        <v>1506</v>
      </c>
      <c r="C332" s="4"/>
      <c r="D332" s="4"/>
      <c r="E332" s="4" t="s">
        <v>1705</v>
      </c>
      <c r="F332" s="4" t="s">
        <v>82</v>
      </c>
      <c r="G332" s="4"/>
      <c r="H332" s="4" t="s">
        <v>1968</v>
      </c>
      <c r="I332" s="4" t="s">
        <v>1969</v>
      </c>
      <c r="J332" s="4"/>
      <c r="K332" s="4"/>
      <c r="L332" s="4"/>
      <c r="M332" s="4"/>
      <c r="N332" s="12" t="str">
        <f t="shared" si="30"/>
        <v>34°50′08″S 056°01′35″W</v>
      </c>
      <c r="O332" s="7">
        <v>-34.835650000000001</v>
      </c>
      <c r="P332" s="7">
        <v>-56.026499999999999</v>
      </c>
      <c r="Q332" s="13">
        <f t="shared" si="31"/>
        <v>32</v>
      </c>
      <c r="R332" s="11">
        <v>105</v>
      </c>
      <c r="S332" s="4"/>
      <c r="T332" s="4" t="s">
        <v>2102</v>
      </c>
      <c r="U332" s="8">
        <v>-3</v>
      </c>
      <c r="V332" s="14">
        <f ca="1">IF($U332="","",MOD(NOW()-admin!$B$1/24+$U332/24,1))</f>
        <v>0.48682638888567453</v>
      </c>
      <c r="W332" s="4"/>
      <c r="X332" s="4"/>
      <c r="Y332" s="4"/>
      <c r="Z332" s="4"/>
      <c r="AA332" s="4"/>
      <c r="AB332" s="4"/>
      <c r="AC332" s="4"/>
      <c r="AD332" s="4"/>
      <c r="AE332" s="4" t="s">
        <v>2260</v>
      </c>
      <c r="AF332" s="4"/>
      <c r="AG332" s="4"/>
      <c r="AH332" s="4"/>
      <c r="AI332" s="4"/>
      <c r="AJ332" s="4"/>
      <c r="AK332" s="4"/>
      <c r="AL332" s="4"/>
      <c r="AM332" s="4"/>
      <c r="AN332" s="4"/>
      <c r="AO332" s="12" t="str">
        <f>IF($A332="","",admin!$B$2&amp;"\Charts\"&amp;$A332)</f>
        <v>C:\Backups\InsiderTechSol\Aviation\Jetelio_v3\.LAYOUT\resources\Charts\SUMU</v>
      </c>
      <c r="AP332" s="12" t="str">
        <f>IF($A332="","",admin!$B$2&amp;"\RunwayDiagrams\"&amp;$A332&amp;".pdf")</f>
        <v>C:\Backups\InsiderTechSol\Aviation\Jetelio_v3\.LAYOUT\resources\RunwayDiagrams\SUMU.pdf</v>
      </c>
      <c r="AQ332" s="12" t="str">
        <f>IF($A332="","",admin!$B$2&amp;"\Images\"&amp;$A332)</f>
        <v>C:\Backups\InsiderTechSol\Aviation\Jetelio_v3\.LAYOUT\resources\Images\SUMU</v>
      </c>
      <c r="AR332" s="12" t="str">
        <f>IF($A332="","",admin!$B$2&amp;"\CityMaps\"&amp;$A332&amp;".png")</f>
        <v>C:\Backups\InsiderTechSol\Aviation\Jetelio_v3\.LAYOUT\resources\CityMaps\SUMU.png</v>
      </c>
      <c r="AS332" s="16" t="str">
        <f t="shared" si="32"/>
        <v>VISA sheet</v>
      </c>
      <c r="AT332" s="16" t="str">
        <f t="shared" si="33"/>
        <v>Vendors sheet</v>
      </c>
      <c r="AU332" s="4"/>
      <c r="AV332" s="15">
        <f t="shared" ca="1" si="34"/>
        <v>46243</v>
      </c>
      <c r="AX332" s="6"/>
      <c r="AY332" t="str">
        <f t="shared" si="35"/>
        <v>INCOMPLETE - NOT SELECTABLE AS TECH STOP</v>
      </c>
    </row>
    <row r="333" spans="1:51" x14ac:dyDescent="0.3">
      <c r="A333" s="4" t="s">
        <v>1507</v>
      </c>
      <c r="B333" s="4" t="s">
        <v>1508</v>
      </c>
      <c r="C333" s="4"/>
      <c r="D333" s="4"/>
      <c r="E333" s="4" t="s">
        <v>1706</v>
      </c>
      <c r="F333" s="4" t="s">
        <v>82</v>
      </c>
      <c r="G333" s="4"/>
      <c r="H333" s="4" t="s">
        <v>1970</v>
      </c>
      <c r="I333" s="4" t="s">
        <v>1971</v>
      </c>
      <c r="J333" s="4"/>
      <c r="K333" s="4"/>
      <c r="L333" s="4"/>
      <c r="M333" s="4"/>
      <c r="N333" s="12" t="str">
        <f t="shared" si="30"/>
        <v>40°59′05″N 071°33′28″E</v>
      </c>
      <c r="O333" s="7">
        <v>40.98462</v>
      </c>
      <c r="P333" s="7">
        <v>71.5578</v>
      </c>
      <c r="Q333" s="13">
        <f t="shared" si="31"/>
        <v>474</v>
      </c>
      <c r="R333" s="11">
        <v>1555</v>
      </c>
      <c r="S333" s="4"/>
      <c r="T333" s="4"/>
      <c r="U333" s="8"/>
      <c r="V333" s="14" t="str">
        <f ca="1">IF($U333="","",MOD(NOW()-admin!$B$1/24+$U333/24,1))</f>
        <v/>
      </c>
      <c r="W333" s="4"/>
      <c r="X333" s="4"/>
      <c r="Y333" s="4"/>
      <c r="Z333" s="4"/>
      <c r="AA333" s="4"/>
      <c r="AB333" s="4"/>
      <c r="AC333" s="4"/>
      <c r="AD333" s="4"/>
      <c r="AE333" s="4" t="s">
        <v>2261</v>
      </c>
      <c r="AF333" s="4"/>
      <c r="AG333" s="4"/>
      <c r="AH333" s="4"/>
      <c r="AI333" s="4"/>
      <c r="AJ333" s="4"/>
      <c r="AK333" s="4"/>
      <c r="AL333" s="4"/>
      <c r="AM333" s="4"/>
      <c r="AN333" s="4"/>
      <c r="AO333" s="12" t="str">
        <f>IF($A333="","",admin!$B$2&amp;"\Charts\"&amp;$A333)</f>
        <v>C:\Backups\InsiderTechSol\Aviation\Jetelio_v3\.LAYOUT\resources\Charts\UZFN</v>
      </c>
      <c r="AP333" s="12" t="str">
        <f>IF($A333="","",admin!$B$2&amp;"\RunwayDiagrams\"&amp;$A333&amp;".pdf")</f>
        <v>C:\Backups\InsiderTechSol\Aviation\Jetelio_v3\.LAYOUT\resources\RunwayDiagrams\UZFN.pdf</v>
      </c>
      <c r="AQ333" s="12" t="str">
        <f>IF($A333="","",admin!$B$2&amp;"\Images\"&amp;$A333)</f>
        <v>C:\Backups\InsiderTechSol\Aviation\Jetelio_v3\.LAYOUT\resources\Images\UZFN</v>
      </c>
      <c r="AR333" s="12" t="str">
        <f>IF($A333="","",admin!$B$2&amp;"\CityMaps\"&amp;$A333&amp;".png")</f>
        <v>C:\Backups\InsiderTechSol\Aviation\Jetelio_v3\.LAYOUT\resources\CityMaps\UZFN.png</v>
      </c>
      <c r="AS333" s="16" t="str">
        <f t="shared" si="32"/>
        <v>VISA sheet</v>
      </c>
      <c r="AT333" s="16" t="str">
        <f t="shared" si="33"/>
        <v>Vendors sheet</v>
      </c>
      <c r="AU333" s="4"/>
      <c r="AV333" s="15">
        <f t="shared" ca="1" si="34"/>
        <v>46243</v>
      </c>
      <c r="AX333" s="6"/>
      <c r="AY333" t="str">
        <f t="shared" si="35"/>
        <v>INCOMPLETE - NOT SELECTABLE AS TECH STOP</v>
      </c>
    </row>
    <row r="334" spans="1:51" x14ac:dyDescent="0.3">
      <c r="A334" s="4" t="s">
        <v>1509</v>
      </c>
      <c r="B334" s="4" t="s">
        <v>1510</v>
      </c>
      <c r="C334" s="4"/>
      <c r="D334" s="4"/>
      <c r="E334" s="4" t="s">
        <v>1707</v>
      </c>
      <c r="F334" s="4" t="s">
        <v>82</v>
      </c>
      <c r="G334" s="4"/>
      <c r="H334" s="4" t="s">
        <v>1970</v>
      </c>
      <c r="I334" s="4" t="s">
        <v>1972</v>
      </c>
      <c r="J334" s="4"/>
      <c r="K334" s="4"/>
      <c r="L334" s="4"/>
      <c r="M334" s="4"/>
      <c r="N334" s="12" t="str">
        <f t="shared" si="30"/>
        <v>42°29′18″N 059°37′24″E</v>
      </c>
      <c r="O334" s="7">
        <v>42.488399999999999</v>
      </c>
      <c r="P334" s="7">
        <v>59.6233</v>
      </c>
      <c r="Q334" s="13">
        <f t="shared" si="31"/>
        <v>75</v>
      </c>
      <c r="R334" s="11">
        <v>246</v>
      </c>
      <c r="S334" s="4"/>
      <c r="T334" s="4"/>
      <c r="U334" s="8"/>
      <c r="V334" s="14" t="str">
        <f ca="1">IF($U334="","",MOD(NOW()-admin!$B$1/24+$U334/24,1))</f>
        <v/>
      </c>
      <c r="W334" s="4"/>
      <c r="X334" s="4"/>
      <c r="Y334" s="4"/>
      <c r="Z334" s="4"/>
      <c r="AA334" s="4"/>
      <c r="AB334" s="4"/>
      <c r="AC334" s="4"/>
      <c r="AD334" s="4"/>
      <c r="AE334" s="4" t="s">
        <v>2262</v>
      </c>
      <c r="AF334" s="4"/>
      <c r="AG334" s="4"/>
      <c r="AH334" s="4"/>
      <c r="AI334" s="4"/>
      <c r="AJ334" s="4"/>
      <c r="AK334" s="4"/>
      <c r="AL334" s="4"/>
      <c r="AM334" s="4"/>
      <c r="AN334" s="4"/>
      <c r="AO334" s="12" t="str">
        <f>IF($A334="","",admin!$B$2&amp;"\Charts\"&amp;$A334)</f>
        <v>C:\Backups\InsiderTechSol\Aviation\Jetelio_v3\.LAYOUT\resources\Charts\UZNN</v>
      </c>
      <c r="AP334" s="12" t="str">
        <f>IF($A334="","",admin!$B$2&amp;"\RunwayDiagrams\"&amp;$A334&amp;".pdf")</f>
        <v>C:\Backups\InsiderTechSol\Aviation\Jetelio_v3\.LAYOUT\resources\RunwayDiagrams\UZNN.pdf</v>
      </c>
      <c r="AQ334" s="12" t="str">
        <f>IF($A334="","",admin!$B$2&amp;"\Images\"&amp;$A334)</f>
        <v>C:\Backups\InsiderTechSol\Aviation\Jetelio_v3\.LAYOUT\resources\Images\UZNN</v>
      </c>
      <c r="AR334" s="12" t="str">
        <f>IF($A334="","",admin!$B$2&amp;"\CityMaps\"&amp;$A334&amp;".png")</f>
        <v>C:\Backups\InsiderTechSol\Aviation\Jetelio_v3\.LAYOUT\resources\CityMaps\UZNN.png</v>
      </c>
      <c r="AS334" s="16" t="str">
        <f t="shared" si="32"/>
        <v>VISA sheet</v>
      </c>
      <c r="AT334" s="16" t="str">
        <f t="shared" si="33"/>
        <v>Vendors sheet</v>
      </c>
      <c r="AU334" s="4"/>
      <c r="AV334" s="15">
        <f t="shared" ca="1" si="34"/>
        <v>46243</v>
      </c>
      <c r="AX334" s="6"/>
      <c r="AY334" t="str">
        <f t="shared" si="35"/>
        <v>INCOMPLETE - NOT SELECTABLE AS TECH STOP</v>
      </c>
    </row>
    <row r="335" spans="1:51" x14ac:dyDescent="0.3">
      <c r="A335" s="4" t="s">
        <v>1511</v>
      </c>
      <c r="B335" s="4" t="s">
        <v>1512</v>
      </c>
      <c r="C335" s="4"/>
      <c r="D335" s="4"/>
      <c r="E335" s="4" t="s">
        <v>1708</v>
      </c>
      <c r="F335" s="4" t="s">
        <v>82</v>
      </c>
      <c r="G335" s="4"/>
      <c r="H335" s="4" t="s">
        <v>1973</v>
      </c>
      <c r="I335" s="4" t="s">
        <v>1974</v>
      </c>
      <c r="J335" s="4"/>
      <c r="K335" s="4"/>
      <c r="L335" s="4"/>
      <c r="M335" s="4"/>
      <c r="N335" s="12" t="str">
        <f t="shared" si="30"/>
        <v>13°09′35″N 061°08′56″W</v>
      </c>
      <c r="O335" s="7">
        <v>13.15972</v>
      </c>
      <c r="P335" s="7">
        <v>-61.148800000000001</v>
      </c>
      <c r="Q335" s="13">
        <f t="shared" si="31"/>
        <v>41</v>
      </c>
      <c r="R335" s="11">
        <v>136</v>
      </c>
      <c r="S335" s="4"/>
      <c r="T335" s="4" t="s">
        <v>2103</v>
      </c>
      <c r="U335" s="8">
        <v>-4</v>
      </c>
      <c r="V335" s="14">
        <f ca="1">IF($U335="","",MOD(NOW()-admin!$B$1/24+$U335/24,1))</f>
        <v>0.44515972222143319</v>
      </c>
      <c r="W335" s="4"/>
      <c r="X335" s="4"/>
      <c r="Y335" s="4"/>
      <c r="Z335" s="4"/>
      <c r="AA335" s="4"/>
      <c r="AB335" s="4"/>
      <c r="AC335" s="4"/>
      <c r="AD335" s="4"/>
      <c r="AE335" s="4" t="s">
        <v>2263</v>
      </c>
      <c r="AF335" s="4"/>
      <c r="AG335" s="4"/>
      <c r="AH335" s="4"/>
      <c r="AI335" s="4"/>
      <c r="AJ335" s="4"/>
      <c r="AK335" s="4"/>
      <c r="AL335" s="4"/>
      <c r="AM335" s="4"/>
      <c r="AN335" s="4"/>
      <c r="AO335" s="12" t="str">
        <f>IF($A335="","",admin!$B$2&amp;"\Charts\"&amp;$A335)</f>
        <v>C:\Backups\InsiderTechSol\Aviation\Jetelio_v3\.LAYOUT\resources\Charts\TVSA</v>
      </c>
      <c r="AP335" s="12" t="str">
        <f>IF($A335="","",admin!$B$2&amp;"\RunwayDiagrams\"&amp;$A335&amp;".pdf")</f>
        <v>C:\Backups\InsiderTechSol\Aviation\Jetelio_v3\.LAYOUT\resources\RunwayDiagrams\TVSA.pdf</v>
      </c>
      <c r="AQ335" s="12" t="str">
        <f>IF($A335="","",admin!$B$2&amp;"\Images\"&amp;$A335)</f>
        <v>C:\Backups\InsiderTechSol\Aviation\Jetelio_v3\.LAYOUT\resources\Images\TVSA</v>
      </c>
      <c r="AR335" s="12" t="str">
        <f>IF($A335="","",admin!$B$2&amp;"\CityMaps\"&amp;$A335&amp;".png")</f>
        <v>C:\Backups\InsiderTechSol\Aviation\Jetelio_v3\.LAYOUT\resources\CityMaps\TVSA.png</v>
      </c>
      <c r="AS335" s="16" t="str">
        <f t="shared" si="32"/>
        <v>VISA sheet</v>
      </c>
      <c r="AT335" s="16" t="str">
        <f t="shared" si="33"/>
        <v>Vendors sheet</v>
      </c>
      <c r="AU335" s="4"/>
      <c r="AV335" s="15">
        <f t="shared" ca="1" si="34"/>
        <v>46243</v>
      </c>
      <c r="AX335" s="6"/>
      <c r="AY335" t="str">
        <f t="shared" si="35"/>
        <v>INCOMPLETE - NOT SELECTABLE AS TECH STOP</v>
      </c>
    </row>
    <row r="336" spans="1:51" x14ac:dyDescent="0.3">
      <c r="A336" s="4" t="s">
        <v>1513</v>
      </c>
      <c r="B336" s="4" t="s">
        <v>1514</v>
      </c>
      <c r="C336" s="4"/>
      <c r="D336" s="4"/>
      <c r="E336" s="4" t="s">
        <v>1709</v>
      </c>
      <c r="F336" s="4" t="s">
        <v>82</v>
      </c>
      <c r="G336" s="4"/>
      <c r="H336" s="4" t="s">
        <v>1975</v>
      </c>
      <c r="I336" s="4" t="s">
        <v>1976</v>
      </c>
      <c r="J336" s="4"/>
      <c r="K336" s="4"/>
      <c r="L336" s="4"/>
      <c r="M336" s="4"/>
      <c r="N336" s="12" t="str">
        <f t="shared" si="30"/>
        <v>10°06′40″N 064°41′32″W</v>
      </c>
      <c r="O336" s="7">
        <v>10.11111</v>
      </c>
      <c r="P336" s="7">
        <v>-64.692220000000006</v>
      </c>
      <c r="Q336" s="13">
        <f t="shared" si="31"/>
        <v>9</v>
      </c>
      <c r="R336" s="11">
        <v>30</v>
      </c>
      <c r="S336" s="4"/>
      <c r="T336" s="4" t="s">
        <v>2104</v>
      </c>
      <c r="U336" s="8">
        <v>-4</v>
      </c>
      <c r="V336" s="14">
        <f ca="1">IF($U336="","",MOD(NOW()-admin!$B$1/24+$U336/24,1))</f>
        <v>0.44515972222143319</v>
      </c>
      <c r="W336" s="4"/>
      <c r="X336" s="4"/>
      <c r="Y336" s="4"/>
      <c r="Z336" s="4"/>
      <c r="AA336" s="4"/>
      <c r="AB336" s="4"/>
      <c r="AC336" s="4"/>
      <c r="AD336" s="4"/>
      <c r="AE336" s="4" t="s">
        <v>2264</v>
      </c>
      <c r="AF336" s="4"/>
      <c r="AG336" s="4"/>
      <c r="AH336" s="4"/>
      <c r="AI336" s="4"/>
      <c r="AJ336" s="4"/>
      <c r="AK336" s="4"/>
      <c r="AL336" s="4"/>
      <c r="AM336" s="4"/>
      <c r="AN336" s="4"/>
      <c r="AO336" s="12" t="str">
        <f>IF($A336="","",admin!$B$2&amp;"\Charts\"&amp;$A336)</f>
        <v>C:\Backups\InsiderTechSol\Aviation\Jetelio_v3\.LAYOUT\resources\Charts\SVBC</v>
      </c>
      <c r="AP336" s="12" t="str">
        <f>IF($A336="","",admin!$B$2&amp;"\RunwayDiagrams\"&amp;$A336&amp;".pdf")</f>
        <v>C:\Backups\InsiderTechSol\Aviation\Jetelio_v3\.LAYOUT\resources\RunwayDiagrams\SVBC.pdf</v>
      </c>
      <c r="AQ336" s="12" t="str">
        <f>IF($A336="","",admin!$B$2&amp;"\Images\"&amp;$A336)</f>
        <v>C:\Backups\InsiderTechSol\Aviation\Jetelio_v3\.LAYOUT\resources\Images\SVBC</v>
      </c>
      <c r="AR336" s="12" t="str">
        <f>IF($A336="","",admin!$B$2&amp;"\CityMaps\"&amp;$A336&amp;".png")</f>
        <v>C:\Backups\InsiderTechSol\Aviation\Jetelio_v3\.LAYOUT\resources\CityMaps\SVBC.png</v>
      </c>
      <c r="AS336" s="16" t="str">
        <f t="shared" si="32"/>
        <v>VISA sheet</v>
      </c>
      <c r="AT336" s="16" t="str">
        <f t="shared" si="33"/>
        <v>Vendors sheet</v>
      </c>
      <c r="AU336" s="4"/>
      <c r="AV336" s="15">
        <f t="shared" ca="1" si="34"/>
        <v>46243</v>
      </c>
      <c r="AX336" s="6"/>
      <c r="AY336" t="str">
        <f t="shared" si="35"/>
        <v>INCOMPLETE - NOT SELECTABLE AS TECH STOP</v>
      </c>
    </row>
    <row r="337" spans="1:51" x14ac:dyDescent="0.3">
      <c r="A337" s="4" t="s">
        <v>1515</v>
      </c>
      <c r="B337" s="4" t="s">
        <v>1516</v>
      </c>
      <c r="C337" s="4"/>
      <c r="D337" s="4"/>
      <c r="E337" s="4" t="s">
        <v>1710</v>
      </c>
      <c r="F337" s="4" t="s">
        <v>82</v>
      </c>
      <c r="G337" s="4"/>
      <c r="H337" s="4" t="s">
        <v>1975</v>
      </c>
      <c r="I337" s="4" t="s">
        <v>1977</v>
      </c>
      <c r="J337" s="4"/>
      <c r="K337" s="4"/>
      <c r="L337" s="4"/>
      <c r="M337" s="4"/>
      <c r="N337" s="12" t="str">
        <f t="shared" si="30"/>
        <v>10°02′34″N 069°21′31″W</v>
      </c>
      <c r="O337" s="7">
        <v>10.04275</v>
      </c>
      <c r="P337" s="7">
        <v>-69.358620000000002</v>
      </c>
      <c r="Q337" s="13">
        <f t="shared" si="31"/>
        <v>622</v>
      </c>
      <c r="R337" s="11">
        <v>2042</v>
      </c>
      <c r="S337" s="4"/>
      <c r="T337" s="4" t="s">
        <v>2104</v>
      </c>
      <c r="U337" s="8">
        <v>-4</v>
      </c>
      <c r="V337" s="14">
        <f ca="1">IF($U337="","",MOD(NOW()-admin!$B$1/24+$U337/24,1))</f>
        <v>0.44515972222143319</v>
      </c>
      <c r="W337" s="4"/>
      <c r="X337" s="4"/>
      <c r="Y337" s="4"/>
      <c r="Z337" s="4"/>
      <c r="AA337" s="4"/>
      <c r="AB337" s="4"/>
      <c r="AC337" s="4"/>
      <c r="AD337" s="4"/>
      <c r="AE337" s="4" t="s">
        <v>2265</v>
      </c>
      <c r="AF337" s="4"/>
      <c r="AG337" s="4"/>
      <c r="AH337" s="4"/>
      <c r="AI337" s="4"/>
      <c r="AJ337" s="4"/>
      <c r="AK337" s="4"/>
      <c r="AL337" s="4"/>
      <c r="AM337" s="4"/>
      <c r="AN337" s="4"/>
      <c r="AO337" s="12" t="str">
        <f>IF($A337="","",admin!$B$2&amp;"\Charts\"&amp;$A337)</f>
        <v>C:\Backups\InsiderTechSol\Aviation\Jetelio_v3\.LAYOUT\resources\Charts\SVBM</v>
      </c>
      <c r="AP337" s="12" t="str">
        <f>IF($A337="","",admin!$B$2&amp;"\RunwayDiagrams\"&amp;$A337&amp;".pdf")</f>
        <v>C:\Backups\InsiderTechSol\Aviation\Jetelio_v3\.LAYOUT\resources\RunwayDiagrams\SVBM.pdf</v>
      </c>
      <c r="AQ337" s="12" t="str">
        <f>IF($A337="","",admin!$B$2&amp;"\Images\"&amp;$A337)</f>
        <v>C:\Backups\InsiderTechSol\Aviation\Jetelio_v3\.LAYOUT\resources\Images\SVBM</v>
      </c>
      <c r="AR337" s="12" t="str">
        <f>IF($A337="","",admin!$B$2&amp;"\CityMaps\"&amp;$A337&amp;".png")</f>
        <v>C:\Backups\InsiderTechSol\Aviation\Jetelio_v3\.LAYOUT\resources\CityMaps\SVBM.png</v>
      </c>
      <c r="AS337" s="16" t="str">
        <f t="shared" si="32"/>
        <v>VISA sheet</v>
      </c>
      <c r="AT337" s="16" t="str">
        <f t="shared" si="33"/>
        <v>Vendors sheet</v>
      </c>
      <c r="AU337" s="4"/>
      <c r="AV337" s="15">
        <f t="shared" ca="1" si="34"/>
        <v>46243</v>
      </c>
      <c r="AX337" s="6"/>
      <c r="AY337" t="str">
        <f t="shared" si="35"/>
        <v>INCOMPLETE - NOT SELECTABLE AS TECH STOP</v>
      </c>
    </row>
    <row r="338" spans="1:51" x14ac:dyDescent="0.3">
      <c r="A338" s="4" t="s">
        <v>1517</v>
      </c>
      <c r="B338" s="4" t="s">
        <v>1518</v>
      </c>
      <c r="C338" s="4"/>
      <c r="D338" s="4"/>
      <c r="E338" s="4" t="s">
        <v>1711</v>
      </c>
      <c r="F338" s="4" t="s">
        <v>82</v>
      </c>
      <c r="G338" s="4"/>
      <c r="H338" s="4" t="s">
        <v>1978</v>
      </c>
      <c r="I338" s="4" t="s">
        <v>1979</v>
      </c>
      <c r="J338" s="4"/>
      <c r="K338" s="4"/>
      <c r="L338" s="4"/>
      <c r="M338" s="4"/>
      <c r="N338" s="12" t="str">
        <f t="shared" si="30"/>
        <v>18°26′44″N 064°32′30″W</v>
      </c>
      <c r="O338" s="7">
        <v>18.445489999999999</v>
      </c>
      <c r="P338" s="7">
        <v>-64.541709999999995</v>
      </c>
      <c r="Q338" s="13">
        <f t="shared" si="31"/>
        <v>5</v>
      </c>
      <c r="R338" s="11">
        <v>15</v>
      </c>
      <c r="S338" s="4"/>
      <c r="T338" s="4" t="s">
        <v>2105</v>
      </c>
      <c r="U338" s="8">
        <v>-4</v>
      </c>
      <c r="V338" s="14">
        <f ca="1">IF($U338="","",MOD(NOW()-admin!$B$1/24+$U338/24,1))</f>
        <v>0.44515972222143319</v>
      </c>
      <c r="W338" s="4"/>
      <c r="X338" s="4"/>
      <c r="Y338" s="4"/>
      <c r="Z338" s="4"/>
      <c r="AA338" s="4"/>
      <c r="AB338" s="4"/>
      <c r="AC338" s="4"/>
      <c r="AD338" s="4"/>
      <c r="AE338" s="4" t="s">
        <v>2266</v>
      </c>
      <c r="AF338" s="4"/>
      <c r="AG338" s="4"/>
      <c r="AH338" s="4"/>
      <c r="AI338" s="4"/>
      <c r="AJ338" s="4"/>
      <c r="AK338" s="4"/>
      <c r="AL338" s="4"/>
      <c r="AM338" s="4"/>
      <c r="AN338" s="4"/>
      <c r="AO338" s="12" t="str">
        <f>IF($A338="","",admin!$B$2&amp;"\Charts\"&amp;$A338)</f>
        <v>C:\Backups\InsiderTechSol\Aviation\Jetelio_v3\.LAYOUT\resources\Charts\TUPJ</v>
      </c>
      <c r="AP338" s="12" t="str">
        <f>IF($A338="","",admin!$B$2&amp;"\RunwayDiagrams\"&amp;$A338&amp;".pdf")</f>
        <v>C:\Backups\InsiderTechSol\Aviation\Jetelio_v3\.LAYOUT\resources\RunwayDiagrams\TUPJ.pdf</v>
      </c>
      <c r="AQ338" s="12" t="str">
        <f>IF($A338="","",admin!$B$2&amp;"\Images\"&amp;$A338)</f>
        <v>C:\Backups\InsiderTechSol\Aviation\Jetelio_v3\.LAYOUT\resources\Images\TUPJ</v>
      </c>
      <c r="AR338" s="12" t="str">
        <f>IF($A338="","",admin!$B$2&amp;"\CityMaps\"&amp;$A338&amp;".png")</f>
        <v>C:\Backups\InsiderTechSol\Aviation\Jetelio_v3\.LAYOUT\resources\CityMaps\TUPJ.png</v>
      </c>
      <c r="AS338" s="16" t="str">
        <f t="shared" si="32"/>
        <v>VISA sheet</v>
      </c>
      <c r="AT338" s="16" t="str">
        <f t="shared" si="33"/>
        <v>Vendors sheet</v>
      </c>
      <c r="AU338" s="4"/>
      <c r="AV338" s="15">
        <f t="shared" ca="1" si="34"/>
        <v>46243</v>
      </c>
      <c r="AX338" s="6"/>
      <c r="AY338" t="str">
        <f t="shared" si="35"/>
        <v>INCOMPLETE - NOT SELECTABLE AS TECH STOP</v>
      </c>
    </row>
    <row r="339" spans="1:51" x14ac:dyDescent="0.3">
      <c r="A339" s="4" t="s">
        <v>1519</v>
      </c>
      <c r="B339" s="4" t="s">
        <v>1520</v>
      </c>
      <c r="C339" s="4"/>
      <c r="D339" s="4"/>
      <c r="E339" s="4" t="s">
        <v>1712</v>
      </c>
      <c r="F339" s="4" t="s">
        <v>82</v>
      </c>
      <c r="G339" s="4"/>
      <c r="H339" s="4" t="s">
        <v>1980</v>
      </c>
      <c r="I339" s="4" t="s">
        <v>1981</v>
      </c>
      <c r="J339" s="4"/>
      <c r="K339" s="4"/>
      <c r="L339" s="4"/>
      <c r="M339" s="4"/>
      <c r="N339" s="12" t="str">
        <f t="shared" si="30"/>
        <v>18°20′14″N 064°58′38″W</v>
      </c>
      <c r="O339" s="7">
        <v>18.33709</v>
      </c>
      <c r="P339" s="7">
        <v>-64.977249999999998</v>
      </c>
      <c r="Q339" s="13">
        <f t="shared" si="31"/>
        <v>7</v>
      </c>
      <c r="R339" s="11">
        <v>23</v>
      </c>
      <c r="S339" s="4"/>
      <c r="T339" s="4" t="s">
        <v>2106</v>
      </c>
      <c r="U339" s="8">
        <v>-4</v>
      </c>
      <c r="V339" s="14">
        <f ca="1">IF($U339="","",MOD(NOW()-admin!$B$1/24+$U339/24,1))</f>
        <v>0.44515972222143319</v>
      </c>
      <c r="W339" s="4"/>
      <c r="X339" s="4"/>
      <c r="Y339" s="4"/>
      <c r="Z339" s="4"/>
      <c r="AA339" s="4"/>
      <c r="AB339" s="4"/>
      <c r="AC339" s="4"/>
      <c r="AD339" s="4"/>
      <c r="AE339" s="4" t="s">
        <v>2267</v>
      </c>
      <c r="AF339" s="4"/>
      <c r="AG339" s="4"/>
      <c r="AH339" s="4"/>
      <c r="AI339" s="4"/>
      <c r="AJ339" s="4"/>
      <c r="AK339" s="4"/>
      <c r="AL339" s="4"/>
      <c r="AM339" s="4"/>
      <c r="AN339" s="4"/>
      <c r="AO339" s="12" t="str">
        <f>IF($A339="","",admin!$B$2&amp;"\Charts\"&amp;$A339)</f>
        <v>C:\Backups\InsiderTechSol\Aviation\Jetelio_v3\.LAYOUT\resources\Charts\TIST</v>
      </c>
      <c r="AP339" s="12" t="str">
        <f>IF($A339="","",admin!$B$2&amp;"\RunwayDiagrams\"&amp;$A339&amp;".pdf")</f>
        <v>C:\Backups\InsiderTechSol\Aviation\Jetelio_v3\.LAYOUT\resources\RunwayDiagrams\TIST.pdf</v>
      </c>
      <c r="AQ339" s="12" t="str">
        <f>IF($A339="","",admin!$B$2&amp;"\Images\"&amp;$A339)</f>
        <v>C:\Backups\InsiderTechSol\Aviation\Jetelio_v3\.LAYOUT\resources\Images\TIST</v>
      </c>
      <c r="AR339" s="12" t="str">
        <f>IF($A339="","",admin!$B$2&amp;"\CityMaps\"&amp;$A339&amp;".png")</f>
        <v>C:\Backups\InsiderTechSol\Aviation\Jetelio_v3\.LAYOUT\resources\CityMaps\TIST.png</v>
      </c>
      <c r="AS339" s="16" t="str">
        <f t="shared" si="32"/>
        <v>VISA sheet</v>
      </c>
      <c r="AT339" s="16" t="str">
        <f t="shared" si="33"/>
        <v>Vendors sheet</v>
      </c>
      <c r="AU339" s="4"/>
      <c r="AV339" s="15">
        <f t="shared" ca="1" si="34"/>
        <v>46243</v>
      </c>
      <c r="AX339" s="6"/>
      <c r="AY339" t="str">
        <f t="shared" si="35"/>
        <v>INCOMPLETE - NOT SELECTABLE AS TECH STOP</v>
      </c>
    </row>
    <row r="340" spans="1:51" x14ac:dyDescent="0.3">
      <c r="A340" s="4" t="s">
        <v>1521</v>
      </c>
      <c r="B340" s="4" t="s">
        <v>1522</v>
      </c>
      <c r="C340" s="4"/>
      <c r="D340" s="4"/>
      <c r="E340" s="4" t="s">
        <v>1713</v>
      </c>
      <c r="F340" s="4" t="s">
        <v>82</v>
      </c>
      <c r="G340" s="4"/>
      <c r="H340" s="4" t="s">
        <v>1982</v>
      </c>
      <c r="I340" s="4" t="s">
        <v>1983</v>
      </c>
      <c r="J340" s="4"/>
      <c r="K340" s="4"/>
      <c r="L340" s="4"/>
      <c r="M340" s="4"/>
      <c r="N340" s="12" t="str">
        <f t="shared" si="30"/>
        <v>20°49′03″N 106°43′28″E</v>
      </c>
      <c r="O340" s="7">
        <v>20.817430000000002</v>
      </c>
      <c r="P340" s="7">
        <v>106.72432000000001</v>
      </c>
      <c r="Q340" s="13">
        <f t="shared" si="31"/>
        <v>2</v>
      </c>
      <c r="R340" s="11">
        <v>6</v>
      </c>
      <c r="S340" s="4"/>
      <c r="T340" s="4" t="s">
        <v>2107</v>
      </c>
      <c r="U340" s="8">
        <v>7</v>
      </c>
      <c r="V340" s="14">
        <f ca="1">IF($U340="","",MOD(NOW()-admin!$B$1/24+$U340/24,1))</f>
        <v>0.90349305554991588</v>
      </c>
      <c r="W340" s="4"/>
      <c r="X340" s="4"/>
      <c r="Y340" s="4"/>
      <c r="Z340" s="4"/>
      <c r="AA340" s="4"/>
      <c r="AB340" s="4"/>
      <c r="AC340" s="4"/>
      <c r="AD340" s="4"/>
      <c r="AE340" s="4" t="s">
        <v>2268</v>
      </c>
      <c r="AF340" s="4"/>
      <c r="AG340" s="4"/>
      <c r="AH340" s="4"/>
      <c r="AI340" s="4"/>
      <c r="AJ340" s="4"/>
      <c r="AK340" s="4"/>
      <c r="AL340" s="4"/>
      <c r="AM340" s="4"/>
      <c r="AN340" s="4"/>
      <c r="AO340" s="12" t="str">
        <f>IF($A340="","",admin!$B$2&amp;"\Charts\"&amp;$A340)</f>
        <v>C:\Backups\InsiderTechSol\Aviation\Jetelio_v3\.LAYOUT\resources\Charts\VVCI</v>
      </c>
      <c r="AP340" s="12" t="str">
        <f>IF($A340="","",admin!$B$2&amp;"\RunwayDiagrams\"&amp;$A340&amp;".pdf")</f>
        <v>C:\Backups\InsiderTechSol\Aviation\Jetelio_v3\.LAYOUT\resources\RunwayDiagrams\VVCI.pdf</v>
      </c>
      <c r="AQ340" s="12" t="str">
        <f>IF($A340="","",admin!$B$2&amp;"\Images\"&amp;$A340)</f>
        <v>C:\Backups\InsiderTechSol\Aviation\Jetelio_v3\.LAYOUT\resources\Images\VVCI</v>
      </c>
      <c r="AR340" s="12" t="str">
        <f>IF($A340="","",admin!$B$2&amp;"\CityMaps\"&amp;$A340&amp;".png")</f>
        <v>C:\Backups\InsiderTechSol\Aviation\Jetelio_v3\.LAYOUT\resources\CityMaps\VVCI.png</v>
      </c>
      <c r="AS340" s="16" t="str">
        <f t="shared" si="32"/>
        <v>VISA sheet</v>
      </c>
      <c r="AT340" s="16" t="str">
        <f t="shared" si="33"/>
        <v>Vendors sheet</v>
      </c>
      <c r="AU340" s="4"/>
      <c r="AV340" s="15">
        <f t="shared" ca="1" si="34"/>
        <v>46243</v>
      </c>
      <c r="AX340" s="6"/>
      <c r="AY340" t="str">
        <f t="shared" si="35"/>
        <v>INCOMPLETE - NOT SELECTABLE AS TECH STOP</v>
      </c>
    </row>
    <row r="341" spans="1:51" x14ac:dyDescent="0.3">
      <c r="A341" s="4" t="s">
        <v>1523</v>
      </c>
      <c r="B341" s="4" t="s">
        <v>1524</v>
      </c>
      <c r="C341" s="4"/>
      <c r="D341" s="4"/>
      <c r="E341" s="4" t="s">
        <v>1714</v>
      </c>
      <c r="F341" s="4" t="s">
        <v>82</v>
      </c>
      <c r="G341" s="4"/>
      <c r="H341" s="4" t="s">
        <v>1982</v>
      </c>
      <c r="I341" s="4" t="s">
        <v>1984</v>
      </c>
      <c r="J341" s="4"/>
      <c r="K341" s="4"/>
      <c r="L341" s="4"/>
      <c r="M341" s="4"/>
      <c r="N341" s="12" t="str">
        <f t="shared" si="30"/>
        <v>11°59′54″N 109°13′08″E</v>
      </c>
      <c r="O341" s="7">
        <v>11.998200000000001</v>
      </c>
      <c r="P341" s="7">
        <v>109.21899999999999</v>
      </c>
      <c r="Q341" s="13">
        <f t="shared" si="31"/>
        <v>12</v>
      </c>
      <c r="R341" s="11">
        <v>40</v>
      </c>
      <c r="S341" s="4"/>
      <c r="T341" s="4" t="s">
        <v>2107</v>
      </c>
      <c r="U341" s="8">
        <v>7</v>
      </c>
      <c r="V341" s="14">
        <f ca="1">IF($U341="","",MOD(NOW()-admin!$B$1/24+$U341/24,1))</f>
        <v>0.90349305554991588</v>
      </c>
      <c r="W341" s="4"/>
      <c r="X341" s="4"/>
      <c r="Y341" s="4"/>
      <c r="Z341" s="4"/>
      <c r="AA341" s="4"/>
      <c r="AB341" s="4"/>
      <c r="AC341" s="4"/>
      <c r="AD341" s="4"/>
      <c r="AE341" s="4" t="s">
        <v>2269</v>
      </c>
      <c r="AF341" s="4"/>
      <c r="AG341" s="4"/>
      <c r="AH341" s="4"/>
      <c r="AI341" s="4"/>
      <c r="AJ341" s="4"/>
      <c r="AK341" s="4"/>
      <c r="AL341" s="4"/>
      <c r="AM341" s="4"/>
      <c r="AN341" s="4"/>
      <c r="AO341" s="12" t="str">
        <f>IF($A341="","",admin!$B$2&amp;"\Charts\"&amp;$A341)</f>
        <v>C:\Backups\InsiderTechSol\Aviation\Jetelio_v3\.LAYOUT\resources\Charts\VVCR</v>
      </c>
      <c r="AP341" s="12" t="str">
        <f>IF($A341="","",admin!$B$2&amp;"\RunwayDiagrams\"&amp;$A341&amp;".pdf")</f>
        <v>C:\Backups\InsiderTechSol\Aviation\Jetelio_v3\.LAYOUT\resources\RunwayDiagrams\VVCR.pdf</v>
      </c>
      <c r="AQ341" s="12" t="str">
        <f>IF($A341="","",admin!$B$2&amp;"\Images\"&amp;$A341)</f>
        <v>C:\Backups\InsiderTechSol\Aviation\Jetelio_v3\.LAYOUT\resources\Images\VVCR</v>
      </c>
      <c r="AR341" s="12" t="str">
        <f>IF($A341="","",admin!$B$2&amp;"\CityMaps\"&amp;$A341&amp;".png")</f>
        <v>C:\Backups\InsiderTechSol\Aviation\Jetelio_v3\.LAYOUT\resources\CityMaps\VVCR.png</v>
      </c>
      <c r="AS341" s="16" t="str">
        <f t="shared" si="32"/>
        <v>VISA sheet</v>
      </c>
      <c r="AT341" s="16" t="str">
        <f t="shared" si="33"/>
        <v>Vendors sheet</v>
      </c>
      <c r="AU341" s="4"/>
      <c r="AV341" s="15">
        <f t="shared" ca="1" si="34"/>
        <v>46243</v>
      </c>
      <c r="AX341" s="6"/>
      <c r="AY341" t="str">
        <f t="shared" si="35"/>
        <v>INCOMPLETE - NOT SELECTABLE AS TECH STOP</v>
      </c>
    </row>
    <row r="342" spans="1:51" x14ac:dyDescent="0.3">
      <c r="A342" s="4" t="s">
        <v>1525</v>
      </c>
      <c r="B342" s="4" t="s">
        <v>1526</v>
      </c>
      <c r="C342" s="4"/>
      <c r="D342" s="4"/>
      <c r="E342" s="4" t="s">
        <v>1715</v>
      </c>
      <c r="F342" s="4" t="s">
        <v>82</v>
      </c>
      <c r="G342" s="4"/>
      <c r="H342" s="4" t="s">
        <v>1985</v>
      </c>
      <c r="I342" s="4" t="s">
        <v>1986</v>
      </c>
      <c r="J342" s="4"/>
      <c r="K342" s="4"/>
      <c r="L342" s="4"/>
      <c r="M342" s="4"/>
      <c r="N342" s="12" t="str">
        <f t="shared" si="30"/>
        <v>17°41′57″S 168°19′12″E</v>
      </c>
      <c r="O342" s="7">
        <v>-17.699300000000001</v>
      </c>
      <c r="P342" s="7">
        <v>168.32001</v>
      </c>
      <c r="Q342" s="13">
        <f t="shared" si="31"/>
        <v>21</v>
      </c>
      <c r="R342" s="11">
        <v>70</v>
      </c>
      <c r="S342" s="4"/>
      <c r="T342" s="4" t="s">
        <v>2108</v>
      </c>
      <c r="U342" s="8">
        <v>11</v>
      </c>
      <c r="V342" s="14">
        <f ca="1">IF($U342="","",MOD(NOW()-admin!$B$1/24+$U342/24,1))</f>
        <v>7.0159722221433185E-2</v>
      </c>
      <c r="W342" s="4"/>
      <c r="X342" s="4"/>
      <c r="Y342" s="4"/>
      <c r="Z342" s="4"/>
      <c r="AA342" s="4"/>
      <c r="AB342" s="4"/>
      <c r="AC342" s="4"/>
      <c r="AD342" s="4"/>
      <c r="AE342" s="4" t="s">
        <v>2270</v>
      </c>
      <c r="AF342" s="4"/>
      <c r="AG342" s="4"/>
      <c r="AH342" s="4"/>
      <c r="AI342" s="4"/>
      <c r="AJ342" s="4"/>
      <c r="AK342" s="4"/>
      <c r="AL342" s="4"/>
      <c r="AM342" s="4"/>
      <c r="AN342" s="4"/>
      <c r="AO342" s="12" t="str">
        <f>IF($A342="","",admin!$B$2&amp;"\Charts\"&amp;$A342)</f>
        <v>C:\Backups\InsiderTechSol\Aviation\Jetelio_v3\.LAYOUT\resources\Charts\NVVV</v>
      </c>
      <c r="AP342" s="12" t="str">
        <f>IF($A342="","",admin!$B$2&amp;"\RunwayDiagrams\"&amp;$A342&amp;".pdf")</f>
        <v>C:\Backups\InsiderTechSol\Aviation\Jetelio_v3\.LAYOUT\resources\RunwayDiagrams\NVVV.pdf</v>
      </c>
      <c r="AQ342" s="12" t="str">
        <f>IF($A342="","",admin!$B$2&amp;"\Images\"&amp;$A342)</f>
        <v>C:\Backups\InsiderTechSol\Aviation\Jetelio_v3\.LAYOUT\resources\Images\NVVV</v>
      </c>
      <c r="AR342" s="12" t="str">
        <f>IF($A342="","",admin!$B$2&amp;"\CityMaps\"&amp;$A342&amp;".png")</f>
        <v>C:\Backups\InsiderTechSol\Aviation\Jetelio_v3\.LAYOUT\resources\CityMaps\NVVV.png</v>
      </c>
      <c r="AS342" s="16" t="str">
        <f t="shared" si="32"/>
        <v>VISA sheet</v>
      </c>
      <c r="AT342" s="16" t="str">
        <f t="shared" si="33"/>
        <v>Vendors sheet</v>
      </c>
      <c r="AU342" s="4"/>
      <c r="AV342" s="15">
        <f t="shared" ca="1" si="34"/>
        <v>46243</v>
      </c>
      <c r="AX342" s="6"/>
      <c r="AY342" t="str">
        <f t="shared" si="35"/>
        <v>INCOMPLETE - NOT SELECTABLE AS TECH STOP</v>
      </c>
    </row>
    <row r="343" spans="1:51" x14ac:dyDescent="0.3">
      <c r="A343" s="4" t="s">
        <v>1527</v>
      </c>
      <c r="B343" s="4" t="s">
        <v>1528</v>
      </c>
      <c r="C343" s="4"/>
      <c r="D343" s="4"/>
      <c r="E343" s="4" t="s">
        <v>1716</v>
      </c>
      <c r="F343" s="4" t="s">
        <v>82</v>
      </c>
      <c r="G343" s="4"/>
      <c r="H343" s="4" t="s">
        <v>1987</v>
      </c>
      <c r="I343" s="4" t="s">
        <v>1988</v>
      </c>
      <c r="J343" s="4"/>
      <c r="K343" s="4"/>
      <c r="L343" s="4"/>
      <c r="M343" s="4"/>
      <c r="N343" s="12" t="str">
        <f t="shared" si="30"/>
        <v>13°14′22″S 176°11′55″W</v>
      </c>
      <c r="O343" s="7">
        <v>-13.23944</v>
      </c>
      <c r="P343" s="7">
        <v>-176.19864999999999</v>
      </c>
      <c r="Q343" s="13">
        <f t="shared" si="31"/>
        <v>24</v>
      </c>
      <c r="R343" s="11">
        <v>79</v>
      </c>
      <c r="S343" s="4"/>
      <c r="T343" s="4" t="s">
        <v>2109</v>
      </c>
      <c r="U343" s="8">
        <v>12</v>
      </c>
      <c r="V343" s="14">
        <f ca="1">IF($U343="","",MOD(NOW()-admin!$B$1/24+$U343/24,1))</f>
        <v>0.11182638888567453</v>
      </c>
      <c r="W343" s="4"/>
      <c r="X343" s="4"/>
      <c r="Y343" s="4"/>
      <c r="Z343" s="4"/>
      <c r="AA343" s="4"/>
      <c r="AB343" s="4"/>
      <c r="AC343" s="4"/>
      <c r="AD343" s="4"/>
      <c r="AE343" s="4" t="s">
        <v>2271</v>
      </c>
      <c r="AF343" s="4"/>
      <c r="AG343" s="4"/>
      <c r="AH343" s="4"/>
      <c r="AI343" s="4"/>
      <c r="AJ343" s="4"/>
      <c r="AK343" s="4"/>
      <c r="AL343" s="4"/>
      <c r="AM343" s="4"/>
      <c r="AN343" s="4"/>
      <c r="AO343" s="12" t="str">
        <f>IF($A343="","",admin!$B$2&amp;"\Charts\"&amp;$A343)</f>
        <v>C:\Backups\InsiderTechSol\Aviation\Jetelio_v3\.LAYOUT\resources\Charts\NLWW</v>
      </c>
      <c r="AP343" s="12" t="str">
        <f>IF($A343="","",admin!$B$2&amp;"\RunwayDiagrams\"&amp;$A343&amp;".pdf")</f>
        <v>C:\Backups\InsiderTechSol\Aviation\Jetelio_v3\.LAYOUT\resources\RunwayDiagrams\NLWW.pdf</v>
      </c>
      <c r="AQ343" s="12" t="str">
        <f>IF($A343="","",admin!$B$2&amp;"\Images\"&amp;$A343)</f>
        <v>C:\Backups\InsiderTechSol\Aviation\Jetelio_v3\.LAYOUT\resources\Images\NLWW</v>
      </c>
      <c r="AR343" s="12" t="str">
        <f>IF($A343="","",admin!$B$2&amp;"\CityMaps\"&amp;$A343&amp;".png")</f>
        <v>C:\Backups\InsiderTechSol\Aviation\Jetelio_v3\.LAYOUT\resources\CityMaps\NLWW.png</v>
      </c>
      <c r="AS343" s="16" t="str">
        <f t="shared" si="32"/>
        <v>VISA sheet</v>
      </c>
      <c r="AT343" s="16" t="str">
        <f t="shared" si="33"/>
        <v>Vendors sheet</v>
      </c>
      <c r="AU343" s="4"/>
      <c r="AV343" s="15">
        <f t="shared" ca="1" si="34"/>
        <v>46243</v>
      </c>
      <c r="AX343" s="6"/>
      <c r="AY343" t="str">
        <f t="shared" si="35"/>
        <v>INCOMPLETE - NOT SELECTABLE AS TECH STOP</v>
      </c>
    </row>
    <row r="344" spans="1:51" x14ac:dyDescent="0.3">
      <c r="A344" s="4" t="s">
        <v>1529</v>
      </c>
      <c r="B344" s="4" t="s">
        <v>1530</v>
      </c>
      <c r="C344" s="4"/>
      <c r="D344" s="4"/>
      <c r="E344" s="4" t="s">
        <v>1717</v>
      </c>
      <c r="F344" s="4" t="s">
        <v>82</v>
      </c>
      <c r="G344" s="4"/>
      <c r="H344" s="4" t="s">
        <v>1989</v>
      </c>
      <c r="I344" s="4" t="s">
        <v>1990</v>
      </c>
      <c r="J344" s="4"/>
      <c r="K344" s="4"/>
      <c r="L344" s="4"/>
      <c r="M344" s="4"/>
      <c r="N344" s="12" t="str">
        <f t="shared" si="30"/>
        <v>13°49′48″S 172°00′29″W</v>
      </c>
      <c r="O344" s="7">
        <v>-13.83</v>
      </c>
      <c r="P344" s="7">
        <v>-172.00800000000001</v>
      </c>
      <c r="Q344" s="13">
        <f t="shared" si="31"/>
        <v>18</v>
      </c>
      <c r="R344" s="11">
        <v>58</v>
      </c>
      <c r="S344" s="4"/>
      <c r="T344" s="4" t="s">
        <v>2110</v>
      </c>
      <c r="U344" s="8">
        <v>13</v>
      </c>
      <c r="V344" s="14">
        <f ca="1">IF($U344="","",MOD(NOW()-admin!$B$1/24+$U344/24,1))</f>
        <v>0.15349305554991588</v>
      </c>
      <c r="W344" s="4"/>
      <c r="X344" s="4"/>
      <c r="Y344" s="4"/>
      <c r="Z344" s="4"/>
      <c r="AA344" s="4"/>
      <c r="AB344" s="4"/>
      <c r="AC344" s="4"/>
      <c r="AD344" s="4"/>
      <c r="AE344" s="4" t="s">
        <v>2272</v>
      </c>
      <c r="AF344" s="4"/>
      <c r="AG344" s="4"/>
      <c r="AH344" s="4"/>
      <c r="AI344" s="4"/>
      <c r="AJ344" s="4"/>
      <c r="AK344" s="4"/>
      <c r="AL344" s="4"/>
      <c r="AM344" s="4"/>
      <c r="AN344" s="4"/>
      <c r="AO344" s="12" t="str">
        <f>IF($A344="","",admin!$B$2&amp;"\Charts\"&amp;$A344)</f>
        <v>C:\Backups\InsiderTechSol\Aviation\Jetelio_v3\.LAYOUT\resources\Charts\NSFA</v>
      </c>
      <c r="AP344" s="12" t="str">
        <f>IF($A344="","",admin!$B$2&amp;"\RunwayDiagrams\"&amp;$A344&amp;".pdf")</f>
        <v>C:\Backups\InsiderTechSol\Aviation\Jetelio_v3\.LAYOUT\resources\RunwayDiagrams\NSFA.pdf</v>
      </c>
      <c r="AQ344" s="12" t="str">
        <f>IF($A344="","",admin!$B$2&amp;"\Images\"&amp;$A344)</f>
        <v>C:\Backups\InsiderTechSol\Aviation\Jetelio_v3\.LAYOUT\resources\Images\NSFA</v>
      </c>
      <c r="AR344" s="12" t="str">
        <f>IF($A344="","",admin!$B$2&amp;"\CityMaps\"&amp;$A344&amp;".png")</f>
        <v>C:\Backups\InsiderTechSol\Aviation\Jetelio_v3\.LAYOUT\resources\CityMaps\NSFA.png</v>
      </c>
      <c r="AS344" s="16" t="str">
        <f t="shared" si="32"/>
        <v>VISA sheet</v>
      </c>
      <c r="AT344" s="16" t="str">
        <f t="shared" si="33"/>
        <v>Vendors sheet</v>
      </c>
      <c r="AU344" s="4"/>
      <c r="AV344" s="15">
        <f t="shared" ca="1" si="34"/>
        <v>46243</v>
      </c>
      <c r="AX344" s="6"/>
      <c r="AY344" t="str">
        <f t="shared" si="35"/>
        <v>INCOMPLETE - NOT SELECTABLE AS TECH STOP</v>
      </c>
    </row>
    <row r="345" spans="1:51" x14ac:dyDescent="0.3">
      <c r="A345" s="4" t="s">
        <v>1531</v>
      </c>
      <c r="B345" s="4" t="s">
        <v>1532</v>
      </c>
      <c r="C345" s="4"/>
      <c r="D345" s="4"/>
      <c r="E345" s="4" t="s">
        <v>1718</v>
      </c>
      <c r="F345" s="4" t="s">
        <v>82</v>
      </c>
      <c r="G345" s="4"/>
      <c r="H345" s="4" t="s">
        <v>1991</v>
      </c>
      <c r="I345" s="4" t="s">
        <v>1992</v>
      </c>
      <c r="J345" s="4"/>
      <c r="K345" s="4"/>
      <c r="L345" s="4"/>
      <c r="M345" s="4"/>
      <c r="N345" s="12" t="str">
        <f t="shared" si="30"/>
        <v>42°34′22″N 021°02′09″E</v>
      </c>
      <c r="O345" s="7">
        <v>42.572800000000001</v>
      </c>
      <c r="P345" s="7">
        <v>21.035799999999998</v>
      </c>
      <c r="Q345" s="13">
        <f t="shared" si="31"/>
        <v>545</v>
      </c>
      <c r="R345" s="11">
        <v>1789</v>
      </c>
      <c r="S345" s="4"/>
      <c r="T345" s="4" t="s">
        <v>2065</v>
      </c>
      <c r="U345" s="8">
        <v>1</v>
      </c>
      <c r="V345" s="14">
        <f ca="1">IF($U345="","",MOD(NOW()-admin!$B$1/24+$U345/24,1))</f>
        <v>0.65349305554991588</v>
      </c>
      <c r="W345" s="4"/>
      <c r="X345" s="4"/>
      <c r="Y345" s="4"/>
      <c r="Z345" s="4"/>
      <c r="AA345" s="4"/>
      <c r="AB345" s="4"/>
      <c r="AC345" s="4"/>
      <c r="AD345" s="4"/>
      <c r="AE345" s="4" t="s">
        <v>2273</v>
      </c>
      <c r="AF345" s="4"/>
      <c r="AG345" s="4"/>
      <c r="AH345" s="4"/>
      <c r="AI345" s="4"/>
      <c r="AJ345" s="4"/>
      <c r="AK345" s="4"/>
      <c r="AL345" s="4"/>
      <c r="AM345" s="4"/>
      <c r="AN345" s="4"/>
      <c r="AO345" s="12" t="str">
        <f>IF($A345="","",admin!$B$2&amp;"\Charts\"&amp;$A345)</f>
        <v>C:\Backups\InsiderTechSol\Aviation\Jetelio_v3\.LAYOUT\resources\Charts\BKPR</v>
      </c>
      <c r="AP345" s="12" t="str">
        <f>IF($A345="","",admin!$B$2&amp;"\RunwayDiagrams\"&amp;$A345&amp;".pdf")</f>
        <v>C:\Backups\InsiderTechSol\Aviation\Jetelio_v3\.LAYOUT\resources\RunwayDiagrams\BKPR.pdf</v>
      </c>
      <c r="AQ345" s="12" t="str">
        <f>IF($A345="","",admin!$B$2&amp;"\Images\"&amp;$A345)</f>
        <v>C:\Backups\InsiderTechSol\Aviation\Jetelio_v3\.LAYOUT\resources\Images\BKPR</v>
      </c>
      <c r="AR345" s="12" t="str">
        <f>IF($A345="","",admin!$B$2&amp;"\CityMaps\"&amp;$A345&amp;".png")</f>
        <v>C:\Backups\InsiderTechSol\Aviation\Jetelio_v3\.LAYOUT\resources\CityMaps\BKPR.png</v>
      </c>
      <c r="AS345" s="16" t="str">
        <f t="shared" si="32"/>
        <v>VISA sheet</v>
      </c>
      <c r="AT345" s="16" t="str">
        <f t="shared" si="33"/>
        <v>Vendors sheet</v>
      </c>
      <c r="AU345" s="4"/>
      <c r="AV345" s="15">
        <f t="shared" ca="1" si="34"/>
        <v>46243</v>
      </c>
      <c r="AX345" s="6"/>
      <c r="AY345" t="str">
        <f t="shared" si="35"/>
        <v>INCOMPLETE - NOT SELECTABLE AS TECH STOP</v>
      </c>
    </row>
    <row r="346" spans="1:51" x14ac:dyDescent="0.3">
      <c r="A346" s="4" t="s">
        <v>1533</v>
      </c>
      <c r="B346" s="4" t="s">
        <v>1534</v>
      </c>
      <c r="C346" s="4"/>
      <c r="D346" s="4"/>
      <c r="E346" s="4" t="s">
        <v>1719</v>
      </c>
      <c r="F346" s="4" t="s">
        <v>82</v>
      </c>
      <c r="G346" s="4"/>
      <c r="H346" s="4" t="s">
        <v>1993</v>
      </c>
      <c r="I346" s="4" t="s">
        <v>1994</v>
      </c>
      <c r="J346" s="4"/>
      <c r="K346" s="4"/>
      <c r="L346" s="4"/>
      <c r="M346" s="4"/>
      <c r="N346" s="12" t="str">
        <f t="shared" si="30"/>
        <v>12°49′46″N 045°01′48″E</v>
      </c>
      <c r="O346" s="7">
        <v>12.829560000000001</v>
      </c>
      <c r="P346" s="7">
        <v>45.029980000000002</v>
      </c>
      <c r="Q346" s="13">
        <f t="shared" si="31"/>
        <v>2</v>
      </c>
      <c r="R346" s="11">
        <v>7</v>
      </c>
      <c r="S346" s="4"/>
      <c r="T346" s="4" t="s">
        <v>2111</v>
      </c>
      <c r="U346" s="8">
        <v>3</v>
      </c>
      <c r="V346" s="14">
        <f ca="1">IF($U346="","",MOD(NOW()-admin!$B$1/24+$U346/24,1))</f>
        <v>0.73682638888567453</v>
      </c>
      <c r="W346" s="4"/>
      <c r="X346" s="4"/>
      <c r="Y346" s="4"/>
      <c r="Z346" s="4"/>
      <c r="AA346" s="4"/>
      <c r="AB346" s="4"/>
      <c r="AC346" s="4"/>
      <c r="AD346" s="4"/>
      <c r="AE346" s="4" t="s">
        <v>2274</v>
      </c>
      <c r="AF346" s="4"/>
      <c r="AG346" s="4"/>
      <c r="AH346" s="4"/>
      <c r="AI346" s="4"/>
      <c r="AJ346" s="4"/>
      <c r="AK346" s="4"/>
      <c r="AL346" s="4"/>
      <c r="AM346" s="4"/>
      <c r="AN346" s="4"/>
      <c r="AO346" s="12" t="str">
        <f>IF($A346="","",admin!$B$2&amp;"\Charts\"&amp;$A346)</f>
        <v>C:\Backups\InsiderTechSol\Aviation\Jetelio_v3\.LAYOUT\resources\Charts\OYAA</v>
      </c>
      <c r="AP346" s="12" t="str">
        <f>IF($A346="","",admin!$B$2&amp;"\RunwayDiagrams\"&amp;$A346&amp;".pdf")</f>
        <v>C:\Backups\InsiderTechSol\Aviation\Jetelio_v3\.LAYOUT\resources\RunwayDiagrams\OYAA.pdf</v>
      </c>
      <c r="AQ346" s="12" t="str">
        <f>IF($A346="","",admin!$B$2&amp;"\Images\"&amp;$A346)</f>
        <v>C:\Backups\InsiderTechSol\Aviation\Jetelio_v3\.LAYOUT\resources\Images\OYAA</v>
      </c>
      <c r="AR346" s="12" t="str">
        <f>IF($A346="","",admin!$B$2&amp;"\CityMaps\"&amp;$A346&amp;".png")</f>
        <v>C:\Backups\InsiderTechSol\Aviation\Jetelio_v3\.LAYOUT\resources\CityMaps\OYAA.png</v>
      </c>
      <c r="AS346" s="16" t="str">
        <f t="shared" si="32"/>
        <v>VISA sheet</v>
      </c>
      <c r="AT346" s="16" t="str">
        <f t="shared" si="33"/>
        <v>Vendors sheet</v>
      </c>
      <c r="AU346" s="4"/>
      <c r="AV346" s="15">
        <f t="shared" ca="1" si="34"/>
        <v>46243</v>
      </c>
      <c r="AX346" s="6"/>
      <c r="AY346" t="str">
        <f t="shared" si="35"/>
        <v>INCOMPLETE - NOT SELECTABLE AS TECH STOP</v>
      </c>
    </row>
    <row r="347" spans="1:51" x14ac:dyDescent="0.3">
      <c r="A347" s="4" t="s">
        <v>1535</v>
      </c>
      <c r="B347" s="4" t="s">
        <v>1536</v>
      </c>
      <c r="C347" s="4"/>
      <c r="D347" s="4"/>
      <c r="E347" s="4" t="s">
        <v>1720</v>
      </c>
      <c r="F347" s="4" t="s">
        <v>82</v>
      </c>
      <c r="G347" s="4"/>
      <c r="H347" s="4" t="s">
        <v>1993</v>
      </c>
      <c r="I347" s="4" t="s">
        <v>1995</v>
      </c>
      <c r="J347" s="4"/>
      <c r="K347" s="4"/>
      <c r="L347" s="4"/>
      <c r="M347" s="4"/>
      <c r="N347" s="12" t="str">
        <f t="shared" si="30"/>
        <v>14°39′44″N 049°22′31″E</v>
      </c>
      <c r="O347" s="7">
        <v>14.662240000000001</v>
      </c>
      <c r="P347" s="7">
        <v>49.37529</v>
      </c>
      <c r="Q347" s="13">
        <f t="shared" si="31"/>
        <v>16</v>
      </c>
      <c r="R347" s="11">
        <v>54</v>
      </c>
      <c r="S347" s="4"/>
      <c r="T347" s="4" t="s">
        <v>2111</v>
      </c>
      <c r="U347" s="8">
        <v>3</v>
      </c>
      <c r="V347" s="14">
        <f ca="1">IF($U347="","",MOD(NOW()-admin!$B$1/24+$U347/24,1))</f>
        <v>0.73682638888567453</v>
      </c>
      <c r="W347" s="4"/>
      <c r="X347" s="4"/>
      <c r="Y347" s="4"/>
      <c r="Z347" s="4"/>
      <c r="AA347" s="4"/>
      <c r="AB347" s="4"/>
      <c r="AC347" s="4"/>
      <c r="AD347" s="4"/>
      <c r="AE347" s="4" t="s">
        <v>2275</v>
      </c>
      <c r="AF347" s="4"/>
      <c r="AG347" s="4"/>
      <c r="AH347" s="4"/>
      <c r="AI347" s="4"/>
      <c r="AJ347" s="4"/>
      <c r="AK347" s="4"/>
      <c r="AL347" s="4"/>
      <c r="AM347" s="4"/>
      <c r="AN347" s="4"/>
      <c r="AO347" s="12" t="str">
        <f>IF($A347="","",admin!$B$2&amp;"\Charts\"&amp;$A347)</f>
        <v>C:\Backups\InsiderTechSol\Aviation\Jetelio_v3\.LAYOUT\resources\Charts\OYRN</v>
      </c>
      <c r="AP347" s="12" t="str">
        <f>IF($A347="","",admin!$B$2&amp;"\RunwayDiagrams\"&amp;$A347&amp;".pdf")</f>
        <v>C:\Backups\InsiderTechSol\Aviation\Jetelio_v3\.LAYOUT\resources\RunwayDiagrams\OYRN.pdf</v>
      </c>
      <c r="AQ347" s="12" t="str">
        <f>IF($A347="","",admin!$B$2&amp;"\Images\"&amp;$A347)</f>
        <v>C:\Backups\InsiderTechSol\Aviation\Jetelio_v3\.LAYOUT\resources\Images\OYRN</v>
      </c>
      <c r="AR347" s="12" t="str">
        <f>IF($A347="","",admin!$B$2&amp;"\CityMaps\"&amp;$A347&amp;".png")</f>
        <v>C:\Backups\InsiderTechSol\Aviation\Jetelio_v3\.LAYOUT\resources\CityMaps\OYRN.png</v>
      </c>
      <c r="AS347" s="16" t="str">
        <f t="shared" si="32"/>
        <v>VISA sheet</v>
      </c>
      <c r="AT347" s="16" t="str">
        <f t="shared" si="33"/>
        <v>Vendors sheet</v>
      </c>
      <c r="AU347" s="4"/>
      <c r="AV347" s="15">
        <f t="shared" ca="1" si="34"/>
        <v>46243</v>
      </c>
      <c r="AX347" s="6"/>
      <c r="AY347" t="str">
        <f t="shared" si="35"/>
        <v>INCOMPLETE - NOT SELECTABLE AS TECH STOP</v>
      </c>
    </row>
    <row r="348" spans="1:51" x14ac:dyDescent="0.3">
      <c r="A348" s="4" t="s">
        <v>1537</v>
      </c>
      <c r="B348" s="4" t="s">
        <v>1538</v>
      </c>
      <c r="C348" s="4"/>
      <c r="D348" s="4"/>
      <c r="E348" s="4" t="s">
        <v>1721</v>
      </c>
      <c r="F348" s="4" t="s">
        <v>82</v>
      </c>
      <c r="G348" s="4"/>
      <c r="H348" s="4" t="s">
        <v>1996</v>
      </c>
      <c r="I348" s="4" t="s">
        <v>1997</v>
      </c>
      <c r="J348" s="4"/>
      <c r="K348" s="4"/>
      <c r="L348" s="4"/>
      <c r="M348" s="4"/>
      <c r="N348" s="12" t="str">
        <f t="shared" si="30"/>
        <v>12°48′34″S 045°16′55″E</v>
      </c>
      <c r="O348" s="7">
        <v>-12.80932</v>
      </c>
      <c r="P348" s="7">
        <v>45.281820000000003</v>
      </c>
      <c r="Q348" s="13">
        <f t="shared" si="31"/>
        <v>7</v>
      </c>
      <c r="R348" s="11">
        <v>23</v>
      </c>
      <c r="S348" s="4"/>
      <c r="T348" s="4" t="s">
        <v>2112</v>
      </c>
      <c r="U348" s="8">
        <v>3</v>
      </c>
      <c r="V348" s="14">
        <f ca="1">IF($U348="","",MOD(NOW()-admin!$B$1/24+$U348/24,1))</f>
        <v>0.73682638888567453</v>
      </c>
      <c r="W348" s="4"/>
      <c r="X348" s="4"/>
      <c r="Y348" s="4"/>
      <c r="Z348" s="4"/>
      <c r="AA348" s="4"/>
      <c r="AB348" s="4"/>
      <c r="AC348" s="4"/>
      <c r="AD348" s="4"/>
      <c r="AE348" s="4" t="s">
        <v>2276</v>
      </c>
      <c r="AF348" s="4"/>
      <c r="AG348" s="4"/>
      <c r="AH348" s="4"/>
      <c r="AI348" s="4"/>
      <c r="AJ348" s="4"/>
      <c r="AK348" s="4"/>
      <c r="AL348" s="4"/>
      <c r="AM348" s="4"/>
      <c r="AN348" s="4"/>
      <c r="AO348" s="12" t="str">
        <f>IF($A348="","",admin!$B$2&amp;"\Charts\"&amp;$A348)</f>
        <v>C:\Backups\InsiderTechSol\Aviation\Jetelio_v3\.LAYOUT\resources\Charts\FMCZ</v>
      </c>
      <c r="AP348" s="12" t="str">
        <f>IF($A348="","",admin!$B$2&amp;"\RunwayDiagrams\"&amp;$A348&amp;".pdf")</f>
        <v>C:\Backups\InsiderTechSol\Aviation\Jetelio_v3\.LAYOUT\resources\RunwayDiagrams\FMCZ.pdf</v>
      </c>
      <c r="AQ348" s="12" t="str">
        <f>IF($A348="","",admin!$B$2&amp;"\Images\"&amp;$A348)</f>
        <v>C:\Backups\InsiderTechSol\Aviation\Jetelio_v3\.LAYOUT\resources\Images\FMCZ</v>
      </c>
      <c r="AR348" s="12" t="str">
        <f>IF($A348="","",admin!$B$2&amp;"\CityMaps\"&amp;$A348&amp;".png")</f>
        <v>C:\Backups\InsiderTechSol\Aviation\Jetelio_v3\.LAYOUT\resources\CityMaps\FMCZ.png</v>
      </c>
      <c r="AS348" s="16" t="str">
        <f t="shared" si="32"/>
        <v>VISA sheet</v>
      </c>
      <c r="AT348" s="16" t="str">
        <f t="shared" si="33"/>
        <v>Vendors sheet</v>
      </c>
      <c r="AU348" s="4"/>
      <c r="AV348" s="15">
        <f t="shared" ca="1" si="34"/>
        <v>46243</v>
      </c>
      <c r="AX348" s="6"/>
      <c r="AY348" t="str">
        <f t="shared" si="35"/>
        <v>INCOMPLETE - NOT SELECTABLE AS TECH STOP</v>
      </c>
    </row>
    <row r="349" spans="1:51" x14ac:dyDescent="0.3">
      <c r="A349" s="4" t="s">
        <v>1539</v>
      </c>
      <c r="B349" s="4" t="s">
        <v>1540</v>
      </c>
      <c r="C349" s="4"/>
      <c r="D349" s="4"/>
      <c r="E349" s="4" t="s">
        <v>1722</v>
      </c>
      <c r="F349" s="4" t="s">
        <v>82</v>
      </c>
      <c r="G349" s="4"/>
      <c r="H349" s="4" t="s">
        <v>1998</v>
      </c>
      <c r="I349" s="4" t="s">
        <v>1999</v>
      </c>
      <c r="J349" s="4"/>
      <c r="K349" s="4"/>
      <c r="L349" s="4"/>
      <c r="M349" s="4"/>
      <c r="N349" s="12" t="str">
        <f t="shared" si="30"/>
        <v>29°05′34″S 026°18′09″E</v>
      </c>
      <c r="O349" s="7">
        <v>-29.092700000000001</v>
      </c>
      <c r="P349" s="7">
        <v>26.302399999999999</v>
      </c>
      <c r="Q349" s="13">
        <f t="shared" si="31"/>
        <v>1358</v>
      </c>
      <c r="R349" s="11">
        <v>4457</v>
      </c>
      <c r="S349" s="4"/>
      <c r="T349" s="4" t="s">
        <v>2113</v>
      </c>
      <c r="U349" s="8">
        <v>2</v>
      </c>
      <c r="V349" s="14">
        <f ca="1">IF($U349="","",MOD(NOW()-admin!$B$1/24+$U349/24,1))</f>
        <v>0.69515972222143319</v>
      </c>
      <c r="W349" s="4"/>
      <c r="X349" s="4"/>
      <c r="Y349" s="4"/>
      <c r="Z349" s="4"/>
      <c r="AA349" s="4"/>
      <c r="AB349" s="4"/>
      <c r="AC349" s="4"/>
      <c r="AD349" s="4"/>
      <c r="AE349" s="4" t="s">
        <v>2277</v>
      </c>
      <c r="AF349" s="4"/>
      <c r="AG349" s="4"/>
      <c r="AH349" s="4"/>
      <c r="AI349" s="4"/>
      <c r="AJ349" s="4"/>
      <c r="AK349" s="4"/>
      <c r="AL349" s="4"/>
      <c r="AM349" s="4"/>
      <c r="AN349" s="4"/>
      <c r="AO349" s="12" t="str">
        <f>IF($A349="","",admin!$B$2&amp;"\Charts\"&amp;$A349)</f>
        <v>C:\Backups\InsiderTechSol\Aviation\Jetelio_v3\.LAYOUT\resources\Charts\FABL</v>
      </c>
      <c r="AP349" s="12" t="str">
        <f>IF($A349="","",admin!$B$2&amp;"\RunwayDiagrams\"&amp;$A349&amp;".pdf")</f>
        <v>C:\Backups\InsiderTechSol\Aviation\Jetelio_v3\.LAYOUT\resources\RunwayDiagrams\FABL.pdf</v>
      </c>
      <c r="AQ349" s="12" t="str">
        <f>IF($A349="","",admin!$B$2&amp;"\Images\"&amp;$A349)</f>
        <v>C:\Backups\InsiderTechSol\Aviation\Jetelio_v3\.LAYOUT\resources\Images\FABL</v>
      </c>
      <c r="AR349" s="12" t="str">
        <f>IF($A349="","",admin!$B$2&amp;"\CityMaps\"&amp;$A349&amp;".png")</f>
        <v>C:\Backups\InsiderTechSol\Aviation\Jetelio_v3\.LAYOUT\resources\CityMaps\FABL.png</v>
      </c>
      <c r="AS349" s="16" t="str">
        <f t="shared" si="32"/>
        <v>VISA sheet</v>
      </c>
      <c r="AT349" s="16" t="str">
        <f t="shared" si="33"/>
        <v>Vendors sheet</v>
      </c>
      <c r="AU349" s="4"/>
      <c r="AV349" s="15">
        <f t="shared" ca="1" si="34"/>
        <v>46243</v>
      </c>
      <c r="AX349" s="6"/>
      <c r="AY349" t="str">
        <f t="shared" si="35"/>
        <v>INCOMPLETE - NOT SELECTABLE AS TECH STOP</v>
      </c>
    </row>
    <row r="350" spans="1:51" x14ac:dyDescent="0.3">
      <c r="A350" s="4" t="s">
        <v>1541</v>
      </c>
      <c r="B350" s="4" t="s">
        <v>1542</v>
      </c>
      <c r="C350" s="4"/>
      <c r="D350" s="4"/>
      <c r="E350" s="4" t="s">
        <v>1723</v>
      </c>
      <c r="F350" s="4" t="s">
        <v>82</v>
      </c>
      <c r="G350" s="4"/>
      <c r="H350" s="4" t="s">
        <v>1998</v>
      </c>
      <c r="I350" s="4" t="s">
        <v>2000</v>
      </c>
      <c r="J350" s="4"/>
      <c r="K350" s="4"/>
      <c r="L350" s="4"/>
      <c r="M350" s="4"/>
      <c r="N350" s="12" t="str">
        <f t="shared" si="30"/>
        <v>33°58′27″S 018°36′16″E</v>
      </c>
      <c r="O350" s="7">
        <v>-33.974029999999999</v>
      </c>
      <c r="P350" s="7">
        <v>18.604330000000001</v>
      </c>
      <c r="Q350" s="13">
        <f t="shared" si="31"/>
        <v>46</v>
      </c>
      <c r="R350" s="11">
        <v>151</v>
      </c>
      <c r="S350" s="4"/>
      <c r="T350" s="4" t="s">
        <v>2113</v>
      </c>
      <c r="U350" s="8">
        <v>2</v>
      </c>
      <c r="V350" s="14">
        <f ca="1">IF($U350="","",MOD(NOW()-admin!$B$1/24+$U350/24,1))</f>
        <v>0.69515972222143319</v>
      </c>
      <c r="W350" s="4"/>
      <c r="X350" s="4"/>
      <c r="Y350" s="4"/>
      <c r="Z350" s="4"/>
      <c r="AA350" s="4"/>
      <c r="AB350" s="4"/>
      <c r="AC350" s="4"/>
      <c r="AD350" s="4"/>
      <c r="AE350" s="4" t="s">
        <v>2278</v>
      </c>
      <c r="AF350" s="4"/>
      <c r="AG350" s="4"/>
      <c r="AH350" s="4"/>
      <c r="AI350" s="4"/>
      <c r="AJ350" s="4"/>
      <c r="AK350" s="4"/>
      <c r="AL350" s="4"/>
      <c r="AM350" s="4"/>
      <c r="AN350" s="4"/>
      <c r="AO350" s="12" t="str">
        <f>IF($A350="","",admin!$B$2&amp;"\Charts\"&amp;$A350)</f>
        <v>C:\Backups\InsiderTechSol\Aviation\Jetelio_v3\.LAYOUT\resources\Charts\FACT</v>
      </c>
      <c r="AP350" s="12" t="str">
        <f>IF($A350="","",admin!$B$2&amp;"\RunwayDiagrams\"&amp;$A350&amp;".pdf")</f>
        <v>C:\Backups\InsiderTechSol\Aviation\Jetelio_v3\.LAYOUT\resources\RunwayDiagrams\FACT.pdf</v>
      </c>
      <c r="AQ350" s="12" t="str">
        <f>IF($A350="","",admin!$B$2&amp;"\Images\"&amp;$A350)</f>
        <v>C:\Backups\InsiderTechSol\Aviation\Jetelio_v3\.LAYOUT\resources\Images\FACT</v>
      </c>
      <c r="AR350" s="12" t="str">
        <f>IF($A350="","",admin!$B$2&amp;"\CityMaps\"&amp;$A350&amp;".png")</f>
        <v>C:\Backups\InsiderTechSol\Aviation\Jetelio_v3\.LAYOUT\resources\CityMaps\FACT.png</v>
      </c>
      <c r="AS350" s="16" t="str">
        <f t="shared" si="32"/>
        <v>VISA sheet</v>
      </c>
      <c r="AT350" s="16" t="str">
        <f t="shared" si="33"/>
        <v>Vendors sheet</v>
      </c>
      <c r="AU350" s="4"/>
      <c r="AV350" s="15">
        <f t="shared" ca="1" si="34"/>
        <v>46243</v>
      </c>
      <c r="AX350" s="6"/>
      <c r="AY350" t="str">
        <f t="shared" si="35"/>
        <v>INCOMPLETE - NOT SELECTABLE AS TECH STOP</v>
      </c>
    </row>
    <row r="351" spans="1:51" x14ac:dyDescent="0.3">
      <c r="A351" s="4" t="s">
        <v>1543</v>
      </c>
      <c r="B351" s="4" t="s">
        <v>1544</v>
      </c>
      <c r="C351" s="4"/>
      <c r="D351" s="4"/>
      <c r="E351" s="4" t="s">
        <v>1724</v>
      </c>
      <c r="F351" s="4" t="s">
        <v>82</v>
      </c>
      <c r="G351" s="4"/>
      <c r="H351" s="4" t="s">
        <v>11</v>
      </c>
      <c r="I351" s="4" t="s">
        <v>2001</v>
      </c>
      <c r="J351" s="4"/>
      <c r="K351" s="4"/>
      <c r="L351" s="4"/>
      <c r="M351" s="4"/>
      <c r="N351" s="12" t="str">
        <f t="shared" si="30"/>
        <v>17°49′17″S 025°49′11″E</v>
      </c>
      <c r="O351" s="7">
        <v>-17.82152</v>
      </c>
      <c r="P351" s="7">
        <v>25.81964</v>
      </c>
      <c r="Q351" s="13">
        <f t="shared" si="31"/>
        <v>1006</v>
      </c>
      <c r="R351" s="11">
        <v>3302</v>
      </c>
      <c r="S351" s="4"/>
      <c r="T351" s="4"/>
      <c r="U351" s="8"/>
      <c r="V351" s="14" t="str">
        <f ca="1">IF($U351="","",MOD(NOW()-admin!$B$1/24+$U351/24,1))</f>
        <v/>
      </c>
      <c r="W351" s="4"/>
      <c r="X351" s="4"/>
      <c r="Y351" s="4"/>
      <c r="Z351" s="4"/>
      <c r="AA351" s="4"/>
      <c r="AB351" s="4"/>
      <c r="AC351" s="4"/>
      <c r="AD351" s="4"/>
      <c r="AE351" s="4" t="s">
        <v>2279</v>
      </c>
      <c r="AF351" s="4"/>
      <c r="AG351" s="4"/>
      <c r="AH351" s="4"/>
      <c r="AI351" s="4"/>
      <c r="AJ351" s="4"/>
      <c r="AK351" s="4"/>
      <c r="AL351" s="4"/>
      <c r="AM351" s="4"/>
      <c r="AN351" s="4"/>
      <c r="AO351" s="12" t="str">
        <f>IF($A351="","",admin!$B$2&amp;"\Charts\"&amp;$A351)</f>
        <v>C:\Backups\InsiderTechSol\Aviation\Jetelio_v3\.LAYOUT\resources\Charts\FLHN</v>
      </c>
      <c r="AP351" s="12" t="str">
        <f>IF($A351="","",admin!$B$2&amp;"\RunwayDiagrams\"&amp;$A351&amp;".pdf")</f>
        <v>C:\Backups\InsiderTechSol\Aviation\Jetelio_v3\.LAYOUT\resources\RunwayDiagrams\FLHN.pdf</v>
      </c>
      <c r="AQ351" s="12" t="str">
        <f>IF($A351="","",admin!$B$2&amp;"\Images\"&amp;$A351)</f>
        <v>C:\Backups\InsiderTechSol\Aviation\Jetelio_v3\.LAYOUT\resources\Images\FLHN</v>
      </c>
      <c r="AR351" s="12" t="str">
        <f>IF($A351="","",admin!$B$2&amp;"\CityMaps\"&amp;$A351&amp;".png")</f>
        <v>C:\Backups\InsiderTechSol\Aviation\Jetelio_v3\.LAYOUT\resources\CityMaps\FLHN.png</v>
      </c>
      <c r="AS351" s="16" t="str">
        <f t="shared" si="32"/>
        <v>VISA sheet</v>
      </c>
      <c r="AT351" s="16" t="str">
        <f t="shared" si="33"/>
        <v>Vendors sheet</v>
      </c>
      <c r="AU351" s="4"/>
      <c r="AV351" s="15">
        <f t="shared" ca="1" si="34"/>
        <v>46243</v>
      </c>
      <c r="AX351" s="6"/>
      <c r="AY351" t="str">
        <f t="shared" si="35"/>
        <v>INCOMPLETE - NOT SELECTABLE AS TECH STOP</v>
      </c>
    </row>
    <row r="352" spans="1:51" x14ac:dyDescent="0.3">
      <c r="A352" s="4" t="s">
        <v>1545</v>
      </c>
      <c r="B352" s="4" t="s">
        <v>1546</v>
      </c>
      <c r="C352" s="4"/>
      <c r="D352" s="4"/>
      <c r="E352" s="4" t="s">
        <v>1725</v>
      </c>
      <c r="F352" s="4" t="s">
        <v>82</v>
      </c>
      <c r="G352" s="4"/>
      <c r="H352" s="4" t="s">
        <v>11</v>
      </c>
      <c r="I352" s="4" t="s">
        <v>2002</v>
      </c>
      <c r="J352" s="4"/>
      <c r="K352" s="4"/>
      <c r="L352" s="4"/>
      <c r="M352" s="4"/>
      <c r="N352" s="12" t="str">
        <f t="shared" si="30"/>
        <v>15°19′51″S 028°27′10″E</v>
      </c>
      <c r="O352" s="7">
        <v>-15.330830000000001</v>
      </c>
      <c r="P352" s="7">
        <v>28.452719999999999</v>
      </c>
      <c r="Q352" s="13">
        <f t="shared" si="31"/>
        <v>1152</v>
      </c>
      <c r="R352" s="11">
        <v>3779</v>
      </c>
      <c r="S352" s="4"/>
      <c r="T352" s="4"/>
      <c r="U352" s="8"/>
      <c r="V352" s="14" t="str">
        <f ca="1">IF($U352="","",MOD(NOW()-admin!$B$1/24+$U352/24,1))</f>
        <v/>
      </c>
      <c r="W352" s="4"/>
      <c r="X352" s="4"/>
      <c r="Y352" s="4"/>
      <c r="Z352" s="4"/>
      <c r="AA352" s="4"/>
      <c r="AB352" s="4"/>
      <c r="AC352" s="4"/>
      <c r="AD352" s="4"/>
      <c r="AE352" s="4" t="s">
        <v>2280</v>
      </c>
      <c r="AF352" s="4"/>
      <c r="AG352" s="4"/>
      <c r="AH352" s="4"/>
      <c r="AI352" s="4"/>
      <c r="AJ352" s="4"/>
      <c r="AK352" s="4"/>
      <c r="AL352" s="4"/>
      <c r="AM352" s="4"/>
      <c r="AN352" s="4"/>
      <c r="AO352" s="12" t="str">
        <f>IF($A352="","",admin!$B$2&amp;"\Charts\"&amp;$A352)</f>
        <v>C:\Backups\InsiderTechSol\Aviation\Jetelio_v3\.LAYOUT\resources\Charts\FLKK</v>
      </c>
      <c r="AP352" s="12" t="str">
        <f>IF($A352="","",admin!$B$2&amp;"\RunwayDiagrams\"&amp;$A352&amp;".pdf")</f>
        <v>C:\Backups\InsiderTechSol\Aviation\Jetelio_v3\.LAYOUT\resources\RunwayDiagrams\FLKK.pdf</v>
      </c>
      <c r="AQ352" s="12" t="str">
        <f>IF($A352="","",admin!$B$2&amp;"\Images\"&amp;$A352)</f>
        <v>C:\Backups\InsiderTechSol\Aviation\Jetelio_v3\.LAYOUT\resources\Images\FLKK</v>
      </c>
      <c r="AR352" s="12" t="str">
        <f>IF($A352="","",admin!$B$2&amp;"\CityMaps\"&amp;$A352&amp;".png")</f>
        <v>C:\Backups\InsiderTechSol\Aviation\Jetelio_v3\.LAYOUT\resources\CityMaps\FLKK.png</v>
      </c>
      <c r="AS352" s="16" t="str">
        <f t="shared" si="32"/>
        <v>VISA sheet</v>
      </c>
      <c r="AT352" s="16" t="str">
        <f t="shared" si="33"/>
        <v>Vendors sheet</v>
      </c>
      <c r="AU352" s="4"/>
      <c r="AV352" s="15">
        <f t="shared" ca="1" si="34"/>
        <v>46243</v>
      </c>
      <c r="AX352" s="6"/>
      <c r="AY352" t="str">
        <f t="shared" si="35"/>
        <v>INCOMPLETE - NOT SELECTABLE AS TECH STOP</v>
      </c>
    </row>
    <row r="353" spans="1:51" x14ac:dyDescent="0.3">
      <c r="A353" s="4" t="s">
        <v>1547</v>
      </c>
      <c r="B353" s="4" t="s">
        <v>1548</v>
      </c>
      <c r="C353" s="4"/>
      <c r="D353" s="4"/>
      <c r="E353" s="4" t="s">
        <v>1726</v>
      </c>
      <c r="F353" s="4" t="s">
        <v>82</v>
      </c>
      <c r="G353" s="4"/>
      <c r="H353" s="4" t="s">
        <v>2003</v>
      </c>
      <c r="I353" s="4" t="s">
        <v>2004</v>
      </c>
      <c r="J353" s="4"/>
      <c r="K353" s="4"/>
      <c r="L353" s="4"/>
      <c r="M353" s="4"/>
      <c r="N353" s="12" t="str">
        <f t="shared" si="30"/>
        <v>18°05′51″S 025°50′13″E</v>
      </c>
      <c r="O353" s="7">
        <v>-18.097439999999999</v>
      </c>
      <c r="P353" s="7">
        <v>25.836870000000001</v>
      </c>
      <c r="Q353" s="13">
        <f t="shared" si="31"/>
        <v>1064</v>
      </c>
      <c r="R353" s="11">
        <v>3490</v>
      </c>
      <c r="S353" s="4"/>
      <c r="T353" s="4" t="s">
        <v>2114</v>
      </c>
      <c r="U353" s="8">
        <v>2</v>
      </c>
      <c r="V353" s="14">
        <f ca="1">IF($U353="","",MOD(NOW()-admin!$B$1/24+$U353/24,1))</f>
        <v>0.69515972222143319</v>
      </c>
      <c r="W353" s="4"/>
      <c r="X353" s="4"/>
      <c r="Y353" s="4"/>
      <c r="Z353" s="4"/>
      <c r="AA353" s="4"/>
      <c r="AB353" s="4"/>
      <c r="AC353" s="4"/>
      <c r="AD353" s="4"/>
      <c r="AE353" s="4" t="s">
        <v>2281</v>
      </c>
      <c r="AF353" s="4"/>
      <c r="AG353" s="4"/>
      <c r="AH353" s="4"/>
      <c r="AI353" s="4"/>
      <c r="AJ353" s="4"/>
      <c r="AK353" s="4"/>
      <c r="AL353" s="4"/>
      <c r="AM353" s="4"/>
      <c r="AN353" s="4"/>
      <c r="AO353" s="12" t="str">
        <f>IF($A353="","",admin!$B$2&amp;"\Charts\"&amp;$A353)</f>
        <v>C:\Backups\InsiderTechSol\Aviation\Jetelio_v3\.LAYOUT\resources\Charts\FVFA</v>
      </c>
      <c r="AP353" s="12" t="str">
        <f>IF($A353="","",admin!$B$2&amp;"\RunwayDiagrams\"&amp;$A353&amp;".pdf")</f>
        <v>C:\Backups\InsiderTechSol\Aviation\Jetelio_v3\.LAYOUT\resources\RunwayDiagrams\FVFA.pdf</v>
      </c>
      <c r="AQ353" s="12" t="str">
        <f>IF($A353="","",admin!$B$2&amp;"\Images\"&amp;$A353)</f>
        <v>C:\Backups\InsiderTechSol\Aviation\Jetelio_v3\.LAYOUT\resources\Images\FVFA</v>
      </c>
      <c r="AR353" s="12" t="str">
        <f>IF($A353="","",admin!$B$2&amp;"\CityMaps\"&amp;$A353&amp;".png")</f>
        <v>C:\Backups\InsiderTechSol\Aviation\Jetelio_v3\.LAYOUT\resources\CityMaps\FVFA.png</v>
      </c>
      <c r="AS353" s="16" t="str">
        <f t="shared" si="32"/>
        <v>VISA sheet</v>
      </c>
      <c r="AT353" s="16" t="str">
        <f t="shared" si="33"/>
        <v>Vendors sheet</v>
      </c>
      <c r="AU353" s="4"/>
      <c r="AV353" s="15">
        <f t="shared" ca="1" si="34"/>
        <v>46243</v>
      </c>
      <c r="AX353" s="6"/>
      <c r="AY353" t="str">
        <f t="shared" si="35"/>
        <v>INCOMPLETE - NOT SELECTABLE AS TECH STOP</v>
      </c>
    </row>
    <row r="354" spans="1:51" x14ac:dyDescent="0.3">
      <c r="A354" s="4" t="s">
        <v>1549</v>
      </c>
      <c r="B354" s="4" t="s">
        <v>1550</v>
      </c>
      <c r="C354" s="4"/>
      <c r="D354" s="4"/>
      <c r="E354" s="4" t="s">
        <v>1727</v>
      </c>
      <c r="F354" s="4" t="s">
        <v>82</v>
      </c>
      <c r="G354" s="4"/>
      <c r="H354" s="4" t="s">
        <v>2003</v>
      </c>
      <c r="I354" s="4" t="s">
        <v>2005</v>
      </c>
      <c r="J354" s="4"/>
      <c r="K354" s="4"/>
      <c r="L354" s="4"/>
      <c r="M354" s="4"/>
      <c r="N354" s="12" t="str">
        <f t="shared" si="30"/>
        <v>20°00′59″S 028°37′22″E</v>
      </c>
      <c r="O354" s="7">
        <v>-20.016279999999998</v>
      </c>
      <c r="P354" s="7">
        <v>28.622900000000001</v>
      </c>
      <c r="Q354" s="13">
        <f t="shared" si="31"/>
        <v>1329</v>
      </c>
      <c r="R354" s="11">
        <v>4359</v>
      </c>
      <c r="S354" s="4"/>
      <c r="T354" s="4"/>
      <c r="U354" s="8"/>
      <c r="V354" s="14" t="str">
        <f ca="1">IF($U354="","",MOD(NOW()-admin!$B$1/24+$U354/24,1))</f>
        <v/>
      </c>
      <c r="W354" s="4"/>
      <c r="X354" s="4"/>
      <c r="Y354" s="4"/>
      <c r="Z354" s="4"/>
      <c r="AA354" s="4"/>
      <c r="AB354" s="4"/>
      <c r="AC354" s="4"/>
      <c r="AD354" s="4"/>
      <c r="AE354" s="4" t="s">
        <v>2282</v>
      </c>
      <c r="AF354" s="4"/>
      <c r="AG354" s="4"/>
      <c r="AH354" s="4"/>
      <c r="AI354" s="4"/>
      <c r="AJ354" s="4"/>
      <c r="AK354" s="4"/>
      <c r="AL354" s="4"/>
      <c r="AM354" s="4"/>
      <c r="AN354" s="4"/>
      <c r="AO354" s="12" t="str">
        <f>IF($A354="","",admin!$B$2&amp;"\Charts\"&amp;$A354)</f>
        <v>C:\Backups\InsiderTechSol\Aviation\Jetelio_v3\.LAYOUT\resources\Charts\FVJN</v>
      </c>
      <c r="AP354" s="12" t="str">
        <f>IF($A354="","",admin!$B$2&amp;"\RunwayDiagrams\"&amp;$A354&amp;".pdf")</f>
        <v>C:\Backups\InsiderTechSol\Aviation\Jetelio_v3\.LAYOUT\resources\RunwayDiagrams\FVJN.pdf</v>
      </c>
      <c r="AQ354" s="12" t="str">
        <f>IF($A354="","",admin!$B$2&amp;"\Images\"&amp;$A354)</f>
        <v>C:\Backups\InsiderTechSol\Aviation\Jetelio_v3\.LAYOUT\resources\Images\FVJN</v>
      </c>
      <c r="AR354" s="12" t="str">
        <f>IF($A354="","",admin!$B$2&amp;"\CityMaps\"&amp;$A354&amp;".png")</f>
        <v>C:\Backups\InsiderTechSol\Aviation\Jetelio_v3\.LAYOUT\resources\CityMaps\FVJN.png</v>
      </c>
      <c r="AS354" s="16" t="str">
        <f t="shared" si="32"/>
        <v>VISA sheet</v>
      </c>
      <c r="AT354" s="16" t="str">
        <f t="shared" si="33"/>
        <v>Vendors sheet</v>
      </c>
      <c r="AU354" s="4"/>
      <c r="AV354" s="15">
        <f t="shared" ca="1" si="34"/>
        <v>46243</v>
      </c>
      <c r="AX354" s="6"/>
      <c r="AY354" t="str">
        <f t="shared" si="35"/>
        <v>INCOMPLETE - NOT SELECTABLE AS TECH STOP</v>
      </c>
    </row>
    <row r="355" spans="1:51" x14ac:dyDescent="0.3">
      <c r="A355" t="s">
        <v>3505</v>
      </c>
      <c r="B355" t="s">
        <v>3728</v>
      </c>
      <c r="E355" t="s">
        <v>3747</v>
      </c>
      <c r="F355" t="s">
        <v>82</v>
      </c>
      <c r="H355" t="s">
        <v>1822</v>
      </c>
      <c r="I355" t="s">
        <v>3766</v>
      </c>
      <c r="N355" s="12" t="str">
        <f t="shared" si="30"/>
        <v>06°34′39″N 003°19′16″E</v>
      </c>
      <c r="O355">
        <v>6.5773700000000002</v>
      </c>
      <c r="P355">
        <v>3.3211599999999999</v>
      </c>
      <c r="Q355" s="13">
        <f t="shared" si="31"/>
        <v>41</v>
      </c>
      <c r="R355">
        <v>135</v>
      </c>
      <c r="T355" t="s">
        <v>2045</v>
      </c>
      <c r="U355">
        <v>1</v>
      </c>
      <c r="V355" s="14">
        <f ca="1">IF($U355="","",MOD(NOW()-admin!$B$1/24+$U355/24,1))</f>
        <v>0.65349305554991588</v>
      </c>
      <c r="AE355" t="s">
        <v>3785</v>
      </c>
      <c r="AO355" s="12" t="str">
        <f>IF($A355="","",admin!$B$2&amp;"\Charts\"&amp;$A355)</f>
        <v>C:\Backups\InsiderTechSol\Aviation\Jetelio_v3\.LAYOUT\resources\Charts\DNMM</v>
      </c>
      <c r="AP355" s="12" t="str">
        <f>IF($A355="","",admin!$B$2&amp;"\RunwayDiagrams\"&amp;$A355&amp;".pdf")</f>
        <v>C:\Backups\InsiderTechSol\Aviation\Jetelio_v3\.LAYOUT\resources\RunwayDiagrams\DNMM.pdf</v>
      </c>
      <c r="AQ355" s="12" t="str">
        <f>IF($A355="","",admin!$B$2&amp;"\Images\"&amp;$A355)</f>
        <v>C:\Backups\InsiderTechSol\Aviation\Jetelio_v3\.LAYOUT\resources\Images\DNMM</v>
      </c>
      <c r="AR355" s="12" t="str">
        <f>IF($A355="","",admin!$B$2&amp;"\CityMaps\"&amp;$A355&amp;".png")</f>
        <v>C:\Backups\InsiderTechSol\Aviation\Jetelio_v3\.LAYOUT\resources\CityMaps\DNMM.png</v>
      </c>
      <c r="AS355" s="16" t="str">
        <f t="shared" si="32"/>
        <v>VISA sheet</v>
      </c>
      <c r="AT355" s="16" t="str">
        <f t="shared" si="33"/>
        <v>Vendors sheet</v>
      </c>
      <c r="AV355" s="15">
        <f t="shared" ca="1" si="34"/>
        <v>46243</v>
      </c>
      <c r="AX355" s="6"/>
      <c r="AY355" t="str">
        <f t="shared" si="35"/>
        <v>INCOMPLETE - NOT SELECTABLE AS TECH STOP</v>
      </c>
    </row>
    <row r="356" spans="1:51" x14ac:dyDescent="0.3">
      <c r="A356" t="s">
        <v>3708</v>
      </c>
      <c r="B356" t="s">
        <v>3729</v>
      </c>
      <c r="E356" t="s">
        <v>3748</v>
      </c>
      <c r="F356" t="s">
        <v>82</v>
      </c>
      <c r="H356" t="s">
        <v>826</v>
      </c>
      <c r="I356" t="s">
        <v>3767</v>
      </c>
      <c r="N356" s="12" t="str">
        <f t="shared" si="30"/>
        <v>55°30′05″N 004°34′38″W</v>
      </c>
      <c r="O356">
        <v>55.5015</v>
      </c>
      <c r="P356">
        <v>-4.5771800000000002</v>
      </c>
      <c r="Q356" s="13">
        <f t="shared" si="31"/>
        <v>20</v>
      </c>
      <c r="R356">
        <v>65</v>
      </c>
      <c r="T356" t="s">
        <v>991</v>
      </c>
      <c r="U356">
        <v>0</v>
      </c>
      <c r="V356" s="14">
        <f ca="1">IF($U356="","",MOD(NOW()-admin!$B$1/24+$U356/24,1))</f>
        <v>0.61182638888567453</v>
      </c>
      <c r="AE356" t="s">
        <v>3786</v>
      </c>
      <c r="AO356" s="12" t="str">
        <f>IF($A356="","",admin!$B$2&amp;"\Charts\"&amp;$A356)</f>
        <v>C:\Backups\InsiderTechSol\Aviation\Jetelio_v3\.LAYOUT\resources\Charts\EGPK</v>
      </c>
      <c r="AP356" s="12" t="str">
        <f>IF($A356="","",admin!$B$2&amp;"\RunwayDiagrams\"&amp;$A356&amp;".pdf")</f>
        <v>C:\Backups\InsiderTechSol\Aviation\Jetelio_v3\.LAYOUT\resources\RunwayDiagrams\EGPK.pdf</v>
      </c>
      <c r="AQ356" s="12" t="str">
        <f>IF($A356="","",admin!$B$2&amp;"\Images\"&amp;$A356)</f>
        <v>C:\Backups\InsiderTechSol\Aviation\Jetelio_v3\.LAYOUT\resources\Images\EGPK</v>
      </c>
      <c r="AR356" s="12" t="str">
        <f>IF($A356="","",admin!$B$2&amp;"\CityMaps\"&amp;$A356&amp;".png")</f>
        <v>C:\Backups\InsiderTechSol\Aviation\Jetelio_v3\.LAYOUT\resources\CityMaps\EGPK.png</v>
      </c>
      <c r="AS356" s="16" t="str">
        <f t="shared" si="32"/>
        <v>VISA sheet</v>
      </c>
      <c r="AT356" s="16" t="str">
        <f t="shared" si="33"/>
        <v>Vendors sheet</v>
      </c>
      <c r="AV356" s="15">
        <f t="shared" ca="1" si="34"/>
        <v>46243</v>
      </c>
      <c r="AX356" s="6"/>
      <c r="AY356" t="str">
        <f t="shared" si="35"/>
        <v>INCOMPLETE - NOT SELECTABLE AS TECH STOP</v>
      </c>
    </row>
    <row r="357" spans="1:51" x14ac:dyDescent="0.3">
      <c r="A357" t="s">
        <v>3440</v>
      </c>
      <c r="B357" t="s">
        <v>3730</v>
      </c>
      <c r="E357" t="s">
        <v>3749</v>
      </c>
      <c r="F357" t="s">
        <v>82</v>
      </c>
      <c r="H357" t="s">
        <v>1998</v>
      </c>
      <c r="I357" t="s">
        <v>3768</v>
      </c>
      <c r="N357" s="12" t="str">
        <f t="shared" si="30"/>
        <v>25°59′11″S 028°08′24″E</v>
      </c>
      <c r="O357">
        <v>-25.9863</v>
      </c>
      <c r="P357">
        <v>28.1401</v>
      </c>
      <c r="Q357" s="13">
        <f t="shared" si="31"/>
        <v>1623</v>
      </c>
      <c r="R357">
        <v>5325</v>
      </c>
      <c r="T357" t="s">
        <v>2113</v>
      </c>
      <c r="U357">
        <v>2</v>
      </c>
      <c r="V357" s="14">
        <f ca="1">IF($U357="","",MOD(NOW()-admin!$B$1/24+$U357/24,1))</f>
        <v>0.69515972222143319</v>
      </c>
      <c r="AE357" t="s">
        <v>3787</v>
      </c>
      <c r="AO357" s="12" t="str">
        <f>IF($A357="","",admin!$B$2&amp;"\Charts\"&amp;$A357)</f>
        <v>C:\Backups\InsiderTechSol\Aviation\Jetelio_v3\.LAYOUT\resources\Charts\FAGC</v>
      </c>
      <c r="AP357" s="12" t="str">
        <f>IF($A357="","",admin!$B$2&amp;"\RunwayDiagrams\"&amp;$A357&amp;".pdf")</f>
        <v>C:\Backups\InsiderTechSol\Aviation\Jetelio_v3\.LAYOUT\resources\RunwayDiagrams\FAGC.pdf</v>
      </c>
      <c r="AQ357" s="12" t="str">
        <f>IF($A357="","",admin!$B$2&amp;"\Images\"&amp;$A357)</f>
        <v>C:\Backups\InsiderTechSol\Aviation\Jetelio_v3\.LAYOUT\resources\Images\FAGC</v>
      </c>
      <c r="AR357" s="12" t="str">
        <f>IF($A357="","",admin!$B$2&amp;"\CityMaps\"&amp;$A357&amp;".png")</f>
        <v>C:\Backups\InsiderTechSol\Aviation\Jetelio_v3\.LAYOUT\resources\CityMaps\FAGC.png</v>
      </c>
      <c r="AS357" s="16" t="str">
        <f t="shared" si="32"/>
        <v>VISA sheet</v>
      </c>
      <c r="AT357" s="16" t="str">
        <f t="shared" si="33"/>
        <v>Vendors sheet</v>
      </c>
      <c r="AV357" s="15">
        <f t="shared" ca="1" si="34"/>
        <v>46243</v>
      </c>
      <c r="AX357" s="6"/>
      <c r="AY357" t="str">
        <f t="shared" si="35"/>
        <v>INCOMPLETE - NOT SELECTABLE AS TECH STOP</v>
      </c>
    </row>
    <row r="358" spans="1:51" x14ac:dyDescent="0.3">
      <c r="A358" t="s">
        <v>3428</v>
      </c>
      <c r="B358" t="s">
        <v>3731</v>
      </c>
      <c r="E358" t="s">
        <v>3750</v>
      </c>
      <c r="F358" t="s">
        <v>82</v>
      </c>
      <c r="H358" t="s">
        <v>1998</v>
      </c>
      <c r="I358" t="s">
        <v>3769</v>
      </c>
      <c r="N358" s="12" t="str">
        <f t="shared" si="30"/>
        <v>25°56′20″S 027°55′36″E</v>
      </c>
      <c r="O358">
        <v>-25.938960000000002</v>
      </c>
      <c r="P358">
        <v>27.926639999999999</v>
      </c>
      <c r="Q358" s="13">
        <f t="shared" si="31"/>
        <v>1377</v>
      </c>
      <c r="R358">
        <v>4517</v>
      </c>
      <c r="T358" t="s">
        <v>2113</v>
      </c>
      <c r="U358">
        <v>2</v>
      </c>
      <c r="V358" s="14">
        <f ca="1">IF($U358="","",MOD(NOW()-admin!$B$1/24+$U358/24,1))</f>
        <v>0.69515972222143319</v>
      </c>
      <c r="AE358" t="s">
        <v>3788</v>
      </c>
      <c r="AO358" s="12" t="str">
        <f>IF($A358="","",admin!$B$2&amp;"\Charts\"&amp;$A358)</f>
        <v>C:\Backups\InsiderTechSol\Aviation\Jetelio_v3\.LAYOUT\resources\Charts\FALA</v>
      </c>
      <c r="AP358" s="12" t="str">
        <f>IF($A358="","",admin!$B$2&amp;"\RunwayDiagrams\"&amp;$A358&amp;".pdf")</f>
        <v>C:\Backups\InsiderTechSol\Aviation\Jetelio_v3\.LAYOUT\resources\RunwayDiagrams\FALA.pdf</v>
      </c>
      <c r="AQ358" s="12" t="str">
        <f>IF($A358="","",admin!$B$2&amp;"\Images\"&amp;$A358)</f>
        <v>C:\Backups\InsiderTechSol\Aviation\Jetelio_v3\.LAYOUT\resources\Images\FALA</v>
      </c>
      <c r="AR358" s="12" t="str">
        <f>IF($A358="","",admin!$B$2&amp;"\CityMaps\"&amp;$A358&amp;".png")</f>
        <v>C:\Backups\InsiderTechSol\Aviation\Jetelio_v3\.LAYOUT\resources\CityMaps\FALA.png</v>
      </c>
      <c r="AS358" s="16" t="str">
        <f t="shared" si="32"/>
        <v>VISA sheet</v>
      </c>
      <c r="AT358" s="16" t="str">
        <f t="shared" si="33"/>
        <v>Vendors sheet</v>
      </c>
      <c r="AV358" s="15">
        <f t="shared" ca="1" si="34"/>
        <v>46243</v>
      </c>
      <c r="AX358" s="6"/>
      <c r="AY358" t="str">
        <f t="shared" si="35"/>
        <v>INCOMPLETE - NOT SELECTABLE AS TECH STOP</v>
      </c>
    </row>
    <row r="359" spans="1:51" x14ac:dyDescent="0.3">
      <c r="A359" t="s">
        <v>5</v>
      </c>
      <c r="B359" t="s">
        <v>3732</v>
      </c>
      <c r="E359" t="s">
        <v>3751</v>
      </c>
      <c r="F359" t="s">
        <v>82</v>
      </c>
      <c r="H359" t="s">
        <v>1998</v>
      </c>
      <c r="I359" t="s">
        <v>3769</v>
      </c>
      <c r="N359" s="12" t="str">
        <f t="shared" si="30"/>
        <v>26°08′24″S 028°14′48″E</v>
      </c>
      <c r="O359">
        <v>-26.140080000000001</v>
      </c>
      <c r="P359">
        <v>28.2468</v>
      </c>
      <c r="Q359" s="13">
        <f t="shared" si="31"/>
        <v>1694</v>
      </c>
      <c r="R359">
        <v>5558</v>
      </c>
      <c r="T359" t="s">
        <v>2113</v>
      </c>
      <c r="U359">
        <v>2</v>
      </c>
      <c r="V359" s="14">
        <f ca="1">IF($U359="","",MOD(NOW()-admin!$B$1/24+$U359/24,1))</f>
        <v>0.69515972222143319</v>
      </c>
      <c r="AE359" t="s">
        <v>3789</v>
      </c>
      <c r="AO359" s="12" t="str">
        <f>IF($A359="","",admin!$B$2&amp;"\Charts\"&amp;$A359)</f>
        <v>C:\Backups\InsiderTechSol\Aviation\Jetelio_v3\.LAYOUT\resources\Charts\FAOR</v>
      </c>
      <c r="AP359" s="12" t="str">
        <f>IF($A359="","",admin!$B$2&amp;"\RunwayDiagrams\"&amp;$A359&amp;".pdf")</f>
        <v>C:\Backups\InsiderTechSol\Aviation\Jetelio_v3\.LAYOUT\resources\RunwayDiagrams\FAOR.pdf</v>
      </c>
      <c r="AQ359" s="12" t="str">
        <f>IF($A359="","",admin!$B$2&amp;"\Images\"&amp;$A359)</f>
        <v>C:\Backups\InsiderTechSol\Aviation\Jetelio_v3\.LAYOUT\resources\Images\FAOR</v>
      </c>
      <c r="AR359" s="12" t="str">
        <f>IF($A359="","",admin!$B$2&amp;"\CityMaps\"&amp;$A359&amp;".png")</f>
        <v>C:\Backups\InsiderTechSol\Aviation\Jetelio_v3\.LAYOUT\resources\CityMaps\FAOR.png</v>
      </c>
      <c r="AS359" s="16" t="str">
        <f t="shared" si="32"/>
        <v>VISA sheet</v>
      </c>
      <c r="AT359" s="16" t="str">
        <f t="shared" si="33"/>
        <v>Vendors sheet</v>
      </c>
      <c r="AV359" s="15">
        <f t="shared" ca="1" si="34"/>
        <v>46243</v>
      </c>
      <c r="AX359" s="6"/>
      <c r="AY359" t="str">
        <f t="shared" si="35"/>
        <v>INCOMPLETE - NOT SELECTABLE AS TECH STOP</v>
      </c>
    </row>
    <row r="360" spans="1:51" x14ac:dyDescent="0.3">
      <c r="A360" t="s">
        <v>3437</v>
      </c>
      <c r="B360" t="s">
        <v>3733</v>
      </c>
      <c r="E360" t="s">
        <v>3752</v>
      </c>
      <c r="F360" t="s">
        <v>82</v>
      </c>
      <c r="H360" t="s">
        <v>1998</v>
      </c>
      <c r="I360" t="s">
        <v>3770</v>
      </c>
      <c r="N360" s="12" t="str">
        <f t="shared" si="30"/>
        <v>28°24′01″S 021°15′49″E</v>
      </c>
      <c r="O360">
        <v>-28.40025</v>
      </c>
      <c r="P360">
        <v>21.263590000000001</v>
      </c>
      <c r="Q360" s="13">
        <f t="shared" si="31"/>
        <v>848</v>
      </c>
      <c r="R360">
        <v>2782</v>
      </c>
      <c r="T360" t="s">
        <v>2113</v>
      </c>
      <c r="U360">
        <v>2</v>
      </c>
      <c r="V360" s="14">
        <f ca="1">IF($U360="","",MOD(NOW()-admin!$B$1/24+$U360/24,1))</f>
        <v>0.69515972222143319</v>
      </c>
      <c r="AE360" t="s">
        <v>3790</v>
      </c>
      <c r="AO360" s="12" t="str">
        <f>IF($A360="","",admin!$B$2&amp;"\Charts\"&amp;$A360)</f>
        <v>C:\Backups\InsiderTechSol\Aviation\Jetelio_v3\.LAYOUT\resources\Charts\FAUP</v>
      </c>
      <c r="AP360" s="12" t="str">
        <f>IF($A360="","",admin!$B$2&amp;"\RunwayDiagrams\"&amp;$A360&amp;".pdf")</f>
        <v>C:\Backups\InsiderTechSol\Aviation\Jetelio_v3\.LAYOUT\resources\RunwayDiagrams\FAUP.pdf</v>
      </c>
      <c r="AQ360" s="12" t="str">
        <f>IF($A360="","",admin!$B$2&amp;"\Images\"&amp;$A360)</f>
        <v>C:\Backups\InsiderTechSol\Aviation\Jetelio_v3\.LAYOUT\resources\Images\FAUP</v>
      </c>
      <c r="AR360" s="12" t="str">
        <f>IF($A360="","",admin!$B$2&amp;"\CityMaps\"&amp;$A360&amp;".png")</f>
        <v>C:\Backups\InsiderTechSol\Aviation\Jetelio_v3\.LAYOUT\resources\CityMaps\FAUP.png</v>
      </c>
      <c r="AS360" s="16" t="str">
        <f t="shared" si="32"/>
        <v>VISA sheet</v>
      </c>
      <c r="AT360" s="16" t="str">
        <f t="shared" si="33"/>
        <v>Vendors sheet</v>
      </c>
      <c r="AV360" s="15">
        <f t="shared" ca="1" si="34"/>
        <v>46243</v>
      </c>
      <c r="AX360" s="6"/>
      <c r="AY360" t="str">
        <f t="shared" si="35"/>
        <v>INCOMPLETE - NOT SELECTABLE AS TECH STOP</v>
      </c>
    </row>
    <row r="361" spans="1:51" x14ac:dyDescent="0.3">
      <c r="A361" t="s">
        <v>3501</v>
      </c>
      <c r="B361" t="s">
        <v>3734</v>
      </c>
      <c r="E361" t="s">
        <v>3753</v>
      </c>
      <c r="F361" t="s">
        <v>82</v>
      </c>
      <c r="H361" t="s">
        <v>721</v>
      </c>
      <c r="I361" t="s">
        <v>3771</v>
      </c>
      <c r="N361" s="12" t="str">
        <f t="shared" si="30"/>
        <v>24°33′19″S 025°55′06″E</v>
      </c>
      <c r="O361">
        <v>-24.555199999999999</v>
      </c>
      <c r="P361">
        <v>25.918199999999999</v>
      </c>
      <c r="Q361" s="13">
        <f t="shared" si="31"/>
        <v>1006</v>
      </c>
      <c r="R361">
        <v>3299</v>
      </c>
      <c r="T361" t="s">
        <v>950</v>
      </c>
      <c r="U361">
        <v>2</v>
      </c>
      <c r="V361" s="14">
        <f ca="1">IF($U361="","",MOD(NOW()-admin!$B$1/24+$U361/24,1))</f>
        <v>0.69515972222143319</v>
      </c>
      <c r="AE361" t="s">
        <v>3791</v>
      </c>
      <c r="AO361" s="12" t="str">
        <f>IF($A361="","",admin!$B$2&amp;"\Charts\"&amp;$A361)</f>
        <v>C:\Backups\InsiderTechSol\Aviation\Jetelio_v3\.LAYOUT\resources\Charts\FBSK</v>
      </c>
      <c r="AP361" s="12" t="str">
        <f>IF($A361="","",admin!$B$2&amp;"\RunwayDiagrams\"&amp;$A361&amp;".pdf")</f>
        <v>C:\Backups\InsiderTechSol\Aviation\Jetelio_v3\.LAYOUT\resources\RunwayDiagrams\FBSK.pdf</v>
      </c>
      <c r="AQ361" s="12" t="str">
        <f>IF($A361="","",admin!$B$2&amp;"\Images\"&amp;$A361)</f>
        <v>C:\Backups\InsiderTechSol\Aviation\Jetelio_v3\.LAYOUT\resources\Images\FBSK</v>
      </c>
      <c r="AR361" s="12" t="str">
        <f>IF($A361="","",admin!$B$2&amp;"\CityMaps\"&amp;$A361&amp;".png")</f>
        <v>C:\Backups\InsiderTechSol\Aviation\Jetelio_v3\.LAYOUT\resources\CityMaps\FBSK.png</v>
      </c>
      <c r="AS361" s="16" t="str">
        <f t="shared" si="32"/>
        <v>VISA sheet</v>
      </c>
      <c r="AT361" s="16" t="str">
        <f t="shared" si="33"/>
        <v>Vendors sheet</v>
      </c>
      <c r="AV361" s="15">
        <f t="shared" ca="1" si="34"/>
        <v>46243</v>
      </c>
      <c r="AX361" s="6"/>
      <c r="AY361" t="str">
        <f t="shared" si="35"/>
        <v>INCOMPLETE - NOT SELECTABLE AS TECH STOP</v>
      </c>
    </row>
    <row r="362" spans="1:51" x14ac:dyDescent="0.3">
      <c r="A362" t="s">
        <v>3626</v>
      </c>
      <c r="B362" t="s">
        <v>3735</v>
      </c>
      <c r="E362" t="s">
        <v>3754</v>
      </c>
      <c r="F362" t="s">
        <v>82</v>
      </c>
      <c r="H362" t="s">
        <v>848</v>
      </c>
      <c r="I362" t="s">
        <v>3772</v>
      </c>
      <c r="N362" s="12" t="str">
        <f t="shared" si="30"/>
        <v>03°45′19″N 008°42′31″E</v>
      </c>
      <c r="O362">
        <v>3.7552699999999999</v>
      </c>
      <c r="P362">
        <v>8.7087199999999996</v>
      </c>
      <c r="Q362" s="13">
        <f t="shared" si="31"/>
        <v>23</v>
      </c>
      <c r="R362">
        <v>76</v>
      </c>
      <c r="T362" t="s">
        <v>1001</v>
      </c>
      <c r="U362">
        <v>1</v>
      </c>
      <c r="V362" s="14">
        <f ca="1">IF($U362="","",MOD(NOW()-admin!$B$1/24+$U362/24,1))</f>
        <v>0.65349305554991588</v>
      </c>
      <c r="AE362" t="s">
        <v>3792</v>
      </c>
      <c r="AO362" s="12" t="str">
        <f>IF($A362="","",admin!$B$2&amp;"\Charts\"&amp;$A362)</f>
        <v>C:\Backups\InsiderTechSol\Aviation\Jetelio_v3\.LAYOUT\resources\Charts\FGSL</v>
      </c>
      <c r="AP362" s="12" t="str">
        <f>IF($A362="","",admin!$B$2&amp;"\RunwayDiagrams\"&amp;$A362&amp;".pdf")</f>
        <v>C:\Backups\InsiderTechSol\Aviation\Jetelio_v3\.LAYOUT\resources\RunwayDiagrams\FGSL.pdf</v>
      </c>
      <c r="AQ362" s="12" t="str">
        <f>IF($A362="","",admin!$B$2&amp;"\Images\"&amp;$A362)</f>
        <v>C:\Backups\InsiderTechSol\Aviation\Jetelio_v3\.LAYOUT\resources\Images\FGSL</v>
      </c>
      <c r="AR362" s="12" t="str">
        <f>IF($A362="","",admin!$B$2&amp;"\CityMaps\"&amp;$A362&amp;".png")</f>
        <v>C:\Backups\InsiderTechSol\Aviation\Jetelio_v3\.LAYOUT\resources\CityMaps\FGSL.png</v>
      </c>
      <c r="AS362" s="16" t="str">
        <f t="shared" si="32"/>
        <v>VISA sheet</v>
      </c>
      <c r="AT362" s="16" t="str">
        <f t="shared" si="33"/>
        <v>Vendors sheet</v>
      </c>
      <c r="AV362" s="15">
        <f t="shared" ca="1" si="34"/>
        <v>46243</v>
      </c>
      <c r="AX362" s="6"/>
      <c r="AY362" t="str">
        <f t="shared" si="35"/>
        <v>INCOMPLETE - NOT SELECTABLE AS TECH STOP</v>
      </c>
    </row>
    <row r="363" spans="1:51" x14ac:dyDescent="0.3">
      <c r="A363" t="s">
        <v>3466</v>
      </c>
      <c r="B363" t="s">
        <v>3736</v>
      </c>
      <c r="E363" t="s">
        <v>3755</v>
      </c>
      <c r="F363" t="s">
        <v>82</v>
      </c>
      <c r="H363" t="s">
        <v>2003</v>
      </c>
      <c r="I363" t="s">
        <v>3773</v>
      </c>
      <c r="N363" s="12" t="str">
        <f t="shared" si="30"/>
        <v>17°55′54″S 031°05′34″E</v>
      </c>
      <c r="O363">
        <v>-17.931799999999999</v>
      </c>
      <c r="P363">
        <v>31.0928</v>
      </c>
      <c r="Q363" s="13">
        <f t="shared" si="31"/>
        <v>1490</v>
      </c>
      <c r="R363">
        <v>4887</v>
      </c>
      <c r="T363" t="s">
        <v>2114</v>
      </c>
      <c r="U363">
        <v>2</v>
      </c>
      <c r="V363" s="14">
        <f ca="1">IF($U363="","",MOD(NOW()-admin!$B$1/24+$U363/24,1))</f>
        <v>0.69515972222143319</v>
      </c>
      <c r="AE363" t="s">
        <v>3793</v>
      </c>
      <c r="AO363" s="12" t="str">
        <f>IF($A363="","",admin!$B$2&amp;"\Charts\"&amp;$A363)</f>
        <v>C:\Backups\InsiderTechSol\Aviation\Jetelio_v3\.LAYOUT\resources\Charts\FVRG</v>
      </c>
      <c r="AP363" s="12" t="str">
        <f>IF($A363="","",admin!$B$2&amp;"\RunwayDiagrams\"&amp;$A363&amp;".pdf")</f>
        <v>C:\Backups\InsiderTechSol\Aviation\Jetelio_v3\.LAYOUT\resources\RunwayDiagrams\FVRG.pdf</v>
      </c>
      <c r="AQ363" s="12" t="str">
        <f>IF($A363="","",admin!$B$2&amp;"\Images\"&amp;$A363)</f>
        <v>C:\Backups\InsiderTechSol\Aviation\Jetelio_v3\.LAYOUT\resources\Images\FVRG</v>
      </c>
      <c r="AR363" s="12" t="str">
        <f>IF($A363="","",admin!$B$2&amp;"\CityMaps\"&amp;$A363&amp;".png")</f>
        <v>C:\Backups\InsiderTechSol\Aviation\Jetelio_v3\.LAYOUT\resources\CityMaps\FVRG.png</v>
      </c>
      <c r="AS363" s="16" t="str">
        <f t="shared" si="32"/>
        <v>VISA sheet</v>
      </c>
      <c r="AT363" s="16" t="str">
        <f t="shared" si="33"/>
        <v>Vendors sheet</v>
      </c>
      <c r="AV363" s="15">
        <f t="shared" ca="1" si="34"/>
        <v>46243</v>
      </c>
      <c r="AX363" s="6"/>
      <c r="AY363" t="str">
        <f t="shared" si="35"/>
        <v>INCOMPLETE - NOT SELECTABLE AS TECH STOP</v>
      </c>
    </row>
    <row r="364" spans="1:51" x14ac:dyDescent="0.3">
      <c r="A364" t="s">
        <v>3511</v>
      </c>
      <c r="B364" t="s">
        <v>3737</v>
      </c>
      <c r="E364" t="s">
        <v>3756</v>
      </c>
      <c r="F364" t="s">
        <v>82</v>
      </c>
      <c r="H364" t="s">
        <v>2651</v>
      </c>
      <c r="I364" t="s">
        <v>3774</v>
      </c>
      <c r="N364" s="12" t="str">
        <f t="shared" si="30"/>
        <v>22°36′18″S 017°04′44″E</v>
      </c>
      <c r="O364">
        <v>-22.60492</v>
      </c>
      <c r="P364">
        <v>17.079000000000001</v>
      </c>
      <c r="Q364" s="13">
        <f t="shared" si="31"/>
        <v>1699</v>
      </c>
      <c r="R364">
        <v>5575</v>
      </c>
      <c r="T364" t="s">
        <v>3783</v>
      </c>
      <c r="U364">
        <v>1</v>
      </c>
      <c r="V364" s="14">
        <f ca="1">IF($U364="","",MOD(NOW()-admin!$B$1/24+$U364/24,1))</f>
        <v>0.65349305554991588</v>
      </c>
      <c r="AE364" t="s">
        <v>3794</v>
      </c>
      <c r="AO364" s="12" t="str">
        <f>IF($A364="","",admin!$B$2&amp;"\Charts\"&amp;$A364)</f>
        <v>C:\Backups\InsiderTechSol\Aviation\Jetelio_v3\.LAYOUT\resources\Charts\FYWE</v>
      </c>
      <c r="AP364" s="12" t="str">
        <f>IF($A364="","",admin!$B$2&amp;"\RunwayDiagrams\"&amp;$A364&amp;".pdf")</f>
        <v>C:\Backups\InsiderTechSol\Aviation\Jetelio_v3\.LAYOUT\resources\RunwayDiagrams\FYWE.pdf</v>
      </c>
      <c r="AQ364" s="12" t="str">
        <f>IF($A364="","",admin!$B$2&amp;"\Images\"&amp;$A364)</f>
        <v>C:\Backups\InsiderTechSol\Aviation\Jetelio_v3\.LAYOUT\resources\Images\FYWE</v>
      </c>
      <c r="AR364" s="12" t="str">
        <f>IF($A364="","",admin!$B$2&amp;"\CityMaps\"&amp;$A364&amp;".png")</f>
        <v>C:\Backups\InsiderTechSol\Aviation\Jetelio_v3\.LAYOUT\resources\CityMaps\FYWE.png</v>
      </c>
      <c r="AS364" s="16" t="str">
        <f t="shared" si="32"/>
        <v>VISA sheet</v>
      </c>
      <c r="AT364" s="16" t="str">
        <f t="shared" si="33"/>
        <v>Vendors sheet</v>
      </c>
      <c r="AV364" s="15">
        <f t="shared" ca="1" si="34"/>
        <v>46243</v>
      </c>
      <c r="AX364" s="6"/>
      <c r="AY364" t="str">
        <f t="shared" si="35"/>
        <v>INCOMPLETE - NOT SELECTABLE AS TECH STOP</v>
      </c>
    </row>
    <row r="365" spans="1:51" x14ac:dyDescent="0.3">
      <c r="A365" t="s">
        <v>3509</v>
      </c>
      <c r="B365" t="s">
        <v>3738</v>
      </c>
      <c r="E365" t="s">
        <v>3757</v>
      </c>
      <c r="F365" t="s">
        <v>82</v>
      </c>
      <c r="H365" t="s">
        <v>2651</v>
      </c>
      <c r="I365" t="s">
        <v>3774</v>
      </c>
      <c r="N365" s="12" t="str">
        <f t="shared" si="30"/>
        <v>22°28′48″S 017°28′15″E</v>
      </c>
      <c r="O365">
        <v>-22.479900000000001</v>
      </c>
      <c r="P365">
        <v>17.4709</v>
      </c>
      <c r="Q365" s="13">
        <f t="shared" si="31"/>
        <v>1719</v>
      </c>
      <c r="R365">
        <v>5640</v>
      </c>
      <c r="T365" t="s">
        <v>3783</v>
      </c>
      <c r="U365">
        <v>1</v>
      </c>
      <c r="V365" s="14">
        <f ca="1">IF($U365="","",MOD(NOW()-admin!$B$1/24+$U365/24,1))</f>
        <v>0.65349305554991588</v>
      </c>
      <c r="AE365" t="s">
        <v>3795</v>
      </c>
      <c r="AO365" s="12" t="str">
        <f>IF($A365="","",admin!$B$2&amp;"\Charts\"&amp;$A365)</f>
        <v>C:\Backups\InsiderTechSol\Aviation\Jetelio_v3\.LAYOUT\resources\Charts\FYWH</v>
      </c>
      <c r="AP365" s="12" t="str">
        <f>IF($A365="","",admin!$B$2&amp;"\RunwayDiagrams\"&amp;$A365&amp;".pdf")</f>
        <v>C:\Backups\InsiderTechSol\Aviation\Jetelio_v3\.LAYOUT\resources\RunwayDiagrams\FYWH.pdf</v>
      </c>
      <c r="AQ365" s="12" t="str">
        <f>IF($A365="","",admin!$B$2&amp;"\Images\"&amp;$A365)</f>
        <v>C:\Backups\InsiderTechSol\Aviation\Jetelio_v3\.LAYOUT\resources\Images\FYWH</v>
      </c>
      <c r="AR365" s="12" t="str">
        <f>IF($A365="","",admin!$B$2&amp;"\CityMaps\"&amp;$A365&amp;".png")</f>
        <v>C:\Backups\InsiderTechSol\Aviation\Jetelio_v3\.LAYOUT\resources\CityMaps\FYWH.png</v>
      </c>
      <c r="AS365" s="16" t="str">
        <f t="shared" si="32"/>
        <v>VISA sheet</v>
      </c>
      <c r="AT365" s="16" t="str">
        <f t="shared" si="33"/>
        <v>Vendors sheet</v>
      </c>
      <c r="AV365" s="15">
        <f t="shared" ca="1" si="34"/>
        <v>46243</v>
      </c>
      <c r="AX365" s="6"/>
      <c r="AY365" t="str">
        <f t="shared" si="35"/>
        <v>INCOMPLETE - NOT SELECTABLE AS TECH STOP</v>
      </c>
    </row>
    <row r="366" spans="1:51" x14ac:dyDescent="0.3">
      <c r="A366" t="s">
        <v>3449</v>
      </c>
      <c r="B366" t="s">
        <v>3739</v>
      </c>
      <c r="E366" t="s">
        <v>3758</v>
      </c>
      <c r="F366" t="s">
        <v>82</v>
      </c>
      <c r="H366" t="s">
        <v>1766</v>
      </c>
      <c r="I366" t="s">
        <v>3775</v>
      </c>
      <c r="N366" s="12" t="str">
        <f t="shared" si="30"/>
        <v>33°22′03″N 007°35′24″W</v>
      </c>
      <c r="O366">
        <v>33.3675</v>
      </c>
      <c r="P366">
        <v>-7.5899700000000001</v>
      </c>
      <c r="Q366" s="13">
        <f t="shared" si="31"/>
        <v>200</v>
      </c>
      <c r="R366">
        <v>656</v>
      </c>
      <c r="T366" t="s">
        <v>2022</v>
      </c>
      <c r="U366">
        <v>0</v>
      </c>
      <c r="V366" s="14">
        <f ca="1">IF($U366="","",MOD(NOW()-admin!$B$1/24+$U366/24,1))</f>
        <v>0.61182638888567453</v>
      </c>
      <c r="AE366" t="s">
        <v>3796</v>
      </c>
      <c r="AO366" s="12" t="str">
        <f>IF($A366="","",admin!$B$2&amp;"\Charts\"&amp;$A366)</f>
        <v>C:\Backups\InsiderTechSol\Aviation\Jetelio_v3\.LAYOUT\resources\Charts\GMMN</v>
      </c>
      <c r="AP366" s="12" t="str">
        <f>IF($A366="","",admin!$B$2&amp;"\RunwayDiagrams\"&amp;$A366&amp;".pdf")</f>
        <v>C:\Backups\InsiderTechSol\Aviation\Jetelio_v3\.LAYOUT\resources\RunwayDiagrams\GMMN.pdf</v>
      </c>
      <c r="AQ366" s="12" t="str">
        <f>IF($A366="","",admin!$B$2&amp;"\Images\"&amp;$A366)</f>
        <v>C:\Backups\InsiderTechSol\Aviation\Jetelio_v3\.LAYOUT\resources\Images\GMMN</v>
      </c>
      <c r="AR366" s="12" t="str">
        <f>IF($A366="","",admin!$B$2&amp;"\CityMaps\"&amp;$A366&amp;".png")</f>
        <v>C:\Backups\InsiderTechSol\Aviation\Jetelio_v3\.LAYOUT\resources\CityMaps\GMMN.png</v>
      </c>
      <c r="AS366" s="16" t="str">
        <f t="shared" si="32"/>
        <v>VISA sheet</v>
      </c>
      <c r="AT366" s="16" t="str">
        <f t="shared" si="33"/>
        <v>Vendors sheet</v>
      </c>
      <c r="AV366" s="15">
        <f t="shared" ca="1" si="34"/>
        <v>46243</v>
      </c>
      <c r="AX366" s="6"/>
      <c r="AY366" t="str">
        <f t="shared" si="35"/>
        <v>INCOMPLETE - NOT SELECTABLE AS TECH STOP</v>
      </c>
    </row>
    <row r="367" spans="1:51" x14ac:dyDescent="0.3">
      <c r="A367" t="s">
        <v>3574</v>
      </c>
      <c r="B367" t="s">
        <v>3740</v>
      </c>
      <c r="E367" t="s">
        <v>3759</v>
      </c>
      <c r="F367" t="s">
        <v>82</v>
      </c>
      <c r="H367" t="s">
        <v>1908</v>
      </c>
      <c r="I367" t="s">
        <v>3776</v>
      </c>
      <c r="N367" s="12" t="str">
        <f t="shared" si="30"/>
        <v>02°00′52″N 045°18′17″E</v>
      </c>
      <c r="O367">
        <v>2.01444</v>
      </c>
      <c r="P367">
        <v>45.304699999999997</v>
      </c>
      <c r="Q367" s="13">
        <f t="shared" si="31"/>
        <v>9</v>
      </c>
      <c r="R367">
        <v>29</v>
      </c>
      <c r="T367" t="s">
        <v>2079</v>
      </c>
      <c r="U367">
        <v>3</v>
      </c>
      <c r="V367" s="14">
        <f ca="1">IF($U367="","",MOD(NOW()-admin!$B$1/24+$U367/24,1))</f>
        <v>0.73682638888567453</v>
      </c>
      <c r="AE367" t="s">
        <v>3797</v>
      </c>
      <c r="AO367" s="12" t="str">
        <f>IF($A367="","",admin!$B$2&amp;"\Charts\"&amp;$A367)</f>
        <v>C:\Backups\InsiderTechSol\Aviation\Jetelio_v3\.LAYOUT\resources\Charts\HCMM</v>
      </c>
      <c r="AP367" s="12" t="str">
        <f>IF($A367="","",admin!$B$2&amp;"\RunwayDiagrams\"&amp;$A367&amp;".pdf")</f>
        <v>C:\Backups\InsiderTechSol\Aviation\Jetelio_v3\.LAYOUT\resources\RunwayDiagrams\HCMM.pdf</v>
      </c>
      <c r="AQ367" s="12" t="str">
        <f>IF($A367="","",admin!$B$2&amp;"\Images\"&amp;$A367)</f>
        <v>C:\Backups\InsiderTechSol\Aviation\Jetelio_v3\.LAYOUT\resources\Images\HCMM</v>
      </c>
      <c r="AR367" s="12" t="str">
        <f>IF($A367="","",admin!$B$2&amp;"\CityMaps\"&amp;$A367&amp;".png")</f>
        <v>C:\Backups\InsiderTechSol\Aviation\Jetelio_v3\.LAYOUT\resources\CityMaps\HCMM.png</v>
      </c>
      <c r="AS367" s="16" t="str">
        <f t="shared" si="32"/>
        <v>VISA sheet</v>
      </c>
      <c r="AT367" s="16" t="str">
        <f t="shared" si="33"/>
        <v>Vendors sheet</v>
      </c>
      <c r="AV367" s="15">
        <f t="shared" ca="1" si="34"/>
        <v>46243</v>
      </c>
      <c r="AX367" s="6"/>
      <c r="AY367" t="str">
        <f t="shared" si="35"/>
        <v>INCOMPLETE - NOT SELECTABLE AS TECH STOP</v>
      </c>
    </row>
    <row r="368" spans="1:51" x14ac:dyDescent="0.3">
      <c r="A368" t="s">
        <v>4</v>
      </c>
      <c r="B368" t="s">
        <v>3741</v>
      </c>
      <c r="E368" t="s">
        <v>3760</v>
      </c>
      <c r="F368" t="s">
        <v>82</v>
      </c>
      <c r="H368" t="s">
        <v>16</v>
      </c>
      <c r="I368" t="s">
        <v>3777</v>
      </c>
      <c r="N368" s="12" t="str">
        <f t="shared" si="30"/>
        <v>30°06′42″N 031°23′48″E</v>
      </c>
      <c r="O368">
        <v>30.111529999999998</v>
      </c>
      <c r="P368">
        <v>31.39669</v>
      </c>
      <c r="Q368" s="13">
        <f t="shared" si="31"/>
        <v>98</v>
      </c>
      <c r="R368">
        <v>322</v>
      </c>
      <c r="T368" t="s">
        <v>980</v>
      </c>
      <c r="U368">
        <v>2</v>
      </c>
      <c r="V368" s="14">
        <f ca="1">IF($U368="","",MOD(NOW()-admin!$B$1/24+$U368/24,1))</f>
        <v>0.69515972222143319</v>
      </c>
      <c r="AE368" t="s">
        <v>3798</v>
      </c>
      <c r="AO368" s="12" t="str">
        <f>IF($A368="","",admin!$B$2&amp;"\Charts\"&amp;$A368)</f>
        <v>C:\Backups\InsiderTechSol\Aviation\Jetelio_v3\.LAYOUT\resources\Charts\HECA</v>
      </c>
      <c r="AP368" s="12" t="str">
        <f>IF($A368="","",admin!$B$2&amp;"\RunwayDiagrams\"&amp;$A368&amp;".pdf")</f>
        <v>C:\Backups\InsiderTechSol\Aviation\Jetelio_v3\.LAYOUT\resources\RunwayDiagrams\HECA.pdf</v>
      </c>
      <c r="AQ368" s="12" t="str">
        <f>IF($A368="","",admin!$B$2&amp;"\Images\"&amp;$A368)</f>
        <v>C:\Backups\InsiderTechSol\Aviation\Jetelio_v3\.LAYOUT\resources\Images\HECA</v>
      </c>
      <c r="AR368" s="12" t="str">
        <f>IF($A368="","",admin!$B$2&amp;"\CityMaps\"&amp;$A368&amp;".png")</f>
        <v>C:\Backups\InsiderTechSol\Aviation\Jetelio_v3\.LAYOUT\resources\CityMaps\HECA.png</v>
      </c>
      <c r="AS368" s="16" t="str">
        <f t="shared" si="32"/>
        <v>VISA sheet</v>
      </c>
      <c r="AT368" s="16" t="str">
        <f t="shared" si="33"/>
        <v>Vendors sheet</v>
      </c>
      <c r="AV368" s="15">
        <f t="shared" ca="1" si="34"/>
        <v>46243</v>
      </c>
      <c r="AX368" s="6"/>
      <c r="AY368" t="str">
        <f t="shared" si="35"/>
        <v>INCOMPLETE - NOT SELECTABLE AS TECH STOP</v>
      </c>
    </row>
    <row r="369" spans="1:51" x14ac:dyDescent="0.3">
      <c r="A369" t="s">
        <v>3557</v>
      </c>
      <c r="B369" t="s">
        <v>3742</v>
      </c>
      <c r="E369" t="s">
        <v>3761</v>
      </c>
      <c r="F369" t="s">
        <v>82</v>
      </c>
      <c r="H369" t="s">
        <v>6</v>
      </c>
      <c r="I369" t="s">
        <v>3778</v>
      </c>
      <c r="N369" s="12" t="str">
        <f t="shared" si="30"/>
        <v>15°17′31″N 038°54′39″E</v>
      </c>
      <c r="O369">
        <v>15.2919</v>
      </c>
      <c r="P369">
        <v>38.910699999999999</v>
      </c>
      <c r="Q369" s="13">
        <f t="shared" si="31"/>
        <v>2335</v>
      </c>
      <c r="R369">
        <v>7661</v>
      </c>
      <c r="T369" t="s">
        <v>3784</v>
      </c>
      <c r="U369">
        <v>3</v>
      </c>
      <c r="V369" s="14">
        <f ca="1">IF($U369="","",MOD(NOW()-admin!$B$1/24+$U369/24,1))</f>
        <v>0.73682638888567453</v>
      </c>
      <c r="AE369" t="s">
        <v>3799</v>
      </c>
      <c r="AO369" s="12" t="str">
        <f>IF($A369="","",admin!$B$2&amp;"\Charts\"&amp;$A369)</f>
        <v>C:\Backups\InsiderTechSol\Aviation\Jetelio_v3\.LAYOUT\resources\Charts\HHAS</v>
      </c>
      <c r="AP369" s="12" t="str">
        <f>IF($A369="","",admin!$B$2&amp;"\RunwayDiagrams\"&amp;$A369&amp;".pdf")</f>
        <v>C:\Backups\InsiderTechSol\Aviation\Jetelio_v3\.LAYOUT\resources\RunwayDiagrams\HHAS.pdf</v>
      </c>
      <c r="AQ369" s="12" t="str">
        <f>IF($A369="","",admin!$B$2&amp;"\Images\"&amp;$A369)</f>
        <v>C:\Backups\InsiderTechSol\Aviation\Jetelio_v3\.LAYOUT\resources\Images\HHAS</v>
      </c>
      <c r="AR369" s="12" t="str">
        <f>IF($A369="","",admin!$B$2&amp;"\CityMaps\"&amp;$A369&amp;".png")</f>
        <v>C:\Backups\InsiderTechSol\Aviation\Jetelio_v3\.LAYOUT\resources\CityMaps\HHAS.png</v>
      </c>
      <c r="AS369" s="16" t="str">
        <f t="shared" si="32"/>
        <v>VISA sheet</v>
      </c>
      <c r="AT369" s="16" t="str">
        <f t="shared" si="33"/>
        <v>Vendors sheet</v>
      </c>
      <c r="AV369" s="15">
        <f t="shared" ca="1" si="34"/>
        <v>46243</v>
      </c>
      <c r="AX369" s="6"/>
      <c r="AY369" t="str">
        <f t="shared" si="35"/>
        <v>INCOMPLETE - NOT SELECTABLE AS TECH STOP</v>
      </c>
    </row>
    <row r="370" spans="1:51" x14ac:dyDescent="0.3">
      <c r="A370" t="s">
        <v>3640</v>
      </c>
      <c r="B370" t="s">
        <v>3743</v>
      </c>
      <c r="E370" t="s">
        <v>3762</v>
      </c>
      <c r="F370" t="s">
        <v>82</v>
      </c>
      <c r="H370" t="s">
        <v>1886</v>
      </c>
      <c r="I370" t="s">
        <v>3779</v>
      </c>
      <c r="N370" s="12" t="str">
        <f t="shared" si="30"/>
        <v>21°40′49″N 039°09′27″E</v>
      </c>
      <c r="O370">
        <v>21.680240000000001</v>
      </c>
      <c r="P370">
        <v>39.157440000000001</v>
      </c>
      <c r="Q370" s="13">
        <f t="shared" si="31"/>
        <v>15</v>
      </c>
      <c r="R370">
        <v>48</v>
      </c>
      <c r="T370" t="s">
        <v>2069</v>
      </c>
      <c r="U370">
        <v>3</v>
      </c>
      <c r="V370" s="14">
        <f ca="1">IF($U370="","",MOD(NOW()-admin!$B$1/24+$U370/24,1))</f>
        <v>0.73682638888567453</v>
      </c>
      <c r="AE370" t="s">
        <v>3800</v>
      </c>
      <c r="AO370" s="12" t="str">
        <f>IF($A370="","",admin!$B$2&amp;"\Charts\"&amp;$A370)</f>
        <v>C:\Backups\InsiderTechSol\Aviation\Jetelio_v3\.LAYOUT\resources\Charts\OEJN</v>
      </c>
      <c r="AP370" s="12" t="str">
        <f>IF($A370="","",admin!$B$2&amp;"\RunwayDiagrams\"&amp;$A370&amp;".pdf")</f>
        <v>C:\Backups\InsiderTechSol\Aviation\Jetelio_v3\.LAYOUT\resources\RunwayDiagrams\OEJN.pdf</v>
      </c>
      <c r="AQ370" s="12" t="str">
        <f>IF($A370="","",admin!$B$2&amp;"\Images\"&amp;$A370)</f>
        <v>C:\Backups\InsiderTechSol\Aviation\Jetelio_v3\.LAYOUT\resources\Images\OEJN</v>
      </c>
      <c r="AR370" s="12" t="str">
        <f>IF($A370="","",admin!$B$2&amp;"\CityMaps\"&amp;$A370&amp;".png")</f>
        <v>C:\Backups\InsiderTechSol\Aviation\Jetelio_v3\.LAYOUT\resources\CityMaps\OEJN.png</v>
      </c>
      <c r="AS370" s="16" t="str">
        <f t="shared" si="32"/>
        <v>VISA sheet</v>
      </c>
      <c r="AT370" s="16" t="str">
        <f t="shared" si="33"/>
        <v>Vendors sheet</v>
      </c>
      <c r="AV370" s="15">
        <f t="shared" ca="1" si="34"/>
        <v>46243</v>
      </c>
      <c r="AX370" s="6"/>
      <c r="AY370" t="str">
        <f t="shared" si="35"/>
        <v>INCOMPLETE - NOT SELECTABLE AS TECH STOP</v>
      </c>
    </row>
    <row r="371" spans="1:51" x14ac:dyDescent="0.3">
      <c r="A371" t="s">
        <v>3638</v>
      </c>
      <c r="B371" t="s">
        <v>3744</v>
      </c>
      <c r="E371" t="s">
        <v>3763</v>
      </c>
      <c r="F371" t="s">
        <v>82</v>
      </c>
      <c r="H371" t="s">
        <v>1886</v>
      </c>
      <c r="I371" t="s">
        <v>3780</v>
      </c>
      <c r="N371" s="12" t="str">
        <f t="shared" si="30"/>
        <v>24°57′27″N 046°41′56″E</v>
      </c>
      <c r="O371">
        <v>24.957599999999999</v>
      </c>
      <c r="P371">
        <v>46.698799999999999</v>
      </c>
      <c r="Q371" s="13">
        <f t="shared" si="31"/>
        <v>625</v>
      </c>
      <c r="R371">
        <v>2049</v>
      </c>
      <c r="T371" t="s">
        <v>2069</v>
      </c>
      <c r="U371">
        <v>3</v>
      </c>
      <c r="V371" s="14">
        <f ca="1">IF($U371="","",MOD(NOW()-admin!$B$1/24+$U371/24,1))</f>
        <v>0.73682638888567453</v>
      </c>
      <c r="AE371" t="s">
        <v>3801</v>
      </c>
      <c r="AO371" s="12" t="str">
        <f>IF($A371="","",admin!$B$2&amp;"\Charts\"&amp;$A371)</f>
        <v>C:\Backups\InsiderTechSol\Aviation\Jetelio_v3\.LAYOUT\resources\Charts\OERK</v>
      </c>
      <c r="AP371" s="12" t="str">
        <f>IF($A371="","",admin!$B$2&amp;"\RunwayDiagrams\"&amp;$A371&amp;".pdf")</f>
        <v>C:\Backups\InsiderTechSol\Aviation\Jetelio_v3\.LAYOUT\resources\RunwayDiagrams\OERK.pdf</v>
      </c>
      <c r="AQ371" s="12" t="str">
        <f>IF($A371="","",admin!$B$2&amp;"\Images\"&amp;$A371)</f>
        <v>C:\Backups\InsiderTechSol\Aviation\Jetelio_v3\.LAYOUT\resources\Images\OERK</v>
      </c>
      <c r="AR371" s="12" t="str">
        <f>IF($A371="","",admin!$B$2&amp;"\CityMaps\"&amp;$A371&amp;".png")</f>
        <v>C:\Backups\InsiderTechSol\Aviation\Jetelio_v3\.LAYOUT\resources\CityMaps\OERK.png</v>
      </c>
      <c r="AS371" s="16" t="str">
        <f t="shared" si="32"/>
        <v>VISA sheet</v>
      </c>
      <c r="AT371" s="16" t="str">
        <f t="shared" si="33"/>
        <v>Vendors sheet</v>
      </c>
      <c r="AV371" s="15">
        <f t="shared" ca="1" si="34"/>
        <v>46243</v>
      </c>
      <c r="AX371" s="6"/>
      <c r="AY371" t="str">
        <f t="shared" si="35"/>
        <v>INCOMPLETE - NOT SELECTABLE AS TECH STOP</v>
      </c>
    </row>
    <row r="372" spans="1:51" x14ac:dyDescent="0.3">
      <c r="A372" t="s">
        <v>3651</v>
      </c>
      <c r="B372" t="s">
        <v>3745</v>
      </c>
      <c r="E372" t="s">
        <v>3764</v>
      </c>
      <c r="F372" t="s">
        <v>82</v>
      </c>
      <c r="H372" t="s">
        <v>651</v>
      </c>
      <c r="I372" t="s">
        <v>3781</v>
      </c>
      <c r="N372" s="12" t="str">
        <f t="shared" si="30"/>
        <v>25°14′59″N 055°22′16″E</v>
      </c>
      <c r="O372">
        <v>25.249790000000001</v>
      </c>
      <c r="P372">
        <v>55.370989999999999</v>
      </c>
      <c r="Q372" s="13">
        <f t="shared" si="31"/>
        <v>19</v>
      </c>
      <c r="R372">
        <v>62</v>
      </c>
      <c r="T372" t="s">
        <v>920</v>
      </c>
      <c r="U372">
        <v>4</v>
      </c>
      <c r="V372" s="14">
        <f ca="1">IF($U372="","",MOD(NOW()-admin!$B$1/24+$U372/24,1))</f>
        <v>0.77849305554991588</v>
      </c>
      <c r="AE372" t="s">
        <v>3802</v>
      </c>
      <c r="AO372" s="12" t="str">
        <f>IF($A372="","",admin!$B$2&amp;"\Charts\"&amp;$A372)</f>
        <v>C:\Backups\InsiderTechSol\Aviation\Jetelio_v3\.LAYOUT\resources\Charts\OMDB</v>
      </c>
      <c r="AP372" s="12" t="str">
        <f>IF($A372="","",admin!$B$2&amp;"\RunwayDiagrams\"&amp;$A372&amp;".pdf")</f>
        <v>C:\Backups\InsiderTechSol\Aviation\Jetelio_v3\.LAYOUT\resources\RunwayDiagrams\OMDB.pdf</v>
      </c>
      <c r="AQ372" s="12" t="str">
        <f>IF($A372="","",admin!$B$2&amp;"\Images\"&amp;$A372)</f>
        <v>C:\Backups\InsiderTechSol\Aviation\Jetelio_v3\.LAYOUT\resources\Images\OMDB</v>
      </c>
      <c r="AR372" s="12" t="str">
        <f>IF($A372="","",admin!$B$2&amp;"\CityMaps\"&amp;$A372&amp;".png")</f>
        <v>C:\Backups\InsiderTechSol\Aviation\Jetelio_v3\.LAYOUT\resources\CityMaps\OMDB.png</v>
      </c>
      <c r="AS372" s="16" t="str">
        <f t="shared" si="32"/>
        <v>VISA sheet</v>
      </c>
      <c r="AT372" s="16" t="str">
        <f t="shared" si="33"/>
        <v>Vendors sheet</v>
      </c>
      <c r="AV372" s="15">
        <f t="shared" ca="1" si="34"/>
        <v>46243</v>
      </c>
      <c r="AX372" s="6"/>
      <c r="AY372" t="str">
        <f t="shared" si="35"/>
        <v>INCOMPLETE - NOT SELECTABLE AS TECH STOP</v>
      </c>
    </row>
    <row r="373" spans="1:51" x14ac:dyDescent="0.3">
      <c r="A373" t="s">
        <v>3725</v>
      </c>
      <c r="B373" t="s">
        <v>3746</v>
      </c>
      <c r="E373" t="s">
        <v>3765</v>
      </c>
      <c r="F373" t="s">
        <v>82</v>
      </c>
      <c r="H373" t="s">
        <v>1993</v>
      </c>
      <c r="I373" t="s">
        <v>3782</v>
      </c>
      <c r="N373" s="12" t="str">
        <f t="shared" si="30"/>
        <v>15°28′35″N 044°13′11″E</v>
      </c>
      <c r="O373">
        <v>15.4763</v>
      </c>
      <c r="P373">
        <v>44.219700000000003</v>
      </c>
      <c r="Q373" s="13">
        <f t="shared" si="31"/>
        <v>2199</v>
      </c>
      <c r="R373">
        <v>7216</v>
      </c>
      <c r="T373" t="s">
        <v>2111</v>
      </c>
      <c r="U373">
        <v>3</v>
      </c>
      <c r="V373" s="14">
        <f ca="1">IF($U373="","",MOD(NOW()-admin!$B$1/24+$U373/24,1))</f>
        <v>0.73682638888567453</v>
      </c>
      <c r="AE373" t="s">
        <v>3803</v>
      </c>
      <c r="AO373" s="12" t="str">
        <f>IF($A373="","",admin!$B$2&amp;"\Charts\"&amp;$A373)</f>
        <v>C:\Backups\InsiderTechSol\Aviation\Jetelio_v3\.LAYOUT\resources\Charts\OYSN</v>
      </c>
      <c r="AP373" s="12" t="str">
        <f>IF($A373="","",admin!$B$2&amp;"\RunwayDiagrams\"&amp;$A373&amp;".pdf")</f>
        <v>C:\Backups\InsiderTechSol\Aviation\Jetelio_v3\.LAYOUT\resources\RunwayDiagrams\OYSN.pdf</v>
      </c>
      <c r="AQ373" s="12" t="str">
        <f>IF($A373="","",admin!$B$2&amp;"\Images\"&amp;$A373)</f>
        <v>C:\Backups\InsiderTechSol\Aviation\Jetelio_v3\.LAYOUT\resources\Images\OYSN</v>
      </c>
      <c r="AR373" s="12" t="str">
        <f>IF($A373="","",admin!$B$2&amp;"\CityMaps\"&amp;$A373&amp;".png")</f>
        <v>C:\Backups\InsiderTechSol\Aviation\Jetelio_v3\.LAYOUT\resources\CityMaps\OYSN.png</v>
      </c>
      <c r="AS373" s="16" t="str">
        <f t="shared" si="32"/>
        <v>VISA sheet</v>
      </c>
      <c r="AT373" s="16" t="str">
        <f t="shared" si="33"/>
        <v>Vendors sheet</v>
      </c>
      <c r="AV373" s="15">
        <f t="shared" ca="1" si="34"/>
        <v>46243</v>
      </c>
      <c r="AX373" s="6"/>
      <c r="AY373" t="str">
        <f t="shared" si="35"/>
        <v>INCOMPLETE - NOT SELECTABLE AS TECH STOP</v>
      </c>
    </row>
    <row r="374" spans="1:51" x14ac:dyDescent="0.3">
      <c r="A374" t="s">
        <v>4024</v>
      </c>
      <c r="B374" t="s">
        <v>4155</v>
      </c>
      <c r="E374" t="s">
        <v>4164</v>
      </c>
      <c r="F374" t="s">
        <v>82</v>
      </c>
      <c r="H374" t="s">
        <v>826</v>
      </c>
      <c r="I374" t="s">
        <v>4173</v>
      </c>
      <c r="N374" s="12" t="str">
        <f t="shared" si="30"/>
        <v>51°52′29″N 000°22′06″W</v>
      </c>
      <c r="O374">
        <v>51.874699999999997</v>
      </c>
      <c r="P374">
        <v>-0.36832999999999999</v>
      </c>
      <c r="Q374" s="13">
        <f t="shared" si="31"/>
        <v>160</v>
      </c>
      <c r="R374">
        <v>526</v>
      </c>
      <c r="T374" t="s">
        <v>991</v>
      </c>
      <c r="U374">
        <v>0</v>
      </c>
      <c r="V374" s="14">
        <f ca="1">IF($U374="","",MOD(NOW()-admin!$B$1/24+$U374/24,1))</f>
        <v>0.61182638888567453</v>
      </c>
      <c r="AE374" t="s">
        <v>4183</v>
      </c>
      <c r="AO374" s="12" t="str">
        <f>IF($A374="","",admin!$B$2&amp;"\Charts\"&amp;$A374)</f>
        <v>C:\Backups\InsiderTechSol\Aviation\Jetelio_v3\.LAYOUT\resources\Charts\EGGW</v>
      </c>
      <c r="AP374" s="12" t="str">
        <f>IF($A374="","",admin!$B$2&amp;"\RunwayDiagrams\"&amp;$A374&amp;".pdf")</f>
        <v>C:\Backups\InsiderTechSol\Aviation\Jetelio_v3\.LAYOUT\resources\RunwayDiagrams\EGGW.pdf</v>
      </c>
      <c r="AQ374" s="12" t="str">
        <f>IF($A374="","",admin!$B$2&amp;"\Images\"&amp;$A374)</f>
        <v>C:\Backups\InsiderTechSol\Aviation\Jetelio_v3\.LAYOUT\resources\Images\EGGW</v>
      </c>
      <c r="AR374" s="12" t="str">
        <f>IF($A374="","",admin!$B$2&amp;"\CityMaps\"&amp;$A374&amp;".png")</f>
        <v>C:\Backups\InsiderTechSol\Aviation\Jetelio_v3\.LAYOUT\resources\CityMaps\EGGW.png</v>
      </c>
      <c r="AS374" s="16" t="str">
        <f t="shared" si="32"/>
        <v>VISA sheet</v>
      </c>
      <c r="AT374" s="16" t="str">
        <f t="shared" si="33"/>
        <v>Vendors sheet</v>
      </c>
      <c r="AV374" s="15">
        <f t="shared" ca="1" si="34"/>
        <v>46243</v>
      </c>
      <c r="AX374" s="6"/>
      <c r="AY374" t="str">
        <f t="shared" si="35"/>
        <v>INCOMPLETE - NOT SELECTABLE AS TECH STOP</v>
      </c>
    </row>
    <row r="375" spans="1:51" x14ac:dyDescent="0.3">
      <c r="A375" t="s">
        <v>4032</v>
      </c>
      <c r="B375" t="s">
        <v>4156</v>
      </c>
      <c r="E375" t="s">
        <v>4165</v>
      </c>
      <c r="F375" t="s">
        <v>82</v>
      </c>
      <c r="H375" t="s">
        <v>826</v>
      </c>
      <c r="I375" t="s">
        <v>4174</v>
      </c>
      <c r="N375" s="12" t="str">
        <f t="shared" si="30"/>
        <v>51°16′33″N 000°46′35″W</v>
      </c>
      <c r="O375">
        <v>51.275799999999997</v>
      </c>
      <c r="P375">
        <v>-0.77632999999999996</v>
      </c>
      <c r="Q375" s="13">
        <f t="shared" si="31"/>
        <v>73</v>
      </c>
      <c r="R375">
        <v>238</v>
      </c>
      <c r="T375" t="s">
        <v>991</v>
      </c>
      <c r="U375">
        <v>0</v>
      </c>
      <c r="V375" s="14">
        <f ca="1">IF($U375="","",MOD(NOW()-admin!$B$1/24+$U375/24,1))</f>
        <v>0.61182638888567453</v>
      </c>
      <c r="AE375" t="s">
        <v>4184</v>
      </c>
      <c r="AO375" s="12" t="str">
        <f>IF($A375="","",admin!$B$2&amp;"\Charts\"&amp;$A375)</f>
        <v>C:\Backups\InsiderTechSol\Aviation\Jetelio_v3\.LAYOUT\resources\Charts\EGLF</v>
      </c>
      <c r="AP375" s="12" t="str">
        <f>IF($A375="","",admin!$B$2&amp;"\RunwayDiagrams\"&amp;$A375&amp;".pdf")</f>
        <v>C:\Backups\InsiderTechSol\Aviation\Jetelio_v3\.LAYOUT\resources\RunwayDiagrams\EGLF.pdf</v>
      </c>
      <c r="AQ375" s="12" t="str">
        <f>IF($A375="","",admin!$B$2&amp;"\Images\"&amp;$A375)</f>
        <v>C:\Backups\InsiderTechSol\Aviation\Jetelio_v3\.LAYOUT\resources\Images\EGLF</v>
      </c>
      <c r="AR375" s="12" t="str">
        <f>IF($A375="","",admin!$B$2&amp;"\CityMaps\"&amp;$A375&amp;".png")</f>
        <v>C:\Backups\InsiderTechSol\Aviation\Jetelio_v3\.LAYOUT\resources\CityMaps\EGLF.png</v>
      </c>
      <c r="AS375" s="16" t="str">
        <f t="shared" si="32"/>
        <v>VISA sheet</v>
      </c>
      <c r="AT375" s="16" t="str">
        <f t="shared" si="33"/>
        <v>Vendors sheet</v>
      </c>
      <c r="AV375" s="15">
        <f t="shared" ca="1" si="34"/>
        <v>46243</v>
      </c>
      <c r="AX375" s="6"/>
      <c r="AY375" t="str">
        <f t="shared" si="35"/>
        <v>INCOMPLETE - NOT SELECTABLE AS TECH STOP</v>
      </c>
    </row>
    <row r="376" spans="1:51" x14ac:dyDescent="0.3">
      <c r="A376" t="s">
        <v>3934</v>
      </c>
      <c r="B376" t="s">
        <v>4157</v>
      </c>
      <c r="E376" t="s">
        <v>4166</v>
      </c>
      <c r="F376" t="s">
        <v>82</v>
      </c>
      <c r="H376" t="s">
        <v>8</v>
      </c>
      <c r="I376" t="s">
        <v>4175</v>
      </c>
      <c r="N376" s="12" t="str">
        <f t="shared" si="30"/>
        <v>04°02′05″S 039°35′39″E</v>
      </c>
      <c r="O376">
        <v>-4.0348300000000004</v>
      </c>
      <c r="P376">
        <v>39.594200000000001</v>
      </c>
      <c r="Q376" s="13">
        <f t="shared" si="31"/>
        <v>61</v>
      </c>
      <c r="R376">
        <v>200</v>
      </c>
      <c r="T376" t="s">
        <v>1024</v>
      </c>
      <c r="U376">
        <v>3</v>
      </c>
      <c r="V376" s="14">
        <f ca="1">IF($U376="","",MOD(NOW()-admin!$B$1/24+$U376/24,1))</f>
        <v>0.73682638888567453</v>
      </c>
      <c r="AE376" t="s">
        <v>4185</v>
      </c>
      <c r="AO376" s="12" t="str">
        <f>IF($A376="","",admin!$B$2&amp;"\Charts\"&amp;$A376)</f>
        <v>C:\Backups\InsiderTechSol\Aviation\Jetelio_v3\.LAYOUT\resources\Charts\HKMO</v>
      </c>
      <c r="AP376" s="12" t="str">
        <f>IF($A376="","",admin!$B$2&amp;"\RunwayDiagrams\"&amp;$A376&amp;".pdf")</f>
        <v>C:\Backups\InsiderTechSol\Aviation\Jetelio_v3\.LAYOUT\resources\RunwayDiagrams\HKMO.pdf</v>
      </c>
      <c r="AQ376" s="12" t="str">
        <f>IF($A376="","",admin!$B$2&amp;"\Images\"&amp;$A376)</f>
        <v>C:\Backups\InsiderTechSol\Aviation\Jetelio_v3\.LAYOUT\resources\Images\HKMO</v>
      </c>
      <c r="AR376" s="12" t="str">
        <f>IF($A376="","",admin!$B$2&amp;"\CityMaps\"&amp;$A376&amp;".png")</f>
        <v>C:\Backups\InsiderTechSol\Aviation\Jetelio_v3\.LAYOUT\resources\CityMaps\HKMO.png</v>
      </c>
      <c r="AS376" s="16" t="str">
        <f t="shared" si="32"/>
        <v>VISA sheet</v>
      </c>
      <c r="AT376" s="16" t="str">
        <f t="shared" si="33"/>
        <v>Vendors sheet</v>
      </c>
      <c r="AV376" s="15">
        <f t="shared" ca="1" si="34"/>
        <v>46243</v>
      </c>
      <c r="AX376" s="6"/>
      <c r="AY376" t="str">
        <f t="shared" si="35"/>
        <v>INCOMPLETE - NOT SELECTABLE AS TECH STOP</v>
      </c>
    </row>
    <row r="377" spans="1:51" x14ac:dyDescent="0.3">
      <c r="A377" t="s">
        <v>3855</v>
      </c>
      <c r="B377" t="s">
        <v>4158</v>
      </c>
      <c r="E377" t="s">
        <v>4167</v>
      </c>
      <c r="F377" t="s">
        <v>82</v>
      </c>
      <c r="H377" t="s">
        <v>9</v>
      </c>
      <c r="I377" t="s">
        <v>1959</v>
      </c>
      <c r="N377" s="12" t="str">
        <f t="shared" si="30"/>
        <v>03°22′04″S 036°38′00″E</v>
      </c>
      <c r="O377">
        <v>-3.3677899999999998</v>
      </c>
      <c r="P377">
        <v>36.633299999999998</v>
      </c>
      <c r="Q377" s="13">
        <f t="shared" si="31"/>
        <v>1387</v>
      </c>
      <c r="R377">
        <v>4550</v>
      </c>
      <c r="T377" t="s">
        <v>2096</v>
      </c>
      <c r="U377">
        <v>3</v>
      </c>
      <c r="V377" s="14">
        <f ca="1">IF($U377="","",MOD(NOW()-admin!$B$1/24+$U377/24,1))</f>
        <v>0.73682638888567453</v>
      </c>
      <c r="AE377" t="s">
        <v>4186</v>
      </c>
      <c r="AO377" s="12" t="str">
        <f>IF($A377="","",admin!$B$2&amp;"\Charts\"&amp;$A377)</f>
        <v>C:\Backups\InsiderTechSol\Aviation\Jetelio_v3\.LAYOUT\resources\Charts\HTAR</v>
      </c>
      <c r="AP377" s="12" t="str">
        <f>IF($A377="","",admin!$B$2&amp;"\RunwayDiagrams\"&amp;$A377&amp;".pdf")</f>
        <v>C:\Backups\InsiderTechSol\Aviation\Jetelio_v3\.LAYOUT\resources\RunwayDiagrams\HTAR.pdf</v>
      </c>
      <c r="AQ377" s="12" t="str">
        <f>IF($A377="","",admin!$B$2&amp;"\Images\"&amp;$A377)</f>
        <v>C:\Backups\InsiderTechSol\Aviation\Jetelio_v3\.LAYOUT\resources\Images\HTAR</v>
      </c>
      <c r="AR377" s="12" t="str">
        <f>IF($A377="","",admin!$B$2&amp;"\CityMaps\"&amp;$A377&amp;".png")</f>
        <v>C:\Backups\InsiderTechSol\Aviation\Jetelio_v3\.LAYOUT\resources\CityMaps\HTAR.png</v>
      </c>
      <c r="AS377" s="16" t="str">
        <f t="shared" si="32"/>
        <v>VISA sheet</v>
      </c>
      <c r="AT377" s="16" t="str">
        <f t="shared" si="33"/>
        <v>Vendors sheet</v>
      </c>
      <c r="AV377" s="15">
        <f t="shared" ca="1" si="34"/>
        <v>46243</v>
      </c>
      <c r="AX377" s="6"/>
      <c r="AY377" t="str">
        <f t="shared" si="35"/>
        <v>INCOMPLETE - NOT SELECTABLE AS TECH STOP</v>
      </c>
    </row>
    <row r="378" spans="1:51" x14ac:dyDescent="0.3">
      <c r="A378" t="s">
        <v>4091</v>
      </c>
      <c r="B378" t="s">
        <v>4159</v>
      </c>
      <c r="C378" t="s">
        <v>4159</v>
      </c>
      <c r="E378" t="s">
        <v>4168</v>
      </c>
      <c r="F378" t="s">
        <v>82</v>
      </c>
      <c r="H378" t="s">
        <v>1965</v>
      </c>
      <c r="I378" t="s">
        <v>4176</v>
      </c>
      <c r="N378" s="12" t="str">
        <f t="shared" si="30"/>
        <v>39°59′53″N 082°53′31″W</v>
      </c>
      <c r="O378">
        <v>39.997999999999998</v>
      </c>
      <c r="P378">
        <v>-82.891900000000007</v>
      </c>
      <c r="Q378" s="13">
        <f t="shared" si="31"/>
        <v>248</v>
      </c>
      <c r="R378">
        <v>815</v>
      </c>
      <c r="T378" t="s">
        <v>2101</v>
      </c>
      <c r="U378">
        <v>-5</v>
      </c>
      <c r="V378" s="14">
        <f ca="1">IF($U378="","",MOD(NOW()-admin!$B$1/24+$U378/24,1))</f>
        <v>0.40349305554991588</v>
      </c>
      <c r="AE378" t="s">
        <v>4187</v>
      </c>
      <c r="AO378" s="12" t="str">
        <f>IF($A378="","",admin!$B$2&amp;"\Charts\"&amp;$A378)</f>
        <v>C:\Backups\InsiderTechSol\Aviation\Jetelio_v3\.LAYOUT\resources\Charts\KCMH</v>
      </c>
      <c r="AP378" s="12" t="str">
        <f>IF($A378="","",admin!$B$2&amp;"\RunwayDiagrams\"&amp;$A378&amp;".pdf")</f>
        <v>C:\Backups\InsiderTechSol\Aviation\Jetelio_v3\.LAYOUT\resources\RunwayDiagrams\KCMH.pdf</v>
      </c>
      <c r="AQ378" s="12" t="str">
        <f>IF($A378="","",admin!$B$2&amp;"\Images\"&amp;$A378)</f>
        <v>C:\Backups\InsiderTechSol\Aviation\Jetelio_v3\.LAYOUT\resources\Images\KCMH</v>
      </c>
      <c r="AR378" s="12" t="str">
        <f>IF($A378="","",admin!$B$2&amp;"\CityMaps\"&amp;$A378&amp;".png")</f>
        <v>C:\Backups\InsiderTechSol\Aviation\Jetelio_v3\.LAYOUT\resources\CityMaps\KCMH.png</v>
      </c>
      <c r="AS378" s="16" t="str">
        <f t="shared" si="32"/>
        <v>VISA sheet</v>
      </c>
      <c r="AT378" s="16" t="str">
        <f t="shared" si="33"/>
        <v>Vendors sheet</v>
      </c>
      <c r="AV378" s="15">
        <f t="shared" ca="1" si="34"/>
        <v>46243</v>
      </c>
      <c r="AX378" s="6"/>
      <c r="AY378" t="str">
        <f t="shared" si="35"/>
        <v>INCOMPLETE - NOT SELECTABLE AS TECH STOP</v>
      </c>
    </row>
    <row r="379" spans="1:51" x14ac:dyDescent="0.3">
      <c r="A379" t="s">
        <v>4074</v>
      </c>
      <c r="B379" t="s">
        <v>4160</v>
      </c>
      <c r="C379" t="s">
        <v>4160</v>
      </c>
      <c r="E379" t="s">
        <v>4169</v>
      </c>
      <c r="F379" t="s">
        <v>82</v>
      </c>
      <c r="H379" t="s">
        <v>1965</v>
      </c>
      <c r="I379" t="s">
        <v>4177</v>
      </c>
      <c r="N379" s="12" t="str">
        <f t="shared" si="30"/>
        <v>26°11′50″N 080°10′15″W</v>
      </c>
      <c r="O379">
        <v>26.197299999999998</v>
      </c>
      <c r="P379">
        <v>-80.170699999999997</v>
      </c>
      <c r="Q379" s="13">
        <f t="shared" si="31"/>
        <v>4</v>
      </c>
      <c r="R379">
        <v>13</v>
      </c>
      <c r="T379" t="s">
        <v>2101</v>
      </c>
      <c r="U379">
        <v>-5</v>
      </c>
      <c r="V379" s="14">
        <f ca="1">IF($U379="","",MOD(NOW()-admin!$B$1/24+$U379/24,1))</f>
        <v>0.40349305554991588</v>
      </c>
      <c r="AE379" t="s">
        <v>4188</v>
      </c>
      <c r="AO379" s="12" t="str">
        <f>IF($A379="","",admin!$B$2&amp;"\Charts\"&amp;$A379)</f>
        <v>C:\Backups\InsiderTechSol\Aviation\Jetelio_v3\.LAYOUT\resources\Charts\KFXE</v>
      </c>
      <c r="AP379" s="12" t="str">
        <f>IF($A379="","",admin!$B$2&amp;"\RunwayDiagrams\"&amp;$A379&amp;".pdf")</f>
        <v>C:\Backups\InsiderTechSol\Aviation\Jetelio_v3\.LAYOUT\resources\RunwayDiagrams\KFXE.pdf</v>
      </c>
      <c r="AQ379" s="12" t="str">
        <f>IF($A379="","",admin!$B$2&amp;"\Images\"&amp;$A379)</f>
        <v>C:\Backups\InsiderTechSol\Aviation\Jetelio_v3\.LAYOUT\resources\Images\KFXE</v>
      </c>
      <c r="AR379" s="12" t="str">
        <f>IF($A379="","",admin!$B$2&amp;"\CityMaps\"&amp;$A379&amp;".png")</f>
        <v>C:\Backups\InsiderTechSol\Aviation\Jetelio_v3\.LAYOUT\resources\CityMaps\KFXE.png</v>
      </c>
      <c r="AS379" s="16" t="str">
        <f t="shared" si="32"/>
        <v>VISA sheet</v>
      </c>
      <c r="AT379" s="16" t="str">
        <f t="shared" si="33"/>
        <v>Vendors sheet</v>
      </c>
      <c r="AV379" s="15">
        <f t="shared" ca="1" si="34"/>
        <v>46243</v>
      </c>
      <c r="AX379" s="6"/>
      <c r="AY379" t="str">
        <f t="shared" si="35"/>
        <v>INCOMPLETE - NOT SELECTABLE AS TECH STOP</v>
      </c>
    </row>
    <row r="380" spans="1:51" x14ac:dyDescent="0.3">
      <c r="A380" t="s">
        <v>4052</v>
      </c>
      <c r="B380" t="s">
        <v>4161</v>
      </c>
      <c r="C380" t="s">
        <v>4161</v>
      </c>
      <c r="E380" t="s">
        <v>4170</v>
      </c>
      <c r="F380" t="s">
        <v>82</v>
      </c>
      <c r="H380" t="s">
        <v>1965</v>
      </c>
      <c r="I380" t="s">
        <v>4178</v>
      </c>
      <c r="N380" s="12" t="str">
        <f t="shared" si="30"/>
        <v>29°38′43″N 095°16′37″W</v>
      </c>
      <c r="O380">
        <v>29.645340000000001</v>
      </c>
      <c r="P380">
        <v>-95.276809999999998</v>
      </c>
      <c r="Q380" s="13">
        <f t="shared" si="31"/>
        <v>14</v>
      </c>
      <c r="R380">
        <v>46</v>
      </c>
      <c r="T380" t="s">
        <v>4181</v>
      </c>
      <c r="U380">
        <v>-6</v>
      </c>
      <c r="V380" s="14">
        <f ca="1">IF($U380="","",MOD(NOW()-admin!$B$1/24+$U380/24,1))</f>
        <v>0.36182638888567453</v>
      </c>
      <c r="AE380" t="s">
        <v>4189</v>
      </c>
      <c r="AO380" s="12" t="str">
        <f>IF($A380="","",admin!$B$2&amp;"\Charts\"&amp;$A380)</f>
        <v>C:\Backups\InsiderTechSol\Aviation\Jetelio_v3\.LAYOUT\resources\Charts\KHOU</v>
      </c>
      <c r="AP380" s="12" t="str">
        <f>IF($A380="","",admin!$B$2&amp;"\RunwayDiagrams\"&amp;$A380&amp;".pdf")</f>
        <v>C:\Backups\InsiderTechSol\Aviation\Jetelio_v3\.LAYOUT\resources\RunwayDiagrams\KHOU.pdf</v>
      </c>
      <c r="AQ380" s="12" t="str">
        <f>IF($A380="","",admin!$B$2&amp;"\Images\"&amp;$A380)</f>
        <v>C:\Backups\InsiderTechSol\Aviation\Jetelio_v3\.LAYOUT\resources\Images\KHOU</v>
      </c>
      <c r="AR380" s="12" t="str">
        <f>IF($A380="","",admin!$B$2&amp;"\CityMaps\"&amp;$A380&amp;".png")</f>
        <v>C:\Backups\InsiderTechSol\Aviation\Jetelio_v3\.LAYOUT\resources\CityMaps\KHOU.png</v>
      </c>
      <c r="AS380" s="16" t="str">
        <f t="shared" si="32"/>
        <v>VISA sheet</v>
      </c>
      <c r="AT380" s="16" t="str">
        <f t="shared" si="33"/>
        <v>Vendors sheet</v>
      </c>
      <c r="AV380" s="15">
        <f t="shared" ca="1" si="34"/>
        <v>46243</v>
      </c>
      <c r="AX380" s="6"/>
      <c r="AY380" t="str">
        <f t="shared" si="35"/>
        <v>INCOMPLETE - NOT SELECTABLE AS TECH STOP</v>
      </c>
    </row>
    <row r="381" spans="1:51" x14ac:dyDescent="0.3">
      <c r="A381" t="s">
        <v>4101</v>
      </c>
      <c r="B381" t="s">
        <v>4162</v>
      </c>
      <c r="C381" t="s">
        <v>4162</v>
      </c>
      <c r="E381" t="s">
        <v>4171</v>
      </c>
      <c r="F381" t="s">
        <v>82</v>
      </c>
      <c r="H381" t="s">
        <v>1965</v>
      </c>
      <c r="I381" t="s">
        <v>4179</v>
      </c>
      <c r="N381" s="12" t="str">
        <f t="shared" si="30"/>
        <v>36°05′00″N 115°09′07″W</v>
      </c>
      <c r="O381">
        <v>36.083359999999999</v>
      </c>
      <c r="P381">
        <v>-115.15182</v>
      </c>
      <c r="Q381" s="13">
        <f t="shared" si="31"/>
        <v>665</v>
      </c>
      <c r="R381">
        <v>2181</v>
      </c>
      <c r="T381" t="s">
        <v>4182</v>
      </c>
      <c r="U381">
        <v>-8</v>
      </c>
      <c r="V381" s="14">
        <f ca="1">IF($U381="","",MOD(NOW()-admin!$B$1/24+$U381/24,1))</f>
        <v>0.27849305554991588</v>
      </c>
      <c r="AE381" t="s">
        <v>4190</v>
      </c>
      <c r="AO381" s="12" t="str">
        <f>IF($A381="","",admin!$B$2&amp;"\Charts\"&amp;$A381)</f>
        <v>C:\Backups\InsiderTechSol\Aviation\Jetelio_v3\.LAYOUT\resources\Charts\KLAS</v>
      </c>
      <c r="AP381" s="12" t="str">
        <f>IF($A381="","",admin!$B$2&amp;"\RunwayDiagrams\"&amp;$A381&amp;".pdf")</f>
        <v>C:\Backups\InsiderTechSol\Aviation\Jetelio_v3\.LAYOUT\resources\RunwayDiagrams\KLAS.pdf</v>
      </c>
      <c r="AQ381" s="12" t="str">
        <f>IF($A381="","",admin!$B$2&amp;"\Images\"&amp;$A381)</f>
        <v>C:\Backups\InsiderTechSol\Aviation\Jetelio_v3\.LAYOUT\resources\Images\KLAS</v>
      </c>
      <c r="AR381" s="12" t="str">
        <f>IF($A381="","",admin!$B$2&amp;"\CityMaps\"&amp;$A381&amp;".png")</f>
        <v>C:\Backups\InsiderTechSol\Aviation\Jetelio_v3\.LAYOUT\resources\CityMaps\KLAS.png</v>
      </c>
      <c r="AS381" s="16" t="str">
        <f t="shared" si="32"/>
        <v>VISA sheet</v>
      </c>
      <c r="AT381" s="16" t="str">
        <f t="shared" si="33"/>
        <v>Vendors sheet</v>
      </c>
      <c r="AV381" s="15">
        <f t="shared" ca="1" si="34"/>
        <v>46243</v>
      </c>
      <c r="AX381" s="6"/>
      <c r="AY381" t="str">
        <f t="shared" si="35"/>
        <v>INCOMPLETE - NOT SELECTABLE AS TECH STOP</v>
      </c>
    </row>
    <row r="382" spans="1:51" x14ac:dyDescent="0.3">
      <c r="A382" t="s">
        <v>4047</v>
      </c>
      <c r="B382" t="s">
        <v>4163</v>
      </c>
      <c r="C382" t="s">
        <v>4163</v>
      </c>
      <c r="E382" t="s">
        <v>4172</v>
      </c>
      <c r="F382" t="s">
        <v>82</v>
      </c>
      <c r="H382" t="s">
        <v>1965</v>
      </c>
      <c r="I382" t="s">
        <v>4180</v>
      </c>
      <c r="N382" s="12" t="str">
        <f t="shared" si="30"/>
        <v>40°51′00″N 074°03′39″W</v>
      </c>
      <c r="O382">
        <v>40.850099999999998</v>
      </c>
      <c r="P382">
        <v>-74.0608</v>
      </c>
      <c r="Q382" s="13">
        <f t="shared" si="31"/>
        <v>3</v>
      </c>
      <c r="R382">
        <v>9</v>
      </c>
      <c r="T382" t="s">
        <v>2101</v>
      </c>
      <c r="U382">
        <v>-5</v>
      </c>
      <c r="V382" s="14">
        <f ca="1">IF($U382="","",MOD(NOW()-admin!$B$1/24+$U382/24,1))</f>
        <v>0.40349305554991588</v>
      </c>
      <c r="AE382" t="s">
        <v>4191</v>
      </c>
      <c r="AO382" s="12" t="str">
        <f>IF($A382="","",admin!$B$2&amp;"\Charts\"&amp;$A382)</f>
        <v>C:\Backups\InsiderTechSol\Aviation\Jetelio_v3\.LAYOUT\resources\Charts\KTEB</v>
      </c>
      <c r="AP382" s="12" t="str">
        <f>IF($A382="","",admin!$B$2&amp;"\RunwayDiagrams\"&amp;$A382&amp;".pdf")</f>
        <v>C:\Backups\InsiderTechSol\Aviation\Jetelio_v3\.LAYOUT\resources\RunwayDiagrams\KTEB.pdf</v>
      </c>
      <c r="AQ382" s="12" t="str">
        <f>IF($A382="","",admin!$B$2&amp;"\Images\"&amp;$A382)</f>
        <v>C:\Backups\InsiderTechSol\Aviation\Jetelio_v3\.LAYOUT\resources\Images\KTEB</v>
      </c>
      <c r="AR382" s="12" t="str">
        <f>IF($A382="","",admin!$B$2&amp;"\CityMaps\"&amp;$A382&amp;".png")</f>
        <v>C:\Backups\InsiderTechSol\Aviation\Jetelio_v3\.LAYOUT\resources\CityMaps\KTEB.png</v>
      </c>
      <c r="AS382" s="16" t="str">
        <f t="shared" si="32"/>
        <v>VISA sheet</v>
      </c>
      <c r="AT382" s="16" t="str">
        <f t="shared" si="33"/>
        <v>Vendors sheet</v>
      </c>
      <c r="AV382" s="15">
        <f t="shared" ca="1" si="34"/>
        <v>46243</v>
      </c>
      <c r="AX382" s="6"/>
      <c r="AY382" t="str">
        <f t="shared" si="35"/>
        <v>INCOMPLETE - NOT SELECTABLE AS TECH STOP</v>
      </c>
    </row>
  </sheetData>
  <autoFilter ref="A2:AV2" xr:uid="{1306D9AB-810F-457E-8556-61833239B2CA}"/>
  <mergeCells count="10">
    <mergeCell ref="AM1:AN1"/>
    <mergeCell ref="AO1:AR1"/>
    <mergeCell ref="AS1:AT1"/>
    <mergeCell ref="AU1:AV1"/>
    <mergeCell ref="A1:D1"/>
    <mergeCell ref="E1:M1"/>
    <mergeCell ref="N1:V1"/>
    <mergeCell ref="W1:AD1"/>
    <mergeCell ref="AE1:AI1"/>
    <mergeCell ref="AJ1:AL1"/>
  </mergeCells>
  <dataValidations count="5">
    <dataValidation type="list" allowBlank="1" showInputMessage="1" showErrorMessage="1" sqref="G3:G500" xr:uid="{ECF0E53C-CD13-4D58-A50A-12FA503B44B3}">
      <formula1>"admin!$A$5:$A$9"</formula1>
    </dataValidation>
    <dataValidation type="list" allowBlank="1" showInputMessage="1" showErrorMessage="1" sqref="Z3:Z500" xr:uid="{1AFCCE33-7F0B-49E6-BEE5-BD6349EC9551}">
      <formula1>"admin!$B$5:$B$7"</formula1>
    </dataValidation>
    <dataValidation type="list" allowBlank="1" showInputMessage="1" showErrorMessage="1" sqref="F3:F500" xr:uid="{71EFF4A0-11CB-4012-979B-E1BFEC700916}">
      <formula1>"admin!$C$5:$C$12"</formula1>
    </dataValidation>
    <dataValidation type="list" allowBlank="1" showInputMessage="1" showErrorMessage="1" sqref="Y3:Y500" xr:uid="{EA5EDBF1-6388-4418-8167-641ADDA1C640}">
      <formula1>"admin!$D$5:$D$7"</formula1>
    </dataValidation>
    <dataValidation type="list" allowBlank="1" showInputMessage="1" showErrorMessage="1" sqref="AG3:AG500" xr:uid="{7786DFDB-704C-4669-884A-FD5A66652964}">
      <formula1>"admin!$E$5:$E$8"</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08391-270D-4161-9BD9-0552A9BB222D}">
  <dimension ref="A1:H14"/>
  <sheetViews>
    <sheetView workbookViewId="0">
      <pane ySplit="1" topLeftCell="A2" activePane="bottomLeft" state="frozen"/>
      <selection pane="bottomLeft" activeCell="B3" sqref="B3"/>
    </sheetView>
  </sheetViews>
  <sheetFormatPr defaultRowHeight="14.4" x14ac:dyDescent="0.3"/>
  <cols>
    <col min="1" max="8" width="27.77734375" customWidth="1"/>
  </cols>
  <sheetData>
    <row r="1" spans="1:8" x14ac:dyDescent="0.3">
      <c r="A1" s="25" t="s">
        <v>4981</v>
      </c>
      <c r="B1" s="25" t="s">
        <v>37</v>
      </c>
      <c r="C1" s="25" t="s">
        <v>97</v>
      </c>
      <c r="D1" s="25" t="s">
        <v>98</v>
      </c>
      <c r="E1" s="25" t="s">
        <v>99</v>
      </c>
      <c r="F1" s="25" t="s">
        <v>100</v>
      </c>
      <c r="G1" s="25" t="s">
        <v>101</v>
      </c>
      <c r="H1" s="25" t="s">
        <v>102</v>
      </c>
    </row>
    <row r="2" spans="1:8" x14ac:dyDescent="0.3">
      <c r="A2" t="s">
        <v>79</v>
      </c>
      <c r="B2" t="s">
        <v>84</v>
      </c>
    </row>
    <row r="3" spans="1:8" x14ac:dyDescent="0.3">
      <c r="B3" t="s">
        <v>1998</v>
      </c>
      <c r="C3" t="s">
        <v>1965</v>
      </c>
    </row>
    <row r="4" spans="1:8" x14ac:dyDescent="0.3">
      <c r="B4" t="s">
        <v>1998</v>
      </c>
      <c r="C4" t="s">
        <v>1998</v>
      </c>
    </row>
    <row r="5" spans="1:8" x14ac:dyDescent="0.3">
      <c r="B5" t="s">
        <v>1998</v>
      </c>
      <c r="C5" t="s">
        <v>84</v>
      </c>
    </row>
    <row r="6" spans="1:8" x14ac:dyDescent="0.3">
      <c r="B6" t="s">
        <v>1927</v>
      </c>
      <c r="C6" t="s">
        <v>1965</v>
      </c>
    </row>
    <row r="7" spans="1:8" x14ac:dyDescent="0.3">
      <c r="B7" t="s">
        <v>1927</v>
      </c>
      <c r="C7" t="s">
        <v>1998</v>
      </c>
    </row>
    <row r="8" spans="1:8" x14ac:dyDescent="0.3">
      <c r="B8" t="s">
        <v>1927</v>
      </c>
      <c r="C8" t="s">
        <v>84</v>
      </c>
    </row>
    <row r="9" spans="1:8" x14ac:dyDescent="0.3">
      <c r="B9" t="s">
        <v>16</v>
      </c>
      <c r="C9" t="s">
        <v>1965</v>
      </c>
    </row>
    <row r="10" spans="1:8" x14ac:dyDescent="0.3">
      <c r="B10" t="s">
        <v>16</v>
      </c>
      <c r="C10" t="s">
        <v>1998</v>
      </c>
    </row>
    <row r="11" spans="1:8" x14ac:dyDescent="0.3">
      <c r="B11" t="s">
        <v>16</v>
      </c>
      <c r="C11" t="s">
        <v>84</v>
      </c>
    </row>
    <row r="12" spans="1:8" x14ac:dyDescent="0.3">
      <c r="B12" t="s">
        <v>1766</v>
      </c>
      <c r="C12" t="s">
        <v>1965</v>
      </c>
    </row>
    <row r="13" spans="1:8" x14ac:dyDescent="0.3">
      <c r="B13" t="s">
        <v>1766</v>
      </c>
      <c r="C13" t="s">
        <v>1998</v>
      </c>
    </row>
    <row r="14" spans="1:8" x14ac:dyDescent="0.3">
      <c r="B14" t="s">
        <v>1766</v>
      </c>
      <c r="C14" t="s">
        <v>84</v>
      </c>
    </row>
  </sheetData>
  <dataValidations count="1">
    <dataValidation type="list" allowBlank="1" showInputMessage="1" showErrorMessage="1" sqref="E2:E400" xr:uid="{AE69C973-441A-46A7-971C-2490EC292B61}">
      <formula1>"NOT REQUIRED,REQUIRED,VISA ON ARRIVAL,eVISA,TRANSIT ONLY,TIWB"</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7ECA508-0554-4D87-8524-EE831A6C70CD}">
          <x14:formula1>
            <xm:f>countries!$B$2:$B$143</xm:f>
          </x14:formula1>
          <xm:sqref>B2:B400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4AE4-A054-433E-91A4-BDD9E4BDCB2E}">
  <dimension ref="A1:AF137"/>
  <sheetViews>
    <sheetView workbookViewId="0">
      <pane ySplit="1" topLeftCell="A107" activePane="bottomLeft" state="frozen"/>
      <selection pane="bottomLeft" activeCell="D101" sqref="D101"/>
    </sheetView>
  </sheetViews>
  <sheetFormatPr defaultRowHeight="14.4" x14ac:dyDescent="0.3"/>
  <cols>
    <col min="1" max="1" width="8.77734375" bestFit="1" customWidth="1"/>
    <col min="2" max="2" width="60.6640625" bestFit="1" customWidth="1"/>
    <col min="3" max="3" width="10.109375" bestFit="1" customWidth="1"/>
    <col min="4" max="4" width="8.6640625" bestFit="1" customWidth="1"/>
    <col min="5" max="5" width="7.21875" bestFit="1" customWidth="1"/>
    <col min="6" max="6" width="13.5546875" bestFit="1" customWidth="1"/>
    <col min="7" max="7" width="16.44140625" bestFit="1" customWidth="1"/>
    <col min="8" max="8" width="7.77734375" bestFit="1" customWidth="1"/>
    <col min="9" max="9" width="13.77734375" bestFit="1" customWidth="1"/>
    <col min="10" max="10" width="5.44140625" bestFit="1" customWidth="1"/>
    <col min="11" max="11" width="10.5546875" bestFit="1" customWidth="1"/>
    <col min="12" max="12" width="10.88671875" bestFit="1" customWidth="1"/>
    <col min="13" max="13" width="11.109375" bestFit="1" customWidth="1"/>
    <col min="14" max="14" width="13.44140625" bestFit="1" customWidth="1"/>
    <col min="15" max="15" width="8" bestFit="1" customWidth="1"/>
    <col min="16" max="16" width="39.44140625" bestFit="1" customWidth="1"/>
    <col min="17" max="18" width="10.33203125" bestFit="1" customWidth="1"/>
    <col min="19" max="19" width="15.77734375" bestFit="1" customWidth="1"/>
    <col min="24" max="32" width="32.44140625" customWidth="1"/>
  </cols>
  <sheetData>
    <row r="1" spans="1:32" x14ac:dyDescent="0.3">
      <c r="A1" s="18" t="s">
        <v>2285</v>
      </c>
      <c r="B1" s="18" t="s">
        <v>2286</v>
      </c>
      <c r="C1" s="18" t="s">
        <v>2287</v>
      </c>
      <c r="D1" s="18" t="s">
        <v>2288</v>
      </c>
      <c r="E1" s="18" t="s">
        <v>2289</v>
      </c>
      <c r="F1" s="18" t="s">
        <v>2290</v>
      </c>
      <c r="G1" s="18" t="s">
        <v>2291</v>
      </c>
      <c r="H1" s="18" t="s">
        <v>2292</v>
      </c>
      <c r="I1" s="18" t="s">
        <v>2293</v>
      </c>
      <c r="J1" s="19" t="s">
        <v>2294</v>
      </c>
      <c r="K1" s="19" t="s">
        <v>2295</v>
      </c>
      <c r="L1" s="19" t="s">
        <v>2296</v>
      </c>
      <c r="M1" s="19" t="s">
        <v>2297</v>
      </c>
      <c r="N1" s="19" t="s">
        <v>2298</v>
      </c>
      <c r="O1" s="19" t="s">
        <v>2299</v>
      </c>
      <c r="P1" s="19" t="s">
        <v>2300</v>
      </c>
      <c r="Q1" s="19" t="s">
        <v>2301</v>
      </c>
      <c r="R1" s="19" t="s">
        <v>2302</v>
      </c>
      <c r="S1" s="19" t="s">
        <v>3412</v>
      </c>
      <c r="T1" s="22" t="s">
        <v>3804</v>
      </c>
      <c r="U1" s="22" t="s">
        <v>3805</v>
      </c>
      <c r="V1" s="22" t="s">
        <v>3806</v>
      </c>
      <c r="X1" s="67" t="s">
        <v>5443</v>
      </c>
      <c r="Y1" s="67" t="s">
        <v>5444</v>
      </c>
      <c r="Z1" s="67" t="s">
        <v>5445</v>
      </c>
      <c r="AA1" s="67" t="s">
        <v>5446</v>
      </c>
      <c r="AB1" s="67" t="s">
        <v>5447</v>
      </c>
      <c r="AC1" s="67" t="s">
        <v>5448</v>
      </c>
      <c r="AD1" s="67" t="s">
        <v>5449</v>
      </c>
      <c r="AE1" s="67" t="s">
        <v>5450</v>
      </c>
      <c r="AF1" s="67" t="s">
        <v>5451</v>
      </c>
    </row>
    <row r="2" spans="1:32" x14ac:dyDescent="0.3">
      <c r="A2" t="s">
        <v>2840</v>
      </c>
      <c r="B2" t="s">
        <v>2841</v>
      </c>
      <c r="F2" t="s">
        <v>2842</v>
      </c>
      <c r="G2" t="s">
        <v>2843</v>
      </c>
      <c r="H2" t="b">
        <v>1</v>
      </c>
      <c r="P2" t="s">
        <v>2844</v>
      </c>
      <c r="Q2" s="21">
        <v>46242</v>
      </c>
      <c r="R2" s="21">
        <v>46242</v>
      </c>
      <c r="S2">
        <f>IF($A2="","",COUNTIF(vendor_coverage_countries!$B:$B,$A2))</f>
        <v>8</v>
      </c>
      <c r="T2" t="str" cm="1">
        <f t="array" ref="T2">IF($A2="","",_xlfn.TEXTJOIN(", ",TRUE,IF(vendor_coverage_countries!$B$2:$B$296=$A2,vendor_coverage_countries!$C$2:$C$296,"")))</f>
        <v>EG, MA, SD, MR, SS, SA, AE, OM</v>
      </c>
      <c r="U2" t="str">
        <f>IF($A2="","",IFERROR(INDEX(vendor_coverage_airports!$C$2:$C$296,MATCH($A2,vendor_coverage_airports!$B$2:$B$296,0)),""))</f>
        <v>HECA</v>
      </c>
      <c r="W2">
        <f>IF($A2="","",COUNTIF(vendor_coverage_airports!$B:$B,$A2))</f>
        <v>8</v>
      </c>
      <c r="X2" s="9"/>
      <c r="Y2" s="9"/>
      <c r="Z2" s="4"/>
      <c r="AA2">
        <f>IF($A2="","",COUNTIF(vendor_coverage_airports!$B:$B,$A2))</f>
        <v>8</v>
      </c>
      <c r="AB2">
        <f>IF($A2="","",COUNTIFS(vendor_coverage_countries!$B:$B,$A2,vendor_coverage_countries!$D:$D,"YES"))</f>
        <v>0</v>
      </c>
      <c r="AC2" s="4"/>
      <c r="AD2" s="9"/>
      <c r="AE2" t="str">
        <f>IF($A2="","",IF($Y2="","QUESTIONNAIRE OUTSTANDING",IF($AD2="","AWAITING ADMIN APPROVAL","APPROVED - AVAILABLE FOR ASSIGNMENT")))</f>
        <v>QUESTIONNAIRE OUTSTANDING</v>
      </c>
      <c r="AF2" s="4"/>
    </row>
    <row r="3" spans="1:32" x14ac:dyDescent="0.3">
      <c r="A3" t="s">
        <v>2845</v>
      </c>
      <c r="B3" t="s">
        <v>2846</v>
      </c>
      <c r="F3" t="s">
        <v>2842</v>
      </c>
      <c r="G3" t="s">
        <v>2843</v>
      </c>
      <c r="H3" t="b">
        <v>1</v>
      </c>
      <c r="P3" t="s">
        <v>2844</v>
      </c>
      <c r="Q3" s="21">
        <v>46242</v>
      </c>
      <c r="R3" s="21">
        <v>46242</v>
      </c>
      <c r="S3">
        <f>IF($A3="","",COUNTIF(vendor_coverage_countries!$B:$B,$A3))</f>
        <v>1</v>
      </c>
      <c r="T3" t="str" cm="1">
        <f t="array" ref="T3">IF($A3="","",_xlfn.TEXTJOIN(", ",TRUE,IF(vendor_coverage_countries!$B$2:$B$296=$A3,vendor_coverage_countries!$C$2:$C$296,"")))</f>
        <v>EG</v>
      </c>
      <c r="U3" t="str">
        <f>IF($A3="","",IFERROR(INDEX(vendor_coverage_airports!$C$2:$C$296,MATCH($A3,vendor_coverage_airports!$B$2:$B$296,0)),""))</f>
        <v>HECA</v>
      </c>
      <c r="W3">
        <f>IF($A3="","",COUNTIF(vendor_coverage_airports!$B:$B,$A3))</f>
        <v>1</v>
      </c>
      <c r="X3" s="9"/>
      <c r="Y3" s="9"/>
      <c r="Z3" s="4"/>
      <c r="AA3">
        <f>IF($A3="","",COUNTIF(vendor_coverage_airports!$B:$B,$A3))</f>
        <v>1</v>
      </c>
      <c r="AB3">
        <f>IF($A3="","",COUNTIFS(vendor_coverage_countries!$B:$B,$A3,vendor_coverage_countries!$D:$D,"YES"))</f>
        <v>0</v>
      </c>
      <c r="AC3" s="4"/>
      <c r="AD3" s="9"/>
      <c r="AE3" t="str">
        <f t="shared" ref="AE3:AE66" si="0">IF($A3="","",IF($Y3="","QUESTIONNAIRE OUTSTANDING",IF($AD3="","AWAITING ADMIN APPROVAL","APPROVED - AVAILABLE FOR ASSIGNMENT")))</f>
        <v>QUESTIONNAIRE OUTSTANDING</v>
      </c>
      <c r="AF3" s="4"/>
    </row>
    <row r="4" spans="1:32" x14ac:dyDescent="0.3">
      <c r="A4" t="s">
        <v>2847</v>
      </c>
      <c r="B4" t="s">
        <v>2848</v>
      </c>
      <c r="F4" t="s">
        <v>2842</v>
      </c>
      <c r="G4" t="s">
        <v>2843</v>
      </c>
      <c r="H4" t="b">
        <v>1</v>
      </c>
      <c r="P4" t="s">
        <v>2844</v>
      </c>
      <c r="Q4" s="21">
        <v>46242</v>
      </c>
      <c r="R4" s="21">
        <v>46242</v>
      </c>
      <c r="S4">
        <f>IF($A4="","",COUNTIF(vendor_coverage_countries!$B:$B,$A4))</f>
        <v>1</v>
      </c>
      <c r="T4" t="str" cm="1">
        <f t="array" ref="T4">IF($A4="","",_xlfn.TEXTJOIN(", ",TRUE,IF(vendor_coverage_countries!$B$2:$B$296=$A4,vendor_coverage_countries!$C$2:$C$296,"")))</f>
        <v>EG</v>
      </c>
      <c r="U4" t="str">
        <f>IF($A4="","",IFERROR(INDEX(vendor_coverage_airports!$C$2:$C$296,MATCH($A4,vendor_coverage_airports!$B$2:$B$296,0)),""))</f>
        <v>HECA</v>
      </c>
      <c r="W4">
        <f>IF($A4="","",COUNTIF(vendor_coverage_airports!$B:$B,$A4))</f>
        <v>1</v>
      </c>
      <c r="X4" s="9"/>
      <c r="Y4" s="9"/>
      <c r="Z4" s="4"/>
      <c r="AA4">
        <f>IF($A4="","",COUNTIF(vendor_coverage_airports!$B:$B,$A4))</f>
        <v>1</v>
      </c>
      <c r="AB4">
        <f>IF($A4="","",COUNTIFS(vendor_coverage_countries!$B:$B,$A4,vendor_coverage_countries!$D:$D,"YES"))</f>
        <v>0</v>
      </c>
      <c r="AC4" s="4"/>
      <c r="AD4" s="9"/>
      <c r="AE4" t="str">
        <f t="shared" si="0"/>
        <v>QUESTIONNAIRE OUTSTANDING</v>
      </c>
      <c r="AF4" s="4"/>
    </row>
    <row r="5" spans="1:32" x14ac:dyDescent="0.3">
      <c r="A5" t="s">
        <v>2849</v>
      </c>
      <c r="B5" t="s">
        <v>2850</v>
      </c>
      <c r="F5" t="s">
        <v>2842</v>
      </c>
      <c r="G5" t="s">
        <v>2843</v>
      </c>
      <c r="H5" t="b">
        <v>1</v>
      </c>
      <c r="P5" t="s">
        <v>2844</v>
      </c>
      <c r="Q5" s="21">
        <v>46242</v>
      </c>
      <c r="R5" s="21">
        <v>46242</v>
      </c>
      <c r="S5">
        <f>IF($A5="","",COUNTIF(vendor_coverage_countries!$B:$B,$A5))</f>
        <v>1</v>
      </c>
      <c r="T5" t="str" cm="1">
        <f t="array" ref="T5">IF($A5="","",_xlfn.TEXTJOIN(", ",TRUE,IF(vendor_coverage_countries!$B$2:$B$296=$A5,vendor_coverage_countries!$C$2:$C$296,"")))</f>
        <v>EG</v>
      </c>
      <c r="U5" t="str">
        <f>IF($A5="","",IFERROR(INDEX(vendor_coverage_airports!$C$2:$C$296,MATCH($A5,vendor_coverage_airports!$B$2:$B$296,0)),""))</f>
        <v>HECA</v>
      </c>
      <c r="W5">
        <f>IF($A5="","",COUNTIF(vendor_coverage_airports!$B:$B,$A5))</f>
        <v>1</v>
      </c>
      <c r="X5" s="9"/>
      <c r="Y5" s="9"/>
      <c r="Z5" s="4"/>
      <c r="AA5">
        <f>IF($A5="","",COUNTIF(vendor_coverage_airports!$B:$B,$A5))</f>
        <v>1</v>
      </c>
      <c r="AB5">
        <f>IF($A5="","",COUNTIFS(vendor_coverage_countries!$B:$B,$A5,vendor_coverage_countries!$D:$D,"YES"))</f>
        <v>0</v>
      </c>
      <c r="AC5" s="4"/>
      <c r="AD5" s="9"/>
      <c r="AE5" t="str">
        <f t="shared" si="0"/>
        <v>QUESTIONNAIRE OUTSTANDING</v>
      </c>
      <c r="AF5" s="4"/>
    </row>
    <row r="6" spans="1:32" x14ac:dyDescent="0.3">
      <c r="A6" t="s">
        <v>2851</v>
      </c>
      <c r="B6" t="s">
        <v>2852</v>
      </c>
      <c r="F6" t="s">
        <v>2842</v>
      </c>
      <c r="G6" t="s">
        <v>2843</v>
      </c>
      <c r="H6" t="b">
        <v>1</v>
      </c>
      <c r="P6" t="s">
        <v>2844</v>
      </c>
      <c r="Q6" s="21">
        <v>46242</v>
      </c>
      <c r="R6" s="21">
        <v>46242</v>
      </c>
      <c r="S6">
        <f>IF($A6="","",COUNTIF(vendor_coverage_countries!$B:$B,$A6))</f>
        <v>1</v>
      </c>
      <c r="T6" t="str" cm="1">
        <f t="array" ref="T6">IF($A6="","",_xlfn.TEXTJOIN(", ",TRUE,IF(vendor_coverage_countries!$B$2:$B$296=$A6,vendor_coverage_countries!$C$2:$C$296,"")))</f>
        <v>EG</v>
      </c>
      <c r="U6" t="str">
        <f>IF($A6="","",IFERROR(INDEX(vendor_coverage_airports!$C$2:$C$296,MATCH($A6,vendor_coverage_airports!$B$2:$B$296,0)),""))</f>
        <v>HECA</v>
      </c>
      <c r="W6">
        <f>IF($A6="","",COUNTIF(vendor_coverage_airports!$B:$B,$A6))</f>
        <v>1</v>
      </c>
      <c r="X6" s="9"/>
      <c r="Y6" s="9"/>
      <c r="Z6" s="4"/>
      <c r="AA6">
        <f>IF($A6="","",COUNTIF(vendor_coverage_airports!$B:$B,$A6))</f>
        <v>1</v>
      </c>
      <c r="AB6">
        <f>IF($A6="","",COUNTIFS(vendor_coverage_countries!$B:$B,$A6,vendor_coverage_countries!$D:$D,"YES"))</f>
        <v>0</v>
      </c>
      <c r="AC6" s="4"/>
      <c r="AD6" s="9"/>
      <c r="AE6" t="str">
        <f t="shared" si="0"/>
        <v>QUESTIONNAIRE OUTSTANDING</v>
      </c>
      <c r="AF6" s="4"/>
    </row>
    <row r="7" spans="1:32" x14ac:dyDescent="0.3">
      <c r="A7" t="s">
        <v>2853</v>
      </c>
      <c r="B7" t="s">
        <v>2854</v>
      </c>
      <c r="F7" t="s">
        <v>2842</v>
      </c>
      <c r="G7" t="s">
        <v>2843</v>
      </c>
      <c r="H7" t="b">
        <v>1</v>
      </c>
      <c r="P7" t="s">
        <v>2844</v>
      </c>
      <c r="Q7" s="21">
        <v>46242</v>
      </c>
      <c r="R7" s="21">
        <v>46242</v>
      </c>
      <c r="S7">
        <f>IF($A7="","",COUNTIF(vendor_coverage_countries!$B:$B,$A7))</f>
        <v>1</v>
      </c>
      <c r="T7" t="str" cm="1">
        <f t="array" ref="T7">IF($A7="","",_xlfn.TEXTJOIN(", ",TRUE,IF(vendor_coverage_countries!$B$2:$B$296=$A7,vendor_coverage_countries!$C$2:$C$296,"")))</f>
        <v>EG</v>
      </c>
      <c r="U7" t="str">
        <f>IF($A7="","",IFERROR(INDEX(vendor_coverage_airports!$C$2:$C$296,MATCH($A7,vendor_coverage_airports!$B$2:$B$296,0)),""))</f>
        <v>HECA</v>
      </c>
      <c r="W7">
        <f>IF($A7="","",COUNTIF(vendor_coverage_airports!$B:$B,$A7))</f>
        <v>1</v>
      </c>
      <c r="X7" s="9"/>
      <c r="Y7" s="9"/>
      <c r="Z7" s="4"/>
      <c r="AA7">
        <f>IF($A7="","",COUNTIF(vendor_coverage_airports!$B:$B,$A7))</f>
        <v>1</v>
      </c>
      <c r="AB7">
        <f>IF($A7="","",COUNTIFS(vendor_coverage_countries!$B:$B,$A7,vendor_coverage_countries!$D:$D,"YES"))</f>
        <v>0</v>
      </c>
      <c r="AC7" s="4"/>
      <c r="AD7" s="9"/>
      <c r="AE7" t="str">
        <f t="shared" si="0"/>
        <v>QUESTIONNAIRE OUTSTANDING</v>
      </c>
      <c r="AF7" s="4"/>
    </row>
    <row r="8" spans="1:32" x14ac:dyDescent="0.3">
      <c r="A8" t="s">
        <v>2855</v>
      </c>
      <c r="B8" t="s">
        <v>2856</v>
      </c>
      <c r="F8" t="s">
        <v>2842</v>
      </c>
      <c r="G8" t="s">
        <v>2843</v>
      </c>
      <c r="H8" t="b">
        <v>1</v>
      </c>
      <c r="P8" t="s">
        <v>2844</v>
      </c>
      <c r="Q8" s="21">
        <v>46242</v>
      </c>
      <c r="R8" s="21">
        <v>46242</v>
      </c>
      <c r="S8">
        <f>IF($A8="","",COUNTIF(vendor_coverage_countries!$B:$B,$A8))</f>
        <v>5</v>
      </c>
      <c r="T8" t="str" cm="1">
        <f t="array" ref="T8">IF($A8="","",_xlfn.TEXTJOIN(", ",TRUE,IF(vendor_coverage_countries!$B$2:$B$296=$A8,vendor_coverage_countries!$C$2:$C$296,"")))</f>
        <v>EG, SA, AE, OM, JO</v>
      </c>
      <c r="U8" t="str">
        <f>IF($A8="","",IFERROR(INDEX(vendor_coverage_airports!$C$2:$C$296,MATCH($A8,vendor_coverage_airports!$B$2:$B$296,0)),""))</f>
        <v>HECA</v>
      </c>
      <c r="W8">
        <f>IF($A8="","",COUNTIF(vendor_coverage_airports!$B:$B,$A8))</f>
        <v>5</v>
      </c>
      <c r="X8" s="9"/>
      <c r="Y8" s="9"/>
      <c r="Z8" s="4"/>
      <c r="AA8">
        <f>IF($A8="","",COUNTIF(vendor_coverage_airports!$B:$B,$A8))</f>
        <v>5</v>
      </c>
      <c r="AB8">
        <f>IF($A8="","",COUNTIFS(vendor_coverage_countries!$B:$B,$A8,vendor_coverage_countries!$D:$D,"YES"))</f>
        <v>0</v>
      </c>
      <c r="AC8" s="4"/>
      <c r="AD8" s="9"/>
      <c r="AE8" t="str">
        <f t="shared" si="0"/>
        <v>QUESTIONNAIRE OUTSTANDING</v>
      </c>
      <c r="AF8" s="4"/>
    </row>
    <row r="9" spans="1:32" x14ac:dyDescent="0.3">
      <c r="A9" t="s">
        <v>2857</v>
      </c>
      <c r="B9" t="s">
        <v>2858</v>
      </c>
      <c r="F9" t="s">
        <v>2842</v>
      </c>
      <c r="G9" t="s">
        <v>2843</v>
      </c>
      <c r="H9" t="b">
        <v>1</v>
      </c>
      <c r="P9" t="s">
        <v>2844</v>
      </c>
      <c r="Q9" s="21">
        <v>46242</v>
      </c>
      <c r="R9" s="21">
        <v>46242</v>
      </c>
      <c r="S9">
        <f>IF($A9="","",COUNTIF(vendor_coverage_countries!$B:$B,$A9))</f>
        <v>11</v>
      </c>
      <c r="T9" t="str" cm="1">
        <f t="array" ref="T9">IF($A9="","",_xlfn.TEXTJOIN(", ",TRUE,IF(vendor_coverage_countries!$B$2:$B$296=$A9,vendor_coverage_countries!$C$2:$C$296,"")))</f>
        <v>EG, MA, ZM, CI, GW, SA, AE, OM, QA, KW, IQ</v>
      </c>
      <c r="U9" t="str">
        <f>IF($A9="","",IFERROR(INDEX(vendor_coverage_airports!$C$2:$C$296,MATCH($A9,vendor_coverage_airports!$B$2:$B$296,0)),""))</f>
        <v>HECA</v>
      </c>
      <c r="W9">
        <f>IF($A9="","",COUNTIF(vendor_coverage_airports!$B:$B,$A9))</f>
        <v>11</v>
      </c>
      <c r="X9" s="9"/>
      <c r="Y9" s="9"/>
      <c r="Z9" s="4"/>
      <c r="AA9">
        <f>IF($A9="","",COUNTIF(vendor_coverage_airports!$B:$B,$A9))</f>
        <v>11</v>
      </c>
      <c r="AB9">
        <f>IF($A9="","",COUNTIFS(vendor_coverage_countries!$B:$B,$A9,vendor_coverage_countries!$D:$D,"YES"))</f>
        <v>0</v>
      </c>
      <c r="AC9" s="4"/>
      <c r="AD9" s="9"/>
      <c r="AE9" t="str">
        <f t="shared" si="0"/>
        <v>QUESTIONNAIRE OUTSTANDING</v>
      </c>
      <c r="AF9" s="4"/>
    </row>
    <row r="10" spans="1:32" x14ac:dyDescent="0.3">
      <c r="A10" t="s">
        <v>2859</v>
      </c>
      <c r="B10" t="s">
        <v>2860</v>
      </c>
      <c r="F10" t="s">
        <v>2842</v>
      </c>
      <c r="G10" t="s">
        <v>2843</v>
      </c>
      <c r="H10" t="b">
        <v>1</v>
      </c>
      <c r="P10" t="s">
        <v>2844</v>
      </c>
      <c r="Q10" s="21">
        <v>46242</v>
      </c>
      <c r="R10" s="21">
        <v>46242</v>
      </c>
      <c r="S10">
        <f>IF($A10="","",COUNTIF(vendor_coverage_countries!$B:$B,$A10))</f>
        <v>6</v>
      </c>
      <c r="T10" t="str" cm="1">
        <f t="array" ref="T10">IF($A10="","",_xlfn.TEXTJOIN(", ",TRUE,IF(vendor_coverage_countries!$B$2:$B$296=$A10,vendor_coverage_countries!$C$2:$C$296,"")))</f>
        <v>EG, SA, AE, OM, QA, JO</v>
      </c>
      <c r="U10" t="str">
        <f>IF($A10="","",IFERROR(INDEX(vendor_coverage_airports!$C$2:$C$296,MATCH($A10,vendor_coverage_airports!$B$2:$B$296,0)),""))</f>
        <v>HECA</v>
      </c>
      <c r="W10">
        <f>IF($A10="","",COUNTIF(vendor_coverage_airports!$B:$B,$A10))</f>
        <v>6</v>
      </c>
      <c r="X10" s="9"/>
      <c r="Y10" s="9"/>
      <c r="Z10" s="4"/>
      <c r="AA10">
        <f>IF($A10="","",COUNTIF(vendor_coverage_airports!$B:$B,$A10))</f>
        <v>6</v>
      </c>
      <c r="AB10">
        <f>IF($A10="","",COUNTIFS(vendor_coverage_countries!$B:$B,$A10,vendor_coverage_countries!$D:$D,"YES"))</f>
        <v>0</v>
      </c>
      <c r="AC10" s="4"/>
      <c r="AD10" s="9"/>
      <c r="AE10" t="str">
        <f t="shared" si="0"/>
        <v>QUESTIONNAIRE OUTSTANDING</v>
      </c>
      <c r="AF10" s="4"/>
    </row>
    <row r="11" spans="1:32" x14ac:dyDescent="0.3">
      <c r="A11" t="s">
        <v>2861</v>
      </c>
      <c r="B11" t="s">
        <v>2862</v>
      </c>
      <c r="F11" t="s">
        <v>2842</v>
      </c>
      <c r="G11" t="s">
        <v>2843</v>
      </c>
      <c r="H11" t="b">
        <v>1</v>
      </c>
      <c r="P11" t="s">
        <v>2844</v>
      </c>
      <c r="Q11" s="21">
        <v>46242</v>
      </c>
      <c r="R11" s="21">
        <v>46242</v>
      </c>
      <c r="S11">
        <f>IF($A11="","",COUNTIF(vendor_coverage_countries!$B:$B,$A11))</f>
        <v>1</v>
      </c>
      <c r="T11" t="str" cm="1">
        <f t="array" ref="T11">IF($A11="","",_xlfn.TEXTJOIN(", ",TRUE,IF(vendor_coverage_countries!$B$2:$B$296=$A11,vendor_coverage_countries!$C$2:$C$296,"")))</f>
        <v>EG</v>
      </c>
      <c r="U11" t="str">
        <f>IF($A11="","",IFERROR(INDEX(vendor_coverage_airports!$C$2:$C$296,MATCH($A11,vendor_coverage_airports!$B$2:$B$296,0)),""))</f>
        <v>HECA</v>
      </c>
      <c r="W11">
        <f>IF($A11="","",COUNTIF(vendor_coverage_airports!$B:$B,$A11))</f>
        <v>1</v>
      </c>
      <c r="X11" s="9"/>
      <c r="Y11" s="9"/>
      <c r="Z11" s="4"/>
      <c r="AA11">
        <f>IF($A11="","",COUNTIF(vendor_coverage_airports!$B:$B,$A11))</f>
        <v>1</v>
      </c>
      <c r="AB11">
        <f>IF($A11="","",COUNTIFS(vendor_coverage_countries!$B:$B,$A11,vendor_coverage_countries!$D:$D,"YES"))</f>
        <v>0</v>
      </c>
      <c r="AC11" s="4"/>
      <c r="AD11" s="9"/>
      <c r="AE11" t="str">
        <f t="shared" si="0"/>
        <v>QUESTIONNAIRE OUTSTANDING</v>
      </c>
      <c r="AF11" s="4"/>
    </row>
    <row r="12" spans="1:32" x14ac:dyDescent="0.3">
      <c r="A12" t="s">
        <v>2863</v>
      </c>
      <c r="B12" t="s">
        <v>2864</v>
      </c>
      <c r="F12" t="s">
        <v>2842</v>
      </c>
      <c r="G12" t="s">
        <v>2843</v>
      </c>
      <c r="H12" t="b">
        <v>1</v>
      </c>
      <c r="P12" t="s">
        <v>2844</v>
      </c>
      <c r="Q12" s="21">
        <v>46242</v>
      </c>
      <c r="R12" s="21">
        <v>46242</v>
      </c>
      <c r="S12">
        <f>IF($A12="","",COUNTIF(vendor_coverage_countries!$B:$B,$A12))</f>
        <v>2</v>
      </c>
      <c r="T12" t="str" cm="1">
        <f t="array" ref="T12">IF($A12="","",_xlfn.TEXTJOIN(", ",TRUE,IF(vendor_coverage_countries!$B$2:$B$296=$A12,vendor_coverage_countries!$C$2:$C$296,"")))</f>
        <v>ZA, UG</v>
      </c>
      <c r="U12" t="str">
        <f>IF($A12="","",IFERROR(INDEX(vendor_coverage_airports!$C$2:$C$296,MATCH($A12,vendor_coverage_airports!$B$2:$B$296,0)),""))</f>
        <v>FAOR</v>
      </c>
      <c r="W12">
        <f>IF($A12="","",COUNTIF(vendor_coverage_airports!$B:$B,$A12))</f>
        <v>2</v>
      </c>
      <c r="X12" s="9"/>
      <c r="Y12" s="9"/>
      <c r="Z12" s="4"/>
      <c r="AA12">
        <f>IF($A12="","",COUNTIF(vendor_coverage_airports!$B:$B,$A12))</f>
        <v>2</v>
      </c>
      <c r="AB12">
        <f>IF($A12="","",COUNTIFS(vendor_coverage_countries!$B:$B,$A12,vendor_coverage_countries!$D:$D,"YES"))</f>
        <v>0</v>
      </c>
      <c r="AC12" s="4"/>
      <c r="AD12" s="9"/>
      <c r="AE12" t="str">
        <f t="shared" si="0"/>
        <v>QUESTIONNAIRE OUTSTANDING</v>
      </c>
      <c r="AF12" s="4"/>
    </row>
    <row r="13" spans="1:32" x14ac:dyDescent="0.3">
      <c r="A13" t="s">
        <v>2865</v>
      </c>
      <c r="B13" t="s">
        <v>2866</v>
      </c>
      <c r="F13" t="s">
        <v>2842</v>
      </c>
      <c r="G13" t="s">
        <v>2843</v>
      </c>
      <c r="H13" t="b">
        <v>1</v>
      </c>
      <c r="P13" t="s">
        <v>2844</v>
      </c>
      <c r="Q13" s="21">
        <v>46242</v>
      </c>
      <c r="R13" s="21">
        <v>46242</v>
      </c>
      <c r="S13">
        <f>IF($A13="","",COUNTIF(vendor_coverage_countries!$B:$B,$A13))</f>
        <v>7</v>
      </c>
      <c r="T13" t="str" cm="1">
        <f t="array" ref="T13">IF($A13="","",_xlfn.TEXTJOIN(", ",TRUE,IF(vendor_coverage_countries!$B$2:$B$296=$A13,vendor_coverage_countries!$C$2:$C$296,"")))</f>
        <v>ZA, MZ, ZM, NG, CD, SA, AE</v>
      </c>
      <c r="U13" t="str">
        <f>IF($A13="","",IFERROR(INDEX(vendor_coverage_airports!$C$2:$C$296,MATCH($A13,vendor_coverage_airports!$B$2:$B$296,0)),""))</f>
        <v>FAOR</v>
      </c>
      <c r="W13">
        <f>IF($A13="","",COUNTIF(vendor_coverage_airports!$B:$B,$A13))</f>
        <v>7</v>
      </c>
      <c r="X13" s="9"/>
      <c r="Y13" s="9"/>
      <c r="Z13" s="4"/>
      <c r="AA13">
        <f>IF($A13="","",COUNTIF(vendor_coverage_airports!$B:$B,$A13))</f>
        <v>7</v>
      </c>
      <c r="AB13">
        <f>IF($A13="","",COUNTIFS(vendor_coverage_countries!$B:$B,$A13,vendor_coverage_countries!$D:$D,"YES"))</f>
        <v>0</v>
      </c>
      <c r="AC13" s="4"/>
      <c r="AD13" s="9"/>
      <c r="AE13" t="str">
        <f t="shared" si="0"/>
        <v>QUESTIONNAIRE OUTSTANDING</v>
      </c>
      <c r="AF13" s="4"/>
    </row>
    <row r="14" spans="1:32" x14ac:dyDescent="0.3">
      <c r="A14" t="s">
        <v>2867</v>
      </c>
      <c r="B14" t="s">
        <v>2868</v>
      </c>
      <c r="F14" t="s">
        <v>2842</v>
      </c>
      <c r="G14" t="s">
        <v>2843</v>
      </c>
      <c r="H14" t="b">
        <v>1</v>
      </c>
      <c r="P14" t="s">
        <v>2844</v>
      </c>
      <c r="Q14" s="21">
        <v>46242</v>
      </c>
      <c r="R14" s="21">
        <v>46242</v>
      </c>
      <c r="S14">
        <f>IF($A14="","",COUNTIF(vendor_coverage_countries!$B:$B,$A14))</f>
        <v>1</v>
      </c>
      <c r="T14" t="str" cm="1">
        <f t="array" ref="T14">IF($A14="","",_xlfn.TEXTJOIN(", ",TRUE,IF(vendor_coverage_countries!$B$2:$B$296=$A14,vendor_coverage_countries!$C$2:$C$296,"")))</f>
        <v>ZA</v>
      </c>
      <c r="U14" t="str">
        <f>IF($A14="","",IFERROR(INDEX(vendor_coverage_airports!$C$2:$C$296,MATCH($A14,vendor_coverage_airports!$B$2:$B$296,0)),""))</f>
        <v>FALA</v>
      </c>
      <c r="W14">
        <f>IF($A14="","",COUNTIF(vendor_coverage_airports!$B:$B,$A14))</f>
        <v>1</v>
      </c>
      <c r="X14" s="9"/>
      <c r="Y14" s="9"/>
      <c r="Z14" s="4"/>
      <c r="AA14">
        <f>IF($A14="","",COUNTIF(vendor_coverage_airports!$B:$B,$A14))</f>
        <v>1</v>
      </c>
      <c r="AB14">
        <f>IF($A14="","",COUNTIFS(vendor_coverage_countries!$B:$B,$A14,vendor_coverage_countries!$D:$D,"YES"))</f>
        <v>0</v>
      </c>
      <c r="AC14" s="4"/>
      <c r="AD14" s="9"/>
      <c r="AE14" t="str">
        <f t="shared" si="0"/>
        <v>QUESTIONNAIRE OUTSTANDING</v>
      </c>
      <c r="AF14" s="4"/>
    </row>
    <row r="15" spans="1:32" x14ac:dyDescent="0.3">
      <c r="A15" t="s">
        <v>2869</v>
      </c>
      <c r="B15" t="s">
        <v>2870</v>
      </c>
      <c r="F15" s="1" t="s">
        <v>3832</v>
      </c>
      <c r="G15" t="s">
        <v>2843</v>
      </c>
      <c r="H15" t="b">
        <v>1</v>
      </c>
      <c r="P15" t="s">
        <v>2844</v>
      </c>
      <c r="Q15" s="21">
        <v>46242</v>
      </c>
      <c r="R15" s="21">
        <v>46242</v>
      </c>
      <c r="S15">
        <f>IF($A15="","",COUNTIF(vendor_coverage_countries!$B:$B,$A15))</f>
        <v>1</v>
      </c>
      <c r="T15" t="str" cm="1">
        <f t="array" ref="T15">IF($A15="","",_xlfn.TEXTJOIN(", ",TRUE,IF(vendor_coverage_countries!$B$2:$B$296=$A15,vendor_coverage_countries!$C$2:$C$296,"")))</f>
        <v>ZA</v>
      </c>
      <c r="U15" t="str">
        <f>IF($A15="","",IFERROR(INDEX(vendor_coverage_airports!$C$2:$C$296,MATCH($A15,vendor_coverage_airports!$B$2:$B$296,0)),""))</f>
        <v>FAOR</v>
      </c>
      <c r="W15">
        <f>IF($A15="","",COUNTIF(vendor_coverage_airports!$B:$B,$A15))</f>
        <v>1</v>
      </c>
      <c r="X15" s="9"/>
      <c r="Y15" s="9"/>
      <c r="Z15" s="4"/>
      <c r="AA15">
        <f>IF($A15="","",COUNTIF(vendor_coverage_airports!$B:$B,$A15))</f>
        <v>1</v>
      </c>
      <c r="AB15">
        <f>IF($A15="","",COUNTIFS(vendor_coverage_countries!$B:$B,$A15,vendor_coverage_countries!$D:$D,"YES"))</f>
        <v>0</v>
      </c>
      <c r="AC15" s="4"/>
      <c r="AD15" s="9"/>
      <c r="AE15" t="str">
        <f t="shared" si="0"/>
        <v>QUESTIONNAIRE OUTSTANDING</v>
      </c>
      <c r="AF15" s="4"/>
    </row>
    <row r="16" spans="1:32" x14ac:dyDescent="0.3">
      <c r="A16" t="s">
        <v>2871</v>
      </c>
      <c r="B16" t="s">
        <v>2872</v>
      </c>
      <c r="F16" t="s">
        <v>2842</v>
      </c>
      <c r="G16" t="s">
        <v>2843</v>
      </c>
      <c r="H16" t="b">
        <v>1</v>
      </c>
      <c r="P16" t="s">
        <v>2844</v>
      </c>
      <c r="Q16" s="21">
        <v>46242</v>
      </c>
      <c r="R16" s="21">
        <v>46242</v>
      </c>
      <c r="S16">
        <f>IF($A16="","",COUNTIF(vendor_coverage_countries!$B:$B,$A16))</f>
        <v>1</v>
      </c>
      <c r="T16" t="str" cm="1">
        <f t="array" ref="T16">IF($A16="","",_xlfn.TEXTJOIN(", ",TRUE,IF(vendor_coverage_countries!$B$2:$B$296=$A16,vendor_coverage_countries!$C$2:$C$296,"")))</f>
        <v>ZA</v>
      </c>
      <c r="U16" t="str">
        <f>IF($A16="","",IFERROR(INDEX(vendor_coverage_airports!$C$2:$C$296,MATCH($A16,vendor_coverage_airports!$B$2:$B$296,0)),""))</f>
        <v>FAOR</v>
      </c>
      <c r="W16">
        <f>IF($A16="","",COUNTIF(vendor_coverage_airports!$B:$B,$A16))</f>
        <v>1</v>
      </c>
      <c r="X16" s="9"/>
      <c r="Y16" s="9"/>
      <c r="Z16" s="4"/>
      <c r="AA16">
        <f>IF($A16="","",COUNTIF(vendor_coverage_airports!$B:$B,$A16))</f>
        <v>1</v>
      </c>
      <c r="AB16">
        <f>IF($A16="","",COUNTIFS(vendor_coverage_countries!$B:$B,$A16,vendor_coverage_countries!$D:$D,"YES"))</f>
        <v>0</v>
      </c>
      <c r="AC16" s="4"/>
      <c r="AD16" s="9"/>
      <c r="AE16" t="str">
        <f t="shared" si="0"/>
        <v>QUESTIONNAIRE OUTSTANDING</v>
      </c>
      <c r="AF16" s="4"/>
    </row>
    <row r="17" spans="1:32" x14ac:dyDescent="0.3">
      <c r="A17" t="s">
        <v>2873</v>
      </c>
      <c r="B17" t="s">
        <v>2874</v>
      </c>
      <c r="F17" t="s">
        <v>2842</v>
      </c>
      <c r="G17" t="s">
        <v>2843</v>
      </c>
      <c r="H17" t="b">
        <v>1</v>
      </c>
      <c r="P17" t="s">
        <v>2844</v>
      </c>
      <c r="Q17" s="21">
        <v>46242</v>
      </c>
      <c r="R17" s="21">
        <v>46242</v>
      </c>
      <c r="S17">
        <f>IF($A17="","",COUNTIF(vendor_coverage_countries!$B:$B,$A17))</f>
        <v>1</v>
      </c>
      <c r="T17" t="str" cm="1">
        <f t="array" ref="T17">IF($A17="","",_xlfn.TEXTJOIN(", ",TRUE,IF(vendor_coverage_countries!$B$2:$B$296=$A17,vendor_coverage_countries!$C$2:$C$296,"")))</f>
        <v>ZA</v>
      </c>
      <c r="U17" t="str">
        <f>IF($A17="","",IFERROR(INDEX(vendor_coverage_airports!$C$2:$C$296,MATCH($A17,vendor_coverage_airports!$B$2:$B$296,0)),""))</f>
        <v>FAOR</v>
      </c>
      <c r="W17">
        <f>IF($A17="","",COUNTIF(vendor_coverage_airports!$B:$B,$A17))</f>
        <v>1</v>
      </c>
      <c r="X17" s="9"/>
      <c r="Y17" s="9"/>
      <c r="Z17" s="4"/>
      <c r="AA17">
        <f>IF($A17="","",COUNTIF(vendor_coverage_airports!$B:$B,$A17))</f>
        <v>1</v>
      </c>
      <c r="AB17">
        <f>IF($A17="","",COUNTIFS(vendor_coverage_countries!$B:$B,$A17,vendor_coverage_countries!$D:$D,"YES"))</f>
        <v>0</v>
      </c>
      <c r="AC17" s="4"/>
      <c r="AD17" s="9"/>
      <c r="AE17" t="str">
        <f t="shared" si="0"/>
        <v>QUESTIONNAIRE OUTSTANDING</v>
      </c>
      <c r="AF17" s="4"/>
    </row>
    <row r="18" spans="1:32" x14ac:dyDescent="0.3">
      <c r="A18" t="s">
        <v>2875</v>
      </c>
      <c r="B18" t="s">
        <v>2876</v>
      </c>
      <c r="F18" t="s">
        <v>2842</v>
      </c>
      <c r="G18" t="s">
        <v>2843</v>
      </c>
      <c r="H18" t="b">
        <v>1</v>
      </c>
      <c r="P18" t="s">
        <v>2844</v>
      </c>
      <c r="Q18" s="21">
        <v>46242</v>
      </c>
      <c r="R18" s="21">
        <v>46242</v>
      </c>
      <c r="S18">
        <f>IF($A18="","",COUNTIF(vendor_coverage_countries!$B:$B,$A18))</f>
        <v>1</v>
      </c>
      <c r="T18" t="str" cm="1">
        <f t="array" ref="T18">IF($A18="","",_xlfn.TEXTJOIN(", ",TRUE,IF(vendor_coverage_countries!$B$2:$B$296=$A18,vendor_coverage_countries!$C$2:$C$296,"")))</f>
        <v>ZA</v>
      </c>
      <c r="U18" t="str">
        <f>IF($A18="","",IFERROR(INDEX(vendor_coverage_airports!$C$2:$C$296,MATCH($A18,vendor_coverage_airports!$B$2:$B$296,0)),""))</f>
        <v>FAOR</v>
      </c>
      <c r="W18">
        <f>IF($A18="","",COUNTIF(vendor_coverage_airports!$B:$B,$A18))</f>
        <v>1</v>
      </c>
      <c r="X18" s="9"/>
      <c r="Y18" s="9"/>
      <c r="Z18" s="4"/>
      <c r="AA18">
        <f>IF($A18="","",COUNTIF(vendor_coverage_airports!$B:$B,$A18))</f>
        <v>1</v>
      </c>
      <c r="AB18">
        <f>IF($A18="","",COUNTIFS(vendor_coverage_countries!$B:$B,$A18,vendor_coverage_countries!$D:$D,"YES"))</f>
        <v>0</v>
      </c>
      <c r="AC18" s="4"/>
      <c r="AD18" s="9"/>
      <c r="AE18" t="str">
        <f t="shared" si="0"/>
        <v>QUESTIONNAIRE OUTSTANDING</v>
      </c>
      <c r="AF18" s="4"/>
    </row>
    <row r="19" spans="1:32" x14ac:dyDescent="0.3">
      <c r="A19" t="s">
        <v>2877</v>
      </c>
      <c r="B19" t="s">
        <v>2878</v>
      </c>
      <c r="F19" t="s">
        <v>2842</v>
      </c>
      <c r="G19" t="s">
        <v>2843</v>
      </c>
      <c r="H19" t="b">
        <v>1</v>
      </c>
      <c r="P19" t="s">
        <v>2844</v>
      </c>
      <c r="Q19" s="21">
        <v>46242</v>
      </c>
      <c r="R19" s="21">
        <v>46242</v>
      </c>
      <c r="S19">
        <f>IF($A19="","",COUNTIF(vendor_coverage_countries!$B:$B,$A19))</f>
        <v>2</v>
      </c>
      <c r="T19" t="str" cm="1">
        <f t="array" ref="T19">IF($A19="","",_xlfn.TEXTJOIN(", ",TRUE,IF(vendor_coverage_countries!$B$2:$B$296=$A19,vendor_coverage_countries!$C$2:$C$296,"")))</f>
        <v>ZA, RW</v>
      </c>
      <c r="U19" t="str">
        <f>IF($A19="","",IFERROR(INDEX(vendor_coverage_airports!$C$2:$C$296,MATCH($A19,vendor_coverage_airports!$B$2:$B$296,0)),""))</f>
        <v>FAOR</v>
      </c>
      <c r="W19">
        <f>IF($A19="","",COUNTIF(vendor_coverage_airports!$B:$B,$A19))</f>
        <v>2</v>
      </c>
      <c r="X19" s="9"/>
      <c r="Y19" s="9"/>
      <c r="Z19" s="4"/>
      <c r="AA19">
        <f>IF($A19="","",COUNTIF(vendor_coverage_airports!$B:$B,$A19))</f>
        <v>2</v>
      </c>
      <c r="AB19">
        <f>IF($A19="","",COUNTIFS(vendor_coverage_countries!$B:$B,$A19,vendor_coverage_countries!$D:$D,"YES"))</f>
        <v>0</v>
      </c>
      <c r="AC19" s="4"/>
      <c r="AD19" s="9"/>
      <c r="AE19" t="str">
        <f t="shared" si="0"/>
        <v>QUESTIONNAIRE OUTSTANDING</v>
      </c>
      <c r="AF19" s="4"/>
    </row>
    <row r="20" spans="1:32" x14ac:dyDescent="0.3">
      <c r="A20" t="s">
        <v>2879</v>
      </c>
      <c r="B20" t="s">
        <v>2880</v>
      </c>
      <c r="F20" t="s">
        <v>2842</v>
      </c>
      <c r="G20" t="s">
        <v>2843</v>
      </c>
      <c r="H20" t="b">
        <v>1</v>
      </c>
      <c r="P20" t="s">
        <v>2844</v>
      </c>
      <c r="Q20" s="21">
        <v>46242</v>
      </c>
      <c r="R20" s="21">
        <v>46242</v>
      </c>
      <c r="S20">
        <f>IF($A20="","",COUNTIF(vendor_coverage_countries!$B:$B,$A20))</f>
        <v>1</v>
      </c>
      <c r="T20" t="str" cm="1">
        <f t="array" ref="T20">IF($A20="","",_xlfn.TEXTJOIN(", ",TRUE,IF(vendor_coverage_countries!$B$2:$B$296=$A20,vendor_coverage_countries!$C$2:$C$296,"")))</f>
        <v>ZA</v>
      </c>
      <c r="U20" t="str">
        <f>IF($A20="","",IFERROR(INDEX(vendor_coverage_airports!$C$2:$C$296,MATCH($A20,vendor_coverage_airports!$B$2:$B$296,0)),""))</f>
        <v>FAOR</v>
      </c>
      <c r="W20">
        <f>IF($A20="","",COUNTIF(vendor_coverage_airports!$B:$B,$A20))</f>
        <v>1</v>
      </c>
      <c r="X20" s="9"/>
      <c r="Y20" s="9"/>
      <c r="Z20" s="4"/>
      <c r="AA20">
        <f>IF($A20="","",COUNTIF(vendor_coverage_airports!$B:$B,$A20))</f>
        <v>1</v>
      </c>
      <c r="AB20">
        <f>IF($A20="","",COUNTIFS(vendor_coverage_countries!$B:$B,$A20,vendor_coverage_countries!$D:$D,"YES"))</f>
        <v>0</v>
      </c>
      <c r="AC20" s="4"/>
      <c r="AD20" s="9"/>
      <c r="AE20" t="str">
        <f t="shared" si="0"/>
        <v>QUESTIONNAIRE OUTSTANDING</v>
      </c>
      <c r="AF20" s="4"/>
    </row>
    <row r="21" spans="1:32" x14ac:dyDescent="0.3">
      <c r="A21" t="s">
        <v>2881</v>
      </c>
      <c r="B21" t="s">
        <v>2882</v>
      </c>
      <c r="F21" t="s">
        <v>2842</v>
      </c>
      <c r="G21" t="s">
        <v>2843</v>
      </c>
      <c r="H21" t="b">
        <v>1</v>
      </c>
      <c r="P21" t="s">
        <v>2844</v>
      </c>
      <c r="Q21" s="21">
        <v>46242</v>
      </c>
      <c r="R21" s="21">
        <v>46242</v>
      </c>
      <c r="S21">
        <f>IF($A21="","",COUNTIF(vendor_coverage_countries!$B:$B,$A21))</f>
        <v>1</v>
      </c>
      <c r="T21" t="str" cm="1">
        <f t="array" ref="T21">IF($A21="","",_xlfn.TEXTJOIN(", ",TRUE,IF(vendor_coverage_countries!$B$2:$B$296=$A21,vendor_coverage_countries!$C$2:$C$296,"")))</f>
        <v>ZA</v>
      </c>
      <c r="U21" t="str">
        <f>IF($A21="","",IFERROR(INDEX(vendor_coverage_airports!$C$2:$C$296,MATCH($A21,vendor_coverage_airports!$B$2:$B$296,0)),""))</f>
        <v>FAUP</v>
      </c>
      <c r="W21">
        <f>IF($A21="","",COUNTIF(vendor_coverage_airports!$B:$B,$A21))</f>
        <v>1</v>
      </c>
      <c r="X21" s="9"/>
      <c r="Y21" s="9"/>
      <c r="Z21" s="4"/>
      <c r="AA21">
        <f>IF($A21="","",COUNTIF(vendor_coverage_airports!$B:$B,$A21))</f>
        <v>1</v>
      </c>
      <c r="AB21">
        <f>IF($A21="","",COUNTIFS(vendor_coverage_countries!$B:$B,$A21,vendor_coverage_countries!$D:$D,"YES"))</f>
        <v>0</v>
      </c>
      <c r="AC21" s="4"/>
      <c r="AD21" s="9"/>
      <c r="AE21" t="str">
        <f t="shared" si="0"/>
        <v>QUESTIONNAIRE OUTSTANDING</v>
      </c>
      <c r="AF21" s="4"/>
    </row>
    <row r="22" spans="1:32" x14ac:dyDescent="0.3">
      <c r="A22" t="s">
        <v>2883</v>
      </c>
      <c r="B22" t="s">
        <v>2884</v>
      </c>
      <c r="F22" t="s">
        <v>2842</v>
      </c>
      <c r="G22" t="s">
        <v>2843</v>
      </c>
      <c r="H22" t="b">
        <v>1</v>
      </c>
      <c r="P22" t="s">
        <v>2844</v>
      </c>
      <c r="Q22" s="21">
        <v>46242</v>
      </c>
      <c r="R22" s="21">
        <v>46242</v>
      </c>
      <c r="S22">
        <f>IF($A22="","",COUNTIF(vendor_coverage_countries!$B:$B,$A22))</f>
        <v>2</v>
      </c>
      <c r="T22" t="str" cm="1">
        <f t="array" ref="T22">IF($A22="","",_xlfn.TEXTJOIN(", ",TRUE,IF(vendor_coverage_countries!$B$2:$B$296=$A22,vendor_coverage_countries!$C$2:$C$296,"")))</f>
        <v>ZA, CD</v>
      </c>
      <c r="U22" t="str">
        <f>IF($A22="","",IFERROR(INDEX(vendor_coverage_airports!$C$2:$C$296,MATCH($A22,vendor_coverage_airports!$B$2:$B$296,0)),""))</f>
        <v>FAOR</v>
      </c>
      <c r="W22">
        <f>IF($A22="","",COUNTIF(vendor_coverage_airports!$B:$B,$A22))</f>
        <v>2</v>
      </c>
      <c r="X22" s="9"/>
      <c r="Y22" s="9"/>
      <c r="Z22" s="4"/>
      <c r="AA22">
        <f>IF($A22="","",COUNTIF(vendor_coverage_airports!$B:$B,$A22))</f>
        <v>2</v>
      </c>
      <c r="AB22">
        <f>IF($A22="","",COUNTIFS(vendor_coverage_countries!$B:$B,$A22,vendor_coverage_countries!$D:$D,"YES"))</f>
        <v>0</v>
      </c>
      <c r="AC22" s="4"/>
      <c r="AD22" s="9"/>
      <c r="AE22" t="str">
        <f t="shared" si="0"/>
        <v>QUESTIONNAIRE OUTSTANDING</v>
      </c>
      <c r="AF22" s="4"/>
    </row>
    <row r="23" spans="1:32" x14ac:dyDescent="0.3">
      <c r="A23" t="s">
        <v>2885</v>
      </c>
      <c r="B23" t="s">
        <v>2886</v>
      </c>
      <c r="F23" t="s">
        <v>2842</v>
      </c>
      <c r="G23" t="s">
        <v>2843</v>
      </c>
      <c r="H23" t="b">
        <v>1</v>
      </c>
      <c r="P23" t="s">
        <v>2844</v>
      </c>
      <c r="Q23" s="21">
        <v>46242</v>
      </c>
      <c r="R23" s="21">
        <v>46242</v>
      </c>
      <c r="S23">
        <f>IF($A23="","",COUNTIF(vendor_coverage_countries!$B:$B,$A23))</f>
        <v>1</v>
      </c>
      <c r="T23" t="str" cm="1">
        <f t="array" ref="T23">IF($A23="","",_xlfn.TEXTJOIN(", ",TRUE,IF(vendor_coverage_countries!$B$2:$B$296=$A23,vendor_coverage_countries!$C$2:$C$296,"")))</f>
        <v>ZA</v>
      </c>
      <c r="U23" t="str">
        <f>IF($A23="","",IFERROR(INDEX(vendor_coverage_airports!$C$2:$C$296,MATCH($A23,vendor_coverage_airports!$B$2:$B$296,0)),""))</f>
        <v>FAGC</v>
      </c>
      <c r="W23">
        <f>IF($A23="","",COUNTIF(vendor_coverage_airports!$B:$B,$A23))</f>
        <v>1</v>
      </c>
      <c r="X23" s="9"/>
      <c r="Y23" s="9"/>
      <c r="Z23" s="4"/>
      <c r="AA23">
        <f>IF($A23="","",COUNTIF(vendor_coverage_airports!$B:$B,$A23))</f>
        <v>1</v>
      </c>
      <c r="AB23">
        <f>IF($A23="","",COUNTIFS(vendor_coverage_countries!$B:$B,$A23,vendor_coverage_countries!$D:$D,"YES"))</f>
        <v>0</v>
      </c>
      <c r="AC23" s="4"/>
      <c r="AD23" s="9"/>
      <c r="AE23" t="str">
        <f t="shared" si="0"/>
        <v>QUESTIONNAIRE OUTSTANDING</v>
      </c>
      <c r="AF23" s="4"/>
    </row>
    <row r="24" spans="1:32" x14ac:dyDescent="0.3">
      <c r="A24" t="s">
        <v>2887</v>
      </c>
      <c r="B24" t="s">
        <v>2888</v>
      </c>
      <c r="F24" t="s">
        <v>2842</v>
      </c>
      <c r="G24" t="s">
        <v>2843</v>
      </c>
      <c r="H24" t="b">
        <v>1</v>
      </c>
      <c r="P24" t="s">
        <v>2844</v>
      </c>
      <c r="Q24" s="21">
        <v>46242</v>
      </c>
      <c r="R24" s="21">
        <v>46242</v>
      </c>
      <c r="S24">
        <f>IF($A24="","",COUNTIF(vendor_coverage_countries!$B:$B,$A24))</f>
        <v>9</v>
      </c>
      <c r="T24" t="str" cm="1">
        <f t="array" ref="T24">IF($A24="","",_xlfn.TEXTJOIN(", ",TRUE,IF(vendor_coverage_countries!$B$2:$B$296=$A24,vendor_coverage_countries!$C$2:$C$296,"")))</f>
        <v>TZ, GH, KE, SN, CI, RW, KM, CF, AE</v>
      </c>
      <c r="U24" t="str">
        <f>IF($A24="","",IFERROR(INDEX(vendor_coverage_airports!$C$2:$C$296,MATCH($A24,vendor_coverage_airports!$B$2:$B$296,0)),""))</f>
        <v>HTDA</v>
      </c>
      <c r="W24">
        <f>IF($A24="","",COUNTIF(vendor_coverage_airports!$B:$B,$A24))</f>
        <v>9</v>
      </c>
      <c r="X24" s="9"/>
      <c r="Y24" s="9"/>
      <c r="Z24" s="4"/>
      <c r="AA24">
        <f>IF($A24="","",COUNTIF(vendor_coverage_airports!$B:$B,$A24))</f>
        <v>9</v>
      </c>
      <c r="AB24">
        <f>IF($A24="","",COUNTIFS(vendor_coverage_countries!$B:$B,$A24,vendor_coverage_countries!$D:$D,"YES"))</f>
        <v>0</v>
      </c>
      <c r="AC24" s="4"/>
      <c r="AD24" s="9"/>
      <c r="AE24" t="str">
        <f t="shared" si="0"/>
        <v>QUESTIONNAIRE OUTSTANDING</v>
      </c>
      <c r="AF24" s="4"/>
    </row>
    <row r="25" spans="1:32" x14ac:dyDescent="0.3">
      <c r="A25" t="s">
        <v>2889</v>
      </c>
      <c r="B25" t="s">
        <v>2890</v>
      </c>
      <c r="F25" t="s">
        <v>2842</v>
      </c>
      <c r="G25" t="s">
        <v>2843</v>
      </c>
      <c r="H25" t="b">
        <v>1</v>
      </c>
      <c r="P25" t="s">
        <v>2844</v>
      </c>
      <c r="Q25" s="21">
        <v>46242</v>
      </c>
      <c r="R25" s="21">
        <v>46242</v>
      </c>
      <c r="S25">
        <f>IF($A25="","",COUNTIF(vendor_coverage_countries!$B:$B,$A25))</f>
        <v>2</v>
      </c>
      <c r="T25" t="str" cm="1">
        <f t="array" ref="T25">IF($A25="","",_xlfn.TEXTJOIN(", ",TRUE,IF(vendor_coverage_countries!$B$2:$B$296=$A25,vendor_coverage_countries!$C$2:$C$296,"")))</f>
        <v>TZ, UG</v>
      </c>
      <c r="U25" t="str">
        <f>IF($A25="","",IFERROR(INDEX(vendor_coverage_airports!$C$2:$C$296,MATCH($A25,vendor_coverage_airports!$B$2:$B$296,0)),""))</f>
        <v>HTDA</v>
      </c>
      <c r="W25">
        <f>IF($A25="","",COUNTIF(vendor_coverage_airports!$B:$B,$A25))</f>
        <v>2</v>
      </c>
      <c r="X25" s="9"/>
      <c r="Y25" s="9"/>
      <c r="Z25" s="4"/>
      <c r="AA25">
        <f>IF($A25="","",COUNTIF(vendor_coverage_airports!$B:$B,$A25))</f>
        <v>2</v>
      </c>
      <c r="AB25">
        <f>IF($A25="","",COUNTIFS(vendor_coverage_countries!$B:$B,$A25,vendor_coverage_countries!$D:$D,"YES"))</f>
        <v>0</v>
      </c>
      <c r="AC25" s="4"/>
      <c r="AD25" s="9"/>
      <c r="AE25" t="str">
        <f t="shared" si="0"/>
        <v>QUESTIONNAIRE OUTSTANDING</v>
      </c>
      <c r="AF25" s="4"/>
    </row>
    <row r="26" spans="1:32" x14ac:dyDescent="0.3">
      <c r="A26" t="s">
        <v>2891</v>
      </c>
      <c r="B26" t="s">
        <v>2892</v>
      </c>
      <c r="F26" t="s">
        <v>2842</v>
      </c>
      <c r="G26" t="s">
        <v>2843</v>
      </c>
      <c r="H26" t="b">
        <v>1</v>
      </c>
      <c r="P26" t="s">
        <v>2844</v>
      </c>
      <c r="Q26" s="21">
        <v>46242</v>
      </c>
      <c r="R26" s="21">
        <v>46242</v>
      </c>
      <c r="S26">
        <f>IF($A26="","",COUNTIF(vendor_coverage_countries!$B:$B,$A26))</f>
        <v>15</v>
      </c>
      <c r="T26" t="str" cm="1">
        <f t="array" ref="T26">IF($A26="","",_xlfn.TEXTJOIN(", ",TRUE,IF(vendor_coverage_countries!$B$2:$B$296=$A26,vendor_coverage_countries!$C$2:$C$296,"")))</f>
        <v>TZ, GH, GA, UG, SN, SL, ST, LR, CM, BF, TG, SA, AE, OM, IQ</v>
      </c>
      <c r="U26" t="str">
        <f>IF($A26="","",IFERROR(INDEX(vendor_coverage_airports!$C$2:$C$296,MATCH($A26,vendor_coverage_airports!$B$2:$B$296,0)),""))</f>
        <v>HTDA</v>
      </c>
      <c r="W26">
        <f>IF($A26="","",COUNTIF(vendor_coverage_airports!$B:$B,$A26))</f>
        <v>15</v>
      </c>
      <c r="X26" s="9"/>
      <c r="Y26" s="9"/>
      <c r="Z26" s="4"/>
      <c r="AA26">
        <f>IF($A26="","",COUNTIF(vendor_coverage_airports!$B:$B,$A26))</f>
        <v>15</v>
      </c>
      <c r="AB26">
        <f>IF($A26="","",COUNTIFS(vendor_coverage_countries!$B:$B,$A26,vendor_coverage_countries!$D:$D,"YES"))</f>
        <v>0</v>
      </c>
      <c r="AC26" s="4"/>
      <c r="AD26" s="9"/>
      <c r="AE26" t="str">
        <f t="shared" si="0"/>
        <v>QUESTIONNAIRE OUTSTANDING</v>
      </c>
      <c r="AF26" s="4"/>
    </row>
    <row r="27" spans="1:32" x14ac:dyDescent="0.3">
      <c r="A27" t="s">
        <v>2893</v>
      </c>
      <c r="B27" t="s">
        <v>2894</v>
      </c>
      <c r="F27" t="s">
        <v>2842</v>
      </c>
      <c r="G27" t="s">
        <v>2843</v>
      </c>
      <c r="H27" t="b">
        <v>1</v>
      </c>
      <c r="P27" t="s">
        <v>2844</v>
      </c>
      <c r="Q27" s="21">
        <v>46242</v>
      </c>
      <c r="R27" s="21">
        <v>46242</v>
      </c>
      <c r="S27">
        <f>IF($A27="","",COUNTIF(vendor_coverage_countries!$B:$B,$A27))</f>
        <v>1</v>
      </c>
      <c r="T27" t="str" cm="1">
        <f t="array" ref="T27">IF($A27="","",_xlfn.TEXTJOIN(", ",TRUE,IF(vendor_coverage_countries!$B$2:$B$296=$A27,vendor_coverage_countries!$C$2:$C$296,"")))</f>
        <v>TZ</v>
      </c>
      <c r="U27" t="str">
        <f>IF($A27="","",IFERROR(INDEX(vendor_coverage_airports!$C$2:$C$296,MATCH($A27,vendor_coverage_airports!$B$2:$B$296,0)),""))</f>
        <v>HTDA</v>
      </c>
      <c r="W27">
        <f>IF($A27="","",COUNTIF(vendor_coverage_airports!$B:$B,$A27))</f>
        <v>1</v>
      </c>
      <c r="X27" s="9"/>
      <c r="Y27" s="9"/>
      <c r="Z27" s="4"/>
      <c r="AA27">
        <f>IF($A27="","",COUNTIF(vendor_coverage_airports!$B:$B,$A27))</f>
        <v>1</v>
      </c>
      <c r="AB27">
        <f>IF($A27="","",COUNTIFS(vendor_coverage_countries!$B:$B,$A27,vendor_coverage_countries!$D:$D,"YES"))</f>
        <v>0</v>
      </c>
      <c r="AC27" s="4"/>
      <c r="AD27" s="9"/>
      <c r="AE27" t="str">
        <f t="shared" si="0"/>
        <v>QUESTIONNAIRE OUTSTANDING</v>
      </c>
      <c r="AF27" s="4"/>
    </row>
    <row r="28" spans="1:32" x14ac:dyDescent="0.3">
      <c r="A28" t="s">
        <v>2895</v>
      </c>
      <c r="B28" t="s">
        <v>2896</v>
      </c>
      <c r="F28" t="s">
        <v>2842</v>
      </c>
      <c r="G28" t="s">
        <v>2843</v>
      </c>
      <c r="H28" t="b">
        <v>1</v>
      </c>
      <c r="P28" t="s">
        <v>2844</v>
      </c>
      <c r="Q28" s="21">
        <v>46242</v>
      </c>
      <c r="R28" s="21">
        <v>46242</v>
      </c>
      <c r="S28">
        <f>IF($A28="","",COUNTIF(vendor_coverage_countries!$B:$B,$A28))</f>
        <v>5</v>
      </c>
      <c r="T28" t="str" cm="1">
        <f t="array" ref="T28">IF($A28="","",_xlfn.TEXTJOIN(", ",TRUE,IF(vendor_coverage_countries!$B$2:$B$296=$A28,vendor_coverage_countries!$C$2:$C$296,"")))</f>
        <v>TZ, MA, GH, DZ, KW</v>
      </c>
      <c r="U28" t="str">
        <f>IF($A28="","",IFERROR(INDEX(vendor_coverage_airports!$C$2:$C$296,MATCH($A28,vendor_coverage_airports!$B$2:$B$296,0)),""))</f>
        <v>HTDA</v>
      </c>
      <c r="W28">
        <f>IF($A28="","",COUNTIF(vendor_coverage_airports!$B:$B,$A28))</f>
        <v>5</v>
      </c>
      <c r="X28" s="9"/>
      <c r="Y28" s="9"/>
      <c r="Z28" s="4"/>
      <c r="AA28">
        <f>IF($A28="","",COUNTIF(vendor_coverage_airports!$B:$B,$A28))</f>
        <v>5</v>
      </c>
      <c r="AB28">
        <f>IF($A28="","",COUNTIFS(vendor_coverage_countries!$B:$B,$A28,vendor_coverage_countries!$D:$D,"YES"))</f>
        <v>0</v>
      </c>
      <c r="AC28" s="4"/>
      <c r="AD28" s="9"/>
      <c r="AE28" t="str">
        <f t="shared" si="0"/>
        <v>QUESTIONNAIRE OUTSTANDING</v>
      </c>
      <c r="AF28" s="4"/>
    </row>
    <row r="29" spans="1:32" x14ac:dyDescent="0.3">
      <c r="A29" t="s">
        <v>2897</v>
      </c>
      <c r="B29" t="s">
        <v>2898</v>
      </c>
      <c r="F29" t="s">
        <v>2842</v>
      </c>
      <c r="G29" t="s">
        <v>2843</v>
      </c>
      <c r="H29" t="b">
        <v>1</v>
      </c>
      <c r="P29" t="s">
        <v>2844</v>
      </c>
      <c r="Q29" s="21">
        <v>46242</v>
      </c>
      <c r="R29" s="21">
        <v>46242</v>
      </c>
      <c r="S29">
        <f>IF($A29="","",COUNTIF(vendor_coverage_countries!$B:$B,$A29))</f>
        <v>9</v>
      </c>
      <c r="T29" t="str" cm="1">
        <f t="array" ref="T29">IF($A29="","",_xlfn.TEXTJOIN(", ",TRUE,IF(vendor_coverage_countries!$B$2:$B$296=$A29,vendor_coverage_countries!$C$2:$C$296,"")))</f>
        <v>TZ, GH, SN, DZ, CI, MR, NE, CM, BJ</v>
      </c>
      <c r="U29" t="str">
        <f>IF($A29="","",IFERROR(INDEX(vendor_coverage_airports!$C$2:$C$296,MATCH($A29,vendor_coverage_airports!$B$2:$B$296,0)),""))</f>
        <v>HTDA</v>
      </c>
      <c r="W29">
        <f>IF($A29="","",COUNTIF(vendor_coverage_airports!$B:$B,$A29))</f>
        <v>9</v>
      </c>
      <c r="X29" s="9"/>
      <c r="Y29" s="9"/>
      <c r="Z29" s="4"/>
      <c r="AA29">
        <f>IF($A29="","",COUNTIF(vendor_coverage_airports!$B:$B,$A29))</f>
        <v>9</v>
      </c>
      <c r="AB29">
        <f>IF($A29="","",COUNTIFS(vendor_coverage_countries!$B:$B,$A29,vendor_coverage_countries!$D:$D,"YES"))</f>
        <v>0</v>
      </c>
      <c r="AC29" s="4"/>
      <c r="AD29" s="9"/>
      <c r="AE29" t="str">
        <f t="shared" si="0"/>
        <v>QUESTIONNAIRE OUTSTANDING</v>
      </c>
      <c r="AF29" s="4"/>
    </row>
    <row r="30" spans="1:32" x14ac:dyDescent="0.3">
      <c r="A30" t="s">
        <v>2899</v>
      </c>
      <c r="B30" t="s">
        <v>2900</v>
      </c>
      <c r="F30" t="s">
        <v>2842</v>
      </c>
      <c r="G30" t="s">
        <v>2843</v>
      </c>
      <c r="H30" t="b">
        <v>1</v>
      </c>
      <c r="P30" t="s">
        <v>2844</v>
      </c>
      <c r="Q30" s="21">
        <v>46242</v>
      </c>
      <c r="R30" s="21">
        <v>46242</v>
      </c>
      <c r="S30">
        <f>IF($A30="","",COUNTIF(vendor_coverage_countries!$B:$B,$A30))</f>
        <v>3</v>
      </c>
      <c r="T30" t="str" cm="1">
        <f t="array" ref="T30">IF($A30="","",_xlfn.TEXTJOIN(", ",TRUE,IF(vendor_coverage_countries!$B$2:$B$296=$A30,vendor_coverage_countries!$C$2:$C$296,"")))</f>
        <v>TZ, KE, SO</v>
      </c>
      <c r="U30" t="str">
        <f>IF($A30="","",IFERROR(INDEX(vendor_coverage_airports!$C$2:$C$296,MATCH($A30,vendor_coverage_airports!$B$2:$B$296,0)),""))</f>
        <v>HTDA</v>
      </c>
      <c r="W30">
        <f>IF($A30="","",COUNTIF(vendor_coverage_airports!$B:$B,$A30))</f>
        <v>3</v>
      </c>
      <c r="X30" s="9"/>
      <c r="Y30" s="9"/>
      <c r="Z30" s="4"/>
      <c r="AA30">
        <f>IF($A30="","",COUNTIF(vendor_coverage_airports!$B:$B,$A30))</f>
        <v>3</v>
      </c>
      <c r="AB30">
        <f>IF($A30="","",COUNTIFS(vendor_coverage_countries!$B:$B,$A30,vendor_coverage_countries!$D:$D,"YES"))</f>
        <v>0</v>
      </c>
      <c r="AC30" s="4"/>
      <c r="AD30" s="9"/>
      <c r="AE30" t="str">
        <f t="shared" si="0"/>
        <v>QUESTIONNAIRE OUTSTANDING</v>
      </c>
      <c r="AF30" s="4"/>
    </row>
    <row r="31" spans="1:32" x14ac:dyDescent="0.3">
      <c r="A31" t="s">
        <v>2901</v>
      </c>
      <c r="B31" t="s">
        <v>2902</v>
      </c>
      <c r="F31" t="s">
        <v>2842</v>
      </c>
      <c r="G31" t="s">
        <v>2843</v>
      </c>
      <c r="H31" t="b">
        <v>1</v>
      </c>
      <c r="P31" t="s">
        <v>2844</v>
      </c>
      <c r="Q31" s="21">
        <v>46242</v>
      </c>
      <c r="R31" s="21">
        <v>46242</v>
      </c>
      <c r="S31">
        <f>IF($A31="","",COUNTIF(vendor_coverage_countries!$B:$B,$A31))</f>
        <v>1</v>
      </c>
      <c r="T31" t="str" cm="1">
        <f t="array" ref="T31">IF($A31="","",_xlfn.TEXTJOIN(", ",TRUE,IF(vendor_coverage_countries!$B$2:$B$296=$A31,vendor_coverage_countries!$C$2:$C$296,"")))</f>
        <v>MA</v>
      </c>
      <c r="U31" t="str">
        <f>IF($A31="","",IFERROR(INDEX(vendor_coverage_airports!$C$2:$C$296,MATCH($A31,vendor_coverage_airports!$B$2:$B$296,0)),""))</f>
        <v>GMMN</v>
      </c>
      <c r="W31">
        <f>IF($A31="","",COUNTIF(vendor_coverage_airports!$B:$B,$A31))</f>
        <v>1</v>
      </c>
      <c r="X31" s="9"/>
      <c r="Y31" s="9"/>
      <c r="Z31" s="4"/>
      <c r="AA31">
        <f>IF($A31="","",COUNTIF(vendor_coverage_airports!$B:$B,$A31))</f>
        <v>1</v>
      </c>
      <c r="AB31">
        <f>IF($A31="","",COUNTIFS(vendor_coverage_countries!$B:$B,$A31,vendor_coverage_countries!$D:$D,"YES"))</f>
        <v>0</v>
      </c>
      <c r="AC31" s="4"/>
      <c r="AD31" s="9"/>
      <c r="AE31" t="str">
        <f t="shared" si="0"/>
        <v>QUESTIONNAIRE OUTSTANDING</v>
      </c>
      <c r="AF31" s="4"/>
    </row>
    <row r="32" spans="1:32" x14ac:dyDescent="0.3">
      <c r="A32" t="s">
        <v>2903</v>
      </c>
      <c r="B32" t="s">
        <v>2904</v>
      </c>
      <c r="F32" t="s">
        <v>2842</v>
      </c>
      <c r="G32" t="s">
        <v>2843</v>
      </c>
      <c r="H32" t="b">
        <v>1</v>
      </c>
      <c r="P32" t="s">
        <v>2844</v>
      </c>
      <c r="Q32" s="21">
        <v>46242</v>
      </c>
      <c r="R32" s="21">
        <v>46242</v>
      </c>
      <c r="S32">
        <f>IF($A32="","",COUNTIF(vendor_coverage_countries!$B:$B,$A32))</f>
        <v>1</v>
      </c>
      <c r="T32" t="str" cm="1">
        <f t="array" ref="T32">IF($A32="","",_xlfn.TEXTJOIN(", ",TRUE,IF(vendor_coverage_countries!$B$2:$B$296=$A32,vendor_coverage_countries!$C$2:$C$296,"")))</f>
        <v>MA</v>
      </c>
      <c r="U32" t="str">
        <f>IF($A32="","",IFERROR(INDEX(vendor_coverage_airports!$C$2:$C$296,MATCH($A32,vendor_coverage_airports!$B$2:$B$296,0)),""))</f>
        <v>GMMN</v>
      </c>
      <c r="W32">
        <f>IF($A32="","",COUNTIF(vendor_coverage_airports!$B:$B,$A32))</f>
        <v>1</v>
      </c>
      <c r="X32" s="9"/>
      <c r="Y32" s="9"/>
      <c r="Z32" s="4"/>
      <c r="AA32">
        <f>IF($A32="","",COUNTIF(vendor_coverage_airports!$B:$B,$A32))</f>
        <v>1</v>
      </c>
      <c r="AB32">
        <f>IF($A32="","",COUNTIFS(vendor_coverage_countries!$B:$B,$A32,vendor_coverage_countries!$D:$D,"YES"))</f>
        <v>0</v>
      </c>
      <c r="AC32" s="4"/>
      <c r="AD32" s="9"/>
      <c r="AE32" t="str">
        <f t="shared" si="0"/>
        <v>QUESTIONNAIRE OUTSTANDING</v>
      </c>
      <c r="AF32" s="4"/>
    </row>
    <row r="33" spans="1:32" x14ac:dyDescent="0.3">
      <c r="A33" t="s">
        <v>2905</v>
      </c>
      <c r="B33" t="s">
        <v>2906</v>
      </c>
      <c r="F33" t="s">
        <v>2842</v>
      </c>
      <c r="G33" t="s">
        <v>2843</v>
      </c>
      <c r="H33" t="b">
        <v>1</v>
      </c>
      <c r="P33" t="s">
        <v>2844</v>
      </c>
      <c r="Q33" s="21">
        <v>46242</v>
      </c>
      <c r="R33" s="21">
        <v>46242</v>
      </c>
      <c r="S33">
        <f>IF($A33="","",COUNTIF(vendor_coverage_countries!$B:$B,$A33))</f>
        <v>2</v>
      </c>
      <c r="T33" t="str" cm="1">
        <f t="array" ref="T33">IF($A33="","",_xlfn.TEXTJOIN(", ",TRUE,IF(vendor_coverage_countries!$B$2:$B$296=$A33,vendor_coverage_countries!$C$2:$C$296,"")))</f>
        <v>MA, TN</v>
      </c>
      <c r="U33" t="str">
        <f>IF($A33="","",IFERROR(INDEX(vendor_coverage_airports!$C$2:$C$296,MATCH($A33,vendor_coverage_airports!$B$2:$B$296,0)),""))</f>
        <v>GMMN</v>
      </c>
      <c r="W33">
        <f>IF($A33="","",COUNTIF(vendor_coverage_airports!$B:$B,$A33))</f>
        <v>2</v>
      </c>
      <c r="X33" s="9"/>
      <c r="Y33" s="9"/>
      <c r="Z33" s="4"/>
      <c r="AA33">
        <f>IF($A33="","",COUNTIF(vendor_coverage_airports!$B:$B,$A33))</f>
        <v>2</v>
      </c>
      <c r="AB33">
        <f>IF($A33="","",COUNTIFS(vendor_coverage_countries!$B:$B,$A33,vendor_coverage_countries!$D:$D,"YES"))</f>
        <v>0</v>
      </c>
      <c r="AC33" s="4"/>
      <c r="AD33" s="9"/>
      <c r="AE33" t="str">
        <f t="shared" si="0"/>
        <v>QUESTIONNAIRE OUTSTANDING</v>
      </c>
      <c r="AF33" s="4"/>
    </row>
    <row r="34" spans="1:32" x14ac:dyDescent="0.3">
      <c r="A34" t="s">
        <v>2907</v>
      </c>
      <c r="B34" t="s">
        <v>2908</v>
      </c>
      <c r="F34" t="s">
        <v>2842</v>
      </c>
      <c r="G34" t="s">
        <v>2843</v>
      </c>
      <c r="H34" t="b">
        <v>1</v>
      </c>
      <c r="P34" t="s">
        <v>2844</v>
      </c>
      <c r="Q34" s="21">
        <v>46242</v>
      </c>
      <c r="R34" s="21">
        <v>46242</v>
      </c>
      <c r="S34">
        <f>IF($A34="","",COUNTIF(vendor_coverage_countries!$B:$B,$A34))</f>
        <v>28</v>
      </c>
      <c r="T34" t="str" cm="1">
        <f t="array" ref="T34">IF($A34="","",_xlfn.TEXTJOIN(", ",TRUE,IF(vendor_coverage_countries!$B$2:$B$296=$A34,vendor_coverage_countries!$C$2:$C$296,"")))</f>
        <v>MA, CV, GH, GA, UG, SN, DZ, CI, RW, MW, ET, CG, MR, TN, CF, SL, GN, NE, LR, CM, TD, GW, GQ, GM, TG, BJ, BI, AE</v>
      </c>
      <c r="U34" t="str">
        <f>IF($A34="","",IFERROR(INDEX(vendor_coverage_airports!$C$2:$C$296,MATCH($A34,vendor_coverage_airports!$B$2:$B$296,0)),""))</f>
        <v>GMMN</v>
      </c>
      <c r="W34">
        <f>IF($A34="","",COUNTIF(vendor_coverage_airports!$B:$B,$A34))</f>
        <v>28</v>
      </c>
      <c r="X34" s="9"/>
      <c r="Y34" s="9"/>
      <c r="Z34" s="4"/>
      <c r="AA34">
        <f>IF($A34="","",COUNTIF(vendor_coverage_airports!$B:$B,$A34))</f>
        <v>28</v>
      </c>
      <c r="AB34">
        <f>IF($A34="","",COUNTIFS(vendor_coverage_countries!$B:$B,$A34,vendor_coverage_countries!$D:$D,"YES"))</f>
        <v>0</v>
      </c>
      <c r="AC34" s="4"/>
      <c r="AD34" s="9"/>
      <c r="AE34" t="str">
        <f t="shared" si="0"/>
        <v>QUESTIONNAIRE OUTSTANDING</v>
      </c>
      <c r="AF34" s="4"/>
    </row>
    <row r="35" spans="1:32" x14ac:dyDescent="0.3">
      <c r="A35" t="s">
        <v>2909</v>
      </c>
      <c r="B35" t="s">
        <v>2910</v>
      </c>
      <c r="F35" t="s">
        <v>2842</v>
      </c>
      <c r="G35" t="s">
        <v>2843</v>
      </c>
      <c r="H35" t="b">
        <v>1</v>
      </c>
      <c r="P35" t="s">
        <v>2844</v>
      </c>
      <c r="Q35" s="21">
        <v>46242</v>
      </c>
      <c r="R35" s="21">
        <v>46242</v>
      </c>
      <c r="S35">
        <f>IF($A35="","",COUNTIF(vendor_coverage_countries!$B:$B,$A35))</f>
        <v>2</v>
      </c>
      <c r="T35" t="str" cm="1">
        <f t="array" ref="T35">IF($A35="","",_xlfn.TEXTJOIN(", ",TRUE,IF(vendor_coverage_countries!$B$2:$B$296=$A35,vendor_coverage_countries!$C$2:$C$296,"")))</f>
        <v>CV, GH</v>
      </c>
      <c r="U35" t="str">
        <f>IF($A35="","",IFERROR(INDEX(vendor_coverage_airports!$C$2:$C$296,MATCH($A35,vendor_coverage_airports!$B$2:$B$296,0)),""))</f>
        <v>GVAC</v>
      </c>
      <c r="W35">
        <f>IF($A35="","",COUNTIF(vendor_coverage_airports!$B:$B,$A35))</f>
        <v>2</v>
      </c>
      <c r="X35" s="9"/>
      <c r="Y35" s="9"/>
      <c r="Z35" s="4"/>
      <c r="AA35">
        <f>IF($A35="","",COUNTIF(vendor_coverage_airports!$B:$B,$A35))</f>
        <v>2</v>
      </c>
      <c r="AB35">
        <f>IF($A35="","",COUNTIFS(vendor_coverage_countries!$B:$B,$A35,vendor_coverage_countries!$D:$D,"YES"))</f>
        <v>0</v>
      </c>
      <c r="AC35" s="4"/>
      <c r="AD35" s="9"/>
      <c r="AE35" t="str">
        <f t="shared" si="0"/>
        <v>QUESTIONNAIRE OUTSTANDING</v>
      </c>
      <c r="AF35" s="4"/>
    </row>
    <row r="36" spans="1:32" x14ac:dyDescent="0.3">
      <c r="A36" t="s">
        <v>2911</v>
      </c>
      <c r="B36" t="s">
        <v>2912</v>
      </c>
      <c r="F36" t="s">
        <v>2842</v>
      </c>
      <c r="G36" t="s">
        <v>2843</v>
      </c>
      <c r="H36" t="b">
        <v>1</v>
      </c>
      <c r="P36" t="s">
        <v>2844</v>
      </c>
      <c r="Q36" s="21">
        <v>46242</v>
      </c>
      <c r="R36" s="21">
        <v>46242</v>
      </c>
      <c r="S36">
        <f>IF($A36="","",COUNTIF(vendor_coverage_countries!$B:$B,$A36))</f>
        <v>1</v>
      </c>
      <c r="T36" t="str" cm="1">
        <f t="array" ref="T36">IF($A36="","",_xlfn.TEXTJOIN(", ",TRUE,IF(vendor_coverage_countries!$B$2:$B$296=$A36,vendor_coverage_countries!$C$2:$C$296,"")))</f>
        <v>CV</v>
      </c>
      <c r="U36" t="str">
        <f>IF($A36="","",IFERROR(INDEX(vendor_coverage_airports!$C$2:$C$296,MATCH($A36,vendor_coverage_airports!$B$2:$B$296,0)),""))</f>
        <v>GVAC</v>
      </c>
      <c r="W36">
        <f>IF($A36="","",COUNTIF(vendor_coverage_airports!$B:$B,$A36))</f>
        <v>1</v>
      </c>
      <c r="X36" s="9"/>
      <c r="Y36" s="9"/>
      <c r="Z36" s="4"/>
      <c r="AA36">
        <f>IF($A36="","",COUNTIF(vendor_coverage_airports!$B:$B,$A36))</f>
        <v>1</v>
      </c>
      <c r="AB36">
        <f>IF($A36="","",COUNTIFS(vendor_coverage_countries!$B:$B,$A36,vendor_coverage_countries!$D:$D,"YES"))</f>
        <v>0</v>
      </c>
      <c r="AC36" s="4"/>
      <c r="AD36" s="9"/>
      <c r="AE36" t="str">
        <f t="shared" si="0"/>
        <v>QUESTIONNAIRE OUTSTANDING</v>
      </c>
      <c r="AF36" s="4"/>
    </row>
    <row r="37" spans="1:32" x14ac:dyDescent="0.3">
      <c r="A37" t="s">
        <v>2913</v>
      </c>
      <c r="B37" t="s">
        <v>2914</v>
      </c>
      <c r="F37" t="s">
        <v>2842</v>
      </c>
      <c r="G37" t="s">
        <v>2843</v>
      </c>
      <c r="H37" t="b">
        <v>1</v>
      </c>
      <c r="P37" t="s">
        <v>2844</v>
      </c>
      <c r="Q37" s="21">
        <v>46242</v>
      </c>
      <c r="R37" s="21">
        <v>46242</v>
      </c>
      <c r="S37">
        <f>IF($A37="","",COUNTIF(vendor_coverage_countries!$B:$B,$A37))</f>
        <v>1</v>
      </c>
      <c r="T37" t="str" cm="1">
        <f t="array" ref="T37">IF($A37="","",_xlfn.TEXTJOIN(", ",TRUE,IF(vendor_coverage_countries!$B$2:$B$296=$A37,vendor_coverage_countries!$C$2:$C$296,"")))</f>
        <v>CV</v>
      </c>
      <c r="U37" t="str">
        <f>IF($A37="","",IFERROR(INDEX(vendor_coverage_airports!$C$2:$C$296,MATCH($A37,vendor_coverage_airports!$B$2:$B$296,0)),""))</f>
        <v>GVAC</v>
      </c>
      <c r="W37">
        <f>IF($A37="","",COUNTIF(vendor_coverage_airports!$B:$B,$A37))</f>
        <v>1</v>
      </c>
      <c r="X37" s="9"/>
      <c r="Y37" s="9"/>
      <c r="Z37" s="4"/>
      <c r="AA37">
        <f>IF($A37="","",COUNTIF(vendor_coverage_airports!$B:$B,$A37))</f>
        <v>1</v>
      </c>
      <c r="AB37">
        <f>IF($A37="","",COUNTIFS(vendor_coverage_countries!$B:$B,$A37,vendor_coverage_countries!$D:$D,"YES"))</f>
        <v>0</v>
      </c>
      <c r="AC37" s="4"/>
      <c r="AD37" s="9"/>
      <c r="AE37" t="str">
        <f t="shared" si="0"/>
        <v>QUESTIONNAIRE OUTSTANDING</v>
      </c>
      <c r="AF37" s="4"/>
    </row>
    <row r="38" spans="1:32" x14ac:dyDescent="0.3">
      <c r="A38" t="s">
        <v>2915</v>
      </c>
      <c r="B38" t="s">
        <v>2916</v>
      </c>
      <c r="F38" t="s">
        <v>2842</v>
      </c>
      <c r="G38" t="s">
        <v>2843</v>
      </c>
      <c r="H38" t="b">
        <v>1</v>
      </c>
      <c r="P38" t="s">
        <v>2844</v>
      </c>
      <c r="Q38" s="21">
        <v>46242</v>
      </c>
      <c r="R38" s="21">
        <v>46242</v>
      </c>
      <c r="S38">
        <f>IF($A38="","",COUNTIF(vendor_coverage_countries!$B:$B,$A38))</f>
        <v>1</v>
      </c>
      <c r="T38" t="str" cm="1">
        <f t="array" ref="T38">IF($A38="","",_xlfn.TEXTJOIN(", ",TRUE,IF(vendor_coverage_countries!$B$2:$B$296=$A38,vendor_coverage_countries!$C$2:$C$296,"")))</f>
        <v>CV</v>
      </c>
      <c r="U38" t="str">
        <f>IF($A38="","",IFERROR(INDEX(vendor_coverage_airports!$C$2:$C$296,MATCH($A38,vendor_coverage_airports!$B$2:$B$296,0)),""))</f>
        <v>GVAC</v>
      </c>
      <c r="W38">
        <f>IF($A38="","",COUNTIF(vendor_coverage_airports!$B:$B,$A38))</f>
        <v>1</v>
      </c>
      <c r="X38" s="9"/>
      <c r="Y38" s="9"/>
      <c r="Z38" s="4"/>
      <c r="AA38">
        <f>IF($A38="","",COUNTIF(vendor_coverage_airports!$B:$B,$A38))</f>
        <v>1</v>
      </c>
      <c r="AB38">
        <f>IF($A38="","",COUNTIFS(vendor_coverage_countries!$B:$B,$A38,vendor_coverage_countries!$D:$D,"YES"))</f>
        <v>0</v>
      </c>
      <c r="AC38" s="4"/>
      <c r="AD38" s="9"/>
      <c r="AE38" t="str">
        <f t="shared" si="0"/>
        <v>QUESTIONNAIRE OUTSTANDING</v>
      </c>
      <c r="AF38" s="4"/>
    </row>
    <row r="39" spans="1:32" x14ac:dyDescent="0.3">
      <c r="A39" t="s">
        <v>2917</v>
      </c>
      <c r="B39" t="s">
        <v>2918</v>
      </c>
      <c r="F39" t="s">
        <v>2842</v>
      </c>
      <c r="G39" t="s">
        <v>2843</v>
      </c>
      <c r="H39" t="b">
        <v>1</v>
      </c>
      <c r="P39" t="s">
        <v>2844</v>
      </c>
      <c r="Q39" s="21">
        <v>46242</v>
      </c>
      <c r="R39" s="21">
        <v>46242</v>
      </c>
      <c r="S39">
        <f>IF($A39="","",COUNTIF(vendor_coverage_countries!$B:$B,$A39))</f>
        <v>1</v>
      </c>
      <c r="T39" t="str" cm="1">
        <f t="array" ref="T39">IF($A39="","",_xlfn.TEXTJOIN(", ",TRUE,IF(vendor_coverage_countries!$B$2:$B$296=$A39,vendor_coverage_countries!$C$2:$C$296,"")))</f>
        <v>MZ</v>
      </c>
      <c r="U39" t="str">
        <f>IF($A39="","",IFERROR(INDEX(vendor_coverage_airports!$C$2:$C$296,MATCH($A39,vendor_coverage_airports!$B$2:$B$296,0)),""))</f>
        <v>FQMA</v>
      </c>
      <c r="W39">
        <f>IF($A39="","",COUNTIF(vendor_coverage_airports!$B:$B,$A39))</f>
        <v>1</v>
      </c>
      <c r="X39" s="9"/>
      <c r="Y39" s="9"/>
      <c r="Z39" s="4"/>
      <c r="AA39">
        <f>IF($A39="","",COUNTIF(vendor_coverage_airports!$B:$B,$A39))</f>
        <v>1</v>
      </c>
      <c r="AB39">
        <f>IF($A39="","",COUNTIFS(vendor_coverage_countries!$B:$B,$A39,vendor_coverage_countries!$D:$D,"YES"))</f>
        <v>0</v>
      </c>
      <c r="AC39" s="4"/>
      <c r="AD39" s="9"/>
      <c r="AE39" t="str">
        <f t="shared" si="0"/>
        <v>QUESTIONNAIRE OUTSTANDING</v>
      </c>
      <c r="AF39" s="4"/>
    </row>
    <row r="40" spans="1:32" x14ac:dyDescent="0.3">
      <c r="A40" t="s">
        <v>2919</v>
      </c>
      <c r="B40" t="s">
        <v>2920</v>
      </c>
      <c r="F40" t="s">
        <v>2842</v>
      </c>
      <c r="G40" t="s">
        <v>2843</v>
      </c>
      <c r="H40" t="b">
        <v>1</v>
      </c>
      <c r="P40" t="s">
        <v>2844</v>
      </c>
      <c r="Q40" s="21">
        <v>46242</v>
      </c>
      <c r="R40" s="21">
        <v>46242</v>
      </c>
      <c r="S40">
        <f>IF($A40="","",COUNTIF(vendor_coverage_countries!$B:$B,$A40))</f>
        <v>27</v>
      </c>
      <c r="T40" t="str" cm="1">
        <f t="array" ref="T40">IF($A40="","",_xlfn.TEXTJOIN(", ",TRUE,IF(vendor_coverage_countries!$B$2:$B$296=$A40,vendor_coverage_countries!$C$2:$C$296,"")))</f>
        <v>MZ, ZM, GH, GA, BW, NA, UG, KE, SN, DZ, RW, ER, KM, SD, MW, ET, SO, CG, CF, ST, GN, CM, GW, SZ, GQ, GM, AE</v>
      </c>
      <c r="U40" t="str">
        <f>IF($A40="","",IFERROR(INDEX(vendor_coverage_airports!$C$2:$C$296,MATCH($A40,vendor_coverage_airports!$B$2:$B$296,0)),""))</f>
        <v>FQMA</v>
      </c>
      <c r="W40">
        <f>IF($A40="","",COUNTIF(vendor_coverage_airports!$B:$B,$A40))</f>
        <v>27</v>
      </c>
      <c r="X40" s="9"/>
      <c r="Y40" s="9"/>
      <c r="Z40" s="4"/>
      <c r="AA40">
        <f>IF($A40="","",COUNTIF(vendor_coverage_airports!$B:$B,$A40))</f>
        <v>27</v>
      </c>
      <c r="AB40">
        <f>IF($A40="","",COUNTIFS(vendor_coverage_countries!$B:$B,$A40,vendor_coverage_countries!$D:$D,"YES"))</f>
        <v>0</v>
      </c>
      <c r="AC40" s="4"/>
      <c r="AD40" s="9"/>
      <c r="AE40" t="str">
        <f t="shared" si="0"/>
        <v>QUESTIONNAIRE OUTSTANDING</v>
      </c>
      <c r="AF40" s="4"/>
    </row>
    <row r="41" spans="1:32" x14ac:dyDescent="0.3">
      <c r="A41" t="s">
        <v>2921</v>
      </c>
      <c r="B41" t="s">
        <v>2922</v>
      </c>
      <c r="F41" t="s">
        <v>2842</v>
      </c>
      <c r="G41" t="s">
        <v>2843</v>
      </c>
      <c r="H41" t="b">
        <v>1</v>
      </c>
      <c r="P41" t="s">
        <v>2844</v>
      </c>
      <c r="Q41" s="21">
        <v>46242</v>
      </c>
      <c r="R41" s="21">
        <v>46242</v>
      </c>
      <c r="S41">
        <f>IF($A41="","",COUNTIF(vendor_coverage_countries!$B:$B,$A41))</f>
        <v>1</v>
      </c>
      <c r="T41" t="str" cm="1">
        <f t="array" ref="T41">IF($A41="","",_xlfn.TEXTJOIN(", ",TRUE,IF(vendor_coverage_countries!$B$2:$B$296=$A41,vendor_coverage_countries!$C$2:$C$296,"")))</f>
        <v>MZ</v>
      </c>
      <c r="U41" t="str">
        <f>IF($A41="","",IFERROR(INDEX(vendor_coverage_airports!$C$2:$C$296,MATCH($A41,vendor_coverage_airports!$B$2:$B$296,0)),""))</f>
        <v>FQMA</v>
      </c>
      <c r="W41">
        <f>IF($A41="","",COUNTIF(vendor_coverage_airports!$B:$B,$A41))</f>
        <v>1</v>
      </c>
      <c r="X41" s="9"/>
      <c r="Y41" s="9"/>
      <c r="Z41" s="4"/>
      <c r="AA41">
        <f>IF($A41="","",COUNTIF(vendor_coverage_airports!$B:$B,$A41))</f>
        <v>1</v>
      </c>
      <c r="AB41">
        <f>IF($A41="","",COUNTIFS(vendor_coverage_countries!$B:$B,$A41,vendor_coverage_countries!$D:$D,"YES"))</f>
        <v>0</v>
      </c>
      <c r="AC41" s="4"/>
      <c r="AD41" s="9"/>
      <c r="AE41" t="str">
        <f t="shared" si="0"/>
        <v>QUESTIONNAIRE OUTSTANDING</v>
      </c>
      <c r="AF41" s="4"/>
    </row>
    <row r="42" spans="1:32" x14ac:dyDescent="0.3">
      <c r="A42" t="s">
        <v>2923</v>
      </c>
      <c r="B42" t="s">
        <v>2924</v>
      </c>
      <c r="F42" t="s">
        <v>2842</v>
      </c>
      <c r="G42" t="s">
        <v>2843</v>
      </c>
      <c r="H42" t="b">
        <v>1</v>
      </c>
      <c r="P42" t="s">
        <v>2844</v>
      </c>
      <c r="Q42" s="21">
        <v>46242</v>
      </c>
      <c r="R42" s="21">
        <v>46242</v>
      </c>
      <c r="S42">
        <f>IF($A42="","",COUNTIF(vendor_coverage_countries!$B:$B,$A42))</f>
        <v>1</v>
      </c>
      <c r="T42" t="str" cm="1">
        <f t="array" ref="T42">IF($A42="","",_xlfn.TEXTJOIN(", ",TRUE,IF(vendor_coverage_countries!$B$2:$B$296=$A42,vendor_coverage_countries!$C$2:$C$296,"")))</f>
        <v>ZW</v>
      </c>
      <c r="U42" t="str">
        <f>IF($A42="","",IFERROR(INDEX(vendor_coverage_airports!$C$2:$C$296,MATCH($A42,vendor_coverage_airports!$B$2:$B$296,0)),""))</f>
        <v>FVRG</v>
      </c>
      <c r="W42">
        <f>IF($A42="","",COUNTIF(vendor_coverage_airports!$B:$B,$A42))</f>
        <v>1</v>
      </c>
      <c r="X42" s="9"/>
      <c r="Y42" s="9"/>
      <c r="Z42" s="4"/>
      <c r="AA42">
        <f>IF($A42="","",COUNTIF(vendor_coverage_airports!$B:$B,$A42))</f>
        <v>1</v>
      </c>
      <c r="AB42">
        <f>IF($A42="","",COUNTIFS(vendor_coverage_countries!$B:$B,$A42,vendor_coverage_countries!$D:$D,"YES"))</f>
        <v>0</v>
      </c>
      <c r="AC42" s="4"/>
      <c r="AD42" s="9"/>
      <c r="AE42" t="str">
        <f t="shared" si="0"/>
        <v>QUESTIONNAIRE OUTSTANDING</v>
      </c>
      <c r="AF42" s="4"/>
    </row>
    <row r="43" spans="1:32" x14ac:dyDescent="0.3">
      <c r="A43" t="s">
        <v>2925</v>
      </c>
      <c r="B43" t="s">
        <v>2926</v>
      </c>
      <c r="F43" t="s">
        <v>2842</v>
      </c>
      <c r="G43" t="s">
        <v>2843</v>
      </c>
      <c r="H43" t="b">
        <v>1</v>
      </c>
      <c r="P43" t="s">
        <v>2844</v>
      </c>
      <c r="Q43" s="21">
        <v>46242</v>
      </c>
      <c r="R43" s="21">
        <v>46242</v>
      </c>
      <c r="S43">
        <f>IF($A43="","",COUNTIF(vendor_coverage_countries!$B:$B,$A43))</f>
        <v>1</v>
      </c>
      <c r="T43" t="str" cm="1">
        <f t="array" ref="T43">IF($A43="","",_xlfn.TEXTJOIN(", ",TRUE,IF(vendor_coverage_countries!$B$2:$B$296=$A43,vendor_coverage_countries!$C$2:$C$296,"")))</f>
        <v>ZW</v>
      </c>
      <c r="U43" t="str">
        <f>IF($A43="","",IFERROR(INDEX(vendor_coverage_airports!$C$2:$C$296,MATCH($A43,vendor_coverage_airports!$B$2:$B$296,0)),""))</f>
        <v>FVRG</v>
      </c>
      <c r="W43">
        <f>IF($A43="","",COUNTIF(vendor_coverage_airports!$B:$B,$A43))</f>
        <v>1</v>
      </c>
      <c r="X43" s="9"/>
      <c r="Y43" s="9"/>
      <c r="Z43" s="4"/>
      <c r="AA43">
        <f>IF($A43="","",COUNTIF(vendor_coverage_airports!$B:$B,$A43))</f>
        <v>1</v>
      </c>
      <c r="AB43">
        <f>IF($A43="","",COUNTIFS(vendor_coverage_countries!$B:$B,$A43,vendor_coverage_countries!$D:$D,"YES"))</f>
        <v>0</v>
      </c>
      <c r="AC43" s="4"/>
      <c r="AD43" s="9"/>
      <c r="AE43" t="str">
        <f t="shared" si="0"/>
        <v>QUESTIONNAIRE OUTSTANDING</v>
      </c>
      <c r="AF43" s="4"/>
    </row>
    <row r="44" spans="1:32" x14ac:dyDescent="0.3">
      <c r="A44" t="s">
        <v>2927</v>
      </c>
      <c r="B44" t="s">
        <v>2928</v>
      </c>
      <c r="F44" t="s">
        <v>2842</v>
      </c>
      <c r="G44" t="s">
        <v>2843</v>
      </c>
      <c r="H44" t="b">
        <v>1</v>
      </c>
      <c r="P44" t="s">
        <v>2844</v>
      </c>
      <c r="Q44" s="21">
        <v>46242</v>
      </c>
      <c r="R44" s="21">
        <v>46242</v>
      </c>
      <c r="S44">
        <f>IF($A44="","",COUNTIF(vendor_coverage_countries!$B:$B,$A44))</f>
        <v>1</v>
      </c>
      <c r="T44" t="str" cm="1">
        <f t="array" ref="T44">IF($A44="","",_xlfn.TEXTJOIN(", ",TRUE,IF(vendor_coverage_countries!$B$2:$B$296=$A44,vendor_coverage_countries!$C$2:$C$296,"")))</f>
        <v>ZW</v>
      </c>
      <c r="U44" t="str">
        <f>IF($A44="","",IFERROR(INDEX(vendor_coverage_airports!$C$2:$C$296,MATCH($A44,vendor_coverage_airports!$B$2:$B$296,0)),""))</f>
        <v>FVRG</v>
      </c>
      <c r="W44">
        <f>IF($A44="","",COUNTIF(vendor_coverage_airports!$B:$B,$A44))</f>
        <v>1</v>
      </c>
      <c r="X44" s="9"/>
      <c r="Y44" s="9"/>
      <c r="Z44" s="4"/>
      <c r="AA44">
        <f>IF($A44="","",COUNTIF(vendor_coverage_airports!$B:$B,$A44))</f>
        <v>1</v>
      </c>
      <c r="AB44">
        <f>IF($A44="","",COUNTIFS(vendor_coverage_countries!$B:$B,$A44,vendor_coverage_countries!$D:$D,"YES"))</f>
        <v>0</v>
      </c>
      <c r="AC44" s="4"/>
      <c r="AD44" s="9"/>
      <c r="AE44" t="str">
        <f t="shared" si="0"/>
        <v>QUESTIONNAIRE OUTSTANDING</v>
      </c>
      <c r="AF44" s="4"/>
    </row>
    <row r="45" spans="1:32" x14ac:dyDescent="0.3">
      <c r="A45" t="s">
        <v>2929</v>
      </c>
      <c r="B45" t="s">
        <v>2930</v>
      </c>
      <c r="F45" t="s">
        <v>2842</v>
      </c>
      <c r="G45" t="s">
        <v>2843</v>
      </c>
      <c r="H45" t="b">
        <v>1</v>
      </c>
      <c r="P45" t="s">
        <v>2844</v>
      </c>
      <c r="Q45" s="21">
        <v>46242</v>
      </c>
      <c r="R45" s="21">
        <v>46242</v>
      </c>
      <c r="S45">
        <f>IF($A45="","",COUNTIF(vendor_coverage_countries!$B:$B,$A45))</f>
        <v>1</v>
      </c>
      <c r="T45" t="str" cm="1">
        <f t="array" ref="T45">IF($A45="","",_xlfn.TEXTJOIN(", ",TRUE,IF(vendor_coverage_countries!$B$2:$B$296=$A45,vendor_coverage_countries!$C$2:$C$296,"")))</f>
        <v>ZM</v>
      </c>
      <c r="U45" t="str">
        <f>IF($A45="","",IFERROR(INDEX(vendor_coverage_airports!$C$2:$C$296,MATCH($A45,vendor_coverage_airports!$B$2:$B$296,0)),""))</f>
        <v>FLKK</v>
      </c>
      <c r="W45">
        <f>IF($A45="","",COUNTIF(vendor_coverage_airports!$B:$B,$A45))</f>
        <v>1</v>
      </c>
      <c r="X45" s="9"/>
      <c r="Y45" s="9"/>
      <c r="Z45" s="4"/>
      <c r="AA45">
        <f>IF($A45="","",COUNTIF(vendor_coverage_airports!$B:$B,$A45))</f>
        <v>1</v>
      </c>
      <c r="AB45">
        <f>IF($A45="","",COUNTIFS(vendor_coverage_countries!$B:$B,$A45,vendor_coverage_countries!$D:$D,"YES"))</f>
        <v>0</v>
      </c>
      <c r="AC45" s="4"/>
      <c r="AD45" s="9"/>
      <c r="AE45" t="str">
        <f t="shared" si="0"/>
        <v>QUESTIONNAIRE OUTSTANDING</v>
      </c>
      <c r="AF45" s="4"/>
    </row>
    <row r="46" spans="1:32" x14ac:dyDescent="0.3">
      <c r="A46" t="s">
        <v>2931</v>
      </c>
      <c r="B46" t="s">
        <v>2932</v>
      </c>
      <c r="F46" t="s">
        <v>2842</v>
      </c>
      <c r="G46" t="s">
        <v>2843</v>
      </c>
      <c r="H46" t="b">
        <v>1</v>
      </c>
      <c r="P46" t="s">
        <v>2844</v>
      </c>
      <c r="Q46" s="21">
        <v>46242</v>
      </c>
      <c r="R46" s="21">
        <v>46242</v>
      </c>
      <c r="S46">
        <f>IF($A46="","",COUNTIF(vendor_coverage_countries!$B:$B,$A46))</f>
        <v>1</v>
      </c>
      <c r="T46" t="str" cm="1">
        <f t="array" ref="T46">IF($A46="","",_xlfn.TEXTJOIN(", ",TRUE,IF(vendor_coverage_countries!$B$2:$B$296=$A46,vendor_coverage_countries!$C$2:$C$296,"")))</f>
        <v>ZM</v>
      </c>
      <c r="U46" t="str">
        <f>IF($A46="","",IFERROR(INDEX(vendor_coverage_airports!$C$2:$C$296,MATCH($A46,vendor_coverage_airports!$B$2:$B$296,0)),""))</f>
        <v>FLKK</v>
      </c>
      <c r="W46">
        <f>IF($A46="","",COUNTIF(vendor_coverage_airports!$B:$B,$A46))</f>
        <v>1</v>
      </c>
      <c r="X46" s="9"/>
      <c r="Y46" s="9"/>
      <c r="Z46" s="4"/>
      <c r="AA46">
        <f>IF($A46="","",COUNTIF(vendor_coverage_airports!$B:$B,$A46))</f>
        <v>1</v>
      </c>
      <c r="AB46">
        <f>IF($A46="","",COUNTIFS(vendor_coverage_countries!$B:$B,$A46,vendor_coverage_countries!$D:$D,"YES"))</f>
        <v>0</v>
      </c>
      <c r="AC46" s="4"/>
      <c r="AD46" s="9"/>
      <c r="AE46" t="str">
        <f t="shared" si="0"/>
        <v>QUESTIONNAIRE OUTSTANDING</v>
      </c>
      <c r="AF46" s="4"/>
    </row>
    <row r="47" spans="1:32" x14ac:dyDescent="0.3">
      <c r="A47" t="s">
        <v>2933</v>
      </c>
      <c r="B47" t="s">
        <v>2934</v>
      </c>
      <c r="F47" t="s">
        <v>2842</v>
      </c>
      <c r="G47" t="s">
        <v>2843</v>
      </c>
      <c r="H47" t="b">
        <v>1</v>
      </c>
      <c r="P47" t="s">
        <v>2844</v>
      </c>
      <c r="Q47" s="21">
        <v>46242</v>
      </c>
      <c r="R47" s="21">
        <v>46242</v>
      </c>
      <c r="S47">
        <f>IF($A47="","",COUNTIF(vendor_coverage_countries!$B:$B,$A47))</f>
        <v>3</v>
      </c>
      <c r="T47" t="str" cm="1">
        <f t="array" ref="T47">IF($A47="","",_xlfn.TEXTJOIN(", ",TRUE,IF(vendor_coverage_countries!$B$2:$B$296=$A47,vendor_coverage_countries!$C$2:$C$296,"")))</f>
        <v>AO, GH, NA</v>
      </c>
      <c r="U47" t="str">
        <f>IF($A47="","",IFERROR(INDEX(vendor_coverage_airports!$C$2:$C$296,MATCH($A47,vendor_coverage_airports!$B$2:$B$296,0)),""))</f>
        <v>FNBJ</v>
      </c>
      <c r="W47">
        <f>IF($A47="","",COUNTIF(vendor_coverage_airports!$B:$B,$A47))</f>
        <v>3</v>
      </c>
      <c r="X47" s="9"/>
      <c r="Y47" s="9"/>
      <c r="Z47" s="4"/>
      <c r="AA47">
        <f>IF($A47="","",COUNTIF(vendor_coverage_airports!$B:$B,$A47))</f>
        <v>3</v>
      </c>
      <c r="AB47">
        <f>IF($A47="","",COUNTIFS(vendor_coverage_countries!$B:$B,$A47,vendor_coverage_countries!$D:$D,"YES"))</f>
        <v>0</v>
      </c>
      <c r="AC47" s="4"/>
      <c r="AD47" s="9"/>
      <c r="AE47" t="str">
        <f t="shared" si="0"/>
        <v>QUESTIONNAIRE OUTSTANDING</v>
      </c>
      <c r="AF47" s="4"/>
    </row>
    <row r="48" spans="1:32" x14ac:dyDescent="0.3">
      <c r="A48" t="s">
        <v>2935</v>
      </c>
      <c r="B48" t="s">
        <v>2936</v>
      </c>
      <c r="F48" t="s">
        <v>2842</v>
      </c>
      <c r="G48" t="s">
        <v>2843</v>
      </c>
      <c r="H48" t="b">
        <v>1</v>
      </c>
      <c r="P48" t="s">
        <v>2844</v>
      </c>
      <c r="Q48" s="21">
        <v>46242</v>
      </c>
      <c r="R48" s="21">
        <v>46242</v>
      </c>
      <c r="S48">
        <f>IF($A48="","",COUNTIF(vendor_coverage_countries!$B:$B,$A48))</f>
        <v>1</v>
      </c>
      <c r="T48" t="str" cm="1">
        <f t="array" ref="T48">IF($A48="","",_xlfn.TEXTJOIN(", ",TRUE,IF(vendor_coverage_countries!$B$2:$B$296=$A48,vendor_coverage_countries!$C$2:$C$296,"")))</f>
        <v>AO</v>
      </c>
      <c r="U48" t="str">
        <f>IF($A48="","",IFERROR(INDEX(vendor_coverage_airports!$C$2:$C$296,MATCH($A48,vendor_coverage_airports!$B$2:$B$296,0)),""))</f>
        <v>FNBJ</v>
      </c>
      <c r="W48">
        <f>IF($A48="","",COUNTIF(vendor_coverage_airports!$B:$B,$A48))</f>
        <v>1</v>
      </c>
      <c r="X48" s="9"/>
      <c r="Y48" s="9"/>
      <c r="Z48" s="4"/>
      <c r="AA48">
        <f>IF($A48="","",COUNTIF(vendor_coverage_airports!$B:$B,$A48))</f>
        <v>1</v>
      </c>
      <c r="AB48">
        <f>IF($A48="","",COUNTIFS(vendor_coverage_countries!$B:$B,$A48,vendor_coverage_countries!$D:$D,"YES"))</f>
        <v>0</v>
      </c>
      <c r="AC48" s="4"/>
      <c r="AD48" s="9"/>
      <c r="AE48" t="str">
        <f t="shared" si="0"/>
        <v>QUESTIONNAIRE OUTSTANDING</v>
      </c>
      <c r="AF48" s="4"/>
    </row>
    <row r="49" spans="1:32" x14ac:dyDescent="0.3">
      <c r="A49" t="s">
        <v>2937</v>
      </c>
      <c r="B49" t="s">
        <v>2938</v>
      </c>
      <c r="F49" t="s">
        <v>2842</v>
      </c>
      <c r="G49" t="s">
        <v>2843</v>
      </c>
      <c r="H49" t="b">
        <v>1</v>
      </c>
      <c r="P49" t="s">
        <v>2844</v>
      </c>
      <c r="Q49" s="21">
        <v>46242</v>
      </c>
      <c r="R49" s="21">
        <v>46242</v>
      </c>
      <c r="S49">
        <f>IF($A49="","",COUNTIF(vendor_coverage_countries!$B:$B,$A49))</f>
        <v>1</v>
      </c>
      <c r="T49" t="str" cm="1">
        <f t="array" ref="T49">IF($A49="","",_xlfn.TEXTJOIN(", ",TRUE,IF(vendor_coverage_countries!$B$2:$B$296=$A49,vendor_coverage_countries!$C$2:$C$296,"")))</f>
        <v>AO</v>
      </c>
      <c r="U49" t="str">
        <f>IF($A49="","",IFERROR(INDEX(vendor_coverage_airports!$C$2:$C$296,MATCH($A49,vendor_coverage_airports!$B$2:$B$296,0)),""))</f>
        <v>FNBJ</v>
      </c>
      <c r="W49">
        <f>IF($A49="","",COUNTIF(vendor_coverage_airports!$B:$B,$A49))</f>
        <v>1</v>
      </c>
      <c r="X49" s="9"/>
      <c r="Y49" s="9"/>
      <c r="Z49" s="4"/>
      <c r="AA49">
        <f>IF($A49="","",COUNTIF(vendor_coverage_airports!$B:$B,$A49))</f>
        <v>1</v>
      </c>
      <c r="AB49">
        <f>IF($A49="","",COUNTIFS(vendor_coverage_countries!$B:$B,$A49,vendor_coverage_countries!$D:$D,"YES"))</f>
        <v>0</v>
      </c>
      <c r="AC49" s="4"/>
      <c r="AD49" s="9"/>
      <c r="AE49" t="str">
        <f t="shared" si="0"/>
        <v>QUESTIONNAIRE OUTSTANDING</v>
      </c>
      <c r="AF49" s="4"/>
    </row>
    <row r="50" spans="1:32" x14ac:dyDescent="0.3">
      <c r="A50" t="s">
        <v>2939</v>
      </c>
      <c r="B50" t="s">
        <v>2940</v>
      </c>
      <c r="F50" t="s">
        <v>2842</v>
      </c>
      <c r="G50" t="s">
        <v>2843</v>
      </c>
      <c r="H50" t="b">
        <v>1</v>
      </c>
      <c r="P50" t="s">
        <v>2844</v>
      </c>
      <c r="Q50" s="21">
        <v>46242</v>
      </c>
      <c r="R50" s="21">
        <v>46242</v>
      </c>
      <c r="S50">
        <f>IF($A50="","",COUNTIF(vendor_coverage_countries!$B:$B,$A50))</f>
        <v>2</v>
      </c>
      <c r="T50" t="str" cm="1">
        <f t="array" ref="T50">IF($A50="","",_xlfn.TEXTJOIN(", ",TRUE,IF(vendor_coverage_countries!$B$2:$B$296=$A50,vendor_coverage_countries!$C$2:$C$296,"")))</f>
        <v>AO, NA</v>
      </c>
      <c r="U50" t="str">
        <f>IF($A50="","",IFERROR(INDEX(vendor_coverage_airports!$C$2:$C$296,MATCH($A50,vendor_coverage_airports!$B$2:$B$296,0)),""))</f>
        <v>FNBJ</v>
      </c>
      <c r="W50">
        <f>IF($A50="","",COUNTIF(vendor_coverage_airports!$B:$B,$A50))</f>
        <v>2</v>
      </c>
      <c r="X50" s="9"/>
      <c r="Y50" s="9"/>
      <c r="Z50" s="4"/>
      <c r="AA50">
        <f>IF($A50="","",COUNTIF(vendor_coverage_airports!$B:$B,$A50))</f>
        <v>2</v>
      </c>
      <c r="AB50">
        <f>IF($A50="","",COUNTIFS(vendor_coverage_countries!$B:$B,$A50,vendor_coverage_countries!$D:$D,"YES"))</f>
        <v>0</v>
      </c>
      <c r="AC50" s="4"/>
      <c r="AD50" s="9"/>
      <c r="AE50" t="str">
        <f t="shared" si="0"/>
        <v>QUESTIONNAIRE OUTSTANDING</v>
      </c>
      <c r="AF50" s="4"/>
    </row>
    <row r="51" spans="1:32" x14ac:dyDescent="0.3">
      <c r="A51" t="s">
        <v>2941</v>
      </c>
      <c r="B51" t="s">
        <v>2942</v>
      </c>
      <c r="F51" t="s">
        <v>2842</v>
      </c>
      <c r="G51" t="s">
        <v>2843</v>
      </c>
      <c r="H51" t="b">
        <v>1</v>
      </c>
      <c r="P51" t="s">
        <v>2844</v>
      </c>
      <c r="Q51" s="21">
        <v>46242</v>
      </c>
      <c r="R51" s="21">
        <v>46242</v>
      </c>
      <c r="S51">
        <f>IF($A51="","",COUNTIF(vendor_coverage_countries!$B:$B,$A51))</f>
        <v>1</v>
      </c>
      <c r="T51" t="str" cm="1">
        <f t="array" ref="T51">IF($A51="","",_xlfn.TEXTJOIN(", ",TRUE,IF(vendor_coverage_countries!$B$2:$B$296=$A51,vendor_coverage_countries!$C$2:$C$296,"")))</f>
        <v>AO</v>
      </c>
      <c r="U51" t="str">
        <f>IF($A51="","",IFERROR(INDEX(vendor_coverage_airports!$C$2:$C$296,MATCH($A51,vendor_coverage_airports!$B$2:$B$296,0)),""))</f>
        <v>FNBJ</v>
      </c>
      <c r="W51">
        <f>IF($A51="","",COUNTIF(vendor_coverage_airports!$B:$B,$A51))</f>
        <v>1</v>
      </c>
      <c r="X51" s="9"/>
      <c r="Y51" s="9"/>
      <c r="Z51" s="4"/>
      <c r="AA51">
        <f>IF($A51="","",COUNTIF(vendor_coverage_airports!$B:$B,$A51))</f>
        <v>1</v>
      </c>
      <c r="AB51">
        <f>IF($A51="","",COUNTIFS(vendor_coverage_countries!$B:$B,$A51,vendor_coverage_countries!$D:$D,"YES"))</f>
        <v>0</v>
      </c>
      <c r="AC51" s="4"/>
      <c r="AD51" s="9"/>
      <c r="AE51" t="str">
        <f t="shared" si="0"/>
        <v>QUESTIONNAIRE OUTSTANDING</v>
      </c>
      <c r="AF51" s="4"/>
    </row>
    <row r="52" spans="1:32" x14ac:dyDescent="0.3">
      <c r="A52" t="s">
        <v>2943</v>
      </c>
      <c r="B52" t="s">
        <v>2944</v>
      </c>
      <c r="F52" t="s">
        <v>2842</v>
      </c>
      <c r="G52" t="s">
        <v>2843</v>
      </c>
      <c r="H52" t="b">
        <v>1</v>
      </c>
      <c r="P52" t="s">
        <v>2844</v>
      </c>
      <c r="Q52" s="21">
        <v>46242</v>
      </c>
      <c r="R52" s="21">
        <v>46242</v>
      </c>
      <c r="S52">
        <f>IF($A52="","",COUNTIF(vendor_coverage_countries!$B:$B,$A52))</f>
        <v>2</v>
      </c>
      <c r="T52" t="str" cm="1">
        <f t="array" ref="T52">IF($A52="","",_xlfn.TEXTJOIN(", ",TRUE,IF(vendor_coverage_countries!$B$2:$B$296=$A52,vendor_coverage_countries!$C$2:$C$296,"")))</f>
        <v>GH, DZ</v>
      </c>
      <c r="U52" t="str">
        <f>IF($A52="","",IFERROR(INDEX(vendor_coverage_airports!$C$2:$C$296,MATCH($A52,vendor_coverage_airports!$B$2:$B$296,0)),""))</f>
        <v>DGAA</v>
      </c>
      <c r="W52">
        <f>IF($A52="","",COUNTIF(vendor_coverage_airports!$B:$B,$A52))</f>
        <v>2</v>
      </c>
      <c r="X52" s="9"/>
      <c r="Y52" s="9"/>
      <c r="Z52" s="4"/>
      <c r="AA52">
        <f>IF($A52="","",COUNTIF(vendor_coverage_airports!$B:$B,$A52))</f>
        <v>2</v>
      </c>
      <c r="AB52">
        <f>IF($A52="","",COUNTIFS(vendor_coverage_countries!$B:$B,$A52,vendor_coverage_countries!$D:$D,"YES"))</f>
        <v>0</v>
      </c>
      <c r="AC52" s="4"/>
      <c r="AD52" s="9"/>
      <c r="AE52" t="str">
        <f t="shared" si="0"/>
        <v>QUESTIONNAIRE OUTSTANDING</v>
      </c>
      <c r="AF52" s="4"/>
    </row>
    <row r="53" spans="1:32" x14ac:dyDescent="0.3">
      <c r="A53" t="s">
        <v>2945</v>
      </c>
      <c r="B53" t="s">
        <v>2946</v>
      </c>
      <c r="F53" t="s">
        <v>2842</v>
      </c>
      <c r="G53" t="s">
        <v>2843</v>
      </c>
      <c r="H53" t="b">
        <v>1</v>
      </c>
      <c r="P53" t="s">
        <v>2844</v>
      </c>
      <c r="Q53" s="21">
        <v>46242</v>
      </c>
      <c r="R53" s="21">
        <v>46242</v>
      </c>
      <c r="S53">
        <f>IF($A53="","",COUNTIF(vendor_coverage_countries!$B:$B,$A53))</f>
        <v>1</v>
      </c>
      <c r="T53" t="str" cm="1">
        <f t="array" ref="T53">IF($A53="","",_xlfn.TEXTJOIN(", ",TRUE,IF(vendor_coverage_countries!$B$2:$B$296=$A53,vendor_coverage_countries!$C$2:$C$296,"")))</f>
        <v>GH</v>
      </c>
      <c r="U53" t="str">
        <f>IF($A53="","",IFERROR(INDEX(vendor_coverage_airports!$C$2:$C$296,MATCH($A53,vendor_coverage_airports!$B$2:$B$296,0)),""))</f>
        <v>DGAA</v>
      </c>
      <c r="W53">
        <f>IF($A53="","",COUNTIF(vendor_coverage_airports!$B:$B,$A53))</f>
        <v>1</v>
      </c>
      <c r="X53" s="9"/>
      <c r="Y53" s="9"/>
      <c r="Z53" s="4"/>
      <c r="AA53">
        <f>IF($A53="","",COUNTIF(vendor_coverage_airports!$B:$B,$A53))</f>
        <v>1</v>
      </c>
      <c r="AB53">
        <f>IF($A53="","",COUNTIFS(vendor_coverage_countries!$B:$B,$A53,vendor_coverage_countries!$D:$D,"YES"))</f>
        <v>0</v>
      </c>
      <c r="AC53" s="4"/>
      <c r="AD53" s="9"/>
      <c r="AE53" t="str">
        <f t="shared" si="0"/>
        <v>QUESTIONNAIRE OUTSTANDING</v>
      </c>
      <c r="AF53" s="4"/>
    </row>
    <row r="54" spans="1:32" x14ac:dyDescent="0.3">
      <c r="A54" t="s">
        <v>2947</v>
      </c>
      <c r="B54" t="s">
        <v>2948</v>
      </c>
      <c r="F54" t="s">
        <v>2842</v>
      </c>
      <c r="G54" t="s">
        <v>2843</v>
      </c>
      <c r="H54" t="b">
        <v>1</v>
      </c>
      <c r="P54" t="s">
        <v>2844</v>
      </c>
      <c r="Q54" s="21">
        <v>46242</v>
      </c>
      <c r="R54" s="21">
        <v>46242</v>
      </c>
      <c r="S54">
        <f>IF($A54="","",COUNTIF(vendor_coverage_countries!$B:$B,$A54))</f>
        <v>1</v>
      </c>
      <c r="T54" t="str" cm="1">
        <f t="array" ref="T54">IF($A54="","",_xlfn.TEXTJOIN(", ",TRUE,IF(vendor_coverage_countries!$B$2:$B$296=$A54,vendor_coverage_countries!$C$2:$C$296,"")))</f>
        <v>GH</v>
      </c>
      <c r="U54" t="str">
        <f>IF($A54="","",IFERROR(INDEX(vendor_coverage_airports!$C$2:$C$296,MATCH($A54,vendor_coverage_airports!$B$2:$B$296,0)),""))</f>
        <v>DGAA</v>
      </c>
      <c r="W54">
        <f>IF($A54="","",COUNTIF(vendor_coverage_airports!$B:$B,$A54))</f>
        <v>1</v>
      </c>
      <c r="X54" s="9"/>
      <c r="Y54" s="9"/>
      <c r="Z54" s="4"/>
      <c r="AA54">
        <f>IF($A54="","",COUNTIF(vendor_coverage_airports!$B:$B,$A54))</f>
        <v>1</v>
      </c>
      <c r="AB54">
        <f>IF($A54="","",COUNTIFS(vendor_coverage_countries!$B:$B,$A54,vendor_coverage_countries!$D:$D,"YES"))</f>
        <v>0</v>
      </c>
      <c r="AC54" s="4"/>
      <c r="AD54" s="9"/>
      <c r="AE54" t="str">
        <f t="shared" si="0"/>
        <v>QUESTIONNAIRE OUTSTANDING</v>
      </c>
      <c r="AF54" s="4"/>
    </row>
    <row r="55" spans="1:32" x14ac:dyDescent="0.3">
      <c r="A55" t="s">
        <v>2949</v>
      </c>
      <c r="B55" t="s">
        <v>2950</v>
      </c>
      <c r="F55" t="s">
        <v>2842</v>
      </c>
      <c r="G55" t="s">
        <v>2843</v>
      </c>
      <c r="H55" t="b">
        <v>1</v>
      </c>
      <c r="P55" t="s">
        <v>2844</v>
      </c>
      <c r="Q55" s="21">
        <v>46242</v>
      </c>
      <c r="R55" s="21">
        <v>46242</v>
      </c>
      <c r="S55">
        <f>IF($A55="","",COUNTIF(vendor_coverage_countries!$B:$B,$A55))</f>
        <v>1</v>
      </c>
      <c r="T55" t="str" cm="1">
        <f t="array" ref="T55">IF($A55="","",_xlfn.TEXTJOIN(", ",TRUE,IF(vendor_coverage_countries!$B$2:$B$296=$A55,vendor_coverage_countries!$C$2:$C$296,"")))</f>
        <v>GH</v>
      </c>
      <c r="U55" t="str">
        <f>IF($A55="","",IFERROR(INDEX(vendor_coverage_airports!$C$2:$C$296,MATCH($A55,vendor_coverage_airports!$B$2:$B$296,0)),""))</f>
        <v>DGAA</v>
      </c>
      <c r="W55">
        <f>IF($A55="","",COUNTIF(vendor_coverage_airports!$B:$B,$A55))</f>
        <v>1</v>
      </c>
      <c r="X55" s="9"/>
      <c r="Y55" s="9"/>
      <c r="Z55" s="4"/>
      <c r="AA55">
        <f>IF($A55="","",COUNTIF(vendor_coverage_airports!$B:$B,$A55))</f>
        <v>1</v>
      </c>
      <c r="AB55">
        <f>IF($A55="","",COUNTIFS(vendor_coverage_countries!$B:$B,$A55,vendor_coverage_countries!$D:$D,"YES"))</f>
        <v>0</v>
      </c>
      <c r="AC55" s="4"/>
      <c r="AD55" s="9"/>
      <c r="AE55" t="str">
        <f t="shared" si="0"/>
        <v>QUESTIONNAIRE OUTSTANDING</v>
      </c>
      <c r="AF55" s="4"/>
    </row>
    <row r="56" spans="1:32" x14ac:dyDescent="0.3">
      <c r="A56" t="s">
        <v>2951</v>
      </c>
      <c r="B56" t="s">
        <v>2952</v>
      </c>
      <c r="F56" t="s">
        <v>2842</v>
      </c>
      <c r="G56" t="s">
        <v>2843</v>
      </c>
      <c r="H56" t="b">
        <v>1</v>
      </c>
      <c r="P56" t="s">
        <v>2844</v>
      </c>
      <c r="Q56" s="21">
        <v>46242</v>
      </c>
      <c r="R56" s="21">
        <v>46242</v>
      </c>
      <c r="S56">
        <f>IF($A56="","",COUNTIF(vendor_coverage_countries!$B:$B,$A56))</f>
        <v>2</v>
      </c>
      <c r="T56" t="str" cm="1">
        <f t="array" ref="T56">IF($A56="","",_xlfn.TEXTJOIN(", ",TRUE,IF(vendor_coverage_countries!$B$2:$B$296=$A56,vendor_coverage_countries!$C$2:$C$296,"")))</f>
        <v>GH, NG</v>
      </c>
      <c r="U56" t="str">
        <f>IF($A56="","",IFERROR(INDEX(vendor_coverage_airports!$C$2:$C$296,MATCH($A56,vendor_coverage_airports!$B$2:$B$296,0)),""))</f>
        <v>DGAA</v>
      </c>
      <c r="W56">
        <f>IF($A56="","",COUNTIF(vendor_coverage_airports!$B:$B,$A56))</f>
        <v>2</v>
      </c>
      <c r="X56" s="9"/>
      <c r="Y56" s="9"/>
      <c r="Z56" s="4"/>
      <c r="AA56">
        <f>IF($A56="","",COUNTIF(vendor_coverage_airports!$B:$B,$A56))</f>
        <v>2</v>
      </c>
      <c r="AB56">
        <f>IF($A56="","",COUNTIFS(vendor_coverage_countries!$B:$B,$A56,vendor_coverage_countries!$D:$D,"YES"))</f>
        <v>0</v>
      </c>
      <c r="AC56" s="4"/>
      <c r="AD56" s="9"/>
      <c r="AE56" t="str">
        <f t="shared" si="0"/>
        <v>QUESTIONNAIRE OUTSTANDING</v>
      </c>
      <c r="AF56" s="4"/>
    </row>
    <row r="57" spans="1:32" x14ac:dyDescent="0.3">
      <c r="A57" t="s">
        <v>2953</v>
      </c>
      <c r="B57" t="s">
        <v>2954</v>
      </c>
      <c r="F57" t="s">
        <v>2842</v>
      </c>
      <c r="G57" t="s">
        <v>2843</v>
      </c>
      <c r="H57" t="b">
        <v>1</v>
      </c>
      <c r="P57" t="s">
        <v>2844</v>
      </c>
      <c r="Q57" s="21">
        <v>46242</v>
      </c>
      <c r="R57" s="21">
        <v>46242</v>
      </c>
      <c r="S57">
        <f>IF($A57="","",COUNTIF(vendor_coverage_countries!$B:$B,$A57))</f>
        <v>1</v>
      </c>
      <c r="T57" t="str" cm="1">
        <f t="array" ref="T57">IF($A57="","",_xlfn.TEXTJOIN(", ",TRUE,IF(vendor_coverage_countries!$B$2:$B$296=$A57,vendor_coverage_countries!$C$2:$C$296,"")))</f>
        <v>GH</v>
      </c>
      <c r="U57" t="str">
        <f>IF($A57="","",IFERROR(INDEX(vendor_coverage_airports!$C$2:$C$296,MATCH($A57,vendor_coverage_airports!$B$2:$B$296,0)),""))</f>
        <v>DGAA</v>
      </c>
      <c r="W57">
        <f>IF($A57="","",COUNTIF(vendor_coverage_airports!$B:$B,$A57))</f>
        <v>1</v>
      </c>
      <c r="X57" s="9"/>
      <c r="Y57" s="9"/>
      <c r="Z57" s="4"/>
      <c r="AA57">
        <f>IF($A57="","",COUNTIF(vendor_coverage_airports!$B:$B,$A57))</f>
        <v>1</v>
      </c>
      <c r="AB57">
        <f>IF($A57="","",COUNTIFS(vendor_coverage_countries!$B:$B,$A57,vendor_coverage_countries!$D:$D,"YES"))</f>
        <v>0</v>
      </c>
      <c r="AC57" s="4"/>
      <c r="AD57" s="9"/>
      <c r="AE57" t="str">
        <f t="shared" si="0"/>
        <v>QUESTIONNAIRE OUTSTANDING</v>
      </c>
      <c r="AF57" s="4"/>
    </row>
    <row r="58" spans="1:32" x14ac:dyDescent="0.3">
      <c r="A58" t="s">
        <v>2955</v>
      </c>
      <c r="B58" t="s">
        <v>2956</v>
      </c>
      <c r="F58" t="s">
        <v>2842</v>
      </c>
      <c r="G58" t="s">
        <v>2843</v>
      </c>
      <c r="H58" t="b">
        <v>1</v>
      </c>
      <c r="P58" t="s">
        <v>2844</v>
      </c>
      <c r="Q58" s="21">
        <v>46242</v>
      </c>
      <c r="R58" s="21">
        <v>46242</v>
      </c>
      <c r="S58">
        <f>IF($A58="","",COUNTIF(vendor_coverage_countries!$B:$B,$A58))</f>
        <v>1</v>
      </c>
      <c r="T58" t="str" cm="1">
        <f t="array" ref="T58">IF($A58="","",_xlfn.TEXTJOIN(", ",TRUE,IF(vendor_coverage_countries!$B$2:$B$296=$A58,vendor_coverage_countries!$C$2:$C$296,"")))</f>
        <v>GH</v>
      </c>
      <c r="U58" t="str">
        <f>IF($A58="","",IFERROR(INDEX(vendor_coverage_airports!$C$2:$C$296,MATCH($A58,vendor_coverage_airports!$B$2:$B$296,0)),""))</f>
        <v>DGAA</v>
      </c>
      <c r="W58">
        <f>IF($A58="","",COUNTIF(vendor_coverage_airports!$B:$B,$A58))</f>
        <v>1</v>
      </c>
      <c r="X58" s="9"/>
      <c r="Y58" s="9"/>
      <c r="Z58" s="4"/>
      <c r="AA58">
        <f>IF($A58="","",COUNTIF(vendor_coverage_airports!$B:$B,$A58))</f>
        <v>1</v>
      </c>
      <c r="AB58">
        <f>IF($A58="","",COUNTIFS(vendor_coverage_countries!$B:$B,$A58,vendor_coverage_countries!$D:$D,"YES"))</f>
        <v>0</v>
      </c>
      <c r="AC58" s="4"/>
      <c r="AD58" s="9"/>
      <c r="AE58" t="str">
        <f t="shared" si="0"/>
        <v>QUESTIONNAIRE OUTSTANDING</v>
      </c>
      <c r="AF58" s="4"/>
    </row>
    <row r="59" spans="1:32" x14ac:dyDescent="0.3">
      <c r="A59" t="s">
        <v>2957</v>
      </c>
      <c r="B59" t="s">
        <v>2958</v>
      </c>
      <c r="F59" t="s">
        <v>2842</v>
      </c>
      <c r="G59" t="s">
        <v>2843</v>
      </c>
      <c r="H59" t="b">
        <v>1</v>
      </c>
      <c r="P59" t="s">
        <v>2844</v>
      </c>
      <c r="Q59" s="21">
        <v>46242</v>
      </c>
      <c r="R59" s="21">
        <v>46242</v>
      </c>
      <c r="S59">
        <f>IF($A59="","",COUNTIF(vendor_coverage_countries!$B:$B,$A59))</f>
        <v>2</v>
      </c>
      <c r="T59" t="str" cm="1">
        <f t="array" ref="T59">IF($A59="","",_xlfn.TEXTJOIN(", ",TRUE,IF(vendor_coverage_countries!$B$2:$B$296=$A59,vendor_coverage_countries!$C$2:$C$296,"")))</f>
        <v>GA, MR</v>
      </c>
      <c r="U59" t="str">
        <f>IF($A59="","",IFERROR(INDEX(vendor_coverage_airports!$C$2:$C$296,MATCH($A59,vendor_coverage_airports!$B$2:$B$296,0)),""))</f>
        <v>FOOL</v>
      </c>
      <c r="W59">
        <f>IF($A59="","",COUNTIF(vendor_coverage_airports!$B:$B,$A59))</f>
        <v>2</v>
      </c>
      <c r="X59" s="9"/>
      <c r="Y59" s="9"/>
      <c r="Z59" s="4"/>
      <c r="AA59">
        <f>IF($A59="","",COUNTIF(vendor_coverage_airports!$B:$B,$A59))</f>
        <v>2</v>
      </c>
      <c r="AB59">
        <f>IF($A59="","",COUNTIFS(vendor_coverage_countries!$B:$B,$A59,vendor_coverage_countries!$D:$D,"YES"))</f>
        <v>0</v>
      </c>
      <c r="AC59" s="4"/>
      <c r="AD59" s="9"/>
      <c r="AE59" t="str">
        <f t="shared" si="0"/>
        <v>QUESTIONNAIRE OUTSTANDING</v>
      </c>
      <c r="AF59" s="4"/>
    </row>
    <row r="60" spans="1:32" x14ac:dyDescent="0.3">
      <c r="A60" t="s">
        <v>2959</v>
      </c>
      <c r="B60" t="s">
        <v>2960</v>
      </c>
      <c r="F60" t="s">
        <v>2842</v>
      </c>
      <c r="G60" t="s">
        <v>2843</v>
      </c>
      <c r="H60" t="b">
        <v>1</v>
      </c>
      <c r="P60" t="s">
        <v>2844</v>
      </c>
      <c r="Q60" s="21">
        <v>46242</v>
      </c>
      <c r="R60" s="21">
        <v>46242</v>
      </c>
      <c r="S60">
        <f>IF($A60="","",COUNTIF(vendor_coverage_countries!$B:$B,$A60))</f>
        <v>2</v>
      </c>
      <c r="T60" t="str" cm="1">
        <f t="array" ref="T60">IF($A60="","",_xlfn.TEXTJOIN(", ",TRUE,IF(vendor_coverage_countries!$B$2:$B$296=$A60,vendor_coverage_countries!$C$2:$C$296,"")))</f>
        <v>GA, CG</v>
      </c>
      <c r="U60" t="str">
        <f>IF($A60="","",IFERROR(INDEX(vendor_coverage_airports!$C$2:$C$296,MATCH($A60,vendor_coverage_airports!$B$2:$B$296,0)),""))</f>
        <v>FOOL</v>
      </c>
      <c r="W60">
        <f>IF($A60="","",COUNTIF(vendor_coverage_airports!$B:$B,$A60))</f>
        <v>2</v>
      </c>
      <c r="X60" s="9"/>
      <c r="Y60" s="9"/>
      <c r="Z60" s="4"/>
      <c r="AA60">
        <f>IF($A60="","",COUNTIF(vendor_coverage_airports!$B:$B,$A60))</f>
        <v>2</v>
      </c>
      <c r="AB60">
        <f>IF($A60="","",COUNTIFS(vendor_coverage_countries!$B:$B,$A60,vendor_coverage_countries!$D:$D,"YES"))</f>
        <v>0</v>
      </c>
      <c r="AC60" s="4"/>
      <c r="AD60" s="9"/>
      <c r="AE60" t="str">
        <f t="shared" si="0"/>
        <v>QUESTIONNAIRE OUTSTANDING</v>
      </c>
      <c r="AF60" s="4"/>
    </row>
    <row r="61" spans="1:32" x14ac:dyDescent="0.3">
      <c r="A61" t="s">
        <v>2961</v>
      </c>
      <c r="B61" t="s">
        <v>2962</v>
      </c>
      <c r="F61" t="s">
        <v>2842</v>
      </c>
      <c r="G61" t="s">
        <v>2843</v>
      </c>
      <c r="H61" t="b">
        <v>1</v>
      </c>
      <c r="P61" t="s">
        <v>2844</v>
      </c>
      <c r="Q61" s="21">
        <v>46242</v>
      </c>
      <c r="R61" s="21">
        <v>46242</v>
      </c>
      <c r="S61">
        <f>IF($A61="","",COUNTIF(vendor_coverage_countries!$B:$B,$A61))</f>
        <v>1</v>
      </c>
      <c r="T61" t="str" cm="1">
        <f t="array" ref="T61">IF($A61="","",_xlfn.TEXTJOIN(", ",TRUE,IF(vendor_coverage_countries!$B$2:$B$296=$A61,vendor_coverage_countries!$C$2:$C$296,"")))</f>
        <v>GA</v>
      </c>
      <c r="U61" t="str">
        <f>IF($A61="","",IFERROR(INDEX(vendor_coverage_airports!$C$2:$C$296,MATCH($A61,vendor_coverage_airports!$B$2:$B$296,0)),""))</f>
        <v>FOOL</v>
      </c>
      <c r="W61">
        <f>IF($A61="","",COUNTIF(vendor_coverage_airports!$B:$B,$A61))</f>
        <v>1</v>
      </c>
      <c r="X61" s="9"/>
      <c r="Y61" s="9"/>
      <c r="Z61" s="4"/>
      <c r="AA61">
        <f>IF($A61="","",COUNTIF(vendor_coverage_airports!$B:$B,$A61))</f>
        <v>1</v>
      </c>
      <c r="AB61">
        <f>IF($A61="","",COUNTIFS(vendor_coverage_countries!$B:$B,$A61,vendor_coverage_countries!$D:$D,"YES"))</f>
        <v>0</v>
      </c>
      <c r="AC61" s="4"/>
      <c r="AD61" s="9"/>
      <c r="AE61" t="str">
        <f t="shared" si="0"/>
        <v>QUESTIONNAIRE OUTSTANDING</v>
      </c>
      <c r="AF61" s="4"/>
    </row>
    <row r="62" spans="1:32" x14ac:dyDescent="0.3">
      <c r="A62" t="s">
        <v>2963</v>
      </c>
      <c r="B62" t="s">
        <v>2964</v>
      </c>
      <c r="F62" t="s">
        <v>2842</v>
      </c>
      <c r="G62" t="s">
        <v>2843</v>
      </c>
      <c r="H62" t="b">
        <v>1</v>
      </c>
      <c r="P62" t="s">
        <v>2844</v>
      </c>
      <c r="Q62" s="21">
        <v>46242</v>
      </c>
      <c r="R62" s="21">
        <v>46242</v>
      </c>
      <c r="S62">
        <f>IF($A62="","",COUNTIF(vendor_coverage_countries!$B:$B,$A62))</f>
        <v>1</v>
      </c>
      <c r="T62" t="str" cm="1">
        <f t="array" ref="T62">IF($A62="","",_xlfn.TEXTJOIN(", ",TRUE,IF(vendor_coverage_countries!$B$2:$B$296=$A62,vendor_coverage_countries!$C$2:$C$296,"")))</f>
        <v>BW</v>
      </c>
      <c r="U62" t="str">
        <f>IF($A62="","",IFERROR(INDEX(vendor_coverage_airports!$C$2:$C$296,MATCH($A62,vendor_coverage_airports!$B$2:$B$296,0)),""))</f>
        <v>FBSK</v>
      </c>
      <c r="W62">
        <f>IF($A62="","",COUNTIF(vendor_coverage_airports!$B:$B,$A62))</f>
        <v>1</v>
      </c>
      <c r="X62" s="9"/>
      <c r="Y62" s="9"/>
      <c r="Z62" s="4"/>
      <c r="AA62">
        <f>IF($A62="","",COUNTIF(vendor_coverage_airports!$B:$B,$A62))</f>
        <v>1</v>
      </c>
      <c r="AB62">
        <f>IF($A62="","",COUNTIFS(vendor_coverage_countries!$B:$B,$A62,vendor_coverage_countries!$D:$D,"YES"))</f>
        <v>0</v>
      </c>
      <c r="AC62" s="4"/>
      <c r="AD62" s="9"/>
      <c r="AE62" t="str">
        <f t="shared" si="0"/>
        <v>QUESTIONNAIRE OUTSTANDING</v>
      </c>
      <c r="AF62" s="4"/>
    </row>
    <row r="63" spans="1:32" x14ac:dyDescent="0.3">
      <c r="A63" t="s">
        <v>2965</v>
      </c>
      <c r="B63" t="s">
        <v>2966</v>
      </c>
      <c r="F63" t="s">
        <v>2842</v>
      </c>
      <c r="G63" t="s">
        <v>2843</v>
      </c>
      <c r="H63" t="b">
        <v>1</v>
      </c>
      <c r="P63" t="s">
        <v>2844</v>
      </c>
      <c r="Q63" s="21">
        <v>46242</v>
      </c>
      <c r="R63" s="21">
        <v>46242</v>
      </c>
      <c r="S63">
        <f>IF($A63="","",COUNTIF(vendor_coverage_countries!$B:$B,$A63))</f>
        <v>1</v>
      </c>
      <c r="T63" t="str" cm="1">
        <f t="array" ref="T63">IF($A63="","",_xlfn.TEXTJOIN(", ",TRUE,IF(vendor_coverage_countries!$B$2:$B$296=$A63,vendor_coverage_countries!$C$2:$C$296,"")))</f>
        <v>BW</v>
      </c>
      <c r="U63" t="str">
        <f>IF($A63="","",IFERROR(INDEX(vendor_coverage_airports!$C$2:$C$296,MATCH($A63,vendor_coverage_airports!$B$2:$B$296,0)),""))</f>
        <v>FBSK</v>
      </c>
      <c r="W63">
        <f>IF($A63="","",COUNTIF(vendor_coverage_airports!$B:$B,$A63))</f>
        <v>1</v>
      </c>
      <c r="X63" s="9"/>
      <c r="Y63" s="9"/>
      <c r="Z63" s="4"/>
      <c r="AA63">
        <f>IF($A63="","",COUNTIF(vendor_coverage_airports!$B:$B,$A63))</f>
        <v>1</v>
      </c>
      <c r="AB63">
        <f>IF($A63="","",COUNTIFS(vendor_coverage_countries!$B:$B,$A63,vendor_coverage_countries!$D:$D,"YES"))</f>
        <v>0</v>
      </c>
      <c r="AC63" s="4"/>
      <c r="AD63" s="9"/>
      <c r="AE63" t="str">
        <f t="shared" si="0"/>
        <v>QUESTIONNAIRE OUTSTANDING</v>
      </c>
      <c r="AF63" s="4"/>
    </row>
    <row r="64" spans="1:32" x14ac:dyDescent="0.3">
      <c r="A64" t="s">
        <v>2967</v>
      </c>
      <c r="B64" t="s">
        <v>2968</v>
      </c>
      <c r="F64" t="s">
        <v>2842</v>
      </c>
      <c r="G64" t="s">
        <v>2843</v>
      </c>
      <c r="H64" t="b">
        <v>1</v>
      </c>
      <c r="P64" t="s">
        <v>2844</v>
      </c>
      <c r="Q64" s="21">
        <v>46242</v>
      </c>
      <c r="R64" s="21">
        <v>46242</v>
      </c>
      <c r="S64">
        <f>IF($A64="","",COUNTIF(vendor_coverage_countries!$B:$B,$A64))</f>
        <v>1</v>
      </c>
      <c r="T64" t="str" cm="1">
        <f t="array" ref="T64">IF($A64="","",_xlfn.TEXTJOIN(", ",TRUE,IF(vendor_coverage_countries!$B$2:$B$296=$A64,vendor_coverage_countries!$C$2:$C$296,"")))</f>
        <v>NG</v>
      </c>
      <c r="U64" t="str">
        <f>IF($A64="","",IFERROR(INDEX(vendor_coverage_airports!$C$2:$C$296,MATCH($A64,vendor_coverage_airports!$B$2:$B$296,0)),""))</f>
        <v>DNMM</v>
      </c>
      <c r="W64">
        <f>IF($A64="","",COUNTIF(vendor_coverage_airports!$B:$B,$A64))</f>
        <v>1</v>
      </c>
      <c r="X64" s="9"/>
      <c r="Y64" s="9"/>
      <c r="Z64" s="4"/>
      <c r="AA64">
        <f>IF($A64="","",COUNTIF(vendor_coverage_airports!$B:$B,$A64))</f>
        <v>1</v>
      </c>
      <c r="AB64">
        <f>IF($A64="","",COUNTIFS(vendor_coverage_countries!$B:$B,$A64,vendor_coverage_countries!$D:$D,"YES"))</f>
        <v>0</v>
      </c>
      <c r="AC64" s="4"/>
      <c r="AD64" s="9"/>
      <c r="AE64" t="str">
        <f t="shared" si="0"/>
        <v>QUESTIONNAIRE OUTSTANDING</v>
      </c>
      <c r="AF64" s="4"/>
    </row>
    <row r="65" spans="1:32" x14ac:dyDescent="0.3">
      <c r="A65" t="s">
        <v>2969</v>
      </c>
      <c r="B65" t="s">
        <v>2970</v>
      </c>
      <c r="F65" t="s">
        <v>2842</v>
      </c>
      <c r="G65" t="s">
        <v>2843</v>
      </c>
      <c r="H65" t="b">
        <v>1</v>
      </c>
      <c r="P65" t="s">
        <v>2844</v>
      </c>
      <c r="Q65" s="21">
        <v>46242</v>
      </c>
      <c r="R65" s="21">
        <v>46242</v>
      </c>
      <c r="S65">
        <f>IF($A65="","",COUNTIF(vendor_coverage_countries!$B:$B,$A65))</f>
        <v>1</v>
      </c>
      <c r="T65" t="str" cm="1">
        <f t="array" ref="T65">IF($A65="","",_xlfn.TEXTJOIN(", ",TRUE,IF(vendor_coverage_countries!$B$2:$B$296=$A65,vendor_coverage_countries!$C$2:$C$296,"")))</f>
        <v>NA</v>
      </c>
      <c r="U65" t="str">
        <f>IF($A65="","",IFERROR(INDEX(vendor_coverage_airports!$C$2:$C$296,MATCH($A65,vendor_coverage_airports!$B$2:$B$296,0)),""))</f>
        <v>FYWH</v>
      </c>
      <c r="W65">
        <f>IF($A65="","",COUNTIF(vendor_coverage_airports!$B:$B,$A65))</f>
        <v>1</v>
      </c>
      <c r="X65" s="9"/>
      <c r="Y65" s="9"/>
      <c r="Z65" s="4"/>
      <c r="AA65">
        <f>IF($A65="","",COUNTIF(vendor_coverage_airports!$B:$B,$A65))</f>
        <v>1</v>
      </c>
      <c r="AB65">
        <f>IF($A65="","",COUNTIFS(vendor_coverage_countries!$B:$B,$A65,vendor_coverage_countries!$D:$D,"YES"))</f>
        <v>0</v>
      </c>
      <c r="AC65" s="4"/>
      <c r="AD65" s="9"/>
      <c r="AE65" t="str">
        <f t="shared" si="0"/>
        <v>QUESTIONNAIRE OUTSTANDING</v>
      </c>
      <c r="AF65" s="4"/>
    </row>
    <row r="66" spans="1:32" x14ac:dyDescent="0.3">
      <c r="A66" t="s">
        <v>2971</v>
      </c>
      <c r="B66" t="s">
        <v>2972</v>
      </c>
      <c r="F66" t="s">
        <v>2842</v>
      </c>
      <c r="G66" t="s">
        <v>2843</v>
      </c>
      <c r="H66" t="b">
        <v>1</v>
      </c>
      <c r="P66" t="s">
        <v>2844</v>
      </c>
      <c r="Q66" s="21">
        <v>46242</v>
      </c>
      <c r="R66" s="21">
        <v>46242</v>
      </c>
      <c r="S66">
        <f>IF($A66="","",COUNTIF(vendor_coverage_countries!$B:$B,$A66))</f>
        <v>1</v>
      </c>
      <c r="T66" t="str" cm="1">
        <f t="array" ref="T66">IF($A66="","",_xlfn.TEXTJOIN(", ",TRUE,IF(vendor_coverage_countries!$B$2:$B$296=$A66,vendor_coverage_countries!$C$2:$C$296,"")))</f>
        <v>NA</v>
      </c>
      <c r="U66" t="str">
        <f>IF($A66="","",IFERROR(INDEX(vendor_coverage_airports!$C$2:$C$296,MATCH($A66,vendor_coverage_airports!$B$2:$B$296,0)),""))</f>
        <v>FYWE</v>
      </c>
      <c r="W66">
        <f>IF($A66="","",COUNTIF(vendor_coverage_airports!$B:$B,$A66))</f>
        <v>1</v>
      </c>
      <c r="X66" s="9"/>
      <c r="Y66" s="9"/>
      <c r="Z66" s="4"/>
      <c r="AA66">
        <f>IF($A66="","",COUNTIF(vendor_coverage_airports!$B:$B,$A66))</f>
        <v>1</v>
      </c>
      <c r="AB66">
        <f>IF($A66="","",COUNTIFS(vendor_coverage_countries!$B:$B,$A66,vendor_coverage_countries!$D:$D,"YES"))</f>
        <v>0</v>
      </c>
      <c r="AC66" s="4"/>
      <c r="AD66" s="9"/>
      <c r="AE66" t="str">
        <f t="shared" si="0"/>
        <v>QUESTIONNAIRE OUTSTANDING</v>
      </c>
      <c r="AF66" s="4"/>
    </row>
    <row r="67" spans="1:32" x14ac:dyDescent="0.3">
      <c r="A67" t="s">
        <v>2973</v>
      </c>
      <c r="B67" t="s">
        <v>2974</v>
      </c>
      <c r="F67" t="s">
        <v>2842</v>
      </c>
      <c r="G67" t="s">
        <v>2843</v>
      </c>
      <c r="H67" t="b">
        <v>1</v>
      </c>
      <c r="P67" t="s">
        <v>2844</v>
      </c>
      <c r="Q67" s="21">
        <v>46242</v>
      </c>
      <c r="R67" s="21">
        <v>46242</v>
      </c>
      <c r="S67">
        <f>IF($A67="","",COUNTIF(vendor_coverage_countries!$B:$B,$A67))</f>
        <v>1</v>
      </c>
      <c r="T67" t="str" cm="1">
        <f t="array" ref="T67">IF($A67="","",_xlfn.TEXTJOIN(", ",TRUE,IF(vendor_coverage_countries!$B$2:$B$296=$A67,vendor_coverage_countries!$C$2:$C$296,"")))</f>
        <v>NA</v>
      </c>
      <c r="U67" t="str">
        <f>IF($A67="","",IFERROR(INDEX(vendor_coverage_airports!$C$2:$C$296,MATCH($A67,vendor_coverage_airports!$B$2:$B$296,0)),""))</f>
        <v>FYWH</v>
      </c>
      <c r="W67">
        <f>IF($A67="","",COUNTIF(vendor_coverage_airports!$B:$B,$A67))</f>
        <v>1</v>
      </c>
      <c r="X67" s="9"/>
      <c r="Y67" s="9"/>
      <c r="Z67" s="4"/>
      <c r="AA67">
        <f>IF($A67="","",COUNTIF(vendor_coverage_airports!$B:$B,$A67))</f>
        <v>1</v>
      </c>
      <c r="AB67">
        <f>IF($A67="","",COUNTIFS(vendor_coverage_countries!$B:$B,$A67,vendor_coverage_countries!$D:$D,"YES"))</f>
        <v>0</v>
      </c>
      <c r="AC67" s="4"/>
      <c r="AD67" s="9"/>
      <c r="AE67" t="str">
        <f t="shared" ref="AE67:AE130" si="1">IF($A67="","",IF($Y67="","QUESTIONNAIRE OUTSTANDING",IF($AD67="","AWAITING ADMIN APPROVAL","APPROVED - AVAILABLE FOR ASSIGNMENT")))</f>
        <v>QUESTIONNAIRE OUTSTANDING</v>
      </c>
      <c r="AF67" s="4"/>
    </row>
    <row r="68" spans="1:32" x14ac:dyDescent="0.3">
      <c r="A68" t="s">
        <v>2975</v>
      </c>
      <c r="B68" t="s">
        <v>2976</v>
      </c>
      <c r="F68" t="s">
        <v>2842</v>
      </c>
      <c r="G68" t="s">
        <v>2843</v>
      </c>
      <c r="H68" t="b">
        <v>1</v>
      </c>
      <c r="P68" t="s">
        <v>2844</v>
      </c>
      <c r="Q68" s="21">
        <v>46242</v>
      </c>
      <c r="R68" s="21">
        <v>46242</v>
      </c>
      <c r="S68">
        <f>IF($A68="","",COUNTIF(vendor_coverage_countries!$B:$B,$A68))</f>
        <v>1</v>
      </c>
      <c r="T68" t="str" cm="1">
        <f t="array" ref="T68">IF($A68="","",_xlfn.TEXTJOIN(", ",TRUE,IF(vendor_coverage_countries!$B$2:$B$296=$A68,vendor_coverage_countries!$C$2:$C$296,"")))</f>
        <v>NA</v>
      </c>
      <c r="U68" t="str">
        <f>IF($A68="","",IFERROR(INDEX(vendor_coverage_airports!$C$2:$C$296,MATCH($A68,vendor_coverage_airports!$B$2:$B$296,0)),""))</f>
        <v>FYWH</v>
      </c>
      <c r="W68">
        <f>IF($A68="","",COUNTIF(vendor_coverage_airports!$B:$B,$A68))</f>
        <v>1</v>
      </c>
      <c r="X68" s="9"/>
      <c r="Y68" s="9"/>
      <c r="Z68" s="4"/>
      <c r="AA68">
        <f>IF($A68="","",COUNTIF(vendor_coverage_airports!$B:$B,$A68))</f>
        <v>1</v>
      </c>
      <c r="AB68">
        <f>IF($A68="","",COUNTIFS(vendor_coverage_countries!$B:$B,$A68,vendor_coverage_countries!$D:$D,"YES"))</f>
        <v>0</v>
      </c>
      <c r="AC68" s="4"/>
      <c r="AD68" s="9"/>
      <c r="AE68" t="str">
        <f t="shared" si="1"/>
        <v>QUESTIONNAIRE OUTSTANDING</v>
      </c>
      <c r="AF68" s="4"/>
    </row>
    <row r="69" spans="1:32" x14ac:dyDescent="0.3">
      <c r="A69" t="s">
        <v>2977</v>
      </c>
      <c r="B69" t="s">
        <v>2978</v>
      </c>
      <c r="F69" t="s">
        <v>2842</v>
      </c>
      <c r="G69" t="s">
        <v>2843</v>
      </c>
      <c r="H69" t="b">
        <v>1</v>
      </c>
      <c r="P69" t="s">
        <v>2844</v>
      </c>
      <c r="Q69" s="21">
        <v>46242</v>
      </c>
      <c r="R69" s="21">
        <v>46242</v>
      </c>
      <c r="S69">
        <f>IF($A69="","",COUNTIF(vendor_coverage_countries!$B:$B,$A69))</f>
        <v>1</v>
      </c>
      <c r="T69" t="str" cm="1">
        <f t="array" ref="T69">IF($A69="","",_xlfn.TEXTJOIN(", ",TRUE,IF(vendor_coverage_countries!$B$2:$B$296=$A69,vendor_coverage_countries!$C$2:$C$296,"")))</f>
        <v>CD</v>
      </c>
      <c r="U69" t="str">
        <f>IF($A69="","",IFERROR(INDEX(vendor_coverage_airports!$C$2:$C$296,MATCH($A69,vendor_coverage_airports!$B$2:$B$296,0)),""))</f>
        <v>FZAA</v>
      </c>
      <c r="W69">
        <f>IF($A69="","",COUNTIF(vendor_coverage_airports!$B:$B,$A69))</f>
        <v>1</v>
      </c>
      <c r="X69" s="9"/>
      <c r="Y69" s="9"/>
      <c r="Z69" s="4"/>
      <c r="AA69">
        <f>IF($A69="","",COUNTIF(vendor_coverage_airports!$B:$B,$A69))</f>
        <v>1</v>
      </c>
      <c r="AB69">
        <f>IF($A69="","",COUNTIFS(vendor_coverage_countries!$B:$B,$A69,vendor_coverage_countries!$D:$D,"YES"))</f>
        <v>0</v>
      </c>
      <c r="AC69" s="4"/>
      <c r="AD69" s="9"/>
      <c r="AE69" t="str">
        <f t="shared" si="1"/>
        <v>QUESTIONNAIRE OUTSTANDING</v>
      </c>
      <c r="AF69" s="4"/>
    </row>
    <row r="70" spans="1:32" x14ac:dyDescent="0.3">
      <c r="A70" t="s">
        <v>2979</v>
      </c>
      <c r="B70" t="s">
        <v>2980</v>
      </c>
      <c r="F70" t="s">
        <v>2842</v>
      </c>
      <c r="G70" t="s">
        <v>2843</v>
      </c>
      <c r="H70" t="b">
        <v>1</v>
      </c>
      <c r="P70" t="s">
        <v>2844</v>
      </c>
      <c r="Q70" s="21">
        <v>46242</v>
      </c>
      <c r="R70" s="21">
        <v>46242</v>
      </c>
      <c r="S70">
        <f>IF($A70="","",COUNTIF(vendor_coverage_countries!$B:$B,$A70))</f>
        <v>2</v>
      </c>
      <c r="T70" t="str" cm="1">
        <f t="array" ref="T70">IF($A70="","",_xlfn.TEXTJOIN(", ",TRUE,IF(vendor_coverage_countries!$B$2:$B$296=$A70,vendor_coverage_countries!$C$2:$C$296,"")))</f>
        <v>CD, CG</v>
      </c>
      <c r="U70" t="str">
        <f>IF($A70="","",IFERROR(INDEX(vendor_coverage_airports!$C$2:$C$296,MATCH($A70,vendor_coverage_airports!$B$2:$B$296,0)),""))</f>
        <v>FZAA</v>
      </c>
      <c r="W70">
        <f>IF($A70="","",COUNTIF(vendor_coverage_airports!$B:$B,$A70))</f>
        <v>2</v>
      </c>
      <c r="X70" s="9"/>
      <c r="Y70" s="9"/>
      <c r="Z70" s="4"/>
      <c r="AA70">
        <f>IF($A70="","",COUNTIF(vendor_coverage_airports!$B:$B,$A70))</f>
        <v>2</v>
      </c>
      <c r="AB70">
        <f>IF($A70="","",COUNTIFS(vendor_coverage_countries!$B:$B,$A70,vendor_coverage_countries!$D:$D,"YES"))</f>
        <v>0</v>
      </c>
      <c r="AC70" s="4"/>
      <c r="AD70" s="9"/>
      <c r="AE70" t="str">
        <f t="shared" si="1"/>
        <v>QUESTIONNAIRE OUTSTANDING</v>
      </c>
      <c r="AF70" s="4"/>
    </row>
    <row r="71" spans="1:32" x14ac:dyDescent="0.3">
      <c r="A71" t="s">
        <v>2981</v>
      </c>
      <c r="B71" t="s">
        <v>2982</v>
      </c>
      <c r="F71" t="s">
        <v>2842</v>
      </c>
      <c r="G71" t="s">
        <v>2843</v>
      </c>
      <c r="H71" t="b">
        <v>1</v>
      </c>
      <c r="P71" t="s">
        <v>2844</v>
      </c>
      <c r="Q71" s="21">
        <v>46242</v>
      </c>
      <c r="R71" s="21">
        <v>46242</v>
      </c>
      <c r="S71">
        <f>IF($A71="","",COUNTIF(vendor_coverage_countries!$B:$B,$A71))</f>
        <v>1</v>
      </c>
      <c r="T71" t="str" cm="1">
        <f t="array" ref="T71">IF($A71="","",_xlfn.TEXTJOIN(", ",TRUE,IF(vendor_coverage_countries!$B$2:$B$296=$A71,vendor_coverage_countries!$C$2:$C$296,"")))</f>
        <v>UG</v>
      </c>
      <c r="U71" t="str">
        <f>IF($A71="","",IFERROR(INDEX(vendor_coverage_airports!$C$2:$C$296,MATCH($A71,vendor_coverage_airports!$B$2:$B$296,0)),""))</f>
        <v>HUEN</v>
      </c>
      <c r="W71">
        <f>IF($A71="","",COUNTIF(vendor_coverage_airports!$B:$B,$A71))</f>
        <v>1</v>
      </c>
      <c r="X71" s="9"/>
      <c r="Y71" s="9"/>
      <c r="Z71" s="4"/>
      <c r="AA71">
        <f>IF($A71="","",COUNTIF(vendor_coverage_airports!$B:$B,$A71))</f>
        <v>1</v>
      </c>
      <c r="AB71">
        <f>IF($A71="","",COUNTIFS(vendor_coverage_countries!$B:$B,$A71,vendor_coverage_countries!$D:$D,"YES"))</f>
        <v>0</v>
      </c>
      <c r="AC71" s="4"/>
      <c r="AD71" s="9"/>
      <c r="AE71" t="str">
        <f t="shared" si="1"/>
        <v>QUESTIONNAIRE OUTSTANDING</v>
      </c>
      <c r="AF71" s="4"/>
    </row>
    <row r="72" spans="1:32" x14ac:dyDescent="0.3">
      <c r="A72" t="s">
        <v>2983</v>
      </c>
      <c r="B72" t="s">
        <v>2984</v>
      </c>
      <c r="F72" t="s">
        <v>2842</v>
      </c>
      <c r="G72" t="s">
        <v>2843</v>
      </c>
      <c r="H72" t="b">
        <v>1</v>
      </c>
      <c r="P72" t="s">
        <v>2844</v>
      </c>
      <c r="Q72" s="21">
        <v>46242</v>
      </c>
      <c r="R72" s="21">
        <v>46242</v>
      </c>
      <c r="S72">
        <f>IF($A72="","",COUNTIF(vendor_coverage_countries!$B:$B,$A72))</f>
        <v>1</v>
      </c>
      <c r="T72" t="str" cm="1">
        <f t="array" ref="T72">IF($A72="","",_xlfn.TEXTJOIN(", ",TRUE,IF(vendor_coverage_countries!$B$2:$B$296=$A72,vendor_coverage_countries!$C$2:$C$296,"")))</f>
        <v>UG</v>
      </c>
      <c r="U72" t="str">
        <f>IF($A72="","",IFERROR(INDEX(vendor_coverage_airports!$C$2:$C$296,MATCH($A72,vendor_coverage_airports!$B$2:$B$296,0)),""))</f>
        <v>HUEN</v>
      </c>
      <c r="W72">
        <f>IF($A72="","",COUNTIF(vendor_coverage_airports!$B:$B,$A72))</f>
        <v>1</v>
      </c>
      <c r="X72" s="9"/>
      <c r="Y72" s="9"/>
      <c r="Z72" s="4"/>
      <c r="AA72">
        <f>IF($A72="","",COUNTIF(vendor_coverage_airports!$B:$B,$A72))</f>
        <v>1</v>
      </c>
      <c r="AB72">
        <f>IF($A72="","",COUNTIFS(vendor_coverage_countries!$B:$B,$A72,vendor_coverage_countries!$D:$D,"YES"))</f>
        <v>0</v>
      </c>
      <c r="AC72" s="4"/>
      <c r="AD72" s="9"/>
      <c r="AE72" t="str">
        <f t="shared" si="1"/>
        <v>QUESTIONNAIRE OUTSTANDING</v>
      </c>
      <c r="AF72" s="4"/>
    </row>
    <row r="73" spans="1:32" x14ac:dyDescent="0.3">
      <c r="A73" t="s">
        <v>2985</v>
      </c>
      <c r="B73" t="s">
        <v>2986</v>
      </c>
      <c r="F73" t="s">
        <v>2842</v>
      </c>
      <c r="G73" t="s">
        <v>2843</v>
      </c>
      <c r="H73" t="b">
        <v>1</v>
      </c>
      <c r="P73" t="s">
        <v>2844</v>
      </c>
      <c r="Q73" s="21">
        <v>46242</v>
      </c>
      <c r="R73" s="21">
        <v>46242</v>
      </c>
      <c r="S73">
        <f>IF($A73="","",COUNTIF(vendor_coverage_countries!$B:$B,$A73))</f>
        <v>1</v>
      </c>
      <c r="T73" t="str" cm="1">
        <f t="array" ref="T73">IF($A73="","",_xlfn.TEXTJOIN(", ",TRUE,IF(vendor_coverage_countries!$B$2:$B$296=$A73,vendor_coverage_countries!$C$2:$C$296,"")))</f>
        <v>KE</v>
      </c>
      <c r="U73" t="str">
        <f>IF($A73="","",IFERROR(INDEX(vendor_coverage_airports!$C$2:$C$296,MATCH($A73,vendor_coverage_airports!$B$2:$B$296,0)),""))</f>
        <v>HKJK</v>
      </c>
      <c r="W73">
        <f>IF($A73="","",COUNTIF(vendor_coverage_airports!$B:$B,$A73))</f>
        <v>1</v>
      </c>
      <c r="X73" s="9"/>
      <c r="Y73" s="9"/>
      <c r="Z73" s="4"/>
      <c r="AA73">
        <f>IF($A73="","",COUNTIF(vendor_coverage_airports!$B:$B,$A73))</f>
        <v>1</v>
      </c>
      <c r="AB73">
        <f>IF($A73="","",COUNTIFS(vendor_coverage_countries!$B:$B,$A73,vendor_coverage_countries!$D:$D,"YES"))</f>
        <v>0</v>
      </c>
      <c r="AC73" s="4"/>
      <c r="AD73" s="9"/>
      <c r="AE73" t="str">
        <f t="shared" si="1"/>
        <v>QUESTIONNAIRE OUTSTANDING</v>
      </c>
      <c r="AF73" s="4"/>
    </row>
    <row r="74" spans="1:32" x14ac:dyDescent="0.3">
      <c r="A74" t="s">
        <v>2987</v>
      </c>
      <c r="B74" t="s">
        <v>2988</v>
      </c>
      <c r="F74" t="s">
        <v>2842</v>
      </c>
      <c r="G74" t="s">
        <v>2843</v>
      </c>
      <c r="H74" t="b">
        <v>1</v>
      </c>
      <c r="P74" t="s">
        <v>2844</v>
      </c>
      <c r="Q74" s="21">
        <v>46242</v>
      </c>
      <c r="R74" s="21">
        <v>46242</v>
      </c>
      <c r="S74">
        <f>IF($A74="","",COUNTIF(vendor_coverage_countries!$B:$B,$A74))</f>
        <v>3</v>
      </c>
      <c r="T74" t="str" cm="1">
        <f t="array" ref="T74">IF($A74="","",_xlfn.TEXTJOIN(", ",TRUE,IF(vendor_coverage_countries!$B$2:$B$296=$A74,vendor_coverage_countries!$C$2:$C$296,"")))</f>
        <v>KE, DJ, AE</v>
      </c>
      <c r="U74" t="str">
        <f>IF($A74="","",IFERROR(INDEX(vendor_coverage_airports!$C$2:$C$296,MATCH($A74,vendor_coverage_airports!$B$2:$B$296,0)),""))</f>
        <v>HKJK</v>
      </c>
      <c r="W74">
        <f>IF($A74="","",COUNTIF(vendor_coverage_airports!$B:$B,$A74))</f>
        <v>3</v>
      </c>
      <c r="X74" s="9"/>
      <c r="Y74" s="9"/>
      <c r="Z74" s="4"/>
      <c r="AA74">
        <f>IF($A74="","",COUNTIF(vendor_coverage_airports!$B:$B,$A74))</f>
        <v>3</v>
      </c>
      <c r="AB74">
        <f>IF($A74="","",COUNTIFS(vendor_coverage_countries!$B:$B,$A74,vendor_coverage_countries!$D:$D,"YES"))</f>
        <v>0</v>
      </c>
      <c r="AC74" s="4"/>
      <c r="AD74" s="9"/>
      <c r="AE74" t="str">
        <f t="shared" si="1"/>
        <v>QUESTIONNAIRE OUTSTANDING</v>
      </c>
      <c r="AF74" s="4"/>
    </row>
    <row r="75" spans="1:32" x14ac:dyDescent="0.3">
      <c r="A75" t="s">
        <v>2989</v>
      </c>
      <c r="B75" t="s">
        <v>2990</v>
      </c>
      <c r="F75" t="s">
        <v>2842</v>
      </c>
      <c r="G75" t="s">
        <v>2843</v>
      </c>
      <c r="H75" t="b">
        <v>1</v>
      </c>
      <c r="P75" t="s">
        <v>2844</v>
      </c>
      <c r="Q75" s="21">
        <v>46242</v>
      </c>
      <c r="R75" s="21">
        <v>46242</v>
      </c>
      <c r="S75">
        <f>IF($A75="","",COUNTIF(vendor_coverage_countries!$B:$B,$A75))</f>
        <v>2</v>
      </c>
      <c r="T75" t="str" cm="1">
        <f t="array" ref="T75">IF($A75="","",_xlfn.TEXTJOIN(", ",TRUE,IF(vendor_coverage_countries!$B$2:$B$296=$A75,vendor_coverage_countries!$C$2:$C$296,"")))</f>
        <v>KE, ET</v>
      </c>
      <c r="U75" t="str">
        <f>IF($A75="","",IFERROR(INDEX(vendor_coverage_airports!$C$2:$C$296,MATCH($A75,vendor_coverage_airports!$B$2:$B$296,0)),""))</f>
        <v>HKJK</v>
      </c>
      <c r="W75">
        <f>IF($A75="","",COUNTIF(vendor_coverage_airports!$B:$B,$A75))</f>
        <v>2</v>
      </c>
      <c r="X75" s="9"/>
      <c r="Y75" s="9"/>
      <c r="Z75" s="4"/>
      <c r="AA75">
        <f>IF($A75="","",COUNTIF(vendor_coverage_airports!$B:$B,$A75))</f>
        <v>2</v>
      </c>
      <c r="AB75">
        <f>IF($A75="","",COUNTIFS(vendor_coverage_countries!$B:$B,$A75,vendor_coverage_countries!$D:$D,"YES"))</f>
        <v>0</v>
      </c>
      <c r="AC75" s="4"/>
      <c r="AD75" s="9"/>
      <c r="AE75" t="str">
        <f t="shared" si="1"/>
        <v>QUESTIONNAIRE OUTSTANDING</v>
      </c>
      <c r="AF75" s="4"/>
    </row>
    <row r="76" spans="1:32" x14ac:dyDescent="0.3">
      <c r="A76" t="s">
        <v>2991</v>
      </c>
      <c r="B76" t="s">
        <v>2992</v>
      </c>
      <c r="F76" t="s">
        <v>2842</v>
      </c>
      <c r="G76" t="s">
        <v>2843</v>
      </c>
      <c r="H76" t="b">
        <v>1</v>
      </c>
      <c r="P76" t="s">
        <v>2844</v>
      </c>
      <c r="Q76" s="21">
        <v>46242</v>
      </c>
      <c r="R76" s="21">
        <v>46242</v>
      </c>
      <c r="S76">
        <f>IF($A76="","",COUNTIF(vendor_coverage_countries!$B:$B,$A76))</f>
        <v>1</v>
      </c>
      <c r="T76" t="str" cm="1">
        <f t="array" ref="T76">IF($A76="","",_xlfn.TEXTJOIN(", ",TRUE,IF(vendor_coverage_countries!$B$2:$B$296=$A76,vendor_coverage_countries!$C$2:$C$296,"")))</f>
        <v>SN</v>
      </c>
      <c r="U76" t="str">
        <f>IF($A76="","",IFERROR(INDEX(vendor_coverage_airports!$C$2:$C$296,MATCH($A76,vendor_coverage_airports!$B$2:$B$296,0)),""))</f>
        <v>GOBD</v>
      </c>
      <c r="W76">
        <f>IF($A76="","",COUNTIF(vendor_coverage_airports!$B:$B,$A76))</f>
        <v>1</v>
      </c>
      <c r="X76" s="9"/>
      <c r="Y76" s="9"/>
      <c r="Z76" s="4"/>
      <c r="AA76">
        <f>IF($A76="","",COUNTIF(vendor_coverage_airports!$B:$B,$A76))</f>
        <v>1</v>
      </c>
      <c r="AB76">
        <f>IF($A76="","",COUNTIFS(vendor_coverage_countries!$B:$B,$A76,vendor_coverage_countries!$D:$D,"YES"))</f>
        <v>0</v>
      </c>
      <c r="AC76" s="4"/>
      <c r="AD76" s="9"/>
      <c r="AE76" t="str">
        <f t="shared" si="1"/>
        <v>QUESTIONNAIRE OUTSTANDING</v>
      </c>
      <c r="AF76" s="4"/>
    </row>
    <row r="77" spans="1:32" x14ac:dyDescent="0.3">
      <c r="A77" t="s">
        <v>2993</v>
      </c>
      <c r="B77" t="s">
        <v>2994</v>
      </c>
      <c r="F77" t="s">
        <v>2842</v>
      </c>
      <c r="G77" t="s">
        <v>2843</v>
      </c>
      <c r="H77" t="b">
        <v>1</v>
      </c>
      <c r="P77" t="s">
        <v>2844</v>
      </c>
      <c r="Q77" s="21">
        <v>46242</v>
      </c>
      <c r="R77" s="21">
        <v>46242</v>
      </c>
      <c r="S77">
        <f>IF($A77="","",COUNTIF(vendor_coverage_countries!$B:$B,$A77))</f>
        <v>1</v>
      </c>
      <c r="T77" t="str" cm="1">
        <f t="array" ref="T77">IF($A77="","",_xlfn.TEXTJOIN(", ",TRUE,IF(vendor_coverage_countries!$B$2:$B$296=$A77,vendor_coverage_countries!$C$2:$C$296,"")))</f>
        <v>SC</v>
      </c>
      <c r="U77" t="str">
        <f>IF($A77="","",IFERROR(INDEX(vendor_coverage_airports!$C$2:$C$296,MATCH($A77,vendor_coverage_airports!$B$2:$B$296,0)),""))</f>
        <v>FSIA</v>
      </c>
      <c r="W77">
        <f>IF($A77="","",COUNTIF(vendor_coverage_airports!$B:$B,$A77))</f>
        <v>1</v>
      </c>
      <c r="X77" s="9"/>
      <c r="Y77" s="9"/>
      <c r="Z77" s="4"/>
      <c r="AA77">
        <f>IF($A77="","",COUNTIF(vendor_coverage_airports!$B:$B,$A77))</f>
        <v>1</v>
      </c>
      <c r="AB77">
        <f>IF($A77="","",COUNTIFS(vendor_coverage_countries!$B:$B,$A77,vendor_coverage_countries!$D:$D,"YES"))</f>
        <v>0</v>
      </c>
      <c r="AC77" s="4"/>
      <c r="AD77" s="9"/>
      <c r="AE77" t="str">
        <f t="shared" si="1"/>
        <v>QUESTIONNAIRE OUTSTANDING</v>
      </c>
      <c r="AF77" s="4"/>
    </row>
    <row r="78" spans="1:32" x14ac:dyDescent="0.3">
      <c r="A78" t="s">
        <v>2995</v>
      </c>
      <c r="B78" t="s">
        <v>2996</v>
      </c>
      <c r="F78" t="s">
        <v>2842</v>
      </c>
      <c r="G78" t="s">
        <v>2843</v>
      </c>
      <c r="H78" t="b">
        <v>1</v>
      </c>
      <c r="P78" t="s">
        <v>2844</v>
      </c>
      <c r="Q78" s="21">
        <v>46242</v>
      </c>
      <c r="R78" s="21">
        <v>46242</v>
      </c>
      <c r="S78">
        <f>IF($A78="","",COUNTIF(vendor_coverage_countries!$B:$B,$A78))</f>
        <v>1</v>
      </c>
      <c r="T78" t="str" cm="1">
        <f t="array" ref="T78">IF($A78="","",_xlfn.TEXTJOIN(", ",TRUE,IF(vendor_coverage_countries!$B$2:$B$296=$A78,vendor_coverage_countries!$C$2:$C$296,"")))</f>
        <v>CI</v>
      </c>
      <c r="U78" t="str">
        <f>IF($A78="","",IFERROR(INDEX(vendor_coverage_airports!$C$2:$C$296,MATCH($A78,vendor_coverage_airports!$B$2:$B$296,0)),""))</f>
        <v>DIAP</v>
      </c>
      <c r="W78">
        <f>IF($A78="","",COUNTIF(vendor_coverage_airports!$B:$B,$A78))</f>
        <v>1</v>
      </c>
      <c r="X78" s="9"/>
      <c r="Y78" s="9"/>
      <c r="Z78" s="4"/>
      <c r="AA78">
        <f>IF($A78="","",COUNTIF(vendor_coverage_airports!$B:$B,$A78))</f>
        <v>1</v>
      </c>
      <c r="AB78">
        <f>IF($A78="","",COUNTIFS(vendor_coverage_countries!$B:$B,$A78,vendor_coverage_countries!$D:$D,"YES"))</f>
        <v>0</v>
      </c>
      <c r="AC78" s="4"/>
      <c r="AD78" s="9"/>
      <c r="AE78" t="str">
        <f t="shared" si="1"/>
        <v>QUESTIONNAIRE OUTSTANDING</v>
      </c>
      <c r="AF78" s="4"/>
    </row>
    <row r="79" spans="1:32" x14ac:dyDescent="0.3">
      <c r="A79" t="s">
        <v>2997</v>
      </c>
      <c r="B79" t="s">
        <v>2998</v>
      </c>
      <c r="F79" t="s">
        <v>2842</v>
      </c>
      <c r="G79" t="s">
        <v>2843</v>
      </c>
      <c r="H79" t="b">
        <v>1</v>
      </c>
      <c r="P79" t="s">
        <v>2844</v>
      </c>
      <c r="Q79" s="21">
        <v>46242</v>
      </c>
      <c r="R79" s="21">
        <v>46242</v>
      </c>
      <c r="S79">
        <f>IF($A79="","",COUNTIF(vendor_coverage_countries!$B:$B,$A79))</f>
        <v>2</v>
      </c>
      <c r="T79" t="str" cm="1">
        <f t="array" ref="T79">IF($A79="","",_xlfn.TEXTJOIN(", ",TRUE,IF(vendor_coverage_countries!$B$2:$B$296=$A79,vendor_coverage_countries!$C$2:$C$296,"")))</f>
        <v>CI, ST</v>
      </c>
      <c r="U79" t="str">
        <f>IF($A79="","",IFERROR(INDEX(vendor_coverage_airports!$C$2:$C$296,MATCH($A79,vendor_coverage_airports!$B$2:$B$296,0)),""))</f>
        <v>DIAP</v>
      </c>
      <c r="W79">
        <f>IF($A79="","",COUNTIF(vendor_coverage_airports!$B:$B,$A79))</f>
        <v>2</v>
      </c>
      <c r="X79" s="9"/>
      <c r="Y79" s="9"/>
      <c r="Z79" s="4"/>
      <c r="AA79">
        <f>IF($A79="","",COUNTIF(vendor_coverage_airports!$B:$B,$A79))</f>
        <v>2</v>
      </c>
      <c r="AB79">
        <f>IF($A79="","",COUNTIFS(vendor_coverage_countries!$B:$B,$A79,vendor_coverage_countries!$D:$D,"YES"))</f>
        <v>0</v>
      </c>
      <c r="AC79" s="4"/>
      <c r="AD79" s="9"/>
      <c r="AE79" t="str">
        <f t="shared" si="1"/>
        <v>QUESTIONNAIRE OUTSTANDING</v>
      </c>
      <c r="AF79" s="4"/>
    </row>
    <row r="80" spans="1:32" x14ac:dyDescent="0.3">
      <c r="A80" t="s">
        <v>2999</v>
      </c>
      <c r="B80" t="s">
        <v>3000</v>
      </c>
      <c r="F80" t="s">
        <v>2842</v>
      </c>
      <c r="G80" t="s">
        <v>2843</v>
      </c>
      <c r="H80" t="b">
        <v>1</v>
      </c>
      <c r="P80" t="s">
        <v>2844</v>
      </c>
      <c r="Q80" s="21">
        <v>46242</v>
      </c>
      <c r="R80" s="21">
        <v>46242</v>
      </c>
      <c r="S80">
        <f>IF($A80="","",COUNTIF(vendor_coverage_countries!$B:$B,$A80))</f>
        <v>1</v>
      </c>
      <c r="T80" t="str" cm="1">
        <f t="array" ref="T80">IF($A80="","",_xlfn.TEXTJOIN(", ",TRUE,IF(vendor_coverage_countries!$B$2:$B$296=$A80,vendor_coverage_countries!$C$2:$C$296,"")))</f>
        <v>KM</v>
      </c>
      <c r="U80" t="str">
        <f>IF($A80="","",IFERROR(INDEX(vendor_coverage_airports!$C$2:$C$296,MATCH($A80,vendor_coverage_airports!$B$2:$B$296,0)),""))</f>
        <v>FMCH</v>
      </c>
      <c r="W80">
        <f>IF($A80="","",COUNTIF(vendor_coverage_airports!$B:$B,$A80))</f>
        <v>1</v>
      </c>
      <c r="X80" s="9"/>
      <c r="Y80" s="9"/>
      <c r="Z80" s="4"/>
      <c r="AA80">
        <f>IF($A80="","",COUNTIF(vendor_coverage_airports!$B:$B,$A80))</f>
        <v>1</v>
      </c>
      <c r="AB80">
        <f>IF($A80="","",COUNTIFS(vendor_coverage_countries!$B:$B,$A80,vendor_coverage_countries!$D:$D,"YES"))</f>
        <v>0</v>
      </c>
      <c r="AC80" s="4"/>
      <c r="AD80" s="9"/>
      <c r="AE80" t="str">
        <f t="shared" si="1"/>
        <v>QUESTIONNAIRE OUTSTANDING</v>
      </c>
      <c r="AF80" s="4"/>
    </row>
    <row r="81" spans="1:32" x14ac:dyDescent="0.3">
      <c r="A81" t="s">
        <v>3001</v>
      </c>
      <c r="B81" t="s">
        <v>3002</v>
      </c>
      <c r="F81" t="s">
        <v>2842</v>
      </c>
      <c r="G81" t="s">
        <v>2843</v>
      </c>
      <c r="H81" t="b">
        <v>1</v>
      </c>
      <c r="P81" t="s">
        <v>2844</v>
      </c>
      <c r="Q81" s="21">
        <v>46242</v>
      </c>
      <c r="R81" s="21">
        <v>46242</v>
      </c>
      <c r="S81">
        <f>IF($A81="","",COUNTIF(vendor_coverage_countries!$B:$B,$A81))</f>
        <v>2</v>
      </c>
      <c r="T81" t="str" cm="1">
        <f t="array" ref="T81">IF($A81="","",_xlfn.TEXTJOIN(", ",TRUE,IF(vendor_coverage_countries!$B$2:$B$296=$A81,vendor_coverage_countries!$C$2:$C$296,"")))</f>
        <v>SD, KW</v>
      </c>
      <c r="U81" t="str">
        <f>IF($A81="","",IFERROR(INDEX(vendor_coverage_airports!$C$2:$C$296,MATCH($A81,vendor_coverage_airports!$B$2:$B$296,0)),""))</f>
        <v>HSSK</v>
      </c>
      <c r="W81">
        <f>IF($A81="","",COUNTIF(vendor_coverage_airports!$B:$B,$A81))</f>
        <v>2</v>
      </c>
      <c r="X81" s="9"/>
      <c r="Y81" s="9"/>
      <c r="Z81" s="4"/>
      <c r="AA81">
        <f>IF($A81="","",COUNTIF(vendor_coverage_airports!$B:$B,$A81))</f>
        <v>2</v>
      </c>
      <c r="AB81">
        <f>IF($A81="","",COUNTIFS(vendor_coverage_countries!$B:$B,$A81,vendor_coverage_countries!$D:$D,"YES"))</f>
        <v>0</v>
      </c>
      <c r="AC81" s="4"/>
      <c r="AD81" s="9"/>
      <c r="AE81" t="str">
        <f t="shared" si="1"/>
        <v>QUESTIONNAIRE OUTSTANDING</v>
      </c>
      <c r="AF81" s="4"/>
    </row>
    <row r="82" spans="1:32" x14ac:dyDescent="0.3">
      <c r="A82" t="s">
        <v>3003</v>
      </c>
      <c r="B82" t="s">
        <v>3004</v>
      </c>
      <c r="F82" t="s">
        <v>2842</v>
      </c>
      <c r="G82" t="s">
        <v>2843</v>
      </c>
      <c r="H82" t="b">
        <v>1</v>
      </c>
      <c r="P82" t="s">
        <v>2844</v>
      </c>
      <c r="Q82" s="21">
        <v>46242</v>
      </c>
      <c r="R82" s="21">
        <v>46242</v>
      </c>
      <c r="S82">
        <f>IF($A82="","",COUNTIF(vendor_coverage_countries!$B:$B,$A82))</f>
        <v>1</v>
      </c>
      <c r="T82" t="str" cm="1">
        <f t="array" ref="T82">IF($A82="","",_xlfn.TEXTJOIN(", ",TRUE,IF(vendor_coverage_countries!$B$2:$B$296=$A82,vendor_coverage_countries!$C$2:$C$296,"")))</f>
        <v>MW</v>
      </c>
      <c r="U82" t="str">
        <f>IF($A82="","",IFERROR(INDEX(vendor_coverage_airports!$C$2:$C$296,MATCH($A82,vendor_coverage_airports!$B$2:$B$296,0)),""))</f>
        <v>FWKI</v>
      </c>
      <c r="W82">
        <f>IF($A82="","",COUNTIF(vendor_coverage_airports!$B:$B,$A82))</f>
        <v>1</v>
      </c>
      <c r="X82" s="9"/>
      <c r="Y82" s="9"/>
      <c r="Z82" s="4"/>
      <c r="AA82">
        <f>IF($A82="","",COUNTIF(vendor_coverage_airports!$B:$B,$A82))</f>
        <v>1</v>
      </c>
      <c r="AB82">
        <f>IF($A82="","",COUNTIFS(vendor_coverage_countries!$B:$B,$A82,vendor_coverage_countries!$D:$D,"YES"))</f>
        <v>0</v>
      </c>
      <c r="AC82" s="4"/>
      <c r="AD82" s="9"/>
      <c r="AE82" t="str">
        <f t="shared" si="1"/>
        <v>QUESTIONNAIRE OUTSTANDING</v>
      </c>
      <c r="AF82" s="4"/>
    </row>
    <row r="83" spans="1:32" x14ac:dyDescent="0.3">
      <c r="A83" t="s">
        <v>3005</v>
      </c>
      <c r="B83" t="s">
        <v>3006</v>
      </c>
      <c r="F83" t="s">
        <v>2842</v>
      </c>
      <c r="G83" t="s">
        <v>2843</v>
      </c>
      <c r="H83" t="b">
        <v>1</v>
      </c>
      <c r="P83" t="s">
        <v>2844</v>
      </c>
      <c r="Q83" s="21">
        <v>46242</v>
      </c>
      <c r="R83" s="21">
        <v>46242</v>
      </c>
      <c r="S83">
        <f>IF($A83="","",COUNTIF(vendor_coverage_countries!$B:$B,$A83))</f>
        <v>1</v>
      </c>
      <c r="T83" t="str" cm="1">
        <f t="array" ref="T83">IF($A83="","",_xlfn.TEXTJOIN(", ",TRUE,IF(vendor_coverage_countries!$B$2:$B$296=$A83,vendor_coverage_countries!$C$2:$C$296,"")))</f>
        <v>ET</v>
      </c>
      <c r="U83" t="str">
        <f>IF($A83="","",IFERROR(INDEX(vendor_coverage_airports!$C$2:$C$296,MATCH($A83,vendor_coverage_airports!$B$2:$B$296,0)),""))</f>
        <v>HAAB</v>
      </c>
      <c r="W83">
        <f>IF($A83="","",COUNTIF(vendor_coverage_airports!$B:$B,$A83))</f>
        <v>1</v>
      </c>
      <c r="X83" s="9"/>
      <c r="Y83" s="9"/>
      <c r="Z83" s="4"/>
      <c r="AA83">
        <f>IF($A83="","",COUNTIF(vendor_coverage_airports!$B:$B,$A83))</f>
        <v>1</v>
      </c>
      <c r="AB83">
        <f>IF($A83="","",COUNTIFS(vendor_coverage_countries!$B:$B,$A83,vendor_coverage_countries!$D:$D,"YES"))</f>
        <v>0</v>
      </c>
      <c r="AC83" s="4"/>
      <c r="AD83" s="9"/>
      <c r="AE83" t="str">
        <f t="shared" si="1"/>
        <v>QUESTIONNAIRE OUTSTANDING</v>
      </c>
      <c r="AF83" s="4"/>
    </row>
    <row r="84" spans="1:32" x14ac:dyDescent="0.3">
      <c r="A84" t="s">
        <v>3007</v>
      </c>
      <c r="B84" t="s">
        <v>3008</v>
      </c>
      <c r="F84" t="s">
        <v>2842</v>
      </c>
      <c r="G84" t="s">
        <v>2843</v>
      </c>
      <c r="H84" t="b">
        <v>1</v>
      </c>
      <c r="P84" t="s">
        <v>2844</v>
      </c>
      <c r="Q84" s="21">
        <v>46242</v>
      </c>
      <c r="R84" s="21">
        <v>46242</v>
      </c>
      <c r="S84">
        <f>IF($A84="","",COUNTIF(vendor_coverage_countries!$B:$B,$A84))</f>
        <v>5</v>
      </c>
      <c r="T84" t="str" cm="1">
        <f t="array" ref="T84">IF($A84="","",_xlfn.TEXTJOIN(", ",TRUE,IF(vendor_coverage_countries!$B$2:$B$296=$A84,vendor_coverage_countries!$C$2:$C$296,"")))</f>
        <v>ET, AE, OM, IQ, AF</v>
      </c>
      <c r="U84" t="str">
        <f>IF($A84="","",IFERROR(INDEX(vendor_coverage_airports!$C$2:$C$296,MATCH($A84,vendor_coverage_airports!$B$2:$B$296,0)),""))</f>
        <v>HAAB</v>
      </c>
      <c r="W84">
        <f>IF($A84="","",COUNTIF(vendor_coverage_airports!$B:$B,$A84))</f>
        <v>5</v>
      </c>
      <c r="X84" s="9"/>
      <c r="Y84" s="9"/>
      <c r="Z84" s="4"/>
      <c r="AA84">
        <f>IF($A84="","",COUNTIF(vendor_coverage_airports!$B:$B,$A84))</f>
        <v>5</v>
      </c>
      <c r="AB84">
        <f>IF($A84="","",COUNTIFS(vendor_coverage_countries!$B:$B,$A84,vendor_coverage_countries!$D:$D,"YES"))</f>
        <v>0</v>
      </c>
      <c r="AC84" s="4"/>
      <c r="AD84" s="9"/>
      <c r="AE84" t="str">
        <f t="shared" si="1"/>
        <v>QUESTIONNAIRE OUTSTANDING</v>
      </c>
      <c r="AF84" s="4"/>
    </row>
    <row r="85" spans="1:32" x14ac:dyDescent="0.3">
      <c r="A85" t="s">
        <v>3009</v>
      </c>
      <c r="B85" t="s">
        <v>3010</v>
      </c>
      <c r="F85" t="s">
        <v>2842</v>
      </c>
      <c r="G85" t="s">
        <v>2843</v>
      </c>
      <c r="H85" t="b">
        <v>1</v>
      </c>
      <c r="P85" t="s">
        <v>2844</v>
      </c>
      <c r="Q85" s="21">
        <v>46242</v>
      </c>
      <c r="R85" s="21">
        <v>46242</v>
      </c>
      <c r="S85">
        <f>IF($A85="","",COUNTIF(vendor_coverage_countries!$B:$B,$A85))</f>
        <v>1</v>
      </c>
      <c r="T85" t="str" cm="1">
        <f t="array" ref="T85">IF($A85="","",_xlfn.TEXTJOIN(", ",TRUE,IF(vendor_coverage_countries!$B$2:$B$296=$A85,vendor_coverage_countries!$C$2:$C$296,"")))</f>
        <v>ET</v>
      </c>
      <c r="U85" t="str">
        <f>IF($A85="","",IFERROR(INDEX(vendor_coverage_airports!$C$2:$C$296,MATCH($A85,vendor_coverage_airports!$B$2:$B$296,0)),""))</f>
        <v>HAAB</v>
      </c>
      <c r="W85">
        <f>IF($A85="","",COUNTIF(vendor_coverage_airports!$B:$B,$A85))</f>
        <v>1</v>
      </c>
      <c r="X85" s="9"/>
      <c r="Y85" s="9"/>
      <c r="Z85" s="4"/>
      <c r="AA85">
        <f>IF($A85="","",COUNTIF(vendor_coverage_airports!$B:$B,$A85))</f>
        <v>1</v>
      </c>
      <c r="AB85">
        <f>IF($A85="","",COUNTIFS(vendor_coverage_countries!$B:$B,$A85,vendor_coverage_countries!$D:$D,"YES"))</f>
        <v>0</v>
      </c>
      <c r="AC85" s="4"/>
      <c r="AD85" s="9"/>
      <c r="AE85" t="str">
        <f t="shared" si="1"/>
        <v>QUESTIONNAIRE OUTSTANDING</v>
      </c>
      <c r="AF85" s="4"/>
    </row>
    <row r="86" spans="1:32" x14ac:dyDescent="0.3">
      <c r="A86" t="s">
        <v>3011</v>
      </c>
      <c r="B86" t="s">
        <v>3012</v>
      </c>
      <c r="F86" t="s">
        <v>2842</v>
      </c>
      <c r="G86" t="s">
        <v>2843</v>
      </c>
      <c r="H86" t="b">
        <v>1</v>
      </c>
      <c r="P86" t="s">
        <v>2844</v>
      </c>
      <c r="Q86" s="21">
        <v>46242</v>
      </c>
      <c r="R86" s="21">
        <v>46242</v>
      </c>
      <c r="S86">
        <f>IF($A86="","",COUNTIF(vendor_coverage_countries!$B:$B,$A86))</f>
        <v>3</v>
      </c>
      <c r="T86" t="str" cm="1">
        <f t="array" ref="T86">IF($A86="","",_xlfn.TEXTJOIN(", ",TRUE,IF(vendor_coverage_countries!$B$2:$B$296=$A86,vendor_coverage_countries!$C$2:$C$296,"")))</f>
        <v>SO, DJ, AE</v>
      </c>
      <c r="U86" t="str">
        <f>IF($A86="","",IFERROR(INDEX(vendor_coverage_airports!$C$2:$C$296,MATCH($A86,vendor_coverage_airports!$B$2:$B$296,0)),""))</f>
        <v>HCMM</v>
      </c>
      <c r="W86">
        <f>IF($A86="","",COUNTIF(vendor_coverage_airports!$B:$B,$A86))</f>
        <v>3</v>
      </c>
      <c r="X86" s="9"/>
      <c r="Y86" s="9"/>
      <c r="Z86" s="4"/>
      <c r="AA86">
        <f>IF($A86="","",COUNTIF(vendor_coverage_airports!$B:$B,$A86))</f>
        <v>3</v>
      </c>
      <c r="AB86">
        <f>IF($A86="","",COUNTIFS(vendor_coverage_countries!$B:$B,$A86,vendor_coverage_countries!$D:$D,"YES"))</f>
        <v>0</v>
      </c>
      <c r="AC86" s="4"/>
      <c r="AD86" s="9"/>
      <c r="AE86" t="str">
        <f t="shared" si="1"/>
        <v>QUESTIONNAIRE OUTSTANDING</v>
      </c>
      <c r="AF86" s="4"/>
    </row>
    <row r="87" spans="1:32" x14ac:dyDescent="0.3">
      <c r="A87" t="s">
        <v>3013</v>
      </c>
      <c r="B87" t="s">
        <v>3014</v>
      </c>
      <c r="F87" t="s">
        <v>2842</v>
      </c>
      <c r="G87" t="s">
        <v>2843</v>
      </c>
      <c r="H87" t="b">
        <v>1</v>
      </c>
      <c r="P87" t="s">
        <v>2844</v>
      </c>
      <c r="Q87" s="21">
        <v>46242</v>
      </c>
      <c r="R87" s="21">
        <v>46242</v>
      </c>
      <c r="S87">
        <f>IF($A87="","",COUNTIF(vendor_coverage_countries!$B:$B,$A87))</f>
        <v>3</v>
      </c>
      <c r="T87" t="str" cm="1">
        <f t="array" ref="T87">IF($A87="","",_xlfn.TEXTJOIN(", ",TRUE,IF(vendor_coverage_countries!$B$2:$B$296=$A87,vendor_coverage_countries!$C$2:$C$296,"")))</f>
        <v>CG, SL, QA</v>
      </c>
      <c r="U87" t="str">
        <f>IF($A87="","",IFERROR(INDEX(vendor_coverage_airports!$C$2:$C$296,MATCH($A87,vendor_coverage_airports!$B$2:$B$296,0)),""))</f>
        <v>FCBB</v>
      </c>
      <c r="W87">
        <f>IF($A87="","",COUNTIF(vendor_coverage_airports!$B:$B,$A87))</f>
        <v>3</v>
      </c>
      <c r="X87" s="9"/>
      <c r="Y87" s="9"/>
      <c r="Z87" s="4"/>
      <c r="AA87">
        <f>IF($A87="","",COUNTIF(vendor_coverage_airports!$B:$B,$A87))</f>
        <v>3</v>
      </c>
      <c r="AB87">
        <f>IF($A87="","",COUNTIFS(vendor_coverage_countries!$B:$B,$A87,vendor_coverage_countries!$D:$D,"YES"))</f>
        <v>0</v>
      </c>
      <c r="AC87" s="4"/>
      <c r="AD87" s="9"/>
      <c r="AE87" t="str">
        <f t="shared" si="1"/>
        <v>QUESTIONNAIRE OUTSTANDING</v>
      </c>
      <c r="AF87" s="4"/>
    </row>
    <row r="88" spans="1:32" x14ac:dyDescent="0.3">
      <c r="A88" t="s">
        <v>3015</v>
      </c>
      <c r="B88" t="s">
        <v>3016</v>
      </c>
      <c r="F88" t="s">
        <v>2842</v>
      </c>
      <c r="G88" t="s">
        <v>2843</v>
      </c>
      <c r="H88" t="b">
        <v>1</v>
      </c>
      <c r="P88" t="s">
        <v>2844</v>
      </c>
      <c r="Q88" s="21">
        <v>46242</v>
      </c>
      <c r="R88" s="21">
        <v>46242</v>
      </c>
      <c r="S88">
        <f>IF($A88="","",COUNTIF(vendor_coverage_countries!$B:$B,$A88))</f>
        <v>1</v>
      </c>
      <c r="T88" t="str" cm="1">
        <f t="array" ref="T88">IF($A88="","",_xlfn.TEXTJOIN(", ",TRUE,IF(vendor_coverage_countries!$B$2:$B$296=$A88,vendor_coverage_countries!$C$2:$C$296,"")))</f>
        <v>MR</v>
      </c>
      <c r="U88" t="str">
        <f>IF($A88="","",IFERROR(INDEX(vendor_coverage_airports!$C$2:$C$296,MATCH($A88,vendor_coverage_airports!$B$2:$B$296,0)),""))</f>
        <v>GQNO</v>
      </c>
      <c r="W88">
        <f>IF($A88="","",COUNTIF(vendor_coverage_airports!$B:$B,$A88))</f>
        <v>1</v>
      </c>
      <c r="X88" s="9"/>
      <c r="Y88" s="9"/>
      <c r="Z88" s="4"/>
      <c r="AA88">
        <f>IF($A88="","",COUNTIF(vendor_coverage_airports!$B:$B,$A88))</f>
        <v>1</v>
      </c>
      <c r="AB88">
        <f>IF($A88="","",COUNTIFS(vendor_coverage_countries!$B:$B,$A88,vendor_coverage_countries!$D:$D,"YES"))</f>
        <v>0</v>
      </c>
      <c r="AC88" s="4"/>
      <c r="AD88" s="9"/>
      <c r="AE88" t="str">
        <f t="shared" si="1"/>
        <v>QUESTIONNAIRE OUTSTANDING</v>
      </c>
      <c r="AF88" s="4"/>
    </row>
    <row r="89" spans="1:32" x14ac:dyDescent="0.3">
      <c r="A89" t="s">
        <v>3017</v>
      </c>
      <c r="B89" t="s">
        <v>3018</v>
      </c>
      <c r="F89" t="s">
        <v>2842</v>
      </c>
      <c r="G89" t="s">
        <v>2843</v>
      </c>
      <c r="H89" t="b">
        <v>1</v>
      </c>
      <c r="P89" t="s">
        <v>2844</v>
      </c>
      <c r="Q89" s="21">
        <v>46242</v>
      </c>
      <c r="R89" s="21">
        <v>46242</v>
      </c>
      <c r="S89">
        <f>IF($A89="","",COUNTIF(vendor_coverage_countries!$B:$B,$A89))</f>
        <v>1</v>
      </c>
      <c r="T89" t="str" cm="1">
        <f t="array" ref="T89">IF($A89="","",_xlfn.TEXTJOIN(", ",TRUE,IF(vendor_coverage_countries!$B$2:$B$296=$A89,vendor_coverage_countries!$C$2:$C$296,"")))</f>
        <v>MR</v>
      </c>
      <c r="U89" t="str">
        <f>IF($A89="","",IFERROR(INDEX(vendor_coverage_airports!$C$2:$C$296,MATCH($A89,vendor_coverage_airports!$B$2:$B$296,0)),""))</f>
        <v>GQNO</v>
      </c>
      <c r="W89">
        <f>IF($A89="","",COUNTIF(vendor_coverage_airports!$B:$B,$A89))</f>
        <v>1</v>
      </c>
      <c r="X89" s="9"/>
      <c r="Y89" s="9"/>
      <c r="Z89" s="4"/>
      <c r="AA89">
        <f>IF($A89="","",COUNTIF(vendor_coverage_airports!$B:$B,$A89))</f>
        <v>1</v>
      </c>
      <c r="AB89">
        <f>IF($A89="","",COUNTIFS(vendor_coverage_countries!$B:$B,$A89,vendor_coverage_countries!$D:$D,"YES"))</f>
        <v>0</v>
      </c>
      <c r="AC89" s="4"/>
      <c r="AD89" s="9"/>
      <c r="AE89" t="str">
        <f t="shared" si="1"/>
        <v>QUESTIONNAIRE OUTSTANDING</v>
      </c>
      <c r="AF89" s="4"/>
    </row>
    <row r="90" spans="1:32" x14ac:dyDescent="0.3">
      <c r="A90" t="s">
        <v>3019</v>
      </c>
      <c r="B90" t="s">
        <v>3020</v>
      </c>
      <c r="F90" t="s">
        <v>2842</v>
      </c>
      <c r="G90" t="s">
        <v>2843</v>
      </c>
      <c r="H90" t="b">
        <v>1</v>
      </c>
      <c r="P90" t="s">
        <v>2844</v>
      </c>
      <c r="Q90" s="21">
        <v>46242</v>
      </c>
      <c r="R90" s="21">
        <v>46242</v>
      </c>
      <c r="S90">
        <f>IF($A90="","",COUNTIF(vendor_coverage_countries!$B:$B,$A90))</f>
        <v>1</v>
      </c>
      <c r="T90" t="str" cm="1">
        <f t="array" ref="T90">IF($A90="","",_xlfn.TEXTJOIN(", ",TRUE,IF(vendor_coverage_countries!$B$2:$B$296=$A90,vendor_coverage_countries!$C$2:$C$296,"")))</f>
        <v>TN</v>
      </c>
      <c r="U90" t="str">
        <f>IF($A90="","",IFERROR(INDEX(vendor_coverage_airports!$C$2:$C$296,MATCH($A90,vendor_coverage_airports!$B$2:$B$296,0)),""))</f>
        <v>DTTA</v>
      </c>
      <c r="W90">
        <f>IF($A90="","",COUNTIF(vendor_coverage_airports!$B:$B,$A90))</f>
        <v>1</v>
      </c>
      <c r="X90" s="9"/>
      <c r="Y90" s="9"/>
      <c r="Z90" s="4"/>
      <c r="AA90">
        <f>IF($A90="","",COUNTIF(vendor_coverage_airports!$B:$B,$A90))</f>
        <v>1</v>
      </c>
      <c r="AB90">
        <f>IF($A90="","",COUNTIFS(vendor_coverage_countries!$B:$B,$A90,vendor_coverage_countries!$D:$D,"YES"))</f>
        <v>0</v>
      </c>
      <c r="AC90" s="4"/>
      <c r="AD90" s="9"/>
      <c r="AE90" t="str">
        <f t="shared" si="1"/>
        <v>QUESTIONNAIRE OUTSTANDING</v>
      </c>
      <c r="AF90" s="4"/>
    </row>
    <row r="91" spans="1:32" x14ac:dyDescent="0.3">
      <c r="A91" t="s">
        <v>3021</v>
      </c>
      <c r="B91" t="s">
        <v>3022</v>
      </c>
      <c r="F91" t="s">
        <v>2842</v>
      </c>
      <c r="G91" t="s">
        <v>2843</v>
      </c>
      <c r="H91" t="b">
        <v>1</v>
      </c>
      <c r="P91" t="s">
        <v>2844</v>
      </c>
      <c r="Q91" s="21">
        <v>46242</v>
      </c>
      <c r="R91" s="21">
        <v>46242</v>
      </c>
      <c r="S91">
        <f>IF($A91="","",COUNTIF(vendor_coverage_countries!$B:$B,$A91))</f>
        <v>1</v>
      </c>
      <c r="T91" t="str" cm="1">
        <f t="array" ref="T91">IF($A91="","",_xlfn.TEXTJOIN(", ",TRUE,IF(vendor_coverage_countries!$B$2:$B$296=$A91,vendor_coverage_countries!$C$2:$C$296,"")))</f>
        <v>DJ</v>
      </c>
      <c r="U91" t="str">
        <f>IF($A91="","",IFERROR(INDEX(vendor_coverage_airports!$C$2:$C$296,MATCH($A91,vendor_coverage_airports!$B$2:$B$296,0)),""))</f>
        <v>HDAM</v>
      </c>
      <c r="W91">
        <f>IF($A91="","",COUNTIF(vendor_coverage_airports!$B:$B,$A91))</f>
        <v>1</v>
      </c>
      <c r="X91" s="9"/>
      <c r="Y91" s="9"/>
      <c r="Z91" s="4"/>
      <c r="AA91">
        <f>IF($A91="","",COUNTIF(vendor_coverage_airports!$B:$B,$A91))</f>
        <v>1</v>
      </c>
      <c r="AB91">
        <f>IF($A91="","",COUNTIFS(vendor_coverage_countries!$B:$B,$A91,vendor_coverage_countries!$D:$D,"YES"))</f>
        <v>0</v>
      </c>
      <c r="AC91" s="4"/>
      <c r="AD91" s="9"/>
      <c r="AE91" t="str">
        <f t="shared" si="1"/>
        <v>QUESTIONNAIRE OUTSTANDING</v>
      </c>
      <c r="AF91" s="4"/>
    </row>
    <row r="92" spans="1:32" x14ac:dyDescent="0.3">
      <c r="A92" t="s">
        <v>3023</v>
      </c>
      <c r="B92" t="s">
        <v>3024</v>
      </c>
      <c r="F92" t="s">
        <v>2842</v>
      </c>
      <c r="G92" t="s">
        <v>2843</v>
      </c>
      <c r="H92" t="b">
        <v>1</v>
      </c>
      <c r="P92" t="s">
        <v>2844</v>
      </c>
      <c r="Q92" s="21">
        <v>46242</v>
      </c>
      <c r="R92" s="21">
        <v>46242</v>
      </c>
      <c r="S92">
        <f>IF($A92="","",COUNTIF(vendor_coverage_countries!$B:$B,$A92))</f>
        <v>1</v>
      </c>
      <c r="T92" t="str" cm="1">
        <f t="array" ref="T92">IF($A92="","",_xlfn.TEXTJOIN(", ",TRUE,IF(vendor_coverage_countries!$B$2:$B$296=$A92,vendor_coverage_countries!$C$2:$C$296,"")))</f>
        <v>MU</v>
      </c>
      <c r="U92" t="str">
        <f>IF($A92="","",IFERROR(INDEX(vendor_coverage_airports!$C$2:$C$296,MATCH($A92,vendor_coverage_airports!$B$2:$B$296,0)),""))</f>
        <v>FIMP</v>
      </c>
      <c r="W92">
        <f>IF($A92="","",COUNTIF(vendor_coverage_airports!$B:$B,$A92))</f>
        <v>1</v>
      </c>
      <c r="X92" s="9"/>
      <c r="Y92" s="9"/>
      <c r="Z92" s="4"/>
      <c r="AA92">
        <f>IF($A92="","",COUNTIF(vendor_coverage_airports!$B:$B,$A92))</f>
        <v>1</v>
      </c>
      <c r="AB92">
        <f>IF($A92="","",COUNTIFS(vendor_coverage_countries!$B:$B,$A92,vendor_coverage_countries!$D:$D,"YES"))</f>
        <v>0</v>
      </c>
      <c r="AC92" s="4"/>
      <c r="AD92" s="9"/>
      <c r="AE92" t="str">
        <f t="shared" si="1"/>
        <v>QUESTIONNAIRE OUTSTANDING</v>
      </c>
      <c r="AF92" s="4"/>
    </row>
    <row r="93" spans="1:32" x14ac:dyDescent="0.3">
      <c r="A93" t="s">
        <v>3025</v>
      </c>
      <c r="B93" t="s">
        <v>3026</v>
      </c>
      <c r="F93" t="s">
        <v>2842</v>
      </c>
      <c r="G93" t="s">
        <v>2843</v>
      </c>
      <c r="H93" t="b">
        <v>1</v>
      </c>
      <c r="P93" t="s">
        <v>2844</v>
      </c>
      <c r="Q93" s="21">
        <v>46242</v>
      </c>
      <c r="R93" s="21">
        <v>46242</v>
      </c>
      <c r="S93">
        <f>IF($A93="","",COUNTIF(vendor_coverage_countries!$B:$B,$A93))</f>
        <v>1</v>
      </c>
      <c r="T93" t="str" cm="1">
        <f t="array" ref="T93">IF($A93="","",_xlfn.TEXTJOIN(", ",TRUE,IF(vendor_coverage_countries!$B$2:$B$296=$A93,vendor_coverage_countries!$C$2:$C$296,"")))</f>
        <v>GN</v>
      </c>
      <c r="U93" t="str">
        <f>IF($A93="","",IFERROR(INDEX(vendor_coverage_airports!$C$2:$C$296,MATCH($A93,vendor_coverage_airports!$B$2:$B$296,0)),""))</f>
        <v>GUCY</v>
      </c>
      <c r="W93">
        <f>IF($A93="","",COUNTIF(vendor_coverage_airports!$B:$B,$A93))</f>
        <v>1</v>
      </c>
      <c r="X93" s="9"/>
      <c r="Y93" s="9"/>
      <c r="Z93" s="4"/>
      <c r="AA93">
        <f>IF($A93="","",COUNTIF(vendor_coverage_airports!$B:$B,$A93))</f>
        <v>1</v>
      </c>
      <c r="AB93">
        <f>IF($A93="","",COUNTIFS(vendor_coverage_countries!$B:$B,$A93,vendor_coverage_countries!$D:$D,"YES"))</f>
        <v>0</v>
      </c>
      <c r="AC93" s="4"/>
      <c r="AD93" s="9"/>
      <c r="AE93" t="str">
        <f t="shared" si="1"/>
        <v>QUESTIONNAIRE OUTSTANDING</v>
      </c>
      <c r="AF93" s="4"/>
    </row>
    <row r="94" spans="1:32" x14ac:dyDescent="0.3">
      <c r="A94" t="s">
        <v>3027</v>
      </c>
      <c r="B94" t="s">
        <v>3028</v>
      </c>
      <c r="F94" t="s">
        <v>2842</v>
      </c>
      <c r="G94" t="s">
        <v>2843</v>
      </c>
      <c r="H94" t="b">
        <v>1</v>
      </c>
      <c r="P94" t="s">
        <v>2844</v>
      </c>
      <c r="Q94" s="21">
        <v>46242</v>
      </c>
      <c r="R94" s="21">
        <v>46242</v>
      </c>
      <c r="S94">
        <f>IF($A94="","",COUNTIF(vendor_coverage_countries!$B:$B,$A94))</f>
        <v>1</v>
      </c>
      <c r="T94" t="str" cm="1">
        <f t="array" ref="T94">IF($A94="","",_xlfn.TEXTJOIN(", ",TRUE,IF(vendor_coverage_countries!$B$2:$B$296=$A94,vendor_coverage_countries!$C$2:$C$296,"")))</f>
        <v>LR</v>
      </c>
      <c r="U94" t="str">
        <f>IF($A94="","",IFERROR(INDEX(vendor_coverage_airports!$C$2:$C$296,MATCH($A94,vendor_coverage_airports!$B$2:$B$296,0)),""))</f>
        <v>GLRB</v>
      </c>
      <c r="W94">
        <f>IF($A94="","",COUNTIF(vendor_coverage_airports!$B:$B,$A94))</f>
        <v>1</v>
      </c>
      <c r="X94" s="9"/>
      <c r="Y94" s="9"/>
      <c r="Z94" s="4"/>
      <c r="AA94">
        <f>IF($A94="","",COUNTIF(vendor_coverage_airports!$B:$B,$A94))</f>
        <v>1</v>
      </c>
      <c r="AB94">
        <f>IF($A94="","",COUNTIFS(vendor_coverage_countries!$B:$B,$A94,vendor_coverage_countries!$D:$D,"YES"))</f>
        <v>0</v>
      </c>
      <c r="AC94" s="4"/>
      <c r="AD94" s="9"/>
      <c r="AE94" t="str">
        <f t="shared" si="1"/>
        <v>QUESTIONNAIRE OUTSTANDING</v>
      </c>
      <c r="AF94" s="4"/>
    </row>
    <row r="95" spans="1:32" x14ac:dyDescent="0.3">
      <c r="A95" t="s">
        <v>3029</v>
      </c>
      <c r="B95" t="s">
        <v>3030</v>
      </c>
      <c r="F95" t="s">
        <v>2842</v>
      </c>
      <c r="G95" t="s">
        <v>2843</v>
      </c>
      <c r="H95" t="b">
        <v>1</v>
      </c>
      <c r="P95" t="s">
        <v>2844</v>
      </c>
      <c r="Q95" s="21">
        <v>46242</v>
      </c>
      <c r="R95" s="21">
        <v>46242</v>
      </c>
      <c r="S95">
        <f>IF($A95="","",COUNTIF(vendor_coverage_countries!$B:$B,$A95))</f>
        <v>1</v>
      </c>
      <c r="T95" t="str" cm="1">
        <f t="array" ref="T95">IF($A95="","",_xlfn.TEXTJOIN(", ",TRUE,IF(vendor_coverage_countries!$B$2:$B$296=$A95,vendor_coverage_countries!$C$2:$C$296,"")))</f>
        <v>CM</v>
      </c>
      <c r="U95" t="str">
        <f>IF($A95="","",IFERROR(INDEX(vendor_coverage_airports!$C$2:$C$296,MATCH($A95,vendor_coverage_airports!$B$2:$B$296,0)),""))</f>
        <v>FKKD</v>
      </c>
      <c r="W95">
        <f>IF($A95="","",COUNTIF(vendor_coverage_airports!$B:$B,$A95))</f>
        <v>1</v>
      </c>
      <c r="X95" s="9"/>
      <c r="Y95" s="9"/>
      <c r="Z95" s="4"/>
      <c r="AA95">
        <f>IF($A95="","",COUNTIF(vendor_coverage_airports!$B:$B,$A95))</f>
        <v>1</v>
      </c>
      <c r="AB95">
        <f>IF($A95="","",COUNTIFS(vendor_coverage_countries!$B:$B,$A95,vendor_coverage_countries!$D:$D,"YES"))</f>
        <v>0</v>
      </c>
      <c r="AC95" s="4"/>
      <c r="AD95" s="9"/>
      <c r="AE95" t="str">
        <f t="shared" si="1"/>
        <v>QUESTIONNAIRE OUTSTANDING</v>
      </c>
      <c r="AF95" s="4"/>
    </row>
    <row r="96" spans="1:32" x14ac:dyDescent="0.3">
      <c r="A96" t="s">
        <v>3031</v>
      </c>
      <c r="B96" t="s">
        <v>3032</v>
      </c>
      <c r="F96" t="s">
        <v>2842</v>
      </c>
      <c r="G96" t="s">
        <v>2843</v>
      </c>
      <c r="H96" t="b">
        <v>1</v>
      </c>
      <c r="P96" t="s">
        <v>2844</v>
      </c>
      <c r="Q96" s="21">
        <v>46242</v>
      </c>
      <c r="R96" s="21">
        <v>46242</v>
      </c>
      <c r="S96">
        <f>IF($A96="","",COUNTIF(vendor_coverage_countries!$B:$B,$A96))</f>
        <v>1</v>
      </c>
      <c r="T96" t="str" cm="1">
        <f t="array" ref="T96">IF($A96="","",_xlfn.TEXTJOIN(", ",TRUE,IF(vendor_coverage_countries!$B$2:$B$296=$A96,vendor_coverage_countries!$C$2:$C$296,"")))</f>
        <v>BF</v>
      </c>
      <c r="U96" t="str">
        <f>IF($A96="","",IFERROR(INDEX(vendor_coverage_airports!$C$2:$C$296,MATCH($A96,vendor_coverage_airports!$B$2:$B$296,0)),""))</f>
        <v>DFFD</v>
      </c>
      <c r="W96">
        <f>IF($A96="","",COUNTIF(vendor_coverage_airports!$B:$B,$A96))</f>
        <v>1</v>
      </c>
      <c r="X96" s="9"/>
      <c r="Y96" s="9"/>
      <c r="Z96" s="4"/>
      <c r="AA96">
        <f>IF($A96="","",COUNTIF(vendor_coverage_airports!$B:$B,$A96))</f>
        <v>1</v>
      </c>
      <c r="AB96">
        <f>IF($A96="","",COUNTIFS(vendor_coverage_countries!$B:$B,$A96,vendor_coverage_countries!$D:$D,"YES"))</f>
        <v>0</v>
      </c>
      <c r="AC96" s="4"/>
      <c r="AD96" s="9"/>
      <c r="AE96" t="str">
        <f t="shared" si="1"/>
        <v>QUESTIONNAIRE OUTSTANDING</v>
      </c>
      <c r="AF96" s="4"/>
    </row>
    <row r="97" spans="1:32" x14ac:dyDescent="0.3">
      <c r="A97" t="s">
        <v>3033</v>
      </c>
      <c r="B97" t="s">
        <v>3034</v>
      </c>
      <c r="F97" t="s">
        <v>2842</v>
      </c>
      <c r="G97" t="s">
        <v>2843</v>
      </c>
      <c r="H97" t="b">
        <v>1</v>
      </c>
      <c r="P97" t="s">
        <v>2844</v>
      </c>
      <c r="Q97" s="21">
        <v>46242</v>
      </c>
      <c r="R97" s="21">
        <v>46242</v>
      </c>
      <c r="S97">
        <f>IF($A97="","",COUNTIF(vendor_coverage_countries!$B:$B,$A97))</f>
        <v>1</v>
      </c>
      <c r="T97" t="str" cm="1">
        <f t="array" ref="T97">IF($A97="","",_xlfn.TEXTJOIN(", ",TRUE,IF(vendor_coverage_countries!$B$2:$B$296=$A97,vendor_coverage_countries!$C$2:$C$296,"")))</f>
        <v>SZ</v>
      </c>
      <c r="U97" t="str">
        <f>IF($A97="","",IFERROR(INDEX(vendor_coverage_airports!$C$2:$C$296,MATCH($A97,vendor_coverage_airports!$B$2:$B$296,0)),""))</f>
        <v>FDSK</v>
      </c>
      <c r="W97">
        <f>IF($A97="","",COUNTIF(vendor_coverage_airports!$B:$B,$A97))</f>
        <v>1</v>
      </c>
      <c r="X97" s="9"/>
      <c r="Y97" s="9"/>
      <c r="Z97" s="4"/>
      <c r="AA97">
        <f>IF($A97="","",COUNTIF(vendor_coverage_airports!$B:$B,$A97))</f>
        <v>1</v>
      </c>
      <c r="AB97">
        <f>IF($A97="","",COUNTIFS(vendor_coverage_countries!$B:$B,$A97,vendor_coverage_countries!$D:$D,"YES"))</f>
        <v>0</v>
      </c>
      <c r="AC97" s="4"/>
      <c r="AD97" s="9"/>
      <c r="AE97" t="str">
        <f t="shared" si="1"/>
        <v>QUESTIONNAIRE OUTSTANDING</v>
      </c>
      <c r="AF97" s="4"/>
    </row>
    <row r="98" spans="1:32" x14ac:dyDescent="0.3">
      <c r="A98" t="s">
        <v>3035</v>
      </c>
      <c r="B98" t="s">
        <v>3036</v>
      </c>
      <c r="F98" t="s">
        <v>2842</v>
      </c>
      <c r="G98" t="s">
        <v>2843</v>
      </c>
      <c r="H98" t="b">
        <v>1</v>
      </c>
      <c r="P98" t="s">
        <v>2844</v>
      </c>
      <c r="Q98" s="21">
        <v>46242</v>
      </c>
      <c r="R98" s="21">
        <v>46242</v>
      </c>
      <c r="S98">
        <f>IF($A98="","",COUNTIF(vendor_coverage_countries!$B:$B,$A98))</f>
        <v>1</v>
      </c>
      <c r="T98" t="str" cm="1">
        <f t="array" ref="T98">IF($A98="","",_xlfn.TEXTJOIN(", ",TRUE,IF(vendor_coverage_countries!$B$2:$B$296=$A98,vendor_coverage_countries!$C$2:$C$296,"")))</f>
        <v>ML</v>
      </c>
      <c r="U98" t="str">
        <f>IF($A98="","",IFERROR(INDEX(vendor_coverage_airports!$C$2:$C$296,MATCH($A98,vendor_coverage_airports!$B$2:$B$296,0)),""))</f>
        <v>GABS</v>
      </c>
      <c r="W98">
        <f>IF($A98="","",COUNTIF(vendor_coverage_airports!$B:$B,$A98))</f>
        <v>1</v>
      </c>
      <c r="X98" s="9"/>
      <c r="Y98" s="9"/>
      <c r="Z98" s="4"/>
      <c r="AA98">
        <f>IF($A98="","",COUNTIF(vendor_coverage_airports!$B:$B,$A98))</f>
        <v>1</v>
      </c>
      <c r="AB98">
        <f>IF($A98="","",COUNTIFS(vendor_coverage_countries!$B:$B,$A98,vendor_coverage_countries!$D:$D,"YES"))</f>
        <v>0</v>
      </c>
      <c r="AC98" s="4"/>
      <c r="AD98" s="9"/>
      <c r="AE98" t="str">
        <f t="shared" si="1"/>
        <v>QUESTIONNAIRE OUTSTANDING</v>
      </c>
      <c r="AF98" s="4"/>
    </row>
    <row r="99" spans="1:32" x14ac:dyDescent="0.3">
      <c r="A99" t="s">
        <v>3037</v>
      </c>
      <c r="B99" t="s">
        <v>3038</v>
      </c>
      <c r="F99" t="s">
        <v>2842</v>
      </c>
      <c r="G99" t="s">
        <v>2843</v>
      </c>
      <c r="H99" t="b">
        <v>1</v>
      </c>
      <c r="P99" t="s">
        <v>2844</v>
      </c>
      <c r="Q99" s="21">
        <v>46242</v>
      </c>
      <c r="R99" s="21">
        <v>46242</v>
      </c>
      <c r="S99">
        <f>IF($A99="","",COUNTIF(vendor_coverage_countries!$B:$B,$A99))</f>
        <v>1</v>
      </c>
      <c r="T99" t="str" cm="1">
        <f t="array" ref="T99">IF($A99="","",_xlfn.TEXTJOIN(", ",TRUE,IF(vendor_coverage_countries!$B$2:$B$296=$A99,vendor_coverage_countries!$C$2:$C$296,"")))</f>
        <v>SA</v>
      </c>
      <c r="U99" t="str">
        <f>IF($A99="","",IFERROR(INDEX(vendor_coverage_airports!$C$2:$C$296,MATCH($A99,vendor_coverage_airports!$B$2:$B$296,0)),""))</f>
        <v>OEJN</v>
      </c>
      <c r="W99">
        <f>IF($A99="","",COUNTIF(vendor_coverage_airports!$B:$B,$A99))</f>
        <v>1</v>
      </c>
      <c r="X99" s="9"/>
      <c r="Y99" s="9"/>
      <c r="Z99" s="4"/>
      <c r="AA99">
        <f>IF($A99="","",COUNTIF(vendor_coverage_airports!$B:$B,$A99))</f>
        <v>1</v>
      </c>
      <c r="AB99">
        <f>IF($A99="","",COUNTIFS(vendor_coverage_countries!$B:$B,$A99,vendor_coverage_countries!$D:$D,"YES"))</f>
        <v>0</v>
      </c>
      <c r="AC99" s="4"/>
      <c r="AD99" s="9"/>
      <c r="AE99" t="str">
        <f t="shared" si="1"/>
        <v>QUESTIONNAIRE OUTSTANDING</v>
      </c>
      <c r="AF99" s="4"/>
    </row>
    <row r="100" spans="1:32" x14ac:dyDescent="0.3">
      <c r="A100" t="s">
        <v>3039</v>
      </c>
      <c r="B100" t="s">
        <v>3040</v>
      </c>
      <c r="F100" t="s">
        <v>2842</v>
      </c>
      <c r="G100" t="s">
        <v>2843</v>
      </c>
      <c r="H100" t="b">
        <v>1</v>
      </c>
      <c r="P100" t="s">
        <v>2844</v>
      </c>
      <c r="Q100" s="21">
        <v>46242</v>
      </c>
      <c r="R100" s="21">
        <v>46242</v>
      </c>
      <c r="S100">
        <f>IF($A100="","",COUNTIF(vendor_coverage_countries!$B:$B,$A100))</f>
        <v>1</v>
      </c>
      <c r="T100" t="str" cm="1">
        <f t="array" ref="T100">IF($A100="","",_xlfn.TEXTJOIN(", ",TRUE,IF(vendor_coverage_countries!$B$2:$B$296=$A100,vendor_coverage_countries!$C$2:$C$296,"")))</f>
        <v>SA</v>
      </c>
      <c r="U100" t="str">
        <f>IF($A100="","",IFERROR(INDEX(vendor_coverage_airports!$C$2:$C$296,MATCH($A100,vendor_coverage_airports!$B$2:$B$296,0)),""))</f>
        <v>OERK</v>
      </c>
      <c r="W100">
        <f>IF($A100="","",COUNTIF(vendor_coverage_airports!$B:$B,$A100))</f>
        <v>1</v>
      </c>
      <c r="X100" s="9"/>
      <c r="Y100" s="9"/>
      <c r="Z100" s="4"/>
      <c r="AA100">
        <f>IF($A100="","",COUNTIF(vendor_coverage_airports!$B:$B,$A100))</f>
        <v>1</v>
      </c>
      <c r="AB100">
        <f>IF($A100="","",COUNTIFS(vendor_coverage_countries!$B:$B,$A100,vendor_coverage_countries!$D:$D,"YES"))</f>
        <v>0</v>
      </c>
      <c r="AC100" s="4"/>
      <c r="AD100" s="9"/>
      <c r="AE100" t="str">
        <f t="shared" si="1"/>
        <v>QUESTIONNAIRE OUTSTANDING</v>
      </c>
      <c r="AF100" s="4"/>
    </row>
    <row r="101" spans="1:32" x14ac:dyDescent="0.3">
      <c r="A101" t="s">
        <v>3041</v>
      </c>
      <c r="B101" t="s">
        <v>3042</v>
      </c>
      <c r="F101" t="s">
        <v>2842</v>
      </c>
      <c r="G101" t="s">
        <v>2843</v>
      </c>
      <c r="H101" t="b">
        <v>1</v>
      </c>
      <c r="P101" t="s">
        <v>2844</v>
      </c>
      <c r="Q101" s="21">
        <v>46242</v>
      </c>
      <c r="R101" s="21">
        <v>46242</v>
      </c>
      <c r="S101">
        <f>IF($A101="","",COUNTIF(vendor_coverage_countries!$B:$B,$A101))</f>
        <v>1</v>
      </c>
      <c r="T101" t="str" cm="1">
        <f t="array" ref="T101">IF($A101="","",_xlfn.TEXTJOIN(", ",TRUE,IF(vendor_coverage_countries!$B$2:$B$296=$A101,vendor_coverage_countries!$C$2:$C$296,"")))</f>
        <v>SA</v>
      </c>
      <c r="U101" t="str">
        <f>IF($A101="","",IFERROR(INDEX(vendor_coverage_airports!$C$2:$C$296,MATCH($A101,vendor_coverage_airports!$B$2:$B$296,0)),""))</f>
        <v>OERK</v>
      </c>
      <c r="W101">
        <f>IF($A101="","",COUNTIF(vendor_coverage_airports!$B:$B,$A101))</f>
        <v>1</v>
      </c>
      <c r="X101" s="9"/>
      <c r="Y101" s="9"/>
      <c r="Z101" s="4"/>
      <c r="AA101">
        <f>IF($A101="","",COUNTIF(vendor_coverage_airports!$B:$B,$A101))</f>
        <v>1</v>
      </c>
      <c r="AB101">
        <f>IF($A101="","",COUNTIFS(vendor_coverage_countries!$B:$B,$A101,vendor_coverage_countries!$D:$D,"YES"))</f>
        <v>0</v>
      </c>
      <c r="AC101" s="4"/>
      <c r="AD101" s="9"/>
      <c r="AE101" t="str">
        <f t="shared" si="1"/>
        <v>QUESTIONNAIRE OUTSTANDING</v>
      </c>
      <c r="AF101" s="4"/>
    </row>
    <row r="102" spans="1:32" x14ac:dyDescent="0.3">
      <c r="A102" t="s">
        <v>3043</v>
      </c>
      <c r="B102" t="s">
        <v>3044</v>
      </c>
      <c r="F102" t="s">
        <v>2842</v>
      </c>
      <c r="G102" t="s">
        <v>2843</v>
      </c>
      <c r="H102" t="b">
        <v>1</v>
      </c>
      <c r="P102" t="s">
        <v>2844</v>
      </c>
      <c r="Q102" s="21">
        <v>46242</v>
      </c>
      <c r="R102" s="21">
        <v>46242</v>
      </c>
      <c r="S102">
        <f>IF($A102="","",COUNTIF(vendor_coverage_countries!$B:$B,$A102))</f>
        <v>2</v>
      </c>
      <c r="T102" t="str" cm="1">
        <f t="array" ref="T102">IF($A102="","",_xlfn.TEXTJOIN(", ",TRUE,IF(vendor_coverage_countries!$B$2:$B$296=$A102,vendor_coverage_countries!$C$2:$C$296,"")))</f>
        <v>SA, AE</v>
      </c>
      <c r="U102" t="str">
        <f>IF($A102="","",IFERROR(INDEX(vendor_coverage_airports!$C$2:$C$296,MATCH($A102,vendor_coverage_airports!$B$2:$B$296,0)),""))</f>
        <v>OERK</v>
      </c>
      <c r="W102">
        <f>IF($A102="","",COUNTIF(vendor_coverage_airports!$B:$B,$A102))</f>
        <v>2</v>
      </c>
      <c r="X102" s="9"/>
      <c r="Y102" s="9"/>
      <c r="Z102" s="4"/>
      <c r="AA102">
        <f>IF($A102="","",COUNTIF(vendor_coverage_airports!$B:$B,$A102))</f>
        <v>2</v>
      </c>
      <c r="AB102">
        <f>IF($A102="","",COUNTIFS(vendor_coverage_countries!$B:$B,$A102,vendor_coverage_countries!$D:$D,"YES"))</f>
        <v>0</v>
      </c>
      <c r="AC102" s="4"/>
      <c r="AD102" s="9"/>
      <c r="AE102" t="str">
        <f t="shared" si="1"/>
        <v>QUESTIONNAIRE OUTSTANDING</v>
      </c>
      <c r="AF102" s="4"/>
    </row>
    <row r="103" spans="1:32" x14ac:dyDescent="0.3">
      <c r="A103" t="s">
        <v>3045</v>
      </c>
      <c r="B103" t="s">
        <v>3046</v>
      </c>
      <c r="F103" t="s">
        <v>2842</v>
      </c>
      <c r="G103" t="s">
        <v>2843</v>
      </c>
      <c r="H103" t="b">
        <v>1</v>
      </c>
      <c r="P103" t="s">
        <v>2844</v>
      </c>
      <c r="Q103" s="21">
        <v>46242</v>
      </c>
      <c r="R103" s="21">
        <v>46242</v>
      </c>
      <c r="S103">
        <f>IF($A103="","",COUNTIF(vendor_coverage_countries!$B:$B,$A103))</f>
        <v>2</v>
      </c>
      <c r="T103" t="str" cm="1">
        <f t="array" ref="T103">IF($A103="","",_xlfn.TEXTJOIN(", ",TRUE,IF(vendor_coverage_countries!$B$2:$B$296=$A103,vendor_coverage_countries!$C$2:$C$296,"")))</f>
        <v>SA, OM</v>
      </c>
      <c r="U103" t="str">
        <f>IF($A103="","",IFERROR(INDEX(vendor_coverage_airports!$C$2:$C$296,MATCH($A103,vendor_coverage_airports!$B$2:$B$296,0)),""))</f>
        <v>OERK</v>
      </c>
      <c r="W103">
        <f>IF($A103="","",COUNTIF(vendor_coverage_airports!$B:$B,$A103))</f>
        <v>2</v>
      </c>
      <c r="X103" s="9"/>
      <c r="Y103" s="9"/>
      <c r="Z103" s="4"/>
      <c r="AA103">
        <f>IF($A103="","",COUNTIF(vendor_coverage_airports!$B:$B,$A103))</f>
        <v>2</v>
      </c>
      <c r="AB103">
        <f>IF($A103="","",COUNTIFS(vendor_coverage_countries!$B:$B,$A103,vendor_coverage_countries!$D:$D,"YES"))</f>
        <v>0</v>
      </c>
      <c r="AC103" s="4"/>
      <c r="AD103" s="9"/>
      <c r="AE103" t="str">
        <f t="shared" si="1"/>
        <v>QUESTIONNAIRE OUTSTANDING</v>
      </c>
      <c r="AF103" s="4"/>
    </row>
    <row r="104" spans="1:32" x14ac:dyDescent="0.3">
      <c r="A104" t="s">
        <v>3047</v>
      </c>
      <c r="B104" t="s">
        <v>3048</v>
      </c>
      <c r="F104" t="s">
        <v>2842</v>
      </c>
      <c r="G104" t="s">
        <v>2843</v>
      </c>
      <c r="H104" t="b">
        <v>1</v>
      </c>
      <c r="P104" t="s">
        <v>2844</v>
      </c>
      <c r="Q104" s="21">
        <v>46242</v>
      </c>
      <c r="R104" s="21">
        <v>46242</v>
      </c>
      <c r="S104">
        <f>IF($A104="","",COUNTIF(vendor_coverage_countries!$B:$B,$A104))</f>
        <v>1</v>
      </c>
      <c r="T104" t="str" cm="1">
        <f t="array" ref="T104">IF($A104="","",_xlfn.TEXTJOIN(", ",TRUE,IF(vendor_coverage_countries!$B$2:$B$296=$A104,vendor_coverage_countries!$C$2:$C$296,"")))</f>
        <v>AE</v>
      </c>
      <c r="U104" t="str">
        <f>IF($A104="","",IFERROR(INDEX(vendor_coverage_airports!$C$2:$C$296,MATCH($A104,vendor_coverage_airports!$B$2:$B$296,0)),""))</f>
        <v>OMAD</v>
      </c>
      <c r="W104">
        <f>IF($A104="","",COUNTIF(vendor_coverage_airports!$B:$B,$A104))</f>
        <v>1</v>
      </c>
      <c r="X104" s="9"/>
      <c r="Y104" s="9"/>
      <c r="Z104" s="4"/>
      <c r="AA104">
        <f>IF($A104="","",COUNTIF(vendor_coverage_airports!$B:$B,$A104))</f>
        <v>1</v>
      </c>
      <c r="AB104">
        <f>IF($A104="","",COUNTIFS(vendor_coverage_countries!$B:$B,$A104,vendor_coverage_countries!$D:$D,"YES"))</f>
        <v>0</v>
      </c>
      <c r="AC104" s="4"/>
      <c r="AD104" s="9"/>
      <c r="AE104" t="str">
        <f t="shared" si="1"/>
        <v>QUESTIONNAIRE OUTSTANDING</v>
      </c>
      <c r="AF104" s="4"/>
    </row>
    <row r="105" spans="1:32" x14ac:dyDescent="0.3">
      <c r="A105" t="s">
        <v>3049</v>
      </c>
      <c r="B105" t="s">
        <v>3050</v>
      </c>
      <c r="F105" t="s">
        <v>2842</v>
      </c>
      <c r="G105" t="s">
        <v>2843</v>
      </c>
      <c r="H105" t="b">
        <v>1</v>
      </c>
      <c r="P105" t="s">
        <v>2844</v>
      </c>
      <c r="Q105" s="21">
        <v>46242</v>
      </c>
      <c r="R105" s="21">
        <v>46242</v>
      </c>
      <c r="S105">
        <f>IF($A105="","",COUNTIF(vendor_coverage_countries!$B:$B,$A105))</f>
        <v>1</v>
      </c>
      <c r="T105" t="str" cm="1">
        <f t="array" ref="T105">IF($A105="","",_xlfn.TEXTJOIN(", ",TRUE,IF(vendor_coverage_countries!$B$2:$B$296=$A105,vendor_coverage_countries!$C$2:$C$296,"")))</f>
        <v>AE</v>
      </c>
      <c r="U105" t="str">
        <f>IF($A105="","",IFERROR(INDEX(vendor_coverage_airports!$C$2:$C$296,MATCH($A105,vendor_coverage_airports!$B$2:$B$296,0)),""))</f>
        <v>OMDB</v>
      </c>
      <c r="W105">
        <f>IF($A105="","",COUNTIF(vendor_coverage_airports!$B:$B,$A105))</f>
        <v>1</v>
      </c>
      <c r="X105" s="9"/>
      <c r="Y105" s="9"/>
      <c r="Z105" s="4"/>
      <c r="AA105">
        <f>IF($A105="","",COUNTIF(vendor_coverage_airports!$B:$B,$A105))</f>
        <v>1</v>
      </c>
      <c r="AB105">
        <f>IF($A105="","",COUNTIFS(vendor_coverage_countries!$B:$B,$A105,vendor_coverage_countries!$D:$D,"YES"))</f>
        <v>0</v>
      </c>
      <c r="AC105" s="4"/>
      <c r="AD105" s="9"/>
      <c r="AE105" t="str">
        <f t="shared" si="1"/>
        <v>QUESTIONNAIRE OUTSTANDING</v>
      </c>
      <c r="AF105" s="4"/>
    </row>
    <row r="106" spans="1:32" x14ac:dyDescent="0.3">
      <c r="A106" t="s">
        <v>3051</v>
      </c>
      <c r="B106" t="s">
        <v>3052</v>
      </c>
      <c r="F106" t="s">
        <v>2842</v>
      </c>
      <c r="G106" t="s">
        <v>2843</v>
      </c>
      <c r="H106" t="b">
        <v>1</v>
      </c>
      <c r="P106" t="s">
        <v>2844</v>
      </c>
      <c r="Q106" s="21">
        <v>46242</v>
      </c>
      <c r="R106" s="21">
        <v>46242</v>
      </c>
      <c r="S106">
        <f>IF($A106="","",COUNTIF(vendor_coverage_countries!$B:$B,$A106))</f>
        <v>1</v>
      </c>
      <c r="T106" t="str" cm="1">
        <f t="array" ref="T106">IF($A106="","",_xlfn.TEXTJOIN(", ",TRUE,IF(vendor_coverage_countries!$B$2:$B$296=$A106,vendor_coverage_countries!$C$2:$C$296,"")))</f>
        <v>AE</v>
      </c>
      <c r="U106" t="str">
        <f>IF($A106="","",IFERROR(INDEX(vendor_coverage_airports!$C$2:$C$296,MATCH($A106,vendor_coverage_airports!$B$2:$B$296,0)),""))</f>
        <v>OMDB</v>
      </c>
      <c r="W106">
        <f>IF($A106="","",COUNTIF(vendor_coverage_airports!$B:$B,$A106))</f>
        <v>1</v>
      </c>
      <c r="X106" s="9"/>
      <c r="Y106" s="9"/>
      <c r="Z106" s="4"/>
      <c r="AA106">
        <f>IF($A106="","",COUNTIF(vendor_coverage_airports!$B:$B,$A106))</f>
        <v>1</v>
      </c>
      <c r="AB106">
        <f>IF($A106="","",COUNTIFS(vendor_coverage_countries!$B:$B,$A106,vendor_coverage_countries!$D:$D,"YES"))</f>
        <v>0</v>
      </c>
      <c r="AC106" s="4"/>
      <c r="AD106" s="9"/>
      <c r="AE106" t="str">
        <f t="shared" si="1"/>
        <v>QUESTIONNAIRE OUTSTANDING</v>
      </c>
      <c r="AF106" s="4"/>
    </row>
    <row r="107" spans="1:32" x14ac:dyDescent="0.3">
      <c r="A107" t="s">
        <v>3053</v>
      </c>
      <c r="B107" t="s">
        <v>3054</v>
      </c>
      <c r="F107" t="s">
        <v>2842</v>
      </c>
      <c r="G107" t="s">
        <v>2843</v>
      </c>
      <c r="H107" t="b">
        <v>1</v>
      </c>
      <c r="P107" t="s">
        <v>2844</v>
      </c>
      <c r="Q107" s="21">
        <v>46242</v>
      </c>
      <c r="R107" s="21">
        <v>46242</v>
      </c>
      <c r="S107">
        <f>IF($A107="","",COUNTIF(vendor_coverage_countries!$B:$B,$A107))</f>
        <v>1</v>
      </c>
      <c r="T107" t="str" cm="1">
        <f t="array" ref="T107">IF($A107="","",_xlfn.TEXTJOIN(", ",TRUE,IF(vendor_coverage_countries!$B$2:$B$296=$A107,vendor_coverage_countries!$C$2:$C$296,"")))</f>
        <v>AE</v>
      </c>
      <c r="U107" t="str">
        <f>IF($A107="","",IFERROR(INDEX(vendor_coverage_airports!$C$2:$C$296,MATCH($A107,vendor_coverage_airports!$B$2:$B$296,0)),""))</f>
        <v>OMDB</v>
      </c>
      <c r="W107">
        <f>IF($A107="","",COUNTIF(vendor_coverage_airports!$B:$B,$A107))</f>
        <v>1</v>
      </c>
      <c r="X107" s="9"/>
      <c r="Y107" s="9"/>
      <c r="Z107" s="4"/>
      <c r="AA107">
        <f>IF($A107="","",COUNTIF(vendor_coverage_airports!$B:$B,$A107))</f>
        <v>1</v>
      </c>
      <c r="AB107">
        <f>IF($A107="","",COUNTIFS(vendor_coverage_countries!$B:$B,$A107,vendor_coverage_countries!$D:$D,"YES"))</f>
        <v>0</v>
      </c>
      <c r="AC107" s="4"/>
      <c r="AD107" s="9"/>
      <c r="AE107" t="str">
        <f t="shared" si="1"/>
        <v>QUESTIONNAIRE OUTSTANDING</v>
      </c>
      <c r="AF107" s="4"/>
    </row>
    <row r="108" spans="1:32" x14ac:dyDescent="0.3">
      <c r="A108" t="s">
        <v>3055</v>
      </c>
      <c r="B108" t="s">
        <v>3056</v>
      </c>
      <c r="F108" t="s">
        <v>2842</v>
      </c>
      <c r="G108" t="s">
        <v>2843</v>
      </c>
      <c r="H108" t="b">
        <v>1</v>
      </c>
      <c r="P108" t="s">
        <v>2844</v>
      </c>
      <c r="Q108" s="21">
        <v>46242</v>
      </c>
      <c r="R108" s="21">
        <v>46242</v>
      </c>
      <c r="S108">
        <f>IF($A108="","",COUNTIF(vendor_coverage_countries!$B:$B,$A108))</f>
        <v>1</v>
      </c>
      <c r="T108" t="str" cm="1">
        <f t="array" ref="T108">IF($A108="","",_xlfn.TEXTJOIN(", ",TRUE,IF(vendor_coverage_countries!$B$2:$B$296=$A108,vendor_coverage_countries!$C$2:$C$296,"")))</f>
        <v>AE</v>
      </c>
      <c r="U108" t="str">
        <f>IF($A108="","",IFERROR(INDEX(vendor_coverage_airports!$C$2:$C$296,MATCH($A108,vendor_coverage_airports!$B$2:$B$296,0)),""))</f>
        <v>OMDB</v>
      </c>
      <c r="W108">
        <f>IF($A108="","",COUNTIF(vendor_coverage_airports!$B:$B,$A108))</f>
        <v>1</v>
      </c>
      <c r="X108" s="9"/>
      <c r="Y108" s="9"/>
      <c r="Z108" s="4"/>
      <c r="AA108">
        <f>IF($A108="","",COUNTIF(vendor_coverage_airports!$B:$B,$A108))</f>
        <v>1</v>
      </c>
      <c r="AB108">
        <f>IF($A108="","",COUNTIFS(vendor_coverage_countries!$B:$B,$A108,vendor_coverage_countries!$D:$D,"YES"))</f>
        <v>0</v>
      </c>
      <c r="AC108" s="4"/>
      <c r="AD108" s="9"/>
      <c r="AE108" t="str">
        <f t="shared" si="1"/>
        <v>QUESTIONNAIRE OUTSTANDING</v>
      </c>
      <c r="AF108" s="4"/>
    </row>
    <row r="109" spans="1:32" x14ac:dyDescent="0.3">
      <c r="A109" t="s">
        <v>3057</v>
      </c>
      <c r="B109" t="s">
        <v>3058</v>
      </c>
      <c r="F109" t="s">
        <v>2842</v>
      </c>
      <c r="G109" t="s">
        <v>2843</v>
      </c>
      <c r="H109" t="b">
        <v>1</v>
      </c>
      <c r="P109" t="s">
        <v>2844</v>
      </c>
      <c r="Q109" s="21">
        <v>46242</v>
      </c>
      <c r="R109" s="21">
        <v>46242</v>
      </c>
      <c r="S109">
        <f>IF($A109="","",COUNTIF(vendor_coverage_countries!$B:$B,$A109))</f>
        <v>2</v>
      </c>
      <c r="T109" t="str" cm="1">
        <f t="array" ref="T109">IF($A109="","",_xlfn.TEXTJOIN(", ",TRUE,IF(vendor_coverage_countries!$B$2:$B$296=$A109,vendor_coverage_countries!$C$2:$C$296,"")))</f>
        <v>AE, IQ</v>
      </c>
      <c r="U109" t="str">
        <f>IF($A109="","",IFERROR(INDEX(vendor_coverage_airports!$C$2:$C$296,MATCH($A109,vendor_coverage_airports!$B$2:$B$296,0)),""))</f>
        <v>OMDB</v>
      </c>
      <c r="W109">
        <f>IF($A109="","",COUNTIF(vendor_coverage_airports!$B:$B,$A109))</f>
        <v>2</v>
      </c>
      <c r="X109" s="9"/>
      <c r="Y109" s="9"/>
      <c r="Z109" s="4"/>
      <c r="AA109">
        <f>IF($A109="","",COUNTIF(vendor_coverage_airports!$B:$B,$A109))</f>
        <v>2</v>
      </c>
      <c r="AB109">
        <f>IF($A109="","",COUNTIFS(vendor_coverage_countries!$B:$B,$A109,vendor_coverage_countries!$D:$D,"YES"))</f>
        <v>0</v>
      </c>
      <c r="AC109" s="4"/>
      <c r="AD109" s="9"/>
      <c r="AE109" t="str">
        <f t="shared" si="1"/>
        <v>QUESTIONNAIRE OUTSTANDING</v>
      </c>
      <c r="AF109" s="4"/>
    </row>
    <row r="110" spans="1:32" x14ac:dyDescent="0.3">
      <c r="A110" t="s">
        <v>3059</v>
      </c>
      <c r="B110" t="s">
        <v>3060</v>
      </c>
      <c r="F110" t="s">
        <v>2842</v>
      </c>
      <c r="G110" t="s">
        <v>2843</v>
      </c>
      <c r="H110" t="b">
        <v>1</v>
      </c>
      <c r="P110" t="s">
        <v>2844</v>
      </c>
      <c r="Q110" s="21">
        <v>46242</v>
      </c>
      <c r="R110" s="21">
        <v>46242</v>
      </c>
      <c r="S110">
        <f>IF($A110="","",COUNTIF(vendor_coverage_countries!$B:$B,$A110))</f>
        <v>1</v>
      </c>
      <c r="T110" t="str" cm="1">
        <f t="array" ref="T110">IF($A110="","",_xlfn.TEXTJOIN(", ",TRUE,IF(vendor_coverage_countries!$B$2:$B$296=$A110,vendor_coverage_countries!$C$2:$C$296,"")))</f>
        <v>AE</v>
      </c>
      <c r="U110" t="str">
        <f>IF($A110="","",IFERROR(INDEX(vendor_coverage_airports!$C$2:$C$296,MATCH($A110,vendor_coverage_airports!$B$2:$B$296,0)),""))</f>
        <v>OMDB</v>
      </c>
      <c r="W110">
        <f>IF($A110="","",COUNTIF(vendor_coverage_airports!$B:$B,$A110))</f>
        <v>1</v>
      </c>
      <c r="X110" s="9"/>
      <c r="Y110" s="9"/>
      <c r="Z110" s="4"/>
      <c r="AA110">
        <f>IF($A110="","",COUNTIF(vendor_coverage_airports!$B:$B,$A110))</f>
        <v>1</v>
      </c>
      <c r="AB110">
        <f>IF($A110="","",COUNTIFS(vendor_coverage_countries!$B:$B,$A110,vendor_coverage_countries!$D:$D,"YES"))</f>
        <v>0</v>
      </c>
      <c r="AC110" s="4"/>
      <c r="AD110" s="9"/>
      <c r="AE110" t="str">
        <f t="shared" si="1"/>
        <v>QUESTIONNAIRE OUTSTANDING</v>
      </c>
      <c r="AF110" s="4"/>
    </row>
    <row r="111" spans="1:32" x14ac:dyDescent="0.3">
      <c r="A111" t="s">
        <v>3061</v>
      </c>
      <c r="B111" t="s">
        <v>3062</v>
      </c>
      <c r="F111" t="s">
        <v>2842</v>
      </c>
      <c r="G111" t="s">
        <v>2843</v>
      </c>
      <c r="H111" t="b">
        <v>1</v>
      </c>
      <c r="P111" t="s">
        <v>2844</v>
      </c>
      <c r="Q111" s="21">
        <v>46242</v>
      </c>
      <c r="R111" s="21">
        <v>46242</v>
      </c>
      <c r="S111">
        <f>IF($A111="","",COUNTIF(vendor_coverage_countries!$B:$B,$A111))</f>
        <v>2</v>
      </c>
      <c r="T111" t="str" cm="1">
        <f t="array" ref="T111">IF($A111="","",_xlfn.TEXTJOIN(", ",TRUE,IF(vendor_coverage_countries!$B$2:$B$296=$A111,vendor_coverage_countries!$C$2:$C$296,"")))</f>
        <v>AE, QA</v>
      </c>
      <c r="U111" t="str">
        <f>IF($A111="","",IFERROR(INDEX(vendor_coverage_airports!$C$2:$C$296,MATCH($A111,vendor_coverage_airports!$B$2:$B$296,0)),""))</f>
        <v>OMDB</v>
      </c>
      <c r="W111">
        <f>IF($A111="","",COUNTIF(vendor_coverage_airports!$B:$B,$A111))</f>
        <v>2</v>
      </c>
      <c r="X111" s="9"/>
      <c r="Y111" s="9"/>
      <c r="Z111" s="4"/>
      <c r="AA111">
        <f>IF($A111="","",COUNTIF(vendor_coverage_airports!$B:$B,$A111))</f>
        <v>2</v>
      </c>
      <c r="AB111">
        <f>IF($A111="","",COUNTIFS(vendor_coverage_countries!$B:$B,$A111,vendor_coverage_countries!$D:$D,"YES"))</f>
        <v>0</v>
      </c>
      <c r="AC111" s="4"/>
      <c r="AD111" s="9"/>
      <c r="AE111" t="str">
        <f t="shared" si="1"/>
        <v>QUESTIONNAIRE OUTSTANDING</v>
      </c>
      <c r="AF111" s="4"/>
    </row>
    <row r="112" spans="1:32" x14ac:dyDescent="0.3">
      <c r="A112" t="s">
        <v>3063</v>
      </c>
      <c r="B112" t="s">
        <v>3064</v>
      </c>
      <c r="F112" t="s">
        <v>2842</v>
      </c>
      <c r="G112" t="s">
        <v>2843</v>
      </c>
      <c r="H112" t="b">
        <v>1</v>
      </c>
      <c r="P112" t="s">
        <v>2844</v>
      </c>
      <c r="Q112" s="21">
        <v>46242</v>
      </c>
      <c r="R112" s="21">
        <v>46242</v>
      </c>
      <c r="S112">
        <f>IF($A112="","",COUNTIF(vendor_coverage_countries!$B:$B,$A112))</f>
        <v>1</v>
      </c>
      <c r="T112" t="str" cm="1">
        <f t="array" ref="T112">IF($A112="","",_xlfn.TEXTJOIN(", ",TRUE,IF(vendor_coverage_countries!$B$2:$B$296=$A112,vendor_coverage_countries!$C$2:$C$296,"")))</f>
        <v>AE</v>
      </c>
      <c r="U112" t="str">
        <f>IF($A112="","",IFERROR(INDEX(vendor_coverage_airports!$C$2:$C$296,MATCH($A112,vendor_coverage_airports!$B$2:$B$296,0)),""))</f>
        <v>OMDB</v>
      </c>
      <c r="W112">
        <f>IF($A112="","",COUNTIF(vendor_coverage_airports!$B:$B,$A112))</f>
        <v>1</v>
      </c>
      <c r="X112" s="9"/>
      <c r="Y112" s="9"/>
      <c r="Z112" s="4"/>
      <c r="AA112">
        <f>IF($A112="","",COUNTIF(vendor_coverage_airports!$B:$B,$A112))</f>
        <v>1</v>
      </c>
      <c r="AB112">
        <f>IF($A112="","",COUNTIFS(vendor_coverage_countries!$B:$B,$A112,vendor_coverage_countries!$D:$D,"YES"))</f>
        <v>0</v>
      </c>
      <c r="AC112" s="4"/>
      <c r="AD112" s="9"/>
      <c r="AE112" t="str">
        <f t="shared" si="1"/>
        <v>QUESTIONNAIRE OUTSTANDING</v>
      </c>
      <c r="AF112" s="4"/>
    </row>
    <row r="113" spans="1:32" x14ac:dyDescent="0.3">
      <c r="A113" t="s">
        <v>3065</v>
      </c>
      <c r="B113" t="s">
        <v>3066</v>
      </c>
      <c r="F113" t="s">
        <v>2842</v>
      </c>
      <c r="G113" t="s">
        <v>2843</v>
      </c>
      <c r="H113" t="b">
        <v>1</v>
      </c>
      <c r="P113" t="s">
        <v>2844</v>
      </c>
      <c r="Q113" s="21">
        <v>46242</v>
      </c>
      <c r="R113" s="21">
        <v>46242</v>
      </c>
      <c r="S113">
        <f>IF($A113="","",COUNTIF(vendor_coverage_countries!$B:$B,$A113))</f>
        <v>2</v>
      </c>
      <c r="T113" t="str" cm="1">
        <f t="array" ref="T113">IF($A113="","",_xlfn.TEXTJOIN(", ",TRUE,IF(vendor_coverage_countries!$B$2:$B$296=$A113,vendor_coverage_countries!$C$2:$C$296,"")))</f>
        <v>AE, YE</v>
      </c>
      <c r="U113" t="str">
        <f>IF($A113="","",IFERROR(INDEX(vendor_coverage_airports!$C$2:$C$296,MATCH($A113,vendor_coverage_airports!$B$2:$B$296,0)),""))</f>
        <v>OMDB</v>
      </c>
      <c r="W113">
        <f>IF($A113="","",COUNTIF(vendor_coverage_airports!$B:$B,$A113))</f>
        <v>2</v>
      </c>
      <c r="X113" s="9"/>
      <c r="Y113" s="9"/>
      <c r="Z113" s="4"/>
      <c r="AA113">
        <f>IF($A113="","",COUNTIF(vendor_coverage_airports!$B:$B,$A113))</f>
        <v>2</v>
      </c>
      <c r="AB113">
        <f>IF($A113="","",COUNTIFS(vendor_coverage_countries!$B:$B,$A113,vendor_coverage_countries!$D:$D,"YES"))</f>
        <v>0</v>
      </c>
      <c r="AC113" s="4"/>
      <c r="AD113" s="9"/>
      <c r="AE113" t="str">
        <f t="shared" si="1"/>
        <v>QUESTIONNAIRE OUTSTANDING</v>
      </c>
      <c r="AF113" s="4"/>
    </row>
    <row r="114" spans="1:32" x14ac:dyDescent="0.3">
      <c r="A114" t="s">
        <v>3067</v>
      </c>
      <c r="B114" t="s">
        <v>3068</v>
      </c>
      <c r="F114" t="s">
        <v>2842</v>
      </c>
      <c r="G114" t="s">
        <v>2843</v>
      </c>
      <c r="H114" t="b">
        <v>1</v>
      </c>
      <c r="P114" t="s">
        <v>2844</v>
      </c>
      <c r="Q114" s="21">
        <v>46242</v>
      </c>
      <c r="R114" s="21">
        <v>46242</v>
      </c>
      <c r="S114">
        <f>IF($A114="","",COUNTIF(vendor_coverage_countries!$B:$B,$A114))</f>
        <v>1</v>
      </c>
      <c r="T114" t="str" cm="1">
        <f t="array" ref="T114">IF($A114="","",_xlfn.TEXTJOIN(", ",TRUE,IF(vendor_coverage_countries!$B$2:$B$296=$A114,vendor_coverage_countries!$C$2:$C$296,"")))</f>
        <v>AE</v>
      </c>
      <c r="U114" t="str">
        <f>IF($A114="","",IFERROR(INDEX(vendor_coverage_airports!$C$2:$C$296,MATCH($A114,vendor_coverage_airports!$B$2:$B$296,0)),""))</f>
        <v>OMDB</v>
      </c>
      <c r="W114">
        <f>IF($A114="","",COUNTIF(vendor_coverage_airports!$B:$B,$A114))</f>
        <v>1</v>
      </c>
      <c r="X114" s="9"/>
      <c r="Y114" s="9"/>
      <c r="Z114" s="4"/>
      <c r="AA114">
        <f>IF($A114="","",COUNTIF(vendor_coverage_airports!$B:$B,$A114))</f>
        <v>1</v>
      </c>
      <c r="AB114">
        <f>IF($A114="","",COUNTIFS(vendor_coverage_countries!$B:$B,$A114,vendor_coverage_countries!$D:$D,"YES"))</f>
        <v>0</v>
      </c>
      <c r="AC114" s="4"/>
      <c r="AD114" s="9"/>
      <c r="AE114" t="str">
        <f t="shared" si="1"/>
        <v>QUESTIONNAIRE OUTSTANDING</v>
      </c>
      <c r="AF114" s="4"/>
    </row>
    <row r="115" spans="1:32" x14ac:dyDescent="0.3">
      <c r="A115" t="s">
        <v>3069</v>
      </c>
      <c r="B115" t="s">
        <v>3070</v>
      </c>
      <c r="F115" t="s">
        <v>2842</v>
      </c>
      <c r="G115" t="s">
        <v>2843</v>
      </c>
      <c r="H115" t="b">
        <v>1</v>
      </c>
      <c r="P115" t="s">
        <v>2844</v>
      </c>
      <c r="Q115" s="21">
        <v>46242</v>
      </c>
      <c r="R115" s="21">
        <v>46242</v>
      </c>
      <c r="S115">
        <f>IF($A115="","",COUNTIF(vendor_coverage_countries!$B:$B,$A115))</f>
        <v>1</v>
      </c>
      <c r="T115" t="str" cm="1">
        <f t="array" ref="T115">IF($A115="","",_xlfn.TEXTJOIN(", ",TRUE,IF(vendor_coverage_countries!$B$2:$B$296=$A115,vendor_coverage_countries!$C$2:$C$296,"")))</f>
        <v>AE</v>
      </c>
      <c r="U115" t="str">
        <f>IF($A115="","",IFERROR(INDEX(vendor_coverage_airports!$C$2:$C$296,MATCH($A115,vendor_coverage_airports!$B$2:$B$296,0)),""))</f>
        <v>OMDB</v>
      </c>
      <c r="W115">
        <f>IF($A115="","",COUNTIF(vendor_coverage_airports!$B:$B,$A115))</f>
        <v>1</v>
      </c>
      <c r="X115" s="9"/>
      <c r="Y115" s="9"/>
      <c r="Z115" s="4"/>
      <c r="AA115">
        <f>IF($A115="","",COUNTIF(vendor_coverage_airports!$B:$B,$A115))</f>
        <v>1</v>
      </c>
      <c r="AB115">
        <f>IF($A115="","",COUNTIFS(vendor_coverage_countries!$B:$B,$A115,vendor_coverage_countries!$D:$D,"YES"))</f>
        <v>0</v>
      </c>
      <c r="AC115" s="4"/>
      <c r="AD115" s="9"/>
      <c r="AE115" t="str">
        <f t="shared" si="1"/>
        <v>QUESTIONNAIRE OUTSTANDING</v>
      </c>
      <c r="AF115" s="4"/>
    </row>
    <row r="116" spans="1:32" x14ac:dyDescent="0.3">
      <c r="A116" t="s">
        <v>3071</v>
      </c>
      <c r="B116" t="s">
        <v>3072</v>
      </c>
      <c r="F116" t="s">
        <v>2842</v>
      </c>
      <c r="G116" t="s">
        <v>2843</v>
      </c>
      <c r="H116" t="b">
        <v>1</v>
      </c>
      <c r="P116" t="s">
        <v>2844</v>
      </c>
      <c r="Q116" s="21">
        <v>46242</v>
      </c>
      <c r="R116" s="21">
        <v>46242</v>
      </c>
      <c r="S116">
        <f>IF($A116="","",COUNTIF(vendor_coverage_countries!$B:$B,$A116))</f>
        <v>4</v>
      </c>
      <c r="T116" t="str" cm="1">
        <f t="array" ref="T116">IF($A116="","",_xlfn.TEXTJOIN(", ",TRUE,IF(vendor_coverage_countries!$B$2:$B$296=$A116,vendor_coverage_countries!$C$2:$C$296,"")))</f>
        <v>AE, QA, KW, AF</v>
      </c>
      <c r="U116" t="str">
        <f>IF($A116="","",IFERROR(INDEX(vendor_coverage_airports!$C$2:$C$296,MATCH($A116,vendor_coverage_airports!$B$2:$B$296,0)),""))</f>
        <v>OMDB</v>
      </c>
      <c r="W116">
        <f>IF($A116="","",COUNTIF(vendor_coverage_airports!$B:$B,$A116))</f>
        <v>4</v>
      </c>
      <c r="X116" s="9"/>
      <c r="Y116" s="9"/>
      <c r="Z116" s="4"/>
      <c r="AA116">
        <f>IF($A116="","",COUNTIF(vendor_coverage_airports!$B:$B,$A116))</f>
        <v>4</v>
      </c>
      <c r="AB116">
        <f>IF($A116="","",COUNTIFS(vendor_coverage_countries!$B:$B,$A116,vendor_coverage_countries!$D:$D,"YES"))</f>
        <v>0</v>
      </c>
      <c r="AC116" s="4"/>
      <c r="AD116" s="9"/>
      <c r="AE116" t="str">
        <f t="shared" si="1"/>
        <v>QUESTIONNAIRE OUTSTANDING</v>
      </c>
      <c r="AF116" s="4"/>
    </row>
    <row r="117" spans="1:32" x14ac:dyDescent="0.3">
      <c r="A117" t="s">
        <v>3073</v>
      </c>
      <c r="B117" t="s">
        <v>3074</v>
      </c>
      <c r="F117" t="s">
        <v>2842</v>
      </c>
      <c r="G117" t="s">
        <v>2843</v>
      </c>
      <c r="H117" t="b">
        <v>1</v>
      </c>
      <c r="P117" t="s">
        <v>2844</v>
      </c>
      <c r="Q117" s="21">
        <v>46242</v>
      </c>
      <c r="R117" s="21">
        <v>46242</v>
      </c>
      <c r="S117">
        <f>IF($A117="","",COUNTIF(vendor_coverage_countries!$B:$B,$A117))</f>
        <v>1</v>
      </c>
      <c r="T117" t="str" cm="1">
        <f t="array" ref="T117">IF($A117="","",_xlfn.TEXTJOIN(", ",TRUE,IF(vendor_coverage_countries!$B$2:$B$296=$A117,vendor_coverage_countries!$C$2:$C$296,"")))</f>
        <v>IL</v>
      </c>
      <c r="U117" t="str">
        <f>IF($A117="","",IFERROR(INDEX(vendor_coverage_airports!$C$2:$C$296,MATCH($A117,vendor_coverage_airports!$B$2:$B$296,0)),""))</f>
        <v>LLBG</v>
      </c>
      <c r="W117">
        <f>IF($A117="","",COUNTIF(vendor_coverage_airports!$B:$B,$A117))</f>
        <v>1</v>
      </c>
      <c r="X117" s="9"/>
      <c r="Y117" s="9"/>
      <c r="Z117" s="4"/>
      <c r="AA117">
        <f>IF($A117="","",COUNTIF(vendor_coverage_airports!$B:$B,$A117))</f>
        <v>1</v>
      </c>
      <c r="AB117">
        <f>IF($A117="","",COUNTIFS(vendor_coverage_countries!$B:$B,$A117,vendor_coverage_countries!$D:$D,"YES"))</f>
        <v>0</v>
      </c>
      <c r="AC117" s="4"/>
      <c r="AD117" s="9"/>
      <c r="AE117" t="str">
        <f t="shared" si="1"/>
        <v>QUESTIONNAIRE OUTSTANDING</v>
      </c>
      <c r="AF117" s="4"/>
    </row>
    <row r="118" spans="1:32" x14ac:dyDescent="0.3">
      <c r="A118" t="s">
        <v>3075</v>
      </c>
      <c r="B118" t="s">
        <v>3076</v>
      </c>
      <c r="F118" t="s">
        <v>2842</v>
      </c>
      <c r="G118" t="s">
        <v>2843</v>
      </c>
      <c r="H118" t="b">
        <v>1</v>
      </c>
      <c r="P118" t="s">
        <v>2844</v>
      </c>
      <c r="Q118" s="21">
        <v>46242</v>
      </c>
      <c r="R118" s="21">
        <v>46242</v>
      </c>
      <c r="S118">
        <f>IF($A118="","",COUNTIF(vendor_coverage_countries!$B:$B,$A118))</f>
        <v>1</v>
      </c>
      <c r="T118" t="str" cm="1">
        <f t="array" ref="T118">IF($A118="","",_xlfn.TEXTJOIN(", ",TRUE,IF(vendor_coverage_countries!$B$2:$B$296=$A118,vendor_coverage_countries!$C$2:$C$296,"")))</f>
        <v>IL</v>
      </c>
      <c r="U118" t="str">
        <f>IF($A118="","",IFERROR(INDEX(vendor_coverage_airports!$C$2:$C$296,MATCH($A118,vendor_coverage_airports!$B$2:$B$296,0)),""))</f>
        <v>LLBG</v>
      </c>
      <c r="W118">
        <f>IF($A118="","",COUNTIF(vendor_coverage_airports!$B:$B,$A118))</f>
        <v>1</v>
      </c>
      <c r="X118" s="9"/>
      <c r="Y118" s="9"/>
      <c r="Z118" s="4"/>
      <c r="AA118">
        <f>IF($A118="","",COUNTIF(vendor_coverage_airports!$B:$B,$A118))</f>
        <v>1</v>
      </c>
      <c r="AB118">
        <f>IF($A118="","",COUNTIFS(vendor_coverage_countries!$B:$B,$A118,vendor_coverage_countries!$D:$D,"YES"))</f>
        <v>0</v>
      </c>
      <c r="AC118" s="4"/>
      <c r="AD118" s="9"/>
      <c r="AE118" t="str">
        <f t="shared" si="1"/>
        <v>QUESTIONNAIRE OUTSTANDING</v>
      </c>
      <c r="AF118" s="4"/>
    </row>
    <row r="119" spans="1:32" x14ac:dyDescent="0.3">
      <c r="A119" t="s">
        <v>3077</v>
      </c>
      <c r="B119" t="s">
        <v>3078</v>
      </c>
      <c r="F119" t="s">
        <v>2842</v>
      </c>
      <c r="G119" t="s">
        <v>2843</v>
      </c>
      <c r="H119" t="b">
        <v>1</v>
      </c>
      <c r="P119" t="s">
        <v>2844</v>
      </c>
      <c r="Q119" s="21">
        <v>46242</v>
      </c>
      <c r="R119" s="21">
        <v>46242</v>
      </c>
      <c r="S119">
        <f>IF($A119="","",COUNTIF(vendor_coverage_countries!$B:$B,$A119))</f>
        <v>1</v>
      </c>
      <c r="T119" t="str" cm="1">
        <f t="array" ref="T119">IF($A119="","",_xlfn.TEXTJOIN(", ",TRUE,IF(vendor_coverage_countries!$B$2:$B$296=$A119,vendor_coverage_countries!$C$2:$C$296,"")))</f>
        <v>IL</v>
      </c>
      <c r="U119" t="str">
        <f>IF($A119="","",IFERROR(INDEX(vendor_coverage_airports!$C$2:$C$296,MATCH($A119,vendor_coverage_airports!$B$2:$B$296,0)),""))</f>
        <v>LLBG</v>
      </c>
      <c r="W119">
        <f>IF($A119="","",COUNTIF(vendor_coverage_airports!$B:$B,$A119))</f>
        <v>1</v>
      </c>
      <c r="X119" s="9"/>
      <c r="Y119" s="9"/>
      <c r="Z119" s="4"/>
      <c r="AA119">
        <f>IF($A119="","",COUNTIF(vendor_coverage_airports!$B:$B,$A119))</f>
        <v>1</v>
      </c>
      <c r="AB119">
        <f>IF($A119="","",COUNTIFS(vendor_coverage_countries!$B:$B,$A119,vendor_coverage_countries!$D:$D,"YES"))</f>
        <v>0</v>
      </c>
      <c r="AC119" s="4"/>
      <c r="AD119" s="9"/>
      <c r="AE119" t="str">
        <f t="shared" si="1"/>
        <v>QUESTIONNAIRE OUTSTANDING</v>
      </c>
      <c r="AF119" s="4"/>
    </row>
    <row r="120" spans="1:32" x14ac:dyDescent="0.3">
      <c r="A120" t="s">
        <v>3079</v>
      </c>
      <c r="B120" t="s">
        <v>3080</v>
      </c>
      <c r="F120" t="s">
        <v>2842</v>
      </c>
      <c r="G120" t="s">
        <v>2843</v>
      </c>
      <c r="H120" t="b">
        <v>1</v>
      </c>
      <c r="P120" t="s">
        <v>2844</v>
      </c>
      <c r="Q120" s="21">
        <v>46242</v>
      </c>
      <c r="R120" s="21">
        <v>46242</v>
      </c>
      <c r="S120">
        <f>IF($A120="","",COUNTIF(vendor_coverage_countries!$B:$B,$A120))</f>
        <v>1</v>
      </c>
      <c r="T120" t="str" cm="1">
        <f t="array" ref="T120">IF($A120="","",_xlfn.TEXTJOIN(", ",TRUE,IF(vendor_coverage_countries!$B$2:$B$296=$A120,vendor_coverage_countries!$C$2:$C$296,"")))</f>
        <v>IL</v>
      </c>
      <c r="U120" t="str">
        <f>IF($A120="","",IFERROR(INDEX(vendor_coverage_airports!$C$2:$C$296,MATCH($A120,vendor_coverage_airports!$B$2:$B$296,0)),""))</f>
        <v>LLBG</v>
      </c>
      <c r="W120">
        <f>IF($A120="","",COUNTIF(vendor_coverage_airports!$B:$B,$A120))</f>
        <v>1</v>
      </c>
      <c r="X120" s="9"/>
      <c r="Y120" s="9"/>
      <c r="Z120" s="4"/>
      <c r="AA120">
        <f>IF($A120="","",COUNTIF(vendor_coverage_airports!$B:$B,$A120))</f>
        <v>1</v>
      </c>
      <c r="AB120">
        <f>IF($A120="","",COUNTIFS(vendor_coverage_countries!$B:$B,$A120,vendor_coverage_countries!$D:$D,"YES"))</f>
        <v>0</v>
      </c>
      <c r="AC120" s="4"/>
      <c r="AD120" s="9"/>
      <c r="AE120" t="str">
        <f t="shared" si="1"/>
        <v>QUESTIONNAIRE OUTSTANDING</v>
      </c>
      <c r="AF120" s="4"/>
    </row>
    <row r="121" spans="1:32" x14ac:dyDescent="0.3">
      <c r="A121" t="s">
        <v>3081</v>
      </c>
      <c r="B121" t="s">
        <v>3082</v>
      </c>
      <c r="F121" t="s">
        <v>2842</v>
      </c>
      <c r="G121" t="s">
        <v>2843</v>
      </c>
      <c r="H121" t="b">
        <v>1</v>
      </c>
      <c r="P121" t="s">
        <v>2844</v>
      </c>
      <c r="Q121" s="21">
        <v>46242</v>
      </c>
      <c r="R121" s="21">
        <v>46242</v>
      </c>
      <c r="S121">
        <f>IF($A121="","",COUNTIF(vendor_coverage_countries!$B:$B,$A121))</f>
        <v>3</v>
      </c>
      <c r="T121" t="str" cm="1">
        <f t="array" ref="T121">IF($A121="","",_xlfn.TEXTJOIN(", ",TRUE,IF(vendor_coverage_countries!$B$2:$B$296=$A121,vendor_coverage_countries!$C$2:$C$296,"")))</f>
        <v>QA, KW, BH</v>
      </c>
      <c r="U121" t="str">
        <f>IF($A121="","",IFERROR(INDEX(vendor_coverage_airports!$C$2:$C$296,MATCH($A121,vendor_coverage_airports!$B$2:$B$296,0)),""))</f>
        <v>OTHH</v>
      </c>
      <c r="W121">
        <f>IF($A121="","",COUNTIF(vendor_coverage_airports!$B:$B,$A121))</f>
        <v>3</v>
      </c>
      <c r="X121" s="9"/>
      <c r="Y121" s="9"/>
      <c r="Z121" s="4"/>
      <c r="AA121">
        <f>IF($A121="","",COUNTIF(vendor_coverage_airports!$B:$B,$A121))</f>
        <v>3</v>
      </c>
      <c r="AB121">
        <f>IF($A121="","",COUNTIFS(vendor_coverage_countries!$B:$B,$A121,vendor_coverage_countries!$D:$D,"YES"))</f>
        <v>0</v>
      </c>
      <c r="AC121" s="4"/>
      <c r="AD121" s="9"/>
      <c r="AE121" t="str">
        <f t="shared" si="1"/>
        <v>QUESTIONNAIRE OUTSTANDING</v>
      </c>
      <c r="AF121" s="4"/>
    </row>
    <row r="122" spans="1:32" x14ac:dyDescent="0.3">
      <c r="A122" t="s">
        <v>3083</v>
      </c>
      <c r="B122" t="s">
        <v>3084</v>
      </c>
      <c r="F122" t="s">
        <v>2842</v>
      </c>
      <c r="G122" t="s">
        <v>2843</v>
      </c>
      <c r="H122" t="b">
        <v>1</v>
      </c>
      <c r="P122" t="s">
        <v>2844</v>
      </c>
      <c r="Q122" s="21">
        <v>46242</v>
      </c>
      <c r="R122" s="21">
        <v>46242</v>
      </c>
      <c r="S122">
        <f>IF($A122="","",COUNTIF(vendor_coverage_countries!$B:$B,$A122))</f>
        <v>1</v>
      </c>
      <c r="T122" t="str" cm="1">
        <f t="array" ref="T122">IF($A122="","",_xlfn.TEXTJOIN(", ",TRUE,IF(vendor_coverage_countries!$B$2:$B$296=$A122,vendor_coverage_countries!$C$2:$C$296,"")))</f>
        <v>QA</v>
      </c>
      <c r="U122" t="str">
        <f>IF($A122="","",IFERROR(INDEX(vendor_coverage_airports!$C$2:$C$296,MATCH($A122,vendor_coverage_airports!$B$2:$B$296,0)),""))</f>
        <v>OTHH</v>
      </c>
      <c r="W122">
        <f>IF($A122="","",COUNTIF(vendor_coverage_airports!$B:$B,$A122))</f>
        <v>1</v>
      </c>
      <c r="X122" s="9"/>
      <c r="Y122" s="9"/>
      <c r="Z122" s="4"/>
      <c r="AA122">
        <f>IF($A122="","",COUNTIF(vendor_coverage_airports!$B:$B,$A122))</f>
        <v>1</v>
      </c>
      <c r="AB122">
        <f>IF($A122="","",COUNTIFS(vendor_coverage_countries!$B:$B,$A122,vendor_coverage_countries!$D:$D,"YES"))</f>
        <v>0</v>
      </c>
      <c r="AC122" s="4"/>
      <c r="AD122" s="9"/>
      <c r="AE122" t="str">
        <f t="shared" si="1"/>
        <v>QUESTIONNAIRE OUTSTANDING</v>
      </c>
      <c r="AF122" s="4"/>
    </row>
    <row r="123" spans="1:32" x14ac:dyDescent="0.3">
      <c r="A123" t="s">
        <v>3085</v>
      </c>
      <c r="B123" t="s">
        <v>3086</v>
      </c>
      <c r="F123" t="s">
        <v>2842</v>
      </c>
      <c r="G123" t="s">
        <v>2843</v>
      </c>
      <c r="H123" t="b">
        <v>1</v>
      </c>
      <c r="P123" t="s">
        <v>2844</v>
      </c>
      <c r="Q123" s="21">
        <v>46242</v>
      </c>
      <c r="R123" s="21">
        <v>46242</v>
      </c>
      <c r="S123">
        <f>IF($A123="","",COUNTIF(vendor_coverage_countries!$B:$B,$A123))</f>
        <v>1</v>
      </c>
      <c r="T123" t="str" cm="1">
        <f t="array" ref="T123">IF($A123="","",_xlfn.TEXTJOIN(", ",TRUE,IF(vendor_coverage_countries!$B$2:$B$296=$A123,vendor_coverage_countries!$C$2:$C$296,"")))</f>
        <v>QA</v>
      </c>
      <c r="U123" t="str">
        <f>IF($A123="","",IFERROR(INDEX(vendor_coverage_airports!$C$2:$C$296,MATCH($A123,vendor_coverage_airports!$B$2:$B$296,0)),""))</f>
        <v>OTHH</v>
      </c>
      <c r="W123">
        <f>IF($A123="","",COUNTIF(vendor_coverage_airports!$B:$B,$A123))</f>
        <v>1</v>
      </c>
      <c r="X123" s="9"/>
      <c r="Y123" s="9"/>
      <c r="Z123" s="4"/>
      <c r="AA123">
        <f>IF($A123="","",COUNTIF(vendor_coverage_airports!$B:$B,$A123))</f>
        <v>1</v>
      </c>
      <c r="AB123">
        <f>IF($A123="","",COUNTIFS(vendor_coverage_countries!$B:$B,$A123,vendor_coverage_countries!$D:$D,"YES"))</f>
        <v>0</v>
      </c>
      <c r="AC123" s="4"/>
      <c r="AD123" s="9"/>
      <c r="AE123" t="str">
        <f t="shared" si="1"/>
        <v>QUESTIONNAIRE OUTSTANDING</v>
      </c>
      <c r="AF123" s="4"/>
    </row>
    <row r="124" spans="1:32" x14ac:dyDescent="0.3">
      <c r="A124" t="s">
        <v>3087</v>
      </c>
      <c r="B124" t="s">
        <v>3088</v>
      </c>
      <c r="F124" t="s">
        <v>2842</v>
      </c>
      <c r="G124" t="s">
        <v>2843</v>
      </c>
      <c r="H124" t="b">
        <v>1</v>
      </c>
      <c r="P124" t="s">
        <v>2844</v>
      </c>
      <c r="Q124" s="21">
        <v>46242</v>
      </c>
      <c r="R124" s="21">
        <v>46242</v>
      </c>
      <c r="S124">
        <f>IF($A124="","",COUNTIF(vendor_coverage_countries!$B:$B,$A124))</f>
        <v>2</v>
      </c>
      <c r="T124" t="str" cm="1">
        <f t="array" ref="T124">IF($A124="","",_xlfn.TEXTJOIN(", ",TRUE,IF(vendor_coverage_countries!$B$2:$B$296=$A124,vendor_coverage_countries!$C$2:$C$296,"")))</f>
        <v>QA, KW</v>
      </c>
      <c r="U124" t="str">
        <f>IF($A124="","",IFERROR(INDEX(vendor_coverage_airports!$C$2:$C$296,MATCH($A124,vendor_coverage_airports!$B$2:$B$296,0)),""))</f>
        <v>OTHH</v>
      </c>
      <c r="W124">
        <f>IF($A124="","",COUNTIF(vendor_coverage_airports!$B:$B,$A124))</f>
        <v>2</v>
      </c>
      <c r="X124" s="9"/>
      <c r="Y124" s="9"/>
      <c r="Z124" s="4"/>
      <c r="AA124">
        <f>IF($A124="","",COUNTIF(vendor_coverage_airports!$B:$B,$A124))</f>
        <v>2</v>
      </c>
      <c r="AB124">
        <f>IF($A124="","",COUNTIFS(vendor_coverage_countries!$B:$B,$A124,vendor_coverage_countries!$D:$D,"YES"))</f>
        <v>0</v>
      </c>
      <c r="AC124" s="4"/>
      <c r="AD124" s="9"/>
      <c r="AE124" t="str">
        <f t="shared" si="1"/>
        <v>QUESTIONNAIRE OUTSTANDING</v>
      </c>
      <c r="AF124" s="4"/>
    </row>
    <row r="125" spans="1:32" x14ac:dyDescent="0.3">
      <c r="A125" t="s">
        <v>3089</v>
      </c>
      <c r="B125" t="s">
        <v>3090</v>
      </c>
      <c r="F125" t="s">
        <v>2842</v>
      </c>
      <c r="G125" t="s">
        <v>2843</v>
      </c>
      <c r="H125" t="b">
        <v>1</v>
      </c>
      <c r="P125" t="s">
        <v>2844</v>
      </c>
      <c r="Q125" s="21">
        <v>46242</v>
      </c>
      <c r="R125" s="21">
        <v>46242</v>
      </c>
      <c r="S125">
        <f>IF($A125="","",COUNTIF(vendor_coverage_countries!$B:$B,$A125))</f>
        <v>1</v>
      </c>
      <c r="T125" t="str" cm="1">
        <f t="array" ref="T125">IF($A125="","",_xlfn.TEXTJOIN(", ",TRUE,IF(vendor_coverage_countries!$B$2:$B$296=$A125,vendor_coverage_countries!$C$2:$C$296,"")))</f>
        <v>JO</v>
      </c>
      <c r="U125" t="str">
        <f>IF($A125="","",IFERROR(INDEX(vendor_coverage_airports!$C$2:$C$296,MATCH($A125,vendor_coverage_airports!$B$2:$B$296,0)),""))</f>
        <v>OJAI</v>
      </c>
      <c r="W125">
        <f>IF($A125="","",COUNTIF(vendor_coverage_airports!$B:$B,$A125))</f>
        <v>1</v>
      </c>
      <c r="X125" s="9"/>
      <c r="Y125" s="9"/>
      <c r="Z125" s="4"/>
      <c r="AA125">
        <f>IF($A125="","",COUNTIF(vendor_coverage_airports!$B:$B,$A125))</f>
        <v>1</v>
      </c>
      <c r="AB125">
        <f>IF($A125="","",COUNTIFS(vendor_coverage_countries!$B:$B,$A125,vendor_coverage_countries!$D:$D,"YES"))</f>
        <v>0</v>
      </c>
      <c r="AC125" s="4"/>
      <c r="AD125" s="9"/>
      <c r="AE125" t="str">
        <f t="shared" si="1"/>
        <v>QUESTIONNAIRE OUTSTANDING</v>
      </c>
      <c r="AF125" s="4"/>
    </row>
    <row r="126" spans="1:32" x14ac:dyDescent="0.3">
      <c r="A126" t="s">
        <v>3091</v>
      </c>
      <c r="B126" t="s">
        <v>3092</v>
      </c>
      <c r="F126" t="s">
        <v>2842</v>
      </c>
      <c r="G126" t="s">
        <v>2843</v>
      </c>
      <c r="H126" t="b">
        <v>1</v>
      </c>
      <c r="P126" t="s">
        <v>2844</v>
      </c>
      <c r="Q126" s="21">
        <v>46242</v>
      </c>
      <c r="R126" s="21">
        <v>46242</v>
      </c>
      <c r="S126">
        <f>IF($A126="","",COUNTIF(vendor_coverage_countries!$B:$B,$A126))</f>
        <v>1</v>
      </c>
      <c r="T126" t="str" cm="1">
        <f t="array" ref="T126">IF($A126="","",_xlfn.TEXTJOIN(", ",TRUE,IF(vendor_coverage_countries!$B$2:$B$296=$A126,vendor_coverage_countries!$C$2:$C$296,"")))</f>
        <v>JO</v>
      </c>
      <c r="U126" t="str">
        <f>IF($A126="","",IFERROR(INDEX(vendor_coverage_airports!$C$2:$C$296,MATCH($A126,vendor_coverage_airports!$B$2:$B$296,0)),""))</f>
        <v>OJAI</v>
      </c>
      <c r="W126">
        <f>IF($A126="","",COUNTIF(vendor_coverage_airports!$B:$B,$A126))</f>
        <v>1</v>
      </c>
      <c r="X126" s="9"/>
      <c r="Y126" s="9"/>
      <c r="Z126" s="4"/>
      <c r="AA126">
        <f>IF($A126="","",COUNTIF(vendor_coverage_airports!$B:$B,$A126))</f>
        <v>1</v>
      </c>
      <c r="AB126">
        <f>IF($A126="","",COUNTIFS(vendor_coverage_countries!$B:$B,$A126,vendor_coverage_countries!$D:$D,"YES"))</f>
        <v>0</v>
      </c>
      <c r="AC126" s="4"/>
      <c r="AD126" s="9"/>
      <c r="AE126" t="str">
        <f t="shared" si="1"/>
        <v>QUESTIONNAIRE OUTSTANDING</v>
      </c>
      <c r="AF126" s="4"/>
    </row>
    <row r="127" spans="1:32" x14ac:dyDescent="0.3">
      <c r="A127" t="s">
        <v>3093</v>
      </c>
      <c r="B127" t="s">
        <v>3094</v>
      </c>
      <c r="F127" t="s">
        <v>2842</v>
      </c>
      <c r="G127" t="s">
        <v>2843</v>
      </c>
      <c r="H127" t="b">
        <v>1</v>
      </c>
      <c r="P127" t="s">
        <v>2844</v>
      </c>
      <c r="Q127" s="21">
        <v>46242</v>
      </c>
      <c r="R127" s="21">
        <v>46242</v>
      </c>
      <c r="S127">
        <f>IF($A127="","",COUNTIF(vendor_coverage_countries!$B:$B,$A127))</f>
        <v>1</v>
      </c>
      <c r="T127" t="str" cm="1">
        <f t="array" ref="T127">IF($A127="","",_xlfn.TEXTJOIN(", ",TRUE,IF(vendor_coverage_countries!$B$2:$B$296=$A127,vendor_coverage_countries!$C$2:$C$296,"")))</f>
        <v>JO</v>
      </c>
      <c r="U127" t="str">
        <f>IF($A127="","",IFERROR(INDEX(vendor_coverage_airports!$C$2:$C$296,MATCH($A127,vendor_coverage_airports!$B$2:$B$296,0)),""))</f>
        <v>OJAI</v>
      </c>
      <c r="W127">
        <f>IF($A127="","",COUNTIF(vendor_coverage_airports!$B:$B,$A127))</f>
        <v>1</v>
      </c>
      <c r="X127" s="9"/>
      <c r="Y127" s="9"/>
      <c r="Z127" s="4"/>
      <c r="AA127">
        <f>IF($A127="","",COUNTIF(vendor_coverage_airports!$B:$B,$A127))</f>
        <v>1</v>
      </c>
      <c r="AB127">
        <f>IF($A127="","",COUNTIFS(vendor_coverage_countries!$B:$B,$A127,vendor_coverage_countries!$D:$D,"YES"))</f>
        <v>0</v>
      </c>
      <c r="AC127" s="4"/>
      <c r="AD127" s="9"/>
      <c r="AE127" t="str">
        <f t="shared" si="1"/>
        <v>QUESTIONNAIRE OUTSTANDING</v>
      </c>
      <c r="AF127" s="4"/>
    </row>
    <row r="128" spans="1:32" x14ac:dyDescent="0.3">
      <c r="A128" t="s">
        <v>3095</v>
      </c>
      <c r="B128" t="s">
        <v>3096</v>
      </c>
      <c r="F128" t="s">
        <v>2842</v>
      </c>
      <c r="G128" t="s">
        <v>2843</v>
      </c>
      <c r="H128" t="b">
        <v>1</v>
      </c>
      <c r="P128" t="s">
        <v>2844</v>
      </c>
      <c r="Q128" s="21">
        <v>46242</v>
      </c>
      <c r="R128" s="21">
        <v>46242</v>
      </c>
      <c r="S128">
        <f>IF($A128="","",COUNTIF(vendor_coverage_countries!$B:$B,$A128))</f>
        <v>1</v>
      </c>
      <c r="T128" t="str" cm="1">
        <f t="array" ref="T128">IF($A128="","",_xlfn.TEXTJOIN(", ",TRUE,IF(vendor_coverage_countries!$B$2:$B$296=$A128,vendor_coverage_countries!$C$2:$C$296,"")))</f>
        <v>JO</v>
      </c>
      <c r="U128" t="str">
        <f>IF($A128="","",IFERROR(INDEX(vendor_coverage_airports!$C$2:$C$296,MATCH($A128,vendor_coverage_airports!$B$2:$B$296,0)),""))</f>
        <v>OJAI</v>
      </c>
      <c r="W128">
        <f>IF($A128="","",COUNTIF(vendor_coverage_airports!$B:$B,$A128))</f>
        <v>1</v>
      </c>
      <c r="X128" s="9"/>
      <c r="Y128" s="9"/>
      <c r="Z128" s="4"/>
      <c r="AA128">
        <f>IF($A128="","",COUNTIF(vendor_coverage_airports!$B:$B,$A128))</f>
        <v>1</v>
      </c>
      <c r="AB128">
        <f>IF($A128="","",COUNTIFS(vendor_coverage_countries!$B:$B,$A128,vendor_coverage_countries!$D:$D,"YES"))</f>
        <v>0</v>
      </c>
      <c r="AC128" s="4"/>
      <c r="AD128" s="9"/>
      <c r="AE128" t="str">
        <f t="shared" si="1"/>
        <v>QUESTIONNAIRE OUTSTANDING</v>
      </c>
      <c r="AF128" s="4"/>
    </row>
    <row r="129" spans="1:32" x14ac:dyDescent="0.3">
      <c r="A129" t="s">
        <v>3097</v>
      </c>
      <c r="B129" t="s">
        <v>3098</v>
      </c>
      <c r="F129" t="s">
        <v>2842</v>
      </c>
      <c r="G129" t="s">
        <v>2843</v>
      </c>
      <c r="H129" t="b">
        <v>1</v>
      </c>
      <c r="P129" t="s">
        <v>2844</v>
      </c>
      <c r="Q129" s="21">
        <v>46242</v>
      </c>
      <c r="R129" s="21">
        <v>46242</v>
      </c>
      <c r="S129">
        <f>IF($A129="","",COUNTIF(vendor_coverage_countries!$B:$B,$A129))</f>
        <v>1</v>
      </c>
      <c r="T129" t="str" cm="1">
        <f t="array" ref="T129">IF($A129="","",_xlfn.TEXTJOIN(", ",TRUE,IF(vendor_coverage_countries!$B$2:$B$296=$A129,vendor_coverage_countries!$C$2:$C$296,"")))</f>
        <v>KW</v>
      </c>
      <c r="U129" t="str">
        <f>IF($A129="","",IFERROR(INDEX(vendor_coverage_airports!$C$2:$C$296,MATCH($A129,vendor_coverage_airports!$B$2:$B$296,0)),""))</f>
        <v>OKKK</v>
      </c>
      <c r="W129">
        <f>IF($A129="","",COUNTIF(vendor_coverage_airports!$B:$B,$A129))</f>
        <v>1</v>
      </c>
      <c r="X129" s="9"/>
      <c r="Y129" s="9"/>
      <c r="Z129" s="4"/>
      <c r="AA129">
        <f>IF($A129="","",COUNTIF(vendor_coverage_airports!$B:$B,$A129))</f>
        <v>1</v>
      </c>
      <c r="AB129">
        <f>IF($A129="","",COUNTIFS(vendor_coverage_countries!$B:$B,$A129,vendor_coverage_countries!$D:$D,"YES"))</f>
        <v>0</v>
      </c>
      <c r="AC129" s="4"/>
      <c r="AD129" s="9"/>
      <c r="AE129" t="str">
        <f t="shared" si="1"/>
        <v>QUESTIONNAIRE OUTSTANDING</v>
      </c>
      <c r="AF129" s="4"/>
    </row>
    <row r="130" spans="1:32" x14ac:dyDescent="0.3">
      <c r="A130" t="s">
        <v>3099</v>
      </c>
      <c r="B130" t="s">
        <v>3100</v>
      </c>
      <c r="F130" t="s">
        <v>2842</v>
      </c>
      <c r="G130" t="s">
        <v>2843</v>
      </c>
      <c r="H130" t="b">
        <v>1</v>
      </c>
      <c r="P130" t="s">
        <v>2844</v>
      </c>
      <c r="Q130" s="21">
        <v>46242</v>
      </c>
      <c r="R130" s="21">
        <v>46242</v>
      </c>
      <c r="S130">
        <f>IF($A130="","",COUNTIF(vendor_coverage_countries!$B:$B,$A130))</f>
        <v>1</v>
      </c>
      <c r="T130" t="str" cm="1">
        <f t="array" ref="T130">IF($A130="","",_xlfn.TEXTJOIN(", ",TRUE,IF(vendor_coverage_countries!$B$2:$B$296=$A130,vendor_coverage_countries!$C$2:$C$296,"")))</f>
        <v>KW</v>
      </c>
      <c r="U130" t="str">
        <f>IF($A130="","",IFERROR(INDEX(vendor_coverage_airports!$C$2:$C$296,MATCH($A130,vendor_coverage_airports!$B$2:$B$296,0)),""))</f>
        <v>EGPK</v>
      </c>
      <c r="W130">
        <f>IF($A130="","",COUNTIF(vendor_coverage_airports!$B:$B,$A130))</f>
        <v>1</v>
      </c>
      <c r="X130" s="9"/>
      <c r="Y130" s="9"/>
      <c r="Z130" s="4"/>
      <c r="AA130">
        <f>IF($A130="","",COUNTIF(vendor_coverage_airports!$B:$B,$A130))</f>
        <v>1</v>
      </c>
      <c r="AB130">
        <f>IF($A130="","",COUNTIFS(vendor_coverage_countries!$B:$B,$A130,vendor_coverage_countries!$D:$D,"YES"))</f>
        <v>0</v>
      </c>
      <c r="AC130" s="4"/>
      <c r="AD130" s="9"/>
      <c r="AE130" t="str">
        <f t="shared" si="1"/>
        <v>QUESTIONNAIRE OUTSTANDING</v>
      </c>
      <c r="AF130" s="4"/>
    </row>
    <row r="131" spans="1:32" x14ac:dyDescent="0.3">
      <c r="A131" t="s">
        <v>3101</v>
      </c>
      <c r="B131" t="s">
        <v>3102</v>
      </c>
      <c r="F131" t="s">
        <v>2842</v>
      </c>
      <c r="G131" t="s">
        <v>2843</v>
      </c>
      <c r="H131" t="b">
        <v>1</v>
      </c>
      <c r="P131" t="s">
        <v>2844</v>
      </c>
      <c r="Q131" s="21">
        <v>46242</v>
      </c>
      <c r="R131" s="21">
        <v>46242</v>
      </c>
      <c r="S131">
        <f>IF($A131="","",COUNTIF(vendor_coverage_countries!$B:$B,$A131))</f>
        <v>1</v>
      </c>
      <c r="T131" t="str" cm="1">
        <f t="array" ref="T131">IF($A131="","",_xlfn.TEXTJOIN(", ",TRUE,IF(vendor_coverage_countries!$B$2:$B$296=$A131,vendor_coverage_countries!$C$2:$C$296,"")))</f>
        <v>BH</v>
      </c>
      <c r="U131" t="str">
        <f>IF($A131="","",IFERROR(INDEX(vendor_coverage_airports!$C$2:$C$296,MATCH($A131,vendor_coverage_airports!$B$2:$B$296,0)),""))</f>
        <v>OBBI</v>
      </c>
      <c r="W131">
        <f>IF($A131="","",COUNTIF(vendor_coverage_airports!$B:$B,$A131))</f>
        <v>1</v>
      </c>
      <c r="X131" s="9"/>
      <c r="Y131" s="9"/>
      <c r="Z131" s="4"/>
      <c r="AA131">
        <f>IF($A131="","",COUNTIF(vendor_coverage_airports!$B:$B,$A131))</f>
        <v>1</v>
      </c>
      <c r="AB131">
        <f>IF($A131="","",COUNTIFS(vendor_coverage_countries!$B:$B,$A131,vendor_coverage_countries!$D:$D,"YES"))</f>
        <v>0</v>
      </c>
      <c r="AC131" s="4"/>
      <c r="AD131" s="9"/>
      <c r="AE131" t="str">
        <f t="shared" ref="AE131:AE137" si="2">IF($A131="","",IF($Y131="","QUESTIONNAIRE OUTSTANDING",IF($AD131="","AWAITING ADMIN APPROVAL","APPROVED - AVAILABLE FOR ASSIGNMENT")))</f>
        <v>QUESTIONNAIRE OUTSTANDING</v>
      </c>
      <c r="AF131" s="4"/>
    </row>
    <row r="132" spans="1:32" x14ac:dyDescent="0.3">
      <c r="A132" t="s">
        <v>3103</v>
      </c>
      <c r="B132" t="s">
        <v>3104</v>
      </c>
      <c r="F132" t="s">
        <v>2842</v>
      </c>
      <c r="G132" t="s">
        <v>2843</v>
      </c>
      <c r="H132" t="b">
        <v>1</v>
      </c>
      <c r="P132" t="s">
        <v>2844</v>
      </c>
      <c r="Q132" s="21">
        <v>46242</v>
      </c>
      <c r="R132" s="21">
        <v>46242</v>
      </c>
      <c r="S132">
        <f>IF($A132="","",COUNTIF(vendor_coverage_countries!$B:$B,$A132))</f>
        <v>1</v>
      </c>
      <c r="T132" t="str" cm="1">
        <f t="array" ref="T132">IF($A132="","",_xlfn.TEXTJOIN(", ",TRUE,IF(vendor_coverage_countries!$B$2:$B$296=$A132,vendor_coverage_countries!$C$2:$C$296,"")))</f>
        <v>BH</v>
      </c>
      <c r="U132" t="str">
        <f>IF($A132="","",IFERROR(INDEX(vendor_coverage_airports!$C$2:$C$296,MATCH($A132,vendor_coverage_airports!$B$2:$B$296,0)),""))</f>
        <v>OBBI</v>
      </c>
      <c r="W132">
        <f>IF($A132="","",COUNTIF(vendor_coverage_airports!$B:$B,$A132))</f>
        <v>1</v>
      </c>
      <c r="X132" s="9"/>
      <c r="Y132" s="9"/>
      <c r="Z132" s="4"/>
      <c r="AA132">
        <f>IF($A132="","",COUNTIF(vendor_coverage_airports!$B:$B,$A132))</f>
        <v>1</v>
      </c>
      <c r="AB132">
        <f>IF($A132="","",COUNTIFS(vendor_coverage_countries!$B:$B,$A132,vendor_coverage_countries!$D:$D,"YES"))</f>
        <v>0</v>
      </c>
      <c r="AC132" s="4"/>
      <c r="AD132" s="9"/>
      <c r="AE132" t="str">
        <f t="shared" si="2"/>
        <v>QUESTIONNAIRE OUTSTANDING</v>
      </c>
      <c r="AF132" s="4"/>
    </row>
    <row r="133" spans="1:32" x14ac:dyDescent="0.3">
      <c r="A133" t="s">
        <v>3105</v>
      </c>
      <c r="B133" t="s">
        <v>3106</v>
      </c>
      <c r="F133" t="s">
        <v>2842</v>
      </c>
      <c r="G133" t="s">
        <v>2843</v>
      </c>
      <c r="H133" t="b">
        <v>1</v>
      </c>
      <c r="P133" t="s">
        <v>2844</v>
      </c>
      <c r="Q133" s="21">
        <v>46242</v>
      </c>
      <c r="R133" s="21">
        <v>46242</v>
      </c>
      <c r="S133">
        <f>IF($A133="","",COUNTIF(vendor_coverage_countries!$B:$B,$A133))</f>
        <v>1</v>
      </c>
      <c r="T133" t="str" cm="1">
        <f t="array" ref="T133">IF($A133="","",_xlfn.TEXTJOIN(", ",TRUE,IF(vendor_coverage_countries!$B$2:$B$296=$A133,vendor_coverage_countries!$C$2:$C$296,"")))</f>
        <v>LB</v>
      </c>
      <c r="U133" t="str">
        <f>IF($A133="","",IFERROR(INDEX(vendor_coverage_airports!$C$2:$C$296,MATCH($A133,vendor_coverage_airports!$B$2:$B$296,0)),""))</f>
        <v>OLBA</v>
      </c>
      <c r="W133">
        <f>IF($A133="","",COUNTIF(vendor_coverage_airports!$B:$B,$A133))</f>
        <v>1</v>
      </c>
      <c r="X133" s="9"/>
      <c r="Y133" s="9"/>
      <c r="Z133" s="4"/>
      <c r="AA133">
        <f>IF($A133="","",COUNTIF(vendor_coverage_airports!$B:$B,$A133))</f>
        <v>1</v>
      </c>
      <c r="AB133">
        <f>IF($A133="","",COUNTIFS(vendor_coverage_countries!$B:$B,$A133,vendor_coverage_countries!$D:$D,"YES"))</f>
        <v>0</v>
      </c>
      <c r="AC133" s="4"/>
      <c r="AD133" s="9"/>
      <c r="AE133" t="str">
        <f t="shared" si="2"/>
        <v>QUESTIONNAIRE OUTSTANDING</v>
      </c>
      <c r="AF133" s="4"/>
    </row>
    <row r="134" spans="1:32" x14ac:dyDescent="0.3">
      <c r="A134" t="s">
        <v>3107</v>
      </c>
      <c r="B134" t="s">
        <v>3108</v>
      </c>
      <c r="F134" t="s">
        <v>2842</v>
      </c>
      <c r="G134" t="s">
        <v>2843</v>
      </c>
      <c r="H134" t="b">
        <v>1</v>
      </c>
      <c r="P134" t="s">
        <v>2844</v>
      </c>
      <c r="Q134" s="21">
        <v>46242</v>
      </c>
      <c r="R134" s="21">
        <v>46242</v>
      </c>
      <c r="S134">
        <f>IF($A134="","",COUNTIF(vendor_coverage_countries!$B:$B,$A134))</f>
        <v>1</v>
      </c>
      <c r="T134" t="str" cm="1">
        <f t="array" ref="T134">IF($A134="","",_xlfn.TEXTJOIN(", ",TRUE,IF(vendor_coverage_countries!$B$2:$B$296=$A134,vendor_coverage_countries!$C$2:$C$296,"")))</f>
        <v>LB</v>
      </c>
      <c r="U134" t="str">
        <f>IF($A134="","",IFERROR(INDEX(vendor_coverage_airports!$C$2:$C$296,MATCH($A134,vendor_coverage_airports!$B$2:$B$296,0)),""))</f>
        <v>OLBA</v>
      </c>
      <c r="W134">
        <f>IF($A134="","",COUNTIF(vendor_coverage_airports!$B:$B,$A134))</f>
        <v>1</v>
      </c>
      <c r="X134" s="9"/>
      <c r="Y134" s="9"/>
      <c r="Z134" s="4"/>
      <c r="AA134">
        <f>IF($A134="","",COUNTIF(vendor_coverage_airports!$B:$B,$A134))</f>
        <v>1</v>
      </c>
      <c r="AB134">
        <f>IF($A134="","",COUNTIFS(vendor_coverage_countries!$B:$B,$A134,vendor_coverage_countries!$D:$D,"YES"))</f>
        <v>0</v>
      </c>
      <c r="AC134" s="4"/>
      <c r="AD134" s="9"/>
      <c r="AE134" t="str">
        <f t="shared" si="2"/>
        <v>QUESTIONNAIRE OUTSTANDING</v>
      </c>
      <c r="AF134" s="4"/>
    </row>
    <row r="135" spans="1:32" x14ac:dyDescent="0.3">
      <c r="A135" t="s">
        <v>3109</v>
      </c>
      <c r="B135" t="s">
        <v>3110</v>
      </c>
      <c r="F135" t="s">
        <v>2842</v>
      </c>
      <c r="G135" t="s">
        <v>2843</v>
      </c>
      <c r="H135" t="b">
        <v>1</v>
      </c>
      <c r="P135" t="s">
        <v>2844</v>
      </c>
      <c r="Q135" s="21">
        <v>46242</v>
      </c>
      <c r="R135" s="21">
        <v>46242</v>
      </c>
      <c r="S135">
        <f>IF($A135="","",COUNTIF(vendor_coverage_countries!$B:$B,$A135))</f>
        <v>1</v>
      </c>
      <c r="T135" t="str" cm="1">
        <f t="array" ref="T135">IF($A135="","",_xlfn.TEXTJOIN(", ",TRUE,IF(vendor_coverage_countries!$B$2:$B$296=$A135,vendor_coverage_countries!$C$2:$C$296,"")))</f>
        <v>LB</v>
      </c>
      <c r="U135" t="str">
        <f>IF($A135="","",IFERROR(INDEX(vendor_coverage_airports!$C$2:$C$296,MATCH($A135,vendor_coverage_airports!$B$2:$B$296,0)),""))</f>
        <v>OLBA</v>
      </c>
      <c r="W135">
        <f>IF($A135="","",COUNTIF(vendor_coverage_airports!$B:$B,$A135))</f>
        <v>1</v>
      </c>
      <c r="X135" s="9"/>
      <c r="Y135" s="9"/>
      <c r="Z135" s="4"/>
      <c r="AA135">
        <f>IF($A135="","",COUNTIF(vendor_coverage_airports!$B:$B,$A135))</f>
        <v>1</v>
      </c>
      <c r="AB135">
        <f>IF($A135="","",COUNTIFS(vendor_coverage_countries!$B:$B,$A135,vendor_coverage_countries!$D:$D,"YES"))</f>
        <v>0</v>
      </c>
      <c r="AC135" s="4"/>
      <c r="AD135" s="9"/>
      <c r="AE135" t="str">
        <f t="shared" si="2"/>
        <v>QUESTIONNAIRE OUTSTANDING</v>
      </c>
      <c r="AF135" s="4"/>
    </row>
    <row r="136" spans="1:32" x14ac:dyDescent="0.3">
      <c r="A136" t="s">
        <v>3111</v>
      </c>
      <c r="B136" t="s">
        <v>3112</v>
      </c>
      <c r="F136" t="s">
        <v>2842</v>
      </c>
      <c r="G136" t="s">
        <v>2843</v>
      </c>
      <c r="H136" t="b">
        <v>1</v>
      </c>
      <c r="P136" t="s">
        <v>2844</v>
      </c>
      <c r="Q136" s="21">
        <v>46242</v>
      </c>
      <c r="R136" s="21">
        <v>46242</v>
      </c>
      <c r="S136">
        <f>IF($A136="","",COUNTIF(vendor_coverage_countries!$B:$B,$A136))</f>
        <v>1</v>
      </c>
      <c r="T136" t="str" cm="1">
        <f t="array" ref="T136">IF($A136="","",_xlfn.TEXTJOIN(", ",TRUE,IF(vendor_coverage_countries!$B$2:$B$296=$A136,vendor_coverage_countries!$C$2:$C$296,"")))</f>
        <v>IQ</v>
      </c>
      <c r="U136" t="str">
        <f>IF($A136="","",IFERROR(INDEX(vendor_coverage_airports!$C$2:$C$296,MATCH($A136,vendor_coverage_airports!$B$2:$B$296,0)),""))</f>
        <v>ORBI</v>
      </c>
      <c r="W136">
        <f>IF($A136="","",COUNTIF(vendor_coverage_airports!$B:$B,$A136))</f>
        <v>1</v>
      </c>
      <c r="X136" s="9"/>
      <c r="Y136" s="9"/>
      <c r="Z136" s="4"/>
      <c r="AA136">
        <f>IF($A136="","",COUNTIF(vendor_coverage_airports!$B:$B,$A136))</f>
        <v>1</v>
      </c>
      <c r="AB136">
        <f>IF($A136="","",COUNTIFS(vendor_coverage_countries!$B:$B,$A136,vendor_coverage_countries!$D:$D,"YES"))</f>
        <v>0</v>
      </c>
      <c r="AC136" s="4"/>
      <c r="AD136" s="9"/>
      <c r="AE136" t="str">
        <f t="shared" si="2"/>
        <v>QUESTIONNAIRE OUTSTANDING</v>
      </c>
      <c r="AF136" s="4"/>
    </row>
    <row r="137" spans="1:32" x14ac:dyDescent="0.3">
      <c r="A137" t="s">
        <v>3113</v>
      </c>
      <c r="B137" t="s">
        <v>3114</v>
      </c>
      <c r="F137" t="s">
        <v>2842</v>
      </c>
      <c r="G137" t="s">
        <v>2843</v>
      </c>
      <c r="H137" t="b">
        <v>1</v>
      </c>
      <c r="P137" t="s">
        <v>2844</v>
      </c>
      <c r="Q137" s="21">
        <v>46242</v>
      </c>
      <c r="R137" s="21">
        <v>46242</v>
      </c>
      <c r="S137">
        <f>IF($A137="","",COUNTIF(vendor_coverage_countries!$B:$B,$A137))</f>
        <v>1</v>
      </c>
      <c r="T137" t="str" cm="1">
        <f t="array" ref="T137">IF($A137="","",_xlfn.TEXTJOIN(", ",TRUE,IF(vendor_coverage_countries!$B$2:$B$296=$A137,vendor_coverage_countries!$C$2:$C$296,"")))</f>
        <v>IQ</v>
      </c>
      <c r="U137" t="str">
        <f>IF($A137="","",IFERROR(INDEX(vendor_coverage_airports!$C$2:$C$296,MATCH($A137,vendor_coverage_airports!$B$2:$B$296,0)),""))</f>
        <v>ORBI</v>
      </c>
      <c r="W137">
        <f>IF($A137="","",COUNTIF(vendor_coverage_airports!$B:$B,$A137))</f>
        <v>1</v>
      </c>
      <c r="X137" s="9"/>
      <c r="Y137" s="9"/>
      <c r="Z137" s="4"/>
      <c r="AA137">
        <f>IF($A137="","",COUNTIF(vendor_coverage_airports!$B:$B,$A137))</f>
        <v>1</v>
      </c>
      <c r="AB137">
        <f>IF($A137="","",COUNTIFS(vendor_coverage_countries!$B:$B,$A137,vendor_coverage_countries!$D:$D,"YES"))</f>
        <v>0</v>
      </c>
      <c r="AC137" s="4"/>
      <c r="AD137" s="9"/>
      <c r="AE137" t="str">
        <f t="shared" si="2"/>
        <v>QUESTIONNAIRE OUTSTANDING</v>
      </c>
      <c r="AF137" s="4"/>
    </row>
  </sheetData>
  <dataValidations count="1">
    <dataValidation type="list" allowBlank="1" showInputMessage="1" showErrorMessage="1" sqref="B2:B500" xr:uid="{24C215FC-D278-495D-88FB-86847EF24B88}">
      <formula1>"admin!$F$5:$F$12"</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0A492-7DBB-4279-A990-9A169593DF92}">
  <dimension ref="A1:I71"/>
  <sheetViews>
    <sheetView workbookViewId="0">
      <pane ySplit="2" topLeftCell="A48" activePane="bottomLeft" state="frozen"/>
      <selection pane="bottomLeft" activeCell="D23" sqref="D23"/>
    </sheetView>
  </sheetViews>
  <sheetFormatPr defaultRowHeight="14.4" x14ac:dyDescent="0.3"/>
  <cols>
    <col min="1" max="1" width="11.109375" customWidth="1"/>
    <col min="2" max="2" width="35.21875" customWidth="1"/>
    <col min="3" max="3" width="13" customWidth="1"/>
    <col min="4" max="4" width="46.33203125" customWidth="1"/>
    <col min="5" max="5" width="13.88671875" customWidth="1"/>
    <col min="6" max="6" width="14.77734375" customWidth="1"/>
    <col min="7" max="7" width="16.6640625" customWidth="1"/>
    <col min="8" max="8" width="18.5546875" customWidth="1"/>
    <col min="9" max="9" width="27.77734375" customWidth="1"/>
  </cols>
  <sheetData>
    <row r="1" spans="1:9" ht="31.95" customHeight="1" x14ac:dyDescent="0.3">
      <c r="A1" s="90" t="s">
        <v>8506</v>
      </c>
      <c r="B1" s="91"/>
      <c r="C1" s="91"/>
      <c r="D1" s="91"/>
      <c r="E1" s="91"/>
      <c r="F1" s="91"/>
      <c r="G1" s="91"/>
      <c r="H1" s="91"/>
      <c r="I1" s="92"/>
    </row>
    <row r="2" spans="1:9" x14ac:dyDescent="0.3">
      <c r="A2" s="93" t="s">
        <v>2306</v>
      </c>
      <c r="B2" s="94" t="s">
        <v>8507</v>
      </c>
      <c r="C2" s="94" t="s">
        <v>8508</v>
      </c>
      <c r="D2" s="94" t="s">
        <v>2303</v>
      </c>
      <c r="E2" s="94" t="s">
        <v>4964</v>
      </c>
      <c r="F2" s="94" t="s">
        <v>4965</v>
      </c>
      <c r="G2" s="94" t="s">
        <v>8509</v>
      </c>
      <c r="H2" s="94" t="s">
        <v>8510</v>
      </c>
      <c r="I2" s="95" t="s">
        <v>4968</v>
      </c>
    </row>
    <row r="3" spans="1:9" x14ac:dyDescent="0.3">
      <c r="A3" s="96" t="s">
        <v>2326</v>
      </c>
      <c r="B3" s="97" t="s">
        <v>2327</v>
      </c>
      <c r="C3" s="97" t="s">
        <v>14</v>
      </c>
      <c r="D3" s="97" t="s">
        <v>2328</v>
      </c>
      <c r="E3" s="97" t="s">
        <v>4966</v>
      </c>
      <c r="F3" s="97">
        <v>1</v>
      </c>
      <c r="G3" s="97" t="s">
        <v>8511</v>
      </c>
      <c r="H3" s="97"/>
      <c r="I3" s="98"/>
    </row>
    <row r="4" spans="1:9" x14ac:dyDescent="0.3">
      <c r="A4" s="96" t="s">
        <v>2329</v>
      </c>
      <c r="B4" s="97" t="s">
        <v>2775</v>
      </c>
      <c r="C4" s="97" t="s">
        <v>12</v>
      </c>
      <c r="D4" s="97" t="s">
        <v>2330</v>
      </c>
      <c r="E4" s="97" t="s">
        <v>4967</v>
      </c>
      <c r="F4" s="97"/>
      <c r="G4" s="97" t="s">
        <v>8511</v>
      </c>
      <c r="H4" s="97"/>
      <c r="I4" s="98"/>
    </row>
    <row r="5" spans="1:9" x14ac:dyDescent="0.3">
      <c r="A5" s="96" t="s">
        <v>2331</v>
      </c>
      <c r="B5" s="97" t="s">
        <v>2776</v>
      </c>
      <c r="C5" s="97" t="s">
        <v>13</v>
      </c>
      <c r="D5" s="97" t="s">
        <v>2330</v>
      </c>
      <c r="E5" s="97" t="s">
        <v>4967</v>
      </c>
      <c r="F5" s="97"/>
      <c r="G5" s="97" t="s">
        <v>8511</v>
      </c>
      <c r="H5" s="97"/>
      <c r="I5" s="98"/>
    </row>
    <row r="6" spans="1:9" x14ac:dyDescent="0.3">
      <c r="A6" s="96" t="s">
        <v>2334</v>
      </c>
      <c r="B6" s="97" t="s">
        <v>121</v>
      </c>
      <c r="C6" s="97" t="s">
        <v>2332</v>
      </c>
      <c r="D6" s="97" t="s">
        <v>2333</v>
      </c>
      <c r="E6" s="97" t="s">
        <v>4966</v>
      </c>
      <c r="F6" s="97">
        <v>2</v>
      </c>
      <c r="G6" s="97" t="s">
        <v>8511</v>
      </c>
      <c r="H6" s="97"/>
      <c r="I6" s="98"/>
    </row>
    <row r="7" spans="1:9" x14ac:dyDescent="0.3">
      <c r="A7" s="96" t="s">
        <v>2337</v>
      </c>
      <c r="B7" s="97" t="s">
        <v>124</v>
      </c>
      <c r="C7" s="97" t="s">
        <v>2335</v>
      </c>
      <c r="D7" s="97" t="s">
        <v>2336</v>
      </c>
      <c r="E7" s="97" t="s">
        <v>4966</v>
      </c>
      <c r="F7" s="97">
        <v>3</v>
      </c>
      <c r="G7" s="97" t="s">
        <v>8511</v>
      </c>
      <c r="H7" s="97"/>
      <c r="I7" s="98"/>
    </row>
    <row r="8" spans="1:9" x14ac:dyDescent="0.3">
      <c r="A8" s="96" t="s">
        <v>2341</v>
      </c>
      <c r="B8" s="97" t="s">
        <v>2338</v>
      </c>
      <c r="C8" s="97" t="s">
        <v>2339</v>
      </c>
      <c r="D8" s="97" t="s">
        <v>2340</v>
      </c>
      <c r="E8" s="97" t="s">
        <v>4966</v>
      </c>
      <c r="F8" s="97">
        <v>4</v>
      </c>
      <c r="G8" s="97" t="s">
        <v>8511</v>
      </c>
      <c r="H8" s="97"/>
      <c r="I8" s="98"/>
    </row>
    <row r="9" spans="1:9" x14ac:dyDescent="0.3">
      <c r="A9" s="96" t="s">
        <v>2345</v>
      </c>
      <c r="B9" s="97" t="s">
        <v>2342</v>
      </c>
      <c r="C9" s="97" t="s">
        <v>2343</v>
      </c>
      <c r="D9" s="97" t="s">
        <v>2344</v>
      </c>
      <c r="E9" s="97" t="s">
        <v>4966</v>
      </c>
      <c r="F9" s="97">
        <v>5</v>
      </c>
      <c r="G9" s="97" t="s">
        <v>8511</v>
      </c>
      <c r="H9" s="97"/>
      <c r="I9" s="98"/>
    </row>
    <row r="10" spans="1:9" x14ac:dyDescent="0.3">
      <c r="A10" s="96" t="s">
        <v>2348</v>
      </c>
      <c r="B10" s="97" t="s">
        <v>126</v>
      </c>
      <c r="C10" s="97" t="s">
        <v>2346</v>
      </c>
      <c r="D10" s="97" t="s">
        <v>2347</v>
      </c>
      <c r="E10" s="97" t="s">
        <v>4966</v>
      </c>
      <c r="F10" s="97">
        <v>6</v>
      </c>
      <c r="G10" s="97" t="s">
        <v>8511</v>
      </c>
      <c r="H10" s="97"/>
      <c r="I10" s="98"/>
    </row>
    <row r="11" spans="1:9" x14ac:dyDescent="0.3">
      <c r="A11" s="96" t="s">
        <v>2352</v>
      </c>
      <c r="B11" s="97" t="s">
        <v>2349</v>
      </c>
      <c r="C11" s="97" t="s">
        <v>2350</v>
      </c>
      <c r="D11" s="97" t="s">
        <v>2351</v>
      </c>
      <c r="E11" s="97" t="s">
        <v>4966</v>
      </c>
      <c r="F11" s="97">
        <v>7</v>
      </c>
      <c r="G11" s="97" t="s">
        <v>8511</v>
      </c>
      <c r="H11" s="97"/>
      <c r="I11" s="98"/>
    </row>
    <row r="12" spans="1:9" x14ac:dyDescent="0.3">
      <c r="A12" s="96" t="s">
        <v>2356</v>
      </c>
      <c r="B12" s="97" t="s">
        <v>2353</v>
      </c>
      <c r="C12" s="97" t="s">
        <v>2354</v>
      </c>
      <c r="D12" s="97" t="s">
        <v>2355</v>
      </c>
      <c r="E12" s="97" t="s">
        <v>4966</v>
      </c>
      <c r="F12" s="97">
        <v>8</v>
      </c>
      <c r="G12" s="97" t="s">
        <v>8511</v>
      </c>
      <c r="H12" s="97"/>
      <c r="I12" s="98"/>
    </row>
    <row r="13" spans="1:9" x14ac:dyDescent="0.3">
      <c r="A13" s="96" t="s">
        <v>2360</v>
      </c>
      <c r="B13" s="97" t="s">
        <v>2357</v>
      </c>
      <c r="C13" s="97" t="s">
        <v>2358</v>
      </c>
      <c r="D13" s="97" t="s">
        <v>2359</v>
      </c>
      <c r="E13" s="97" t="s">
        <v>4966</v>
      </c>
      <c r="F13" s="97">
        <v>9</v>
      </c>
      <c r="G13" s="97" t="s">
        <v>8511</v>
      </c>
      <c r="H13" s="97"/>
      <c r="I13" s="98"/>
    </row>
    <row r="14" spans="1:9" x14ac:dyDescent="0.3">
      <c r="A14" s="96" t="s">
        <v>2364</v>
      </c>
      <c r="B14" s="97" t="s">
        <v>2361</v>
      </c>
      <c r="C14" s="97" t="s">
        <v>2362</v>
      </c>
      <c r="D14" s="97" t="s">
        <v>2363</v>
      </c>
      <c r="E14" s="97" t="s">
        <v>4966</v>
      </c>
      <c r="F14" s="97">
        <v>10</v>
      </c>
      <c r="G14" s="97" t="s">
        <v>8511</v>
      </c>
      <c r="H14" s="97"/>
      <c r="I14" s="98"/>
    </row>
    <row r="15" spans="1:9" x14ac:dyDescent="0.3">
      <c r="A15" s="96" t="s">
        <v>2827</v>
      </c>
      <c r="B15" s="97" t="s">
        <v>2365</v>
      </c>
      <c r="C15" s="97" t="s">
        <v>2366</v>
      </c>
      <c r="D15" s="97" t="s">
        <v>2367</v>
      </c>
      <c r="E15" s="97" t="s">
        <v>4966</v>
      </c>
      <c r="F15" s="97">
        <v>11</v>
      </c>
      <c r="G15" s="97" t="s">
        <v>8511</v>
      </c>
      <c r="H15" s="97"/>
      <c r="I15" s="98"/>
    </row>
    <row r="16" spans="1:9" x14ac:dyDescent="0.3">
      <c r="A16" s="96" t="s">
        <v>2828</v>
      </c>
      <c r="B16" s="97" t="s">
        <v>2773</v>
      </c>
      <c r="C16" s="97" t="s">
        <v>2833</v>
      </c>
      <c r="D16" s="97" t="s">
        <v>2830</v>
      </c>
      <c r="E16" s="97" t="s">
        <v>4966</v>
      </c>
      <c r="F16" s="97">
        <v>12</v>
      </c>
      <c r="G16" s="97" t="s">
        <v>8511</v>
      </c>
      <c r="H16" s="97"/>
      <c r="I16" s="98"/>
    </row>
    <row r="17" spans="1:9" x14ac:dyDescent="0.3">
      <c r="A17" s="96" t="s">
        <v>2829</v>
      </c>
      <c r="B17" s="97" t="s">
        <v>2774</v>
      </c>
      <c r="C17" s="97" t="s">
        <v>2836</v>
      </c>
      <c r="D17" s="97" t="s">
        <v>2839</v>
      </c>
      <c r="E17" s="97" t="s">
        <v>4966</v>
      </c>
      <c r="F17" s="97">
        <v>13</v>
      </c>
      <c r="G17" s="97" t="s">
        <v>8511</v>
      </c>
      <c r="H17" s="97"/>
      <c r="I17" s="98"/>
    </row>
    <row r="18" spans="1:9" x14ac:dyDescent="0.3">
      <c r="A18" s="96" t="s">
        <v>2837</v>
      </c>
      <c r="B18" s="97" t="s">
        <v>2831</v>
      </c>
      <c r="C18" s="97" t="s">
        <v>2835</v>
      </c>
      <c r="D18" s="97" t="s">
        <v>2831</v>
      </c>
      <c r="E18" s="97" t="s">
        <v>4966</v>
      </c>
      <c r="F18" s="97">
        <v>14</v>
      </c>
      <c r="G18" s="97" t="s">
        <v>8511</v>
      </c>
      <c r="H18" s="97"/>
      <c r="I18" s="98"/>
    </row>
    <row r="19" spans="1:9" x14ac:dyDescent="0.3">
      <c r="A19" s="99" t="s">
        <v>2838</v>
      </c>
      <c r="B19" s="100" t="s">
        <v>2832</v>
      </c>
      <c r="C19" s="100" t="s">
        <v>2834</v>
      </c>
      <c r="D19" s="100" t="s">
        <v>2832</v>
      </c>
      <c r="E19" s="100" t="s">
        <v>4966</v>
      </c>
      <c r="F19" s="100">
        <v>15</v>
      </c>
      <c r="G19" s="100" t="s">
        <v>8511</v>
      </c>
      <c r="H19" s="100"/>
      <c r="I19" s="101"/>
    </row>
    <row r="20" spans="1:9" x14ac:dyDescent="0.3">
      <c r="A20" s="99" t="s">
        <v>2368</v>
      </c>
      <c r="B20" s="100" t="s">
        <v>2369</v>
      </c>
      <c r="C20" s="100" t="s">
        <v>2370</v>
      </c>
      <c r="D20" s="100" t="s">
        <v>2371</v>
      </c>
      <c r="E20" s="100"/>
      <c r="F20" s="100"/>
      <c r="G20" s="100" t="s">
        <v>8512</v>
      </c>
      <c r="H20" s="100" t="s">
        <v>2326</v>
      </c>
      <c r="I20" s="101"/>
    </row>
    <row r="21" spans="1:9" x14ac:dyDescent="0.3">
      <c r="A21" s="99" t="s">
        <v>2372</v>
      </c>
      <c r="B21" s="100" t="s">
        <v>2373</v>
      </c>
      <c r="C21" s="100" t="s">
        <v>2374</v>
      </c>
      <c r="D21" s="100" t="s">
        <v>2375</v>
      </c>
      <c r="E21" s="100"/>
      <c r="F21" s="100"/>
      <c r="G21" s="100" t="s">
        <v>8512</v>
      </c>
      <c r="H21" s="100" t="s">
        <v>2326</v>
      </c>
      <c r="I21" s="101"/>
    </row>
    <row r="22" spans="1:9" x14ac:dyDescent="0.3">
      <c r="A22" s="99" t="s">
        <v>2376</v>
      </c>
      <c r="B22" s="100" t="s">
        <v>2377</v>
      </c>
      <c r="C22" s="100" t="s">
        <v>2378</v>
      </c>
      <c r="D22" s="100" t="s">
        <v>2379</v>
      </c>
      <c r="E22" s="100"/>
      <c r="F22" s="100"/>
      <c r="G22" s="100" t="s">
        <v>8512</v>
      </c>
      <c r="H22" s="100" t="s">
        <v>2326</v>
      </c>
      <c r="I22" s="101"/>
    </row>
    <row r="23" spans="1:9" x14ac:dyDescent="0.3">
      <c r="A23" s="99" t="s">
        <v>2380</v>
      </c>
      <c r="B23" s="100" t="s">
        <v>2381</v>
      </c>
      <c r="C23" s="100" t="s">
        <v>2382</v>
      </c>
      <c r="D23" s="100"/>
      <c r="E23" s="100"/>
      <c r="F23" s="100"/>
      <c r="G23" s="100" t="s">
        <v>8512</v>
      </c>
      <c r="H23" s="100" t="s">
        <v>2326</v>
      </c>
      <c r="I23" s="101"/>
    </row>
    <row r="24" spans="1:9" x14ac:dyDescent="0.3">
      <c r="A24" s="99" t="s">
        <v>2383</v>
      </c>
      <c r="B24" s="100" t="s">
        <v>2384</v>
      </c>
      <c r="C24" s="100" t="s">
        <v>2385</v>
      </c>
      <c r="D24" s="100" t="s">
        <v>2386</v>
      </c>
      <c r="E24" s="100"/>
      <c r="F24" s="100"/>
      <c r="G24" s="100" t="s">
        <v>8512</v>
      </c>
      <c r="H24" s="100" t="s">
        <v>2326</v>
      </c>
      <c r="I24" s="101"/>
    </row>
    <row r="25" spans="1:9" x14ac:dyDescent="0.3">
      <c r="A25" s="99" t="s">
        <v>2387</v>
      </c>
      <c r="B25" s="100" t="s">
        <v>2388</v>
      </c>
      <c r="C25" s="100" t="s">
        <v>2389</v>
      </c>
      <c r="D25" s="100"/>
      <c r="E25" s="100"/>
      <c r="F25" s="100"/>
      <c r="G25" s="100" t="s">
        <v>8512</v>
      </c>
      <c r="H25" s="100" t="s">
        <v>2326</v>
      </c>
      <c r="I25" s="101"/>
    </row>
    <row r="26" spans="1:9" x14ac:dyDescent="0.3">
      <c r="A26" s="99" t="s">
        <v>2390</v>
      </c>
      <c r="B26" s="100" t="s">
        <v>2391</v>
      </c>
      <c r="C26" s="100" t="s">
        <v>2392</v>
      </c>
      <c r="D26" s="100" t="s">
        <v>2393</v>
      </c>
      <c r="E26" s="100"/>
      <c r="F26" s="100"/>
      <c r="G26" s="100" t="s">
        <v>8512</v>
      </c>
      <c r="H26" s="100" t="s">
        <v>2326</v>
      </c>
      <c r="I26" s="101"/>
    </row>
    <row r="27" spans="1:9" x14ac:dyDescent="0.3">
      <c r="A27" s="99" t="s">
        <v>2394</v>
      </c>
      <c r="B27" s="100" t="s">
        <v>2395</v>
      </c>
      <c r="C27" s="100" t="s">
        <v>2396</v>
      </c>
      <c r="D27" s="100" t="s">
        <v>2397</v>
      </c>
      <c r="E27" s="100"/>
      <c r="F27" s="100"/>
      <c r="G27" s="100" t="s">
        <v>8512</v>
      </c>
      <c r="H27" s="100" t="s">
        <v>2329</v>
      </c>
      <c r="I27" s="101"/>
    </row>
    <row r="28" spans="1:9" x14ac:dyDescent="0.3">
      <c r="A28" s="99" t="s">
        <v>2398</v>
      </c>
      <c r="B28" s="100" t="s">
        <v>2399</v>
      </c>
      <c r="C28" s="100" t="s">
        <v>2400</v>
      </c>
      <c r="D28" s="100" t="s">
        <v>2401</v>
      </c>
      <c r="E28" s="100"/>
      <c r="F28" s="100"/>
      <c r="G28" s="100" t="s">
        <v>8512</v>
      </c>
      <c r="H28" s="100" t="s">
        <v>2331</v>
      </c>
      <c r="I28" s="101" t="s">
        <v>4969</v>
      </c>
    </row>
    <row r="29" spans="1:9" x14ac:dyDescent="0.3">
      <c r="A29" s="99" t="s">
        <v>2402</v>
      </c>
      <c r="B29" s="100" t="s">
        <v>2403</v>
      </c>
      <c r="C29" s="100" t="s">
        <v>2404</v>
      </c>
      <c r="D29" s="100" t="s">
        <v>2405</v>
      </c>
      <c r="E29" s="100"/>
      <c r="F29" s="100"/>
      <c r="G29" s="100" t="s">
        <v>8512</v>
      </c>
      <c r="H29" s="100" t="s">
        <v>2331</v>
      </c>
      <c r="I29" s="101" t="s">
        <v>4969</v>
      </c>
    </row>
    <row r="30" spans="1:9" x14ac:dyDescent="0.3">
      <c r="A30" s="99" t="s">
        <v>2406</v>
      </c>
      <c r="B30" s="100" t="s">
        <v>2407</v>
      </c>
      <c r="C30" s="100" t="s">
        <v>2408</v>
      </c>
      <c r="D30" s="100" t="s">
        <v>2409</v>
      </c>
      <c r="E30" s="100"/>
      <c r="F30" s="100"/>
      <c r="G30" s="100" t="s">
        <v>8512</v>
      </c>
      <c r="H30" s="100" t="s">
        <v>2329</v>
      </c>
      <c r="I30" s="101"/>
    </row>
    <row r="31" spans="1:9" x14ac:dyDescent="0.3">
      <c r="A31" s="99" t="s">
        <v>2410</v>
      </c>
      <c r="B31" s="100" t="s">
        <v>2411</v>
      </c>
      <c r="C31" s="100" t="s">
        <v>2412</v>
      </c>
      <c r="D31" s="100" t="s">
        <v>2413</v>
      </c>
      <c r="E31" s="100"/>
      <c r="F31" s="100"/>
      <c r="G31" s="100" t="s">
        <v>8512</v>
      </c>
      <c r="H31" s="100" t="s">
        <v>2329</v>
      </c>
      <c r="I31" s="101"/>
    </row>
    <row r="32" spans="1:9" x14ac:dyDescent="0.3">
      <c r="A32" s="99" t="s">
        <v>2414</v>
      </c>
      <c r="B32" s="100" t="s">
        <v>2415</v>
      </c>
      <c r="C32" s="100" t="s">
        <v>2416</v>
      </c>
      <c r="D32" s="100" t="s">
        <v>2417</v>
      </c>
      <c r="E32" s="100"/>
      <c r="F32" s="100"/>
      <c r="G32" s="100" t="s">
        <v>8512</v>
      </c>
      <c r="H32" s="100" t="s">
        <v>2329</v>
      </c>
      <c r="I32" s="101"/>
    </row>
    <row r="33" spans="1:9" x14ac:dyDescent="0.3">
      <c r="A33" s="99" t="s">
        <v>2418</v>
      </c>
      <c r="B33" s="100" t="s">
        <v>2419</v>
      </c>
      <c r="C33" s="100" t="s">
        <v>2420</v>
      </c>
      <c r="D33" s="100" t="s">
        <v>2421</v>
      </c>
      <c r="E33" s="100"/>
      <c r="F33" s="100"/>
      <c r="G33" s="100" t="s">
        <v>8512</v>
      </c>
      <c r="H33" s="100" t="s">
        <v>2329</v>
      </c>
      <c r="I33" s="101"/>
    </row>
    <row r="34" spans="1:9" x14ac:dyDescent="0.3">
      <c r="A34" s="99" t="s">
        <v>2422</v>
      </c>
      <c r="B34" s="100" t="s">
        <v>2423</v>
      </c>
      <c r="C34" s="100" t="s">
        <v>2424</v>
      </c>
      <c r="D34" s="100"/>
      <c r="E34" s="100"/>
      <c r="F34" s="100"/>
      <c r="G34" s="100" t="s">
        <v>8512</v>
      </c>
      <c r="H34" s="100" t="s">
        <v>2329</v>
      </c>
      <c r="I34" s="101"/>
    </row>
    <row r="35" spans="1:9" x14ac:dyDescent="0.3">
      <c r="A35" s="99" t="s">
        <v>2425</v>
      </c>
      <c r="B35" s="100" t="s">
        <v>2426</v>
      </c>
      <c r="C35" s="100" t="s">
        <v>2427</v>
      </c>
      <c r="D35" s="100" t="s">
        <v>2428</v>
      </c>
      <c r="E35" s="100"/>
      <c r="F35" s="100"/>
      <c r="G35" s="100" t="s">
        <v>8512</v>
      </c>
      <c r="H35" s="100" t="s">
        <v>2329</v>
      </c>
      <c r="I35" s="101"/>
    </row>
    <row r="36" spans="1:9" x14ac:dyDescent="0.3">
      <c r="A36" s="99" t="s">
        <v>2429</v>
      </c>
      <c r="B36" s="100" t="s">
        <v>2430</v>
      </c>
      <c r="C36" s="100" t="s">
        <v>2431</v>
      </c>
      <c r="D36" s="100"/>
      <c r="E36" s="100"/>
      <c r="F36" s="100"/>
      <c r="G36" s="100" t="s">
        <v>8512</v>
      </c>
      <c r="H36" s="100" t="s">
        <v>2334</v>
      </c>
      <c r="I36" s="101" t="s">
        <v>4970</v>
      </c>
    </row>
    <row r="37" spans="1:9" x14ac:dyDescent="0.3">
      <c r="A37" s="99" t="s">
        <v>2432</v>
      </c>
      <c r="B37" s="100" t="s">
        <v>2433</v>
      </c>
      <c r="C37" s="100" t="s">
        <v>2434</v>
      </c>
      <c r="D37" s="100"/>
      <c r="E37" s="100"/>
      <c r="F37" s="100"/>
      <c r="G37" s="100" t="s">
        <v>8512</v>
      </c>
      <c r="H37" s="100" t="s">
        <v>2334</v>
      </c>
      <c r="I37" s="101" t="s">
        <v>4970</v>
      </c>
    </row>
    <row r="38" spans="1:9" x14ac:dyDescent="0.3">
      <c r="A38" s="99" t="s">
        <v>2435</v>
      </c>
      <c r="B38" s="100" t="s">
        <v>2436</v>
      </c>
      <c r="C38" s="100" t="s">
        <v>2437</v>
      </c>
      <c r="D38" s="100" t="s">
        <v>2438</v>
      </c>
      <c r="E38" s="100"/>
      <c r="F38" s="100"/>
      <c r="G38" s="100" t="s">
        <v>8512</v>
      </c>
      <c r="H38" s="100" t="s">
        <v>2334</v>
      </c>
      <c r="I38" s="101" t="s">
        <v>4970</v>
      </c>
    </row>
    <row r="39" spans="1:9" x14ac:dyDescent="0.3">
      <c r="A39" s="99" t="s">
        <v>2439</v>
      </c>
      <c r="B39" s="100" t="s">
        <v>2440</v>
      </c>
      <c r="C39" s="100" t="s">
        <v>2441</v>
      </c>
      <c r="D39" s="100"/>
      <c r="E39" s="100"/>
      <c r="F39" s="100"/>
      <c r="G39" s="100" t="s">
        <v>8512</v>
      </c>
      <c r="H39" s="100" t="s">
        <v>2334</v>
      </c>
      <c r="I39" s="101" t="s">
        <v>4970</v>
      </c>
    </row>
    <row r="40" spans="1:9" x14ac:dyDescent="0.3">
      <c r="A40" s="99" t="s">
        <v>2442</v>
      </c>
      <c r="B40" s="100" t="s">
        <v>2443</v>
      </c>
      <c r="C40" s="100" t="s">
        <v>2444</v>
      </c>
      <c r="D40" s="100"/>
      <c r="E40" s="100"/>
      <c r="F40" s="100"/>
      <c r="G40" s="100" t="s">
        <v>8512</v>
      </c>
      <c r="H40" s="100" t="s">
        <v>2337</v>
      </c>
      <c r="I40" s="101" t="s">
        <v>4971</v>
      </c>
    </row>
    <row r="41" spans="1:9" x14ac:dyDescent="0.3">
      <c r="A41" s="99" t="s">
        <v>2445</v>
      </c>
      <c r="B41" s="100" t="s">
        <v>2446</v>
      </c>
      <c r="C41" s="100" t="s">
        <v>2447</v>
      </c>
      <c r="D41" s="100"/>
      <c r="E41" s="100"/>
      <c r="F41" s="100"/>
      <c r="G41" s="100" t="s">
        <v>8512</v>
      </c>
      <c r="H41" s="100" t="s">
        <v>2337</v>
      </c>
      <c r="I41" s="101" t="s">
        <v>4971</v>
      </c>
    </row>
    <row r="42" spans="1:9" x14ac:dyDescent="0.3">
      <c r="A42" s="99" t="s">
        <v>2448</v>
      </c>
      <c r="B42" s="100" t="s">
        <v>2449</v>
      </c>
      <c r="C42" s="100" t="s">
        <v>2450</v>
      </c>
      <c r="D42" s="100"/>
      <c r="E42" s="100"/>
      <c r="F42" s="100"/>
      <c r="G42" s="100" t="s">
        <v>8512</v>
      </c>
      <c r="H42" s="100" t="s">
        <v>2337</v>
      </c>
      <c r="I42" s="101" t="s">
        <v>4971</v>
      </c>
    </row>
    <row r="43" spans="1:9" x14ac:dyDescent="0.3">
      <c r="A43" s="99" t="s">
        <v>2451</v>
      </c>
      <c r="B43" s="100" t="s">
        <v>2452</v>
      </c>
      <c r="C43" s="100" t="s">
        <v>2453</v>
      </c>
      <c r="D43" s="100"/>
      <c r="E43" s="100"/>
      <c r="F43" s="100"/>
      <c r="G43" s="100" t="s">
        <v>8512</v>
      </c>
      <c r="H43" s="100" t="s">
        <v>2337</v>
      </c>
      <c r="I43" s="101" t="s">
        <v>4971</v>
      </c>
    </row>
    <row r="44" spans="1:9" x14ac:dyDescent="0.3">
      <c r="A44" s="99" t="s">
        <v>2454</v>
      </c>
      <c r="B44" s="100" t="s">
        <v>2455</v>
      </c>
      <c r="C44" s="100" t="s">
        <v>2456</v>
      </c>
      <c r="D44" s="100"/>
      <c r="E44" s="100"/>
      <c r="F44" s="100"/>
      <c r="G44" s="100" t="s">
        <v>8512</v>
      </c>
      <c r="H44" s="100" t="s">
        <v>2341</v>
      </c>
      <c r="I44" s="101" t="s">
        <v>4972</v>
      </c>
    </row>
    <row r="45" spans="1:9" x14ac:dyDescent="0.3">
      <c r="A45" s="99" t="s">
        <v>2457</v>
      </c>
      <c r="B45" s="100" t="s">
        <v>2458</v>
      </c>
      <c r="C45" s="100" t="s">
        <v>2459</v>
      </c>
      <c r="D45" s="100"/>
      <c r="E45" s="100"/>
      <c r="F45" s="100"/>
      <c r="G45" s="100" t="s">
        <v>8512</v>
      </c>
      <c r="H45" s="100" t="s">
        <v>2341</v>
      </c>
      <c r="I45" s="101" t="s">
        <v>4972</v>
      </c>
    </row>
    <row r="46" spans="1:9" x14ac:dyDescent="0.3">
      <c r="A46" s="99" t="s">
        <v>2460</v>
      </c>
      <c r="B46" s="100" t="s">
        <v>2461</v>
      </c>
      <c r="C46" s="100" t="s">
        <v>2462</v>
      </c>
      <c r="D46" s="100" t="s">
        <v>2463</v>
      </c>
      <c r="E46" s="100"/>
      <c r="F46" s="100"/>
      <c r="G46" s="100" t="s">
        <v>8512</v>
      </c>
      <c r="H46" s="100" t="s">
        <v>2341</v>
      </c>
      <c r="I46" s="101" t="s">
        <v>4972</v>
      </c>
    </row>
    <row r="47" spans="1:9" x14ac:dyDescent="0.3">
      <c r="A47" s="99" t="s">
        <v>2464</v>
      </c>
      <c r="B47" s="100" t="s">
        <v>2465</v>
      </c>
      <c r="C47" s="100" t="s">
        <v>2466</v>
      </c>
      <c r="D47" s="100" t="s">
        <v>2467</v>
      </c>
      <c r="E47" s="100"/>
      <c r="F47" s="100"/>
      <c r="G47" s="100" t="s">
        <v>8512</v>
      </c>
      <c r="H47" s="100" t="s">
        <v>2345</v>
      </c>
      <c r="I47" s="101" t="s">
        <v>4973</v>
      </c>
    </row>
    <row r="48" spans="1:9" x14ac:dyDescent="0.3">
      <c r="A48" s="99" t="s">
        <v>2468</v>
      </c>
      <c r="B48" s="100" t="s">
        <v>2469</v>
      </c>
      <c r="C48" s="100" t="s">
        <v>2470</v>
      </c>
      <c r="D48" s="100" t="s">
        <v>2471</v>
      </c>
      <c r="E48" s="100"/>
      <c r="F48" s="100"/>
      <c r="G48" s="100" t="s">
        <v>8512</v>
      </c>
      <c r="H48" s="100" t="s">
        <v>2345</v>
      </c>
      <c r="I48" s="101" t="s">
        <v>4973</v>
      </c>
    </row>
    <row r="49" spans="1:9" x14ac:dyDescent="0.3">
      <c r="A49" s="99" t="s">
        <v>2472</v>
      </c>
      <c r="B49" s="100" t="s">
        <v>2473</v>
      </c>
      <c r="C49" s="100" t="s">
        <v>2474</v>
      </c>
      <c r="D49" s="100"/>
      <c r="E49" s="100"/>
      <c r="F49" s="100"/>
      <c r="G49" s="100" t="s">
        <v>8512</v>
      </c>
      <c r="H49" s="100" t="s">
        <v>2345</v>
      </c>
      <c r="I49" s="101" t="s">
        <v>4973</v>
      </c>
    </row>
    <row r="50" spans="1:9" x14ac:dyDescent="0.3">
      <c r="A50" s="99" t="s">
        <v>2475</v>
      </c>
      <c r="B50" s="100" t="s">
        <v>2476</v>
      </c>
      <c r="C50" s="100" t="s">
        <v>2477</v>
      </c>
      <c r="D50" s="100"/>
      <c r="E50" s="100"/>
      <c r="F50" s="100"/>
      <c r="G50" s="100" t="s">
        <v>8512</v>
      </c>
      <c r="H50" s="100" t="s">
        <v>2345</v>
      </c>
      <c r="I50" s="101" t="s">
        <v>4973</v>
      </c>
    </row>
    <row r="51" spans="1:9" x14ac:dyDescent="0.3">
      <c r="A51" s="99" t="s">
        <v>2478</v>
      </c>
      <c r="B51" s="100" t="s">
        <v>2479</v>
      </c>
      <c r="C51" s="100" t="s">
        <v>2480</v>
      </c>
      <c r="D51" s="100" t="s">
        <v>2481</v>
      </c>
      <c r="E51" s="100"/>
      <c r="F51" s="100"/>
      <c r="G51" s="100" t="s">
        <v>8512</v>
      </c>
      <c r="H51" s="100" t="s">
        <v>2348</v>
      </c>
      <c r="I51" s="101" t="s">
        <v>4974</v>
      </c>
    </row>
    <row r="52" spans="1:9" x14ac:dyDescent="0.3">
      <c r="A52" s="99" t="s">
        <v>2482</v>
      </c>
      <c r="B52" s="100" t="s">
        <v>2483</v>
      </c>
      <c r="C52" s="100" t="s">
        <v>2484</v>
      </c>
      <c r="D52" s="100" t="s">
        <v>2485</v>
      </c>
      <c r="E52" s="100"/>
      <c r="F52" s="100"/>
      <c r="G52" s="100" t="s">
        <v>8512</v>
      </c>
      <c r="H52" s="100" t="s">
        <v>2348</v>
      </c>
      <c r="I52" s="101" t="s">
        <v>4974</v>
      </c>
    </row>
    <row r="53" spans="1:9" x14ac:dyDescent="0.3">
      <c r="A53" s="99" t="s">
        <v>2486</v>
      </c>
      <c r="B53" s="100" t="s">
        <v>2487</v>
      </c>
      <c r="C53" s="100" t="s">
        <v>2488</v>
      </c>
      <c r="D53" s="100"/>
      <c r="E53" s="100"/>
      <c r="F53" s="100"/>
      <c r="G53" s="100" t="s">
        <v>8512</v>
      </c>
      <c r="H53" s="100" t="s">
        <v>2348</v>
      </c>
      <c r="I53" s="101" t="s">
        <v>4974</v>
      </c>
    </row>
    <row r="54" spans="1:9" x14ac:dyDescent="0.3">
      <c r="A54" s="99" t="s">
        <v>2489</v>
      </c>
      <c r="B54" s="100" t="s">
        <v>2490</v>
      </c>
      <c r="C54" s="100" t="s">
        <v>2491</v>
      </c>
      <c r="D54" s="100" t="s">
        <v>2492</v>
      </c>
      <c r="E54" s="100"/>
      <c r="F54" s="100"/>
      <c r="G54" s="100" t="s">
        <v>8512</v>
      </c>
      <c r="H54" s="100" t="s">
        <v>2348</v>
      </c>
      <c r="I54" s="101" t="s">
        <v>4974</v>
      </c>
    </row>
    <row r="55" spans="1:9" x14ac:dyDescent="0.3">
      <c r="A55" s="99" t="s">
        <v>2493</v>
      </c>
      <c r="B55" s="100" t="s">
        <v>2494</v>
      </c>
      <c r="C55" s="100" t="s">
        <v>2495</v>
      </c>
      <c r="D55" s="100"/>
      <c r="E55" s="100"/>
      <c r="F55" s="100"/>
      <c r="G55" s="100" t="s">
        <v>8512</v>
      </c>
      <c r="H55" s="100" t="s">
        <v>2352</v>
      </c>
      <c r="I55" s="101" t="s">
        <v>4975</v>
      </c>
    </row>
    <row r="56" spans="1:9" x14ac:dyDescent="0.3">
      <c r="A56" s="99" t="s">
        <v>2496</v>
      </c>
      <c r="B56" s="100" t="s">
        <v>2497</v>
      </c>
      <c r="C56" s="100" t="s">
        <v>2498</v>
      </c>
      <c r="D56" s="100"/>
      <c r="E56" s="100"/>
      <c r="F56" s="100"/>
      <c r="G56" s="100" t="s">
        <v>8512</v>
      </c>
      <c r="H56" s="100" t="s">
        <v>2352</v>
      </c>
      <c r="I56" s="101" t="s">
        <v>4975</v>
      </c>
    </row>
    <row r="57" spans="1:9" x14ac:dyDescent="0.3">
      <c r="A57" s="99" t="s">
        <v>2499</v>
      </c>
      <c r="B57" s="100" t="s">
        <v>2500</v>
      </c>
      <c r="C57" s="100" t="s">
        <v>2501</v>
      </c>
      <c r="D57" s="100"/>
      <c r="E57" s="100"/>
      <c r="F57" s="100"/>
      <c r="G57" s="100" t="s">
        <v>8512</v>
      </c>
      <c r="H57" s="100" t="s">
        <v>2352</v>
      </c>
      <c r="I57" s="101" t="s">
        <v>4975</v>
      </c>
    </row>
    <row r="58" spans="1:9" x14ac:dyDescent="0.3">
      <c r="A58" s="99" t="s">
        <v>2502</v>
      </c>
      <c r="B58" s="100" t="s">
        <v>2503</v>
      </c>
      <c r="C58" s="100" t="s">
        <v>2504</v>
      </c>
      <c r="D58" s="100"/>
      <c r="E58" s="100"/>
      <c r="F58" s="100"/>
      <c r="G58" s="100" t="s">
        <v>8512</v>
      </c>
      <c r="H58" s="100" t="s">
        <v>2356</v>
      </c>
      <c r="I58" s="101" t="s">
        <v>4976</v>
      </c>
    </row>
    <row r="59" spans="1:9" x14ac:dyDescent="0.3">
      <c r="A59" s="99" t="s">
        <v>2505</v>
      </c>
      <c r="B59" s="100" t="s">
        <v>2506</v>
      </c>
      <c r="C59" s="100" t="s">
        <v>2507</v>
      </c>
      <c r="D59" s="100"/>
      <c r="E59" s="100"/>
      <c r="F59" s="100"/>
      <c r="G59" s="100" t="s">
        <v>8512</v>
      </c>
      <c r="H59" s="100" t="s">
        <v>2356</v>
      </c>
      <c r="I59" s="101" t="s">
        <v>4976</v>
      </c>
    </row>
    <row r="60" spans="1:9" x14ac:dyDescent="0.3">
      <c r="A60" s="99" t="s">
        <v>2508</v>
      </c>
      <c r="B60" s="100" t="s">
        <v>2509</v>
      </c>
      <c r="C60" s="100" t="s">
        <v>2510</v>
      </c>
      <c r="D60" s="100"/>
      <c r="E60" s="100"/>
      <c r="F60" s="100"/>
      <c r="G60" s="100" t="s">
        <v>8512</v>
      </c>
      <c r="H60" s="100" t="s">
        <v>2356</v>
      </c>
      <c r="I60" s="101" t="s">
        <v>4976</v>
      </c>
    </row>
    <row r="61" spans="1:9" x14ac:dyDescent="0.3">
      <c r="A61" s="99" t="s">
        <v>2511</v>
      </c>
      <c r="B61" s="100" t="s">
        <v>2512</v>
      </c>
      <c r="C61" s="100" t="s">
        <v>2513</v>
      </c>
      <c r="D61" s="100"/>
      <c r="E61" s="100"/>
      <c r="F61" s="100"/>
      <c r="G61" s="100" t="s">
        <v>8512</v>
      </c>
      <c r="H61" s="100" t="s">
        <v>2356</v>
      </c>
      <c r="I61" s="101" t="s">
        <v>4976</v>
      </c>
    </row>
    <row r="62" spans="1:9" x14ac:dyDescent="0.3">
      <c r="A62" s="99" t="s">
        <v>2514</v>
      </c>
      <c r="B62" s="100" t="s">
        <v>2515</v>
      </c>
      <c r="C62" s="100" t="s">
        <v>2516</v>
      </c>
      <c r="D62" s="100" t="s">
        <v>2517</v>
      </c>
      <c r="E62" s="100"/>
      <c r="F62" s="100"/>
      <c r="G62" s="100" t="s">
        <v>8512</v>
      </c>
      <c r="H62" s="100" t="s">
        <v>2360</v>
      </c>
      <c r="I62" s="101" t="s">
        <v>4977</v>
      </c>
    </row>
    <row r="63" spans="1:9" x14ac:dyDescent="0.3">
      <c r="A63" s="99" t="s">
        <v>2518</v>
      </c>
      <c r="B63" s="100" t="s">
        <v>2519</v>
      </c>
      <c r="C63" s="100" t="s">
        <v>2520</v>
      </c>
      <c r="D63" s="100"/>
      <c r="E63" s="100"/>
      <c r="F63" s="100"/>
      <c r="G63" s="100" t="s">
        <v>8512</v>
      </c>
      <c r="H63" s="100" t="s">
        <v>2360</v>
      </c>
      <c r="I63" s="101" t="s">
        <v>4977</v>
      </c>
    </row>
    <row r="64" spans="1:9" x14ac:dyDescent="0.3">
      <c r="A64" s="99" t="s">
        <v>2521</v>
      </c>
      <c r="B64" s="100" t="s">
        <v>2522</v>
      </c>
      <c r="C64" s="100" t="s">
        <v>2523</v>
      </c>
      <c r="D64" s="100"/>
      <c r="E64" s="100"/>
      <c r="F64" s="100"/>
      <c r="G64" s="100" t="s">
        <v>8512</v>
      </c>
      <c r="H64" s="100" t="s">
        <v>2360</v>
      </c>
      <c r="I64" s="101" t="s">
        <v>4977</v>
      </c>
    </row>
    <row r="65" spans="1:9" x14ac:dyDescent="0.3">
      <c r="A65" s="99" t="s">
        <v>2524</v>
      </c>
      <c r="B65" s="100" t="s">
        <v>2525</v>
      </c>
      <c r="C65" s="100" t="s">
        <v>2526</v>
      </c>
      <c r="D65" s="100"/>
      <c r="E65" s="100"/>
      <c r="F65" s="100"/>
      <c r="G65" s="100" t="s">
        <v>8512</v>
      </c>
      <c r="H65" s="100" t="s">
        <v>2364</v>
      </c>
      <c r="I65" s="101" t="s">
        <v>4978</v>
      </c>
    </row>
    <row r="66" spans="1:9" x14ac:dyDescent="0.3">
      <c r="A66" s="99" t="s">
        <v>2527</v>
      </c>
      <c r="B66" s="100" t="s">
        <v>2528</v>
      </c>
      <c r="C66" s="100" t="s">
        <v>2529</v>
      </c>
      <c r="D66" s="100"/>
      <c r="E66" s="100"/>
      <c r="F66" s="100"/>
      <c r="G66" s="100" t="s">
        <v>8512</v>
      </c>
      <c r="H66" s="100" t="s">
        <v>2364</v>
      </c>
      <c r="I66" s="101" t="s">
        <v>4978</v>
      </c>
    </row>
    <row r="67" spans="1:9" x14ac:dyDescent="0.3">
      <c r="A67" s="99" t="s">
        <v>2530</v>
      </c>
      <c r="B67" s="100" t="s">
        <v>2531</v>
      </c>
      <c r="C67" s="100" t="s">
        <v>2532</v>
      </c>
      <c r="D67" s="100"/>
      <c r="E67" s="100"/>
      <c r="F67" s="100"/>
      <c r="G67" s="100" t="s">
        <v>8512</v>
      </c>
      <c r="H67" s="100" t="s">
        <v>2364</v>
      </c>
      <c r="I67" s="101" t="s">
        <v>4978</v>
      </c>
    </row>
    <row r="68" spans="1:9" x14ac:dyDescent="0.3">
      <c r="A68" s="99" t="s">
        <v>2533</v>
      </c>
      <c r="B68" s="100" t="s">
        <v>2534</v>
      </c>
      <c r="C68" s="100" t="s">
        <v>2535</v>
      </c>
      <c r="D68" s="100"/>
      <c r="E68" s="100"/>
      <c r="F68" s="100"/>
      <c r="G68" s="100" t="s">
        <v>8512</v>
      </c>
      <c r="H68" s="100" t="s">
        <v>2827</v>
      </c>
      <c r="I68" s="101" t="s">
        <v>4979</v>
      </c>
    </row>
    <row r="69" spans="1:9" x14ac:dyDescent="0.3">
      <c r="A69" s="99" t="s">
        <v>2536</v>
      </c>
      <c r="B69" s="100" t="s">
        <v>2537</v>
      </c>
      <c r="C69" s="100" t="s">
        <v>2538</v>
      </c>
      <c r="D69" s="100"/>
      <c r="E69" s="100"/>
      <c r="F69" s="100"/>
      <c r="G69" s="100" t="s">
        <v>8512</v>
      </c>
      <c r="H69" s="100" t="s">
        <v>2827</v>
      </c>
      <c r="I69" s="101" t="s">
        <v>4979</v>
      </c>
    </row>
    <row r="70" spans="1:9" x14ac:dyDescent="0.3">
      <c r="A70" s="99" t="s">
        <v>2539</v>
      </c>
      <c r="B70" s="100" t="s">
        <v>2540</v>
      </c>
      <c r="C70" s="100" t="s">
        <v>2541</v>
      </c>
      <c r="D70" s="100"/>
      <c r="E70" s="100"/>
      <c r="F70" s="100"/>
      <c r="G70" s="100" t="s">
        <v>8512</v>
      </c>
      <c r="H70" s="100" t="s">
        <v>2827</v>
      </c>
      <c r="I70" s="101" t="s">
        <v>4979</v>
      </c>
    </row>
    <row r="71" spans="1:9" x14ac:dyDescent="0.3">
      <c r="A71" s="102" t="s">
        <v>2542</v>
      </c>
      <c r="B71" s="103" t="s">
        <v>2543</v>
      </c>
      <c r="C71" s="103" t="s">
        <v>2544</v>
      </c>
      <c r="D71" s="103"/>
      <c r="E71" s="103"/>
      <c r="F71" s="103"/>
      <c r="G71" s="103" t="s">
        <v>8512</v>
      </c>
      <c r="H71" s="103" t="s">
        <v>2827</v>
      </c>
      <c r="I71" s="104" t="s">
        <v>4979</v>
      </c>
    </row>
  </sheetData>
  <mergeCells count="1">
    <mergeCell ref="A1:I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8620A-2413-4005-AE6B-2E029AB418C0}">
  <dimension ref="A1:K296"/>
  <sheetViews>
    <sheetView workbookViewId="0">
      <pane ySplit="1" topLeftCell="A83" activePane="bottomLeft" state="frozen"/>
      <selection pane="bottomLeft" activeCell="A51" sqref="A51"/>
    </sheetView>
  </sheetViews>
  <sheetFormatPr defaultRowHeight="14.4" x14ac:dyDescent="0.3"/>
  <cols>
    <col min="1" max="1" width="9.109375" bestFit="1" customWidth="1"/>
    <col min="2" max="2" width="8.77734375" bestFit="1" customWidth="1"/>
    <col min="4" max="4" width="16.21875" bestFit="1" customWidth="1"/>
    <col min="5" max="5" width="14.88671875" bestFit="1" customWidth="1"/>
    <col min="6" max="6" width="10.88671875" bestFit="1" customWidth="1"/>
    <col min="7" max="7" width="11.109375" bestFit="1" customWidth="1"/>
    <col min="8" max="8" width="12.21875" bestFit="1" customWidth="1"/>
    <col min="9" max="9" width="17.88671875" bestFit="1" customWidth="1"/>
  </cols>
  <sheetData>
    <row r="1" spans="1:11" x14ac:dyDescent="0.3">
      <c r="A1" s="19" t="s">
        <v>2306</v>
      </c>
      <c r="B1" s="19" t="s">
        <v>2285</v>
      </c>
      <c r="C1" s="19" t="s">
        <v>2307</v>
      </c>
      <c r="D1" s="19" t="s">
        <v>2308</v>
      </c>
      <c r="E1" s="19" t="s">
        <v>2309</v>
      </c>
      <c r="F1" s="19" t="s">
        <v>2296</v>
      </c>
      <c r="G1" s="19" t="s">
        <v>2297</v>
      </c>
      <c r="H1" s="19" t="s">
        <v>2310</v>
      </c>
      <c r="I1" s="19" t="s">
        <v>2311</v>
      </c>
      <c r="J1" s="2" t="s">
        <v>2312</v>
      </c>
      <c r="K1" s="2" t="s">
        <v>3413</v>
      </c>
    </row>
    <row r="2" spans="1:11" x14ac:dyDescent="0.3">
      <c r="A2" t="s">
        <v>3414</v>
      </c>
      <c r="B2" t="s">
        <v>2840</v>
      </c>
      <c r="C2" t="s">
        <v>4</v>
      </c>
      <c r="I2" t="str">
        <f>IF($C2="","",IFERROR(INDEX(airports!$E:$E,MATCH($C2,airports!$A:$A,0)),"Not in airports"))</f>
        <v>Cairo International Airport</v>
      </c>
      <c r="J2" t="s">
        <v>2586</v>
      </c>
      <c r="K2" t="s">
        <v>3415</v>
      </c>
    </row>
    <row r="3" spans="1:11" x14ac:dyDescent="0.3">
      <c r="A3" t="s">
        <v>3416</v>
      </c>
      <c r="B3" t="s">
        <v>2845</v>
      </c>
      <c r="C3" t="s">
        <v>4</v>
      </c>
      <c r="I3" t="str">
        <f>IF($C3="","",IFERROR(INDEX(airports!$E:$E,MATCH($C3,airports!$A:$A,0)),"Not in airports"))</f>
        <v>Cairo International Airport</v>
      </c>
      <c r="J3" t="s">
        <v>2586</v>
      </c>
      <c r="K3" t="s">
        <v>3415</v>
      </c>
    </row>
    <row r="4" spans="1:11" x14ac:dyDescent="0.3">
      <c r="A4" t="s">
        <v>3417</v>
      </c>
      <c r="B4" t="s">
        <v>2847</v>
      </c>
      <c r="C4" t="s">
        <v>4</v>
      </c>
      <c r="I4" t="str">
        <f>IF($C4="","",IFERROR(INDEX(airports!$E:$E,MATCH($C4,airports!$A:$A,0)),"Not in airports"))</f>
        <v>Cairo International Airport</v>
      </c>
      <c r="J4" t="s">
        <v>2586</v>
      </c>
      <c r="K4" t="s">
        <v>3415</v>
      </c>
    </row>
    <row r="5" spans="1:11" x14ac:dyDescent="0.3">
      <c r="A5" t="s">
        <v>3418</v>
      </c>
      <c r="B5" t="s">
        <v>2849</v>
      </c>
      <c r="C5" t="s">
        <v>4</v>
      </c>
      <c r="I5" t="str">
        <f>IF($C5="","",IFERROR(INDEX(airports!$E:$E,MATCH($C5,airports!$A:$A,0)),"Not in airports"))</f>
        <v>Cairo International Airport</v>
      </c>
      <c r="J5" t="s">
        <v>2586</v>
      </c>
      <c r="K5" t="s">
        <v>3415</v>
      </c>
    </row>
    <row r="6" spans="1:11" x14ac:dyDescent="0.3">
      <c r="A6" t="s">
        <v>3419</v>
      </c>
      <c r="B6" t="s">
        <v>2851</v>
      </c>
      <c r="C6" t="s">
        <v>4</v>
      </c>
      <c r="I6" t="str">
        <f>IF($C6="","",IFERROR(INDEX(airports!$E:$E,MATCH($C6,airports!$A:$A,0)),"Not in airports"))</f>
        <v>Cairo International Airport</v>
      </c>
      <c r="J6" t="s">
        <v>2586</v>
      </c>
      <c r="K6" t="s">
        <v>3415</v>
      </c>
    </row>
    <row r="7" spans="1:11" x14ac:dyDescent="0.3">
      <c r="A7" t="s">
        <v>3420</v>
      </c>
      <c r="B7" t="s">
        <v>2853</v>
      </c>
      <c r="C7" t="s">
        <v>4</v>
      </c>
      <c r="I7" t="str">
        <f>IF($C7="","",IFERROR(INDEX(airports!$E:$E,MATCH($C7,airports!$A:$A,0)),"Not in airports"))</f>
        <v>Cairo International Airport</v>
      </c>
      <c r="J7" t="s">
        <v>2586</v>
      </c>
      <c r="K7" t="s">
        <v>3415</v>
      </c>
    </row>
    <row r="8" spans="1:11" x14ac:dyDescent="0.3">
      <c r="A8" t="s">
        <v>3421</v>
      </c>
      <c r="B8" t="s">
        <v>2855</v>
      </c>
      <c r="C8" t="s">
        <v>4</v>
      </c>
      <c r="I8" t="str">
        <f>IF($C8="","",IFERROR(INDEX(airports!$E:$E,MATCH($C8,airports!$A:$A,0)),"Not in airports"))</f>
        <v>Cairo International Airport</v>
      </c>
      <c r="J8" t="s">
        <v>2586</v>
      </c>
      <c r="K8" t="s">
        <v>3415</v>
      </c>
    </row>
    <row r="9" spans="1:11" x14ac:dyDescent="0.3">
      <c r="A9" t="s">
        <v>3422</v>
      </c>
      <c r="B9" t="s">
        <v>2857</v>
      </c>
      <c r="C9" t="s">
        <v>4</v>
      </c>
      <c r="I9" t="str">
        <f>IF($C9="","",IFERROR(INDEX(airports!$E:$E,MATCH($C9,airports!$A:$A,0)),"Not in airports"))</f>
        <v>Cairo International Airport</v>
      </c>
      <c r="J9" t="s">
        <v>2586</v>
      </c>
      <c r="K9" t="s">
        <v>3415</v>
      </c>
    </row>
    <row r="10" spans="1:11" x14ac:dyDescent="0.3">
      <c r="A10" t="s">
        <v>3423</v>
      </c>
      <c r="B10" t="s">
        <v>2859</v>
      </c>
      <c r="C10" t="s">
        <v>4</v>
      </c>
      <c r="I10" t="str">
        <f>IF($C10="","",IFERROR(INDEX(airports!$E:$E,MATCH($C10,airports!$A:$A,0)),"Not in airports"))</f>
        <v>Cairo International Airport</v>
      </c>
      <c r="J10" t="s">
        <v>2586</v>
      </c>
      <c r="K10" t="s">
        <v>3415</v>
      </c>
    </row>
    <row r="11" spans="1:11" x14ac:dyDescent="0.3">
      <c r="A11" t="s">
        <v>3424</v>
      </c>
      <c r="B11" t="s">
        <v>2861</v>
      </c>
      <c r="C11" t="s">
        <v>4</v>
      </c>
      <c r="I11" t="str">
        <f>IF($C11="","",IFERROR(INDEX(airports!$E:$E,MATCH($C11,airports!$A:$A,0)),"Not in airports"))</f>
        <v>Cairo International Airport</v>
      </c>
      <c r="J11" t="s">
        <v>2586</v>
      </c>
      <c r="K11" t="s">
        <v>3415</v>
      </c>
    </row>
    <row r="12" spans="1:11" x14ac:dyDescent="0.3">
      <c r="A12" t="s">
        <v>3425</v>
      </c>
      <c r="B12" t="s">
        <v>2863</v>
      </c>
      <c r="C12" t="s">
        <v>5</v>
      </c>
      <c r="I12" t="str">
        <f>IF($C12="","",IFERROR(INDEX(airports!$E:$E,MATCH($C12,airports!$A:$A,0)),"Not in airports"))</f>
        <v>O.R. Tambo International Airport</v>
      </c>
      <c r="J12" t="s">
        <v>2690</v>
      </c>
      <c r="K12" t="s">
        <v>3415</v>
      </c>
    </row>
    <row r="13" spans="1:11" x14ac:dyDescent="0.3">
      <c r="A13" t="s">
        <v>3426</v>
      </c>
      <c r="B13" t="s">
        <v>2865</v>
      </c>
      <c r="C13" t="s">
        <v>5</v>
      </c>
      <c r="I13" t="str">
        <f>IF($C13="","",IFERROR(INDEX(airports!$E:$E,MATCH($C13,airports!$A:$A,0)),"Not in airports"))</f>
        <v>O.R. Tambo International Airport</v>
      </c>
      <c r="J13" t="s">
        <v>2690</v>
      </c>
      <c r="K13" t="s">
        <v>3415</v>
      </c>
    </row>
    <row r="14" spans="1:11" x14ac:dyDescent="0.3">
      <c r="A14" t="s">
        <v>3427</v>
      </c>
      <c r="B14" t="s">
        <v>2867</v>
      </c>
      <c r="C14" t="s">
        <v>3428</v>
      </c>
      <c r="I14" t="str">
        <f>IF($C14="","",IFERROR(INDEX(airports!$E:$E,MATCH($C14,airports!$A:$A,0)),"Not in airports"))</f>
        <v>Lanseria International Airport</v>
      </c>
      <c r="J14" t="s">
        <v>2690</v>
      </c>
      <c r="K14" t="s">
        <v>3429</v>
      </c>
    </row>
    <row r="15" spans="1:11" x14ac:dyDescent="0.3">
      <c r="A15" t="s">
        <v>3430</v>
      </c>
      <c r="B15" t="s">
        <v>2869</v>
      </c>
      <c r="C15" t="s">
        <v>5</v>
      </c>
      <c r="I15" t="str">
        <f>IF($C15="","",IFERROR(INDEX(airports!$E:$E,MATCH($C15,airports!$A:$A,0)),"Not in airports"))</f>
        <v>O.R. Tambo International Airport</v>
      </c>
      <c r="J15" t="s">
        <v>2690</v>
      </c>
      <c r="K15" t="s">
        <v>3429</v>
      </c>
    </row>
    <row r="16" spans="1:11" x14ac:dyDescent="0.3">
      <c r="A16" t="s">
        <v>3431</v>
      </c>
      <c r="B16" t="s">
        <v>2871</v>
      </c>
      <c r="C16" t="s">
        <v>5</v>
      </c>
      <c r="I16" t="str">
        <f>IF($C16="","",IFERROR(INDEX(airports!$E:$E,MATCH($C16,airports!$A:$A,0)),"Not in airports"))</f>
        <v>O.R. Tambo International Airport</v>
      </c>
      <c r="J16" t="s">
        <v>2690</v>
      </c>
      <c r="K16" t="s">
        <v>3415</v>
      </c>
    </row>
    <row r="17" spans="1:11" x14ac:dyDescent="0.3">
      <c r="A17" t="s">
        <v>3432</v>
      </c>
      <c r="B17" t="s">
        <v>2873</v>
      </c>
      <c r="C17" t="s">
        <v>5</v>
      </c>
      <c r="I17" t="str">
        <f>IF($C17="","",IFERROR(INDEX(airports!$E:$E,MATCH($C17,airports!$A:$A,0)),"Not in airports"))</f>
        <v>O.R. Tambo International Airport</v>
      </c>
      <c r="J17" t="s">
        <v>2690</v>
      </c>
      <c r="K17" t="s">
        <v>3415</v>
      </c>
    </row>
    <row r="18" spans="1:11" x14ac:dyDescent="0.3">
      <c r="A18" t="s">
        <v>3433</v>
      </c>
      <c r="B18" t="s">
        <v>2875</v>
      </c>
      <c r="C18" t="s">
        <v>5</v>
      </c>
      <c r="I18" t="str">
        <f>IF($C18="","",IFERROR(INDEX(airports!$E:$E,MATCH($C18,airports!$A:$A,0)),"Not in airports"))</f>
        <v>O.R. Tambo International Airport</v>
      </c>
      <c r="J18" t="s">
        <v>2690</v>
      </c>
      <c r="K18" t="s">
        <v>3415</v>
      </c>
    </row>
    <row r="19" spans="1:11" x14ac:dyDescent="0.3">
      <c r="A19" t="s">
        <v>3434</v>
      </c>
      <c r="B19" t="s">
        <v>2877</v>
      </c>
      <c r="C19" t="s">
        <v>5</v>
      </c>
      <c r="I19" t="str">
        <f>IF($C19="","",IFERROR(INDEX(airports!$E:$E,MATCH($C19,airports!$A:$A,0)),"Not in airports"))</f>
        <v>O.R. Tambo International Airport</v>
      </c>
      <c r="J19" t="s">
        <v>2690</v>
      </c>
      <c r="K19" t="s">
        <v>3415</v>
      </c>
    </row>
    <row r="20" spans="1:11" x14ac:dyDescent="0.3">
      <c r="A20" t="s">
        <v>3435</v>
      </c>
      <c r="B20" t="s">
        <v>2879</v>
      </c>
      <c r="C20" t="s">
        <v>5</v>
      </c>
      <c r="I20" t="str">
        <f>IF($C20="","",IFERROR(INDEX(airports!$E:$E,MATCH($C20,airports!$A:$A,0)),"Not in airports"))</f>
        <v>O.R. Tambo International Airport</v>
      </c>
      <c r="J20" t="s">
        <v>2690</v>
      </c>
      <c r="K20" t="s">
        <v>3415</v>
      </c>
    </row>
    <row r="21" spans="1:11" x14ac:dyDescent="0.3">
      <c r="A21" t="s">
        <v>3436</v>
      </c>
      <c r="B21" t="s">
        <v>2881</v>
      </c>
      <c r="C21" t="s">
        <v>3437</v>
      </c>
      <c r="I21" t="str">
        <f>IF($C21="","",IFERROR(INDEX(airports!$E:$E,MATCH($C21,airports!$A:$A,0)),"Not in airports"))</f>
        <v>Upington Airport</v>
      </c>
      <c r="J21" t="s">
        <v>2690</v>
      </c>
      <c r="K21" t="s">
        <v>3429</v>
      </c>
    </row>
    <row r="22" spans="1:11" x14ac:dyDescent="0.3">
      <c r="A22" t="s">
        <v>3438</v>
      </c>
      <c r="B22" t="s">
        <v>2883</v>
      </c>
      <c r="C22" t="s">
        <v>5</v>
      </c>
      <c r="I22" t="str">
        <f>IF($C22="","",IFERROR(INDEX(airports!$E:$E,MATCH($C22,airports!$A:$A,0)),"Not in airports"))</f>
        <v>O.R. Tambo International Airport</v>
      </c>
      <c r="J22" t="s">
        <v>2690</v>
      </c>
      <c r="K22" t="s">
        <v>3415</v>
      </c>
    </row>
    <row r="23" spans="1:11" x14ac:dyDescent="0.3">
      <c r="A23" t="s">
        <v>3439</v>
      </c>
      <c r="B23" t="s">
        <v>2885</v>
      </c>
      <c r="C23" t="s">
        <v>3440</v>
      </c>
      <c r="I23" t="str">
        <f>IF($C23="","",IFERROR(INDEX(airports!$E:$E,MATCH($C23,airports!$A:$A,0)),"Not in airports"))</f>
        <v>Grand Central Airport</v>
      </c>
      <c r="J23" t="s">
        <v>2690</v>
      </c>
      <c r="K23" t="s">
        <v>3429</v>
      </c>
    </row>
    <row r="24" spans="1:11" x14ac:dyDescent="0.3">
      <c r="A24" t="s">
        <v>3441</v>
      </c>
      <c r="B24" t="s">
        <v>2887</v>
      </c>
      <c r="C24" t="s">
        <v>1491</v>
      </c>
      <c r="I24" t="str">
        <f>IF($C24="","",IFERROR(INDEX(airports!$E:$E,MATCH($C24,airports!$A:$A,0)),"Not in airports"))</f>
        <v>Julius Nyerere International Airport</v>
      </c>
      <c r="J24" t="s">
        <v>2699</v>
      </c>
      <c r="K24" t="s">
        <v>3415</v>
      </c>
    </row>
    <row r="25" spans="1:11" x14ac:dyDescent="0.3">
      <c r="A25" t="s">
        <v>3442</v>
      </c>
      <c r="B25" t="s">
        <v>2889</v>
      </c>
      <c r="C25" t="s">
        <v>1491</v>
      </c>
      <c r="I25" t="str">
        <f>IF($C25="","",IFERROR(INDEX(airports!$E:$E,MATCH($C25,airports!$A:$A,0)),"Not in airports"))</f>
        <v>Julius Nyerere International Airport</v>
      </c>
      <c r="J25" t="s">
        <v>2699</v>
      </c>
      <c r="K25" t="s">
        <v>3415</v>
      </c>
    </row>
    <row r="26" spans="1:11" x14ac:dyDescent="0.3">
      <c r="A26" t="s">
        <v>3443</v>
      </c>
      <c r="B26" t="s">
        <v>2891</v>
      </c>
      <c r="C26" t="s">
        <v>1491</v>
      </c>
      <c r="I26" t="str">
        <f>IF($C26="","",IFERROR(INDEX(airports!$E:$E,MATCH($C26,airports!$A:$A,0)),"Not in airports"))</f>
        <v>Julius Nyerere International Airport</v>
      </c>
      <c r="J26" t="s">
        <v>2699</v>
      </c>
      <c r="K26" t="s">
        <v>3415</v>
      </c>
    </row>
    <row r="27" spans="1:11" x14ac:dyDescent="0.3">
      <c r="A27" t="s">
        <v>3444</v>
      </c>
      <c r="B27" t="s">
        <v>2893</v>
      </c>
      <c r="C27" t="s">
        <v>1491</v>
      </c>
      <c r="I27" t="str">
        <f>IF($C27="","",IFERROR(INDEX(airports!$E:$E,MATCH($C27,airports!$A:$A,0)),"Not in airports"))</f>
        <v>Julius Nyerere International Airport</v>
      </c>
      <c r="J27" t="s">
        <v>2699</v>
      </c>
      <c r="K27" t="s">
        <v>3415</v>
      </c>
    </row>
    <row r="28" spans="1:11" x14ac:dyDescent="0.3">
      <c r="A28" t="s">
        <v>3445</v>
      </c>
      <c r="B28" t="s">
        <v>2895</v>
      </c>
      <c r="C28" t="s">
        <v>1491</v>
      </c>
      <c r="I28" t="str">
        <f>IF($C28="","",IFERROR(INDEX(airports!$E:$E,MATCH($C28,airports!$A:$A,0)),"Not in airports"))</f>
        <v>Julius Nyerere International Airport</v>
      </c>
      <c r="J28" t="s">
        <v>2699</v>
      </c>
      <c r="K28" t="s">
        <v>3415</v>
      </c>
    </row>
    <row r="29" spans="1:11" x14ac:dyDescent="0.3">
      <c r="A29" t="s">
        <v>3446</v>
      </c>
      <c r="B29" t="s">
        <v>2897</v>
      </c>
      <c r="C29" t="s">
        <v>1491</v>
      </c>
      <c r="I29" t="str">
        <f>IF($C29="","",IFERROR(INDEX(airports!$E:$E,MATCH($C29,airports!$A:$A,0)),"Not in airports"))</f>
        <v>Julius Nyerere International Airport</v>
      </c>
      <c r="J29" t="s">
        <v>2699</v>
      </c>
      <c r="K29" t="s">
        <v>3415</v>
      </c>
    </row>
    <row r="30" spans="1:11" x14ac:dyDescent="0.3">
      <c r="A30" t="s">
        <v>3447</v>
      </c>
      <c r="B30" t="s">
        <v>2899</v>
      </c>
      <c r="C30" t="s">
        <v>1491</v>
      </c>
      <c r="I30" t="str">
        <f>IF($C30="","",IFERROR(INDEX(airports!$E:$E,MATCH($C30,airports!$A:$A,0)),"Not in airports"))</f>
        <v>Julius Nyerere International Airport</v>
      </c>
      <c r="J30" t="s">
        <v>2699</v>
      </c>
      <c r="K30" t="s">
        <v>3415</v>
      </c>
    </row>
    <row r="31" spans="1:11" x14ac:dyDescent="0.3">
      <c r="A31" t="s">
        <v>3448</v>
      </c>
      <c r="B31" t="s">
        <v>2895</v>
      </c>
      <c r="C31" t="s">
        <v>3449</v>
      </c>
      <c r="I31" t="str">
        <f>IF($C31="","",IFERROR(INDEX(airports!$E:$E,MATCH($C31,airports!$A:$A,0)),"Not in airports"))</f>
        <v>Mohammed V International Airport</v>
      </c>
      <c r="J31" t="s">
        <v>2645</v>
      </c>
      <c r="K31" t="s">
        <v>3415</v>
      </c>
    </row>
    <row r="32" spans="1:11" x14ac:dyDescent="0.3">
      <c r="A32" t="s">
        <v>3450</v>
      </c>
      <c r="B32" t="s">
        <v>2901</v>
      </c>
      <c r="C32" t="s">
        <v>3449</v>
      </c>
      <c r="I32" t="str">
        <f>IF($C32="","",IFERROR(INDEX(airports!$E:$E,MATCH($C32,airports!$A:$A,0)),"Not in airports"))</f>
        <v>Mohammed V International Airport</v>
      </c>
      <c r="J32" t="s">
        <v>2645</v>
      </c>
      <c r="K32" t="s">
        <v>3415</v>
      </c>
    </row>
    <row r="33" spans="1:11" x14ac:dyDescent="0.3">
      <c r="A33" t="s">
        <v>3451</v>
      </c>
      <c r="B33" t="s">
        <v>2857</v>
      </c>
      <c r="C33" t="s">
        <v>3449</v>
      </c>
      <c r="I33" t="str">
        <f>IF($C33="","",IFERROR(INDEX(airports!$E:$E,MATCH($C33,airports!$A:$A,0)),"Not in airports"))</f>
        <v>Mohammed V International Airport</v>
      </c>
      <c r="J33" t="s">
        <v>2645</v>
      </c>
      <c r="K33" t="s">
        <v>3415</v>
      </c>
    </row>
    <row r="34" spans="1:11" x14ac:dyDescent="0.3">
      <c r="A34" t="s">
        <v>3452</v>
      </c>
      <c r="B34" t="s">
        <v>2903</v>
      </c>
      <c r="C34" t="s">
        <v>3449</v>
      </c>
      <c r="I34" t="str">
        <f>IF($C34="","",IFERROR(INDEX(airports!$E:$E,MATCH($C34,airports!$A:$A,0)),"Not in airports"))</f>
        <v>Mohammed V International Airport</v>
      </c>
      <c r="J34" t="s">
        <v>2645</v>
      </c>
      <c r="K34" t="s">
        <v>3415</v>
      </c>
    </row>
    <row r="35" spans="1:11" x14ac:dyDescent="0.3">
      <c r="A35" t="s">
        <v>3453</v>
      </c>
      <c r="B35" t="s">
        <v>2905</v>
      </c>
      <c r="C35" t="s">
        <v>3449</v>
      </c>
      <c r="I35" t="str">
        <f>IF($C35="","",IFERROR(INDEX(airports!$E:$E,MATCH($C35,airports!$A:$A,0)),"Not in airports"))</f>
        <v>Mohammed V International Airport</v>
      </c>
      <c r="J35" t="s">
        <v>2645</v>
      </c>
      <c r="K35" t="s">
        <v>3415</v>
      </c>
    </row>
    <row r="36" spans="1:11" x14ac:dyDescent="0.3">
      <c r="A36" t="s">
        <v>3454</v>
      </c>
      <c r="B36" t="s">
        <v>2907</v>
      </c>
      <c r="C36" t="s">
        <v>3449</v>
      </c>
      <c r="I36" t="str">
        <f>IF($C36="","",IFERROR(INDEX(airports!$E:$E,MATCH($C36,airports!$A:$A,0)),"Not in airports"))</f>
        <v>Mohammed V International Airport</v>
      </c>
      <c r="J36" t="s">
        <v>2645</v>
      </c>
      <c r="K36" t="s">
        <v>3415</v>
      </c>
    </row>
    <row r="37" spans="1:11" x14ac:dyDescent="0.3">
      <c r="A37" t="s">
        <v>3455</v>
      </c>
      <c r="B37" t="s">
        <v>2840</v>
      </c>
      <c r="C37" t="s">
        <v>3449</v>
      </c>
      <c r="I37" t="str">
        <f>IF($C37="","",IFERROR(INDEX(airports!$E:$E,MATCH($C37,airports!$A:$A,0)),"Not in airports"))</f>
        <v>Mohammed V International Airport</v>
      </c>
      <c r="J37" t="s">
        <v>2645</v>
      </c>
      <c r="K37" t="s">
        <v>3415</v>
      </c>
    </row>
    <row r="38" spans="1:11" x14ac:dyDescent="0.3">
      <c r="A38" t="s">
        <v>3456</v>
      </c>
      <c r="B38" t="s">
        <v>2909</v>
      </c>
      <c r="C38" t="s">
        <v>277</v>
      </c>
      <c r="I38" t="str">
        <f>IF($C38="","",IFERROR(INDEX(airports!$E:$E,MATCH($C38,airports!$A:$A,0)),"Not in airports"))</f>
        <v>Amílcar Cabral International Airport</v>
      </c>
      <c r="J38" t="s">
        <v>2565</v>
      </c>
      <c r="K38" t="s">
        <v>3415</v>
      </c>
    </row>
    <row r="39" spans="1:11" x14ac:dyDescent="0.3">
      <c r="A39" t="s">
        <v>3457</v>
      </c>
      <c r="B39" t="s">
        <v>2911</v>
      </c>
      <c r="C39" t="s">
        <v>277</v>
      </c>
      <c r="I39" t="str">
        <f>IF($C39="","",IFERROR(INDEX(airports!$E:$E,MATCH($C39,airports!$A:$A,0)),"Not in airports"))</f>
        <v>Amílcar Cabral International Airport</v>
      </c>
      <c r="J39" t="s">
        <v>2565</v>
      </c>
      <c r="K39" t="s">
        <v>3429</v>
      </c>
    </row>
    <row r="40" spans="1:11" x14ac:dyDescent="0.3">
      <c r="A40" t="s">
        <v>3458</v>
      </c>
      <c r="B40" t="s">
        <v>2913</v>
      </c>
      <c r="C40" t="s">
        <v>277</v>
      </c>
      <c r="I40" t="str">
        <f>IF($C40="","",IFERROR(INDEX(airports!$E:$E,MATCH($C40,airports!$A:$A,0)),"Not in airports"))</f>
        <v>Amílcar Cabral International Airport</v>
      </c>
      <c r="J40" t="s">
        <v>2565</v>
      </c>
      <c r="K40" t="s">
        <v>3415</v>
      </c>
    </row>
    <row r="41" spans="1:11" x14ac:dyDescent="0.3">
      <c r="A41" t="s">
        <v>3459</v>
      </c>
      <c r="B41" t="s">
        <v>2915</v>
      </c>
      <c r="C41" t="s">
        <v>277</v>
      </c>
      <c r="I41" t="str">
        <f>IF($C41="","",IFERROR(INDEX(airports!$E:$E,MATCH($C41,airports!$A:$A,0)),"Not in airports"))</f>
        <v>Amílcar Cabral International Airport</v>
      </c>
      <c r="J41" t="s">
        <v>2565</v>
      </c>
      <c r="K41" t="s">
        <v>3415</v>
      </c>
    </row>
    <row r="42" spans="1:11" x14ac:dyDescent="0.3">
      <c r="A42" t="s">
        <v>3460</v>
      </c>
      <c r="B42" t="s">
        <v>2907</v>
      </c>
      <c r="C42" t="s">
        <v>277</v>
      </c>
      <c r="I42" t="str">
        <f>IF($C42="","",IFERROR(INDEX(airports!$E:$E,MATCH($C42,airports!$A:$A,0)),"Not in airports"))</f>
        <v>Amílcar Cabral International Airport</v>
      </c>
      <c r="J42" t="s">
        <v>2565</v>
      </c>
      <c r="K42" t="s">
        <v>3415</v>
      </c>
    </row>
    <row r="43" spans="1:11" x14ac:dyDescent="0.3">
      <c r="A43" t="s">
        <v>3461</v>
      </c>
      <c r="B43" t="s">
        <v>2917</v>
      </c>
      <c r="C43" t="s">
        <v>1309</v>
      </c>
      <c r="I43" t="str">
        <f>IF($C43="","",IFERROR(INDEX(airports!$E:$E,MATCH($C43,airports!$A:$A,0)),"Not in airports"))</f>
        <v>Maputo Airport</v>
      </c>
      <c r="J43" t="s">
        <v>2648</v>
      </c>
      <c r="K43" t="s">
        <v>3415</v>
      </c>
    </row>
    <row r="44" spans="1:11" x14ac:dyDescent="0.3">
      <c r="A44" t="s">
        <v>3462</v>
      </c>
      <c r="B44" t="s">
        <v>2919</v>
      </c>
      <c r="C44" t="s">
        <v>1309</v>
      </c>
      <c r="I44" t="str">
        <f>IF($C44="","",IFERROR(INDEX(airports!$E:$E,MATCH($C44,airports!$A:$A,0)),"Not in airports"))</f>
        <v>Maputo Airport</v>
      </c>
      <c r="J44" t="s">
        <v>2648</v>
      </c>
      <c r="K44" t="s">
        <v>3415</v>
      </c>
    </row>
    <row r="45" spans="1:11" x14ac:dyDescent="0.3">
      <c r="A45" t="s">
        <v>3463</v>
      </c>
      <c r="B45" t="s">
        <v>2921</v>
      </c>
      <c r="C45" t="s">
        <v>1309</v>
      </c>
      <c r="I45" t="str">
        <f>IF($C45="","",IFERROR(INDEX(airports!$E:$E,MATCH($C45,airports!$A:$A,0)),"Not in airports"))</f>
        <v>Maputo Airport</v>
      </c>
      <c r="J45" t="s">
        <v>2648</v>
      </c>
      <c r="K45" t="s">
        <v>3429</v>
      </c>
    </row>
    <row r="46" spans="1:11" x14ac:dyDescent="0.3">
      <c r="A46" t="s">
        <v>3464</v>
      </c>
      <c r="B46" t="s">
        <v>2865</v>
      </c>
      <c r="C46" t="s">
        <v>1309</v>
      </c>
      <c r="I46" t="str">
        <f>IF($C46="","",IFERROR(INDEX(airports!$E:$E,MATCH($C46,airports!$A:$A,0)),"Not in airports"))</f>
        <v>Maputo Airport</v>
      </c>
      <c r="J46" t="s">
        <v>2648</v>
      </c>
      <c r="K46" t="s">
        <v>3415</v>
      </c>
    </row>
    <row r="47" spans="1:11" x14ac:dyDescent="0.3">
      <c r="A47" t="s">
        <v>3465</v>
      </c>
      <c r="B47" t="s">
        <v>2923</v>
      </c>
      <c r="C47" t="s">
        <v>3466</v>
      </c>
      <c r="I47" t="str">
        <f>IF($C47="","",IFERROR(INDEX(airports!$E:$E,MATCH($C47,airports!$A:$A,0)),"Not in airports"))</f>
        <v>Robert Gabriel Mugabe International Airport</v>
      </c>
      <c r="J47" t="s">
        <v>2715</v>
      </c>
      <c r="K47" t="s">
        <v>3415</v>
      </c>
    </row>
    <row r="48" spans="1:11" x14ac:dyDescent="0.3">
      <c r="A48" t="s">
        <v>3467</v>
      </c>
      <c r="B48" t="s">
        <v>2925</v>
      </c>
      <c r="C48" t="s">
        <v>3466</v>
      </c>
      <c r="I48" t="str">
        <f>IF($C48="","",IFERROR(INDEX(airports!$E:$E,MATCH($C48,airports!$A:$A,0)),"Not in airports"))</f>
        <v>Robert Gabriel Mugabe International Airport</v>
      </c>
      <c r="J48" t="s">
        <v>2715</v>
      </c>
      <c r="K48" t="s">
        <v>3415</v>
      </c>
    </row>
    <row r="49" spans="1:11" x14ac:dyDescent="0.3">
      <c r="A49" t="s">
        <v>3468</v>
      </c>
      <c r="B49" t="s">
        <v>2927</v>
      </c>
      <c r="C49" t="s">
        <v>3466</v>
      </c>
      <c r="I49" t="str">
        <f>IF($C49="","",IFERROR(INDEX(airports!$E:$E,MATCH($C49,airports!$A:$A,0)),"Not in airports"))</f>
        <v>Robert Gabriel Mugabe International Airport</v>
      </c>
      <c r="J49" t="s">
        <v>2715</v>
      </c>
      <c r="K49" t="s">
        <v>3415</v>
      </c>
    </row>
    <row r="50" spans="1:11" x14ac:dyDescent="0.3">
      <c r="A50" t="s">
        <v>3469</v>
      </c>
      <c r="B50" t="s">
        <v>2929</v>
      </c>
      <c r="C50" t="s">
        <v>1545</v>
      </c>
      <c r="I50" t="str">
        <f>IF($C50="","",IFERROR(INDEX(airports!$E:$E,MATCH($C50,airports!$A:$A,0)),"Not in airports"))</f>
        <v>Kenneth Kaunda International Airport</v>
      </c>
      <c r="J50" t="s">
        <v>2713</v>
      </c>
      <c r="K50" t="s">
        <v>3415</v>
      </c>
    </row>
    <row r="51" spans="1:11" x14ac:dyDescent="0.3">
      <c r="A51" t="s">
        <v>3470</v>
      </c>
      <c r="B51" t="s">
        <v>2919</v>
      </c>
      <c r="C51" t="s">
        <v>1545</v>
      </c>
      <c r="I51" t="str">
        <f>IF($C51="","",IFERROR(INDEX(airports!$E:$E,MATCH($C51,airports!$A:$A,0)),"Not in airports"))</f>
        <v>Kenneth Kaunda International Airport</v>
      </c>
      <c r="J51" t="s">
        <v>2713</v>
      </c>
      <c r="K51" t="s">
        <v>3415</v>
      </c>
    </row>
    <row r="52" spans="1:11" x14ac:dyDescent="0.3">
      <c r="A52" t="s">
        <v>3471</v>
      </c>
      <c r="B52" t="s">
        <v>2931</v>
      </c>
      <c r="C52" t="s">
        <v>1545</v>
      </c>
      <c r="I52" t="str">
        <f>IF($C52="","",IFERROR(INDEX(airports!$E:$E,MATCH($C52,airports!$A:$A,0)),"Not in airports"))</f>
        <v>Kenneth Kaunda International Airport</v>
      </c>
      <c r="J52" t="s">
        <v>2713</v>
      </c>
      <c r="K52" t="s">
        <v>3415</v>
      </c>
    </row>
    <row r="53" spans="1:11" x14ac:dyDescent="0.3">
      <c r="A53" t="s">
        <v>3472</v>
      </c>
      <c r="B53" t="s">
        <v>2857</v>
      </c>
      <c r="C53" t="s">
        <v>1545</v>
      </c>
      <c r="I53" t="str">
        <f>IF($C53="","",IFERROR(INDEX(airports!$E:$E,MATCH($C53,airports!$A:$A,0)),"Not in airports"))</f>
        <v>Kenneth Kaunda International Airport</v>
      </c>
      <c r="J53" t="s">
        <v>2713</v>
      </c>
      <c r="K53" t="s">
        <v>3415</v>
      </c>
    </row>
    <row r="54" spans="1:11" x14ac:dyDescent="0.3">
      <c r="A54" t="s">
        <v>3473</v>
      </c>
      <c r="B54" t="s">
        <v>2865</v>
      </c>
      <c r="C54" t="s">
        <v>1545</v>
      </c>
      <c r="I54" t="str">
        <f>IF($C54="","",IFERROR(INDEX(airports!$E:$E,MATCH($C54,airports!$A:$A,0)),"Not in airports"))</f>
        <v>Kenneth Kaunda International Airport</v>
      </c>
      <c r="J54" t="s">
        <v>2713</v>
      </c>
      <c r="K54" t="s">
        <v>3415</v>
      </c>
    </row>
    <row r="55" spans="1:11" x14ac:dyDescent="0.3">
      <c r="A55" t="s">
        <v>3474</v>
      </c>
      <c r="B55" t="s">
        <v>2933</v>
      </c>
      <c r="C55" t="s">
        <v>145</v>
      </c>
      <c r="I55" t="str">
        <f>IF($C55="","",IFERROR(INDEX(airports!$E:$E,MATCH($C55,airports!$A:$A,0)),"Not in airports"))</f>
        <v>Dr. Antonio Agostinho Neto International Airport</v>
      </c>
      <c r="J55" t="s">
        <v>2549</v>
      </c>
      <c r="K55" t="s">
        <v>3415</v>
      </c>
    </row>
    <row r="56" spans="1:11" x14ac:dyDescent="0.3">
      <c r="A56" t="s">
        <v>3475</v>
      </c>
      <c r="B56" t="s">
        <v>2935</v>
      </c>
      <c r="C56" t="s">
        <v>145</v>
      </c>
      <c r="I56" t="str">
        <f>IF($C56="","",IFERROR(INDEX(airports!$E:$E,MATCH($C56,airports!$A:$A,0)),"Not in airports"))</f>
        <v>Dr. Antonio Agostinho Neto International Airport</v>
      </c>
      <c r="J56" t="s">
        <v>2549</v>
      </c>
      <c r="K56" t="s">
        <v>3415</v>
      </c>
    </row>
    <row r="57" spans="1:11" x14ac:dyDescent="0.3">
      <c r="A57" t="s">
        <v>3476</v>
      </c>
      <c r="B57" t="s">
        <v>2937</v>
      </c>
      <c r="C57" t="s">
        <v>145</v>
      </c>
      <c r="I57" t="str">
        <f>IF($C57="","",IFERROR(INDEX(airports!$E:$E,MATCH($C57,airports!$A:$A,0)),"Not in airports"))</f>
        <v>Dr. Antonio Agostinho Neto International Airport</v>
      </c>
      <c r="J57" t="s">
        <v>2549</v>
      </c>
      <c r="K57" t="s">
        <v>3415</v>
      </c>
    </row>
    <row r="58" spans="1:11" x14ac:dyDescent="0.3">
      <c r="A58" t="s">
        <v>3477</v>
      </c>
      <c r="B58" t="s">
        <v>2939</v>
      </c>
      <c r="C58" t="s">
        <v>145</v>
      </c>
      <c r="I58" t="str">
        <f>IF($C58="","",IFERROR(INDEX(airports!$E:$E,MATCH($C58,airports!$A:$A,0)),"Not in airports"))</f>
        <v>Dr. Antonio Agostinho Neto International Airport</v>
      </c>
      <c r="J58" t="s">
        <v>2549</v>
      </c>
      <c r="K58" t="s">
        <v>3415</v>
      </c>
    </row>
    <row r="59" spans="1:11" x14ac:dyDescent="0.3">
      <c r="A59" t="s">
        <v>3478</v>
      </c>
      <c r="B59" t="s">
        <v>2941</v>
      </c>
      <c r="C59" t="s">
        <v>145</v>
      </c>
      <c r="I59" t="str">
        <f>IF($C59="","",IFERROR(INDEX(airports!$E:$E,MATCH($C59,airports!$A:$A,0)),"Not in airports"))</f>
        <v>Dr. Antonio Agostinho Neto International Airport</v>
      </c>
      <c r="J59" t="s">
        <v>2549</v>
      </c>
      <c r="K59" t="s">
        <v>3415</v>
      </c>
    </row>
    <row r="60" spans="1:11" x14ac:dyDescent="0.3">
      <c r="A60" t="s">
        <v>3479</v>
      </c>
      <c r="B60" t="s">
        <v>2943</v>
      </c>
      <c r="C60" t="s">
        <v>367</v>
      </c>
      <c r="I60" t="str">
        <f>IF($C60="","",IFERROR(INDEX(airports!$E:$E,MATCH($C60,airports!$A:$A,0)),"Not in airports"))</f>
        <v>Kotoka International Airport</v>
      </c>
      <c r="J60" t="s">
        <v>14</v>
      </c>
      <c r="K60" t="s">
        <v>3415</v>
      </c>
    </row>
    <row r="61" spans="1:11" x14ac:dyDescent="0.3">
      <c r="A61" t="s">
        <v>3480</v>
      </c>
      <c r="B61" t="s">
        <v>2919</v>
      </c>
      <c r="C61" t="s">
        <v>367</v>
      </c>
      <c r="I61" t="str">
        <f>IF($C61="","",IFERROR(INDEX(airports!$E:$E,MATCH($C61,airports!$A:$A,0)),"Not in airports"))</f>
        <v>Kotoka International Airport</v>
      </c>
      <c r="J61" t="s">
        <v>14</v>
      </c>
      <c r="K61" t="s">
        <v>3415</v>
      </c>
    </row>
    <row r="62" spans="1:11" x14ac:dyDescent="0.3">
      <c r="A62" t="s">
        <v>3481</v>
      </c>
      <c r="B62" t="s">
        <v>2907</v>
      </c>
      <c r="C62" t="s">
        <v>367</v>
      </c>
      <c r="I62" t="str">
        <f>IF($C62="","",IFERROR(INDEX(airports!$E:$E,MATCH($C62,airports!$A:$A,0)),"Not in airports"))</f>
        <v>Kotoka International Airport</v>
      </c>
      <c r="J62" t="s">
        <v>14</v>
      </c>
      <c r="K62" t="s">
        <v>3415</v>
      </c>
    </row>
    <row r="63" spans="1:11" x14ac:dyDescent="0.3">
      <c r="A63" t="s">
        <v>3482</v>
      </c>
      <c r="B63" t="s">
        <v>2895</v>
      </c>
      <c r="C63" t="s">
        <v>367</v>
      </c>
      <c r="I63" t="str">
        <f>IF($C63="","",IFERROR(INDEX(airports!$E:$E,MATCH($C63,airports!$A:$A,0)),"Not in airports"))</f>
        <v>Kotoka International Airport</v>
      </c>
      <c r="J63" t="s">
        <v>14</v>
      </c>
      <c r="K63" t="s">
        <v>3415</v>
      </c>
    </row>
    <row r="64" spans="1:11" x14ac:dyDescent="0.3">
      <c r="A64" t="s">
        <v>3483</v>
      </c>
      <c r="B64" t="s">
        <v>2945</v>
      </c>
      <c r="C64" t="s">
        <v>367</v>
      </c>
      <c r="I64" t="str">
        <f>IF($C64="","",IFERROR(INDEX(airports!$E:$E,MATCH($C64,airports!$A:$A,0)),"Not in airports"))</f>
        <v>Kotoka International Airport</v>
      </c>
      <c r="J64" t="s">
        <v>14</v>
      </c>
      <c r="K64" t="s">
        <v>3415</v>
      </c>
    </row>
    <row r="65" spans="1:11" x14ac:dyDescent="0.3">
      <c r="A65" t="s">
        <v>3484</v>
      </c>
      <c r="B65" t="s">
        <v>2947</v>
      </c>
      <c r="C65" t="s">
        <v>367</v>
      </c>
      <c r="I65" t="str">
        <f>IF($C65="","",IFERROR(INDEX(airports!$E:$E,MATCH($C65,airports!$A:$A,0)),"Not in airports"))</f>
        <v>Kotoka International Airport</v>
      </c>
      <c r="J65" t="s">
        <v>14</v>
      </c>
      <c r="K65" t="s">
        <v>3415</v>
      </c>
    </row>
    <row r="66" spans="1:11" x14ac:dyDescent="0.3">
      <c r="A66" t="s">
        <v>3485</v>
      </c>
      <c r="B66" t="s">
        <v>2887</v>
      </c>
      <c r="C66" t="s">
        <v>367</v>
      </c>
      <c r="I66" t="str">
        <f>IF($C66="","",IFERROR(INDEX(airports!$E:$E,MATCH($C66,airports!$A:$A,0)),"Not in airports"))</f>
        <v>Kotoka International Airport</v>
      </c>
      <c r="J66" t="s">
        <v>14</v>
      </c>
      <c r="K66" t="s">
        <v>3415</v>
      </c>
    </row>
    <row r="67" spans="1:11" x14ac:dyDescent="0.3">
      <c r="A67" t="s">
        <v>3486</v>
      </c>
      <c r="B67" t="s">
        <v>2949</v>
      </c>
      <c r="C67" t="s">
        <v>367</v>
      </c>
      <c r="I67" t="str">
        <f>IF($C67="","",IFERROR(INDEX(airports!$E:$E,MATCH($C67,airports!$A:$A,0)),"Not in airports"))</f>
        <v>Kotoka International Airport</v>
      </c>
      <c r="J67" t="s">
        <v>14</v>
      </c>
      <c r="K67" t="s">
        <v>3415</v>
      </c>
    </row>
    <row r="68" spans="1:11" x14ac:dyDescent="0.3">
      <c r="A68" t="s">
        <v>3487</v>
      </c>
      <c r="B68" t="s">
        <v>2951</v>
      </c>
      <c r="C68" t="s">
        <v>367</v>
      </c>
      <c r="I68" t="str">
        <f>IF($C68="","",IFERROR(INDEX(airports!$E:$E,MATCH($C68,airports!$A:$A,0)),"Not in airports"))</f>
        <v>Kotoka International Airport</v>
      </c>
      <c r="J68" t="s">
        <v>14</v>
      </c>
      <c r="K68" t="s">
        <v>3415</v>
      </c>
    </row>
    <row r="69" spans="1:11" x14ac:dyDescent="0.3">
      <c r="A69" t="s">
        <v>3488</v>
      </c>
      <c r="B69" t="s">
        <v>2891</v>
      </c>
      <c r="C69" t="s">
        <v>367</v>
      </c>
      <c r="I69" t="str">
        <f>IF($C69="","",IFERROR(INDEX(airports!$E:$E,MATCH($C69,airports!$A:$A,0)),"Not in airports"))</f>
        <v>Kotoka International Airport</v>
      </c>
      <c r="J69" t="s">
        <v>14</v>
      </c>
      <c r="K69" t="s">
        <v>3415</v>
      </c>
    </row>
    <row r="70" spans="1:11" x14ac:dyDescent="0.3">
      <c r="A70" t="s">
        <v>3489</v>
      </c>
      <c r="B70" t="s">
        <v>2953</v>
      </c>
      <c r="C70" t="s">
        <v>367</v>
      </c>
      <c r="I70" t="str">
        <f>IF($C70="","",IFERROR(INDEX(airports!$E:$E,MATCH($C70,airports!$A:$A,0)),"Not in airports"))</f>
        <v>Kotoka International Airport</v>
      </c>
      <c r="J70" t="s">
        <v>14</v>
      </c>
      <c r="K70" t="s">
        <v>3415</v>
      </c>
    </row>
    <row r="71" spans="1:11" x14ac:dyDescent="0.3">
      <c r="A71" t="s">
        <v>3490</v>
      </c>
      <c r="B71" t="s">
        <v>2909</v>
      </c>
      <c r="C71" t="s">
        <v>367</v>
      </c>
      <c r="I71" t="str">
        <f>IF($C71="","",IFERROR(INDEX(airports!$E:$E,MATCH($C71,airports!$A:$A,0)),"Not in airports"))</f>
        <v>Kotoka International Airport</v>
      </c>
      <c r="J71" t="s">
        <v>14</v>
      </c>
      <c r="K71" t="s">
        <v>3415</v>
      </c>
    </row>
    <row r="72" spans="1:11" x14ac:dyDescent="0.3">
      <c r="A72" t="s">
        <v>3491</v>
      </c>
      <c r="B72" t="s">
        <v>2955</v>
      </c>
      <c r="C72" t="s">
        <v>367</v>
      </c>
      <c r="I72" t="str">
        <f>IF($C72="","",IFERROR(INDEX(airports!$E:$E,MATCH($C72,airports!$A:$A,0)),"Not in airports"))</f>
        <v>Kotoka International Airport</v>
      </c>
      <c r="J72" t="s">
        <v>14</v>
      </c>
      <c r="K72" t="s">
        <v>3415</v>
      </c>
    </row>
    <row r="73" spans="1:11" x14ac:dyDescent="0.3">
      <c r="A73" t="s">
        <v>3492</v>
      </c>
      <c r="B73" t="s">
        <v>2897</v>
      </c>
      <c r="C73" t="s">
        <v>367</v>
      </c>
      <c r="I73" t="str">
        <f>IF($C73="","",IFERROR(INDEX(airports!$E:$E,MATCH($C73,airports!$A:$A,0)),"Not in airports"))</f>
        <v>Kotoka International Airport</v>
      </c>
      <c r="J73" t="s">
        <v>14</v>
      </c>
      <c r="K73" t="s">
        <v>3415</v>
      </c>
    </row>
    <row r="74" spans="1:11" x14ac:dyDescent="0.3">
      <c r="A74" t="s">
        <v>3493</v>
      </c>
      <c r="B74" t="s">
        <v>2933</v>
      </c>
      <c r="C74" t="s">
        <v>367</v>
      </c>
      <c r="I74" t="str">
        <f>IF($C74="","",IFERROR(INDEX(airports!$E:$E,MATCH($C74,airports!$A:$A,0)),"Not in airports"))</f>
        <v>Kotoka International Airport</v>
      </c>
      <c r="J74" t="s">
        <v>14</v>
      </c>
      <c r="K74" t="s">
        <v>3415</v>
      </c>
    </row>
    <row r="75" spans="1:11" x14ac:dyDescent="0.3">
      <c r="A75" t="s">
        <v>3494</v>
      </c>
      <c r="B75" t="s">
        <v>2957</v>
      </c>
      <c r="C75" t="s">
        <v>353</v>
      </c>
      <c r="I75" t="str">
        <f>IF($C75="","",IFERROR(INDEX(airports!$E:$E,MATCH($C75,airports!$A:$A,0)),"Not in airports"))</f>
        <v>Libreville Leon M'ba International Airport</v>
      </c>
      <c r="J75" t="s">
        <v>2601</v>
      </c>
      <c r="K75" t="s">
        <v>3415</v>
      </c>
    </row>
    <row r="76" spans="1:11" x14ac:dyDescent="0.3">
      <c r="A76" t="s">
        <v>3495</v>
      </c>
      <c r="B76" t="s">
        <v>2959</v>
      </c>
      <c r="C76" t="s">
        <v>353</v>
      </c>
      <c r="I76" t="str">
        <f>IF($C76="","",IFERROR(INDEX(airports!$E:$E,MATCH($C76,airports!$A:$A,0)),"Not in airports"))</f>
        <v>Libreville Leon M'ba International Airport</v>
      </c>
      <c r="J76" t="s">
        <v>2601</v>
      </c>
      <c r="K76" t="s">
        <v>3415</v>
      </c>
    </row>
    <row r="77" spans="1:11" x14ac:dyDescent="0.3">
      <c r="A77" t="s">
        <v>3496</v>
      </c>
      <c r="B77" t="s">
        <v>2891</v>
      </c>
      <c r="C77" t="s">
        <v>353</v>
      </c>
      <c r="I77" t="str">
        <f>IF($C77="","",IFERROR(INDEX(airports!$E:$E,MATCH($C77,airports!$A:$A,0)),"Not in airports"))</f>
        <v>Libreville Leon M'ba International Airport</v>
      </c>
      <c r="J77" t="s">
        <v>2601</v>
      </c>
      <c r="K77" t="s">
        <v>3415</v>
      </c>
    </row>
    <row r="78" spans="1:11" x14ac:dyDescent="0.3">
      <c r="A78" t="s">
        <v>3497</v>
      </c>
      <c r="B78" t="s">
        <v>2961</v>
      </c>
      <c r="C78" t="s">
        <v>353</v>
      </c>
      <c r="I78" t="str">
        <f>IF($C78="","",IFERROR(INDEX(airports!$E:$E,MATCH($C78,airports!$A:$A,0)),"Not in airports"))</f>
        <v>Libreville Leon M'ba International Airport</v>
      </c>
      <c r="J78" t="s">
        <v>2601</v>
      </c>
      <c r="K78" t="s">
        <v>3415</v>
      </c>
    </row>
    <row r="79" spans="1:11" x14ac:dyDescent="0.3">
      <c r="A79" t="s">
        <v>3498</v>
      </c>
      <c r="B79" t="s">
        <v>2919</v>
      </c>
      <c r="C79" t="s">
        <v>353</v>
      </c>
      <c r="I79" t="str">
        <f>IF($C79="","",IFERROR(INDEX(airports!$E:$E,MATCH($C79,airports!$A:$A,0)),"Not in airports"))</f>
        <v>Libreville Leon M'ba International Airport</v>
      </c>
      <c r="J79" t="s">
        <v>2601</v>
      </c>
      <c r="K79" t="s">
        <v>3415</v>
      </c>
    </row>
    <row r="80" spans="1:11" x14ac:dyDescent="0.3">
      <c r="A80" t="s">
        <v>3499</v>
      </c>
      <c r="B80" t="s">
        <v>2907</v>
      </c>
      <c r="C80" t="s">
        <v>353</v>
      </c>
      <c r="I80" t="str">
        <f>IF($C80="","",IFERROR(INDEX(airports!$E:$E,MATCH($C80,airports!$A:$A,0)),"Not in airports"))</f>
        <v>Libreville Leon M'ba International Airport</v>
      </c>
      <c r="J80" t="s">
        <v>2601</v>
      </c>
      <c r="K80" t="s">
        <v>3415</v>
      </c>
    </row>
    <row r="81" spans="1:11" x14ac:dyDescent="0.3">
      <c r="A81" t="s">
        <v>3500</v>
      </c>
      <c r="B81" t="s">
        <v>2963</v>
      </c>
      <c r="C81" t="s">
        <v>3501</v>
      </c>
      <c r="I81" t="str">
        <f>IF($C81="","",IFERROR(INDEX(airports!$E:$E,MATCH($C81,airports!$A:$A,0)),"Not in airports"))</f>
        <v>Sir Seretse Khama International Airport</v>
      </c>
      <c r="J81" t="s">
        <v>2554</v>
      </c>
      <c r="K81" t="s">
        <v>3415</v>
      </c>
    </row>
    <row r="82" spans="1:11" x14ac:dyDescent="0.3">
      <c r="A82" t="s">
        <v>3502</v>
      </c>
      <c r="B82" t="s">
        <v>2919</v>
      </c>
      <c r="C82" t="s">
        <v>3501</v>
      </c>
      <c r="I82" t="str">
        <f>IF($C82="","",IFERROR(INDEX(airports!$E:$E,MATCH($C82,airports!$A:$A,0)),"Not in airports"))</f>
        <v>Sir Seretse Khama International Airport</v>
      </c>
      <c r="J82" t="s">
        <v>2554</v>
      </c>
      <c r="K82" t="s">
        <v>3415</v>
      </c>
    </row>
    <row r="83" spans="1:11" x14ac:dyDescent="0.3">
      <c r="A83" t="s">
        <v>3503</v>
      </c>
      <c r="B83" t="s">
        <v>2965</v>
      </c>
      <c r="C83" t="s">
        <v>3501</v>
      </c>
      <c r="I83" t="str">
        <f>IF($C83="","",IFERROR(INDEX(airports!$E:$E,MATCH($C83,airports!$A:$A,0)),"Not in airports"))</f>
        <v>Sir Seretse Khama International Airport</v>
      </c>
      <c r="J83" t="s">
        <v>2554</v>
      </c>
      <c r="K83" t="s">
        <v>3415</v>
      </c>
    </row>
    <row r="84" spans="1:11" x14ac:dyDescent="0.3">
      <c r="A84" t="s">
        <v>3504</v>
      </c>
      <c r="B84" t="s">
        <v>2865</v>
      </c>
      <c r="C84" t="s">
        <v>3505</v>
      </c>
      <c r="I84" t="str">
        <f>IF($C84="","",IFERROR(INDEX(airports!$E:$E,MATCH($C84,airports!$A:$A,0)),"Not in airports"))</f>
        <v>Murtala Muhammed International Airport</v>
      </c>
      <c r="J84" t="s">
        <v>2658</v>
      </c>
      <c r="K84" t="s">
        <v>3415</v>
      </c>
    </row>
    <row r="85" spans="1:11" x14ac:dyDescent="0.3">
      <c r="A85" t="s">
        <v>3506</v>
      </c>
      <c r="B85" t="s">
        <v>2951</v>
      </c>
      <c r="C85" t="s">
        <v>3505</v>
      </c>
      <c r="I85" t="str">
        <f>IF($C85="","",IFERROR(INDEX(airports!$E:$E,MATCH($C85,airports!$A:$A,0)),"Not in airports"))</f>
        <v>Murtala Muhammed International Airport</v>
      </c>
      <c r="J85" t="s">
        <v>2658</v>
      </c>
      <c r="K85" t="s">
        <v>3415</v>
      </c>
    </row>
    <row r="86" spans="1:11" x14ac:dyDescent="0.3">
      <c r="A86" t="s">
        <v>3507</v>
      </c>
      <c r="B86" t="s">
        <v>2967</v>
      </c>
      <c r="C86" t="s">
        <v>3505</v>
      </c>
      <c r="I86" t="str">
        <f>IF($C86="","",IFERROR(INDEX(airports!$E:$E,MATCH($C86,airports!$A:$A,0)),"Not in airports"))</f>
        <v>Murtala Muhammed International Airport</v>
      </c>
      <c r="J86" t="s">
        <v>2658</v>
      </c>
      <c r="K86" t="s">
        <v>3415</v>
      </c>
    </row>
    <row r="87" spans="1:11" x14ac:dyDescent="0.3">
      <c r="A87" t="s">
        <v>3508</v>
      </c>
      <c r="B87" t="s">
        <v>2969</v>
      </c>
      <c r="C87" t="s">
        <v>3509</v>
      </c>
      <c r="I87" t="str">
        <f>IF($C87="","",IFERROR(INDEX(airports!$E:$E,MATCH($C87,airports!$A:$A,0)),"Not in airports"))</f>
        <v>Hosea Kutako International Airport</v>
      </c>
      <c r="J87" t="s">
        <v>2652</v>
      </c>
      <c r="K87" t="s">
        <v>3415</v>
      </c>
    </row>
    <row r="88" spans="1:11" x14ac:dyDescent="0.3">
      <c r="A88" t="s">
        <v>3510</v>
      </c>
      <c r="B88" t="s">
        <v>2971</v>
      </c>
      <c r="C88" t="s">
        <v>3511</v>
      </c>
      <c r="I88" t="str">
        <f>IF($C88="","",IFERROR(INDEX(airports!$E:$E,MATCH($C88,airports!$A:$A,0)),"Not in airports"))</f>
        <v>Eros Airport</v>
      </c>
      <c r="J88" t="s">
        <v>2652</v>
      </c>
      <c r="K88" t="s">
        <v>3429</v>
      </c>
    </row>
    <row r="89" spans="1:11" x14ac:dyDescent="0.3">
      <c r="A89" t="s">
        <v>3512</v>
      </c>
      <c r="B89" t="s">
        <v>2939</v>
      </c>
      <c r="C89" t="s">
        <v>3509</v>
      </c>
      <c r="I89" t="str">
        <f>IF($C89="","",IFERROR(INDEX(airports!$E:$E,MATCH($C89,airports!$A:$A,0)),"Not in airports"))</f>
        <v>Hosea Kutako International Airport</v>
      </c>
      <c r="J89" t="s">
        <v>2652</v>
      </c>
      <c r="K89" t="s">
        <v>3415</v>
      </c>
    </row>
    <row r="90" spans="1:11" x14ac:dyDescent="0.3">
      <c r="A90" t="s">
        <v>3513</v>
      </c>
      <c r="B90" t="s">
        <v>2973</v>
      </c>
      <c r="C90" t="s">
        <v>3509</v>
      </c>
      <c r="I90" t="str">
        <f>IF($C90="","",IFERROR(INDEX(airports!$E:$E,MATCH($C90,airports!$A:$A,0)),"Not in airports"))</f>
        <v>Hosea Kutako International Airport</v>
      </c>
      <c r="J90" t="s">
        <v>2652</v>
      </c>
      <c r="K90" t="s">
        <v>3415</v>
      </c>
    </row>
    <row r="91" spans="1:11" x14ac:dyDescent="0.3">
      <c r="A91" t="s">
        <v>3514</v>
      </c>
      <c r="B91" t="s">
        <v>2975</v>
      </c>
      <c r="C91" t="s">
        <v>3509</v>
      </c>
      <c r="I91" t="str">
        <f>IF($C91="","",IFERROR(INDEX(airports!$E:$E,MATCH($C91,airports!$A:$A,0)),"Not in airports"))</f>
        <v>Hosea Kutako International Airport</v>
      </c>
      <c r="J91" t="s">
        <v>2652</v>
      </c>
      <c r="K91" t="s">
        <v>3415</v>
      </c>
    </row>
    <row r="92" spans="1:11" x14ac:dyDescent="0.3">
      <c r="A92" t="s">
        <v>3515</v>
      </c>
      <c r="B92" t="s">
        <v>2919</v>
      </c>
      <c r="C92" t="s">
        <v>3509</v>
      </c>
      <c r="I92" t="str">
        <f>IF($C92="","",IFERROR(INDEX(airports!$E:$E,MATCH($C92,airports!$A:$A,0)),"Not in airports"))</f>
        <v>Hosea Kutako International Airport</v>
      </c>
      <c r="J92" t="s">
        <v>2652</v>
      </c>
      <c r="K92" t="s">
        <v>3415</v>
      </c>
    </row>
    <row r="93" spans="1:11" x14ac:dyDescent="0.3">
      <c r="A93" t="s">
        <v>3516</v>
      </c>
      <c r="B93" t="s">
        <v>2933</v>
      </c>
      <c r="C93" t="s">
        <v>3509</v>
      </c>
      <c r="I93" t="str">
        <f>IF($C93="","",IFERROR(INDEX(airports!$E:$E,MATCH($C93,airports!$A:$A,0)),"Not in airports"))</f>
        <v>Hosea Kutako International Airport</v>
      </c>
      <c r="J93" t="s">
        <v>2652</v>
      </c>
      <c r="K93" t="s">
        <v>3415</v>
      </c>
    </row>
    <row r="94" spans="1:11" x14ac:dyDescent="0.3">
      <c r="A94" t="s">
        <v>3517</v>
      </c>
      <c r="B94" t="s">
        <v>2977</v>
      </c>
      <c r="C94" t="s">
        <v>233</v>
      </c>
      <c r="I94" t="str">
        <f>IF($C94="","",IFERROR(INDEX(airports!$E:$E,MATCH($C94,airports!$A:$A,0)),"Not in airports"))</f>
        <v>Ndjili International Airport</v>
      </c>
      <c r="J94" t="s">
        <v>2580</v>
      </c>
      <c r="K94" t="s">
        <v>3415</v>
      </c>
    </row>
    <row r="95" spans="1:11" x14ac:dyDescent="0.3">
      <c r="A95" t="s">
        <v>3518</v>
      </c>
      <c r="B95" t="s">
        <v>2979</v>
      </c>
      <c r="C95" t="s">
        <v>233</v>
      </c>
      <c r="I95" t="str">
        <f>IF($C95="","",IFERROR(INDEX(airports!$E:$E,MATCH($C95,airports!$A:$A,0)),"Not in airports"))</f>
        <v>Ndjili International Airport</v>
      </c>
      <c r="J95" t="s">
        <v>2580</v>
      </c>
      <c r="K95" t="s">
        <v>3415</v>
      </c>
    </row>
    <row r="96" spans="1:11" x14ac:dyDescent="0.3">
      <c r="A96" t="s">
        <v>3519</v>
      </c>
      <c r="B96" t="s">
        <v>2883</v>
      </c>
      <c r="C96" t="s">
        <v>233</v>
      </c>
      <c r="I96" t="str">
        <f>IF($C96="","",IFERROR(INDEX(airports!$E:$E,MATCH($C96,airports!$A:$A,0)),"Not in airports"))</f>
        <v>Ndjili International Airport</v>
      </c>
      <c r="J96" t="s">
        <v>2580</v>
      </c>
      <c r="K96" t="s">
        <v>3415</v>
      </c>
    </row>
    <row r="97" spans="1:11" x14ac:dyDescent="0.3">
      <c r="A97" t="s">
        <v>3520</v>
      </c>
      <c r="B97" t="s">
        <v>2865</v>
      </c>
      <c r="C97" t="s">
        <v>233</v>
      </c>
      <c r="I97" t="str">
        <f>IF($C97="","",IFERROR(INDEX(airports!$E:$E,MATCH($C97,airports!$A:$A,0)),"Not in airports"))</f>
        <v>Ndjili International Airport</v>
      </c>
      <c r="J97" t="s">
        <v>2580</v>
      </c>
      <c r="K97" t="s">
        <v>3415</v>
      </c>
    </row>
    <row r="98" spans="1:11" x14ac:dyDescent="0.3">
      <c r="A98" t="s">
        <v>3521</v>
      </c>
      <c r="B98" t="s">
        <v>2981</v>
      </c>
      <c r="C98" t="s">
        <v>1499</v>
      </c>
      <c r="I98" t="str">
        <f>IF($C98="","",IFERROR(INDEX(airports!$E:$E,MATCH($C98,airports!$A:$A,0)),"Not in airports"))</f>
        <v>Entebbe International Airport</v>
      </c>
      <c r="J98" t="s">
        <v>2707</v>
      </c>
      <c r="K98" t="s">
        <v>3429</v>
      </c>
    </row>
    <row r="99" spans="1:11" x14ac:dyDescent="0.3">
      <c r="A99" t="s">
        <v>3522</v>
      </c>
      <c r="B99" t="s">
        <v>2907</v>
      </c>
      <c r="C99" t="s">
        <v>1499</v>
      </c>
      <c r="I99" t="str">
        <f>IF($C99="","",IFERROR(INDEX(airports!$E:$E,MATCH($C99,airports!$A:$A,0)),"Not in airports"))</f>
        <v>Entebbe International Airport</v>
      </c>
      <c r="J99" t="s">
        <v>2707</v>
      </c>
      <c r="K99" t="s">
        <v>3415</v>
      </c>
    </row>
    <row r="100" spans="1:11" x14ac:dyDescent="0.3">
      <c r="A100" t="s">
        <v>3523</v>
      </c>
      <c r="B100" t="s">
        <v>2983</v>
      </c>
      <c r="C100" t="s">
        <v>1499</v>
      </c>
      <c r="I100" t="str">
        <f>IF($C100="","",IFERROR(INDEX(airports!$E:$E,MATCH($C100,airports!$A:$A,0)),"Not in airports"))</f>
        <v>Entebbe International Airport</v>
      </c>
      <c r="J100" t="s">
        <v>2707</v>
      </c>
      <c r="K100" t="s">
        <v>3415</v>
      </c>
    </row>
    <row r="101" spans="1:11" x14ac:dyDescent="0.3">
      <c r="A101" t="s">
        <v>3524</v>
      </c>
      <c r="B101" t="s">
        <v>2889</v>
      </c>
      <c r="C101" t="s">
        <v>1499</v>
      </c>
      <c r="I101" t="str">
        <f>IF($C101="","",IFERROR(INDEX(airports!$E:$E,MATCH($C101,airports!$A:$A,0)),"Not in airports"))</f>
        <v>Entebbe International Airport</v>
      </c>
      <c r="J101" t="s">
        <v>2707</v>
      </c>
      <c r="K101" t="s">
        <v>3415</v>
      </c>
    </row>
    <row r="102" spans="1:11" x14ac:dyDescent="0.3">
      <c r="A102" t="s">
        <v>3525</v>
      </c>
      <c r="B102" t="s">
        <v>2919</v>
      </c>
      <c r="C102" t="s">
        <v>1499</v>
      </c>
      <c r="I102" t="str">
        <f>IF($C102="","",IFERROR(INDEX(airports!$E:$E,MATCH($C102,airports!$A:$A,0)),"Not in airports"))</f>
        <v>Entebbe International Airport</v>
      </c>
      <c r="J102" t="s">
        <v>2707</v>
      </c>
      <c r="K102" t="s">
        <v>3415</v>
      </c>
    </row>
    <row r="103" spans="1:11" x14ac:dyDescent="0.3">
      <c r="A103" t="s">
        <v>3526</v>
      </c>
      <c r="B103" t="s">
        <v>2891</v>
      </c>
      <c r="C103" t="s">
        <v>1499</v>
      </c>
      <c r="I103" t="str">
        <f>IF($C103="","",IFERROR(INDEX(airports!$E:$E,MATCH($C103,airports!$A:$A,0)),"Not in airports"))</f>
        <v>Entebbe International Airport</v>
      </c>
      <c r="J103" t="s">
        <v>2707</v>
      </c>
      <c r="K103" t="s">
        <v>3415</v>
      </c>
    </row>
    <row r="104" spans="1:11" x14ac:dyDescent="0.3">
      <c r="A104" t="s">
        <v>3527</v>
      </c>
      <c r="B104" t="s">
        <v>2863</v>
      </c>
      <c r="C104" t="s">
        <v>1499</v>
      </c>
      <c r="I104" t="str">
        <f>IF($C104="","",IFERROR(INDEX(airports!$E:$E,MATCH($C104,airports!$A:$A,0)),"Not in airports"))</f>
        <v>Entebbe International Airport</v>
      </c>
      <c r="J104" t="s">
        <v>2707</v>
      </c>
      <c r="K104" t="s">
        <v>3415</v>
      </c>
    </row>
    <row r="105" spans="1:11" x14ac:dyDescent="0.3">
      <c r="A105" t="s">
        <v>3528</v>
      </c>
      <c r="B105" t="s">
        <v>2899</v>
      </c>
      <c r="C105" t="s">
        <v>463</v>
      </c>
      <c r="I105" t="str">
        <f>IF($C105="","",IFERROR(INDEX(airports!$E:$E,MATCH($C105,airports!$A:$A,0)),"Not in airports"))</f>
        <v>Jomo Kenyatta International Airport</v>
      </c>
      <c r="J105" t="s">
        <v>2615</v>
      </c>
      <c r="K105" t="s">
        <v>3415</v>
      </c>
    </row>
    <row r="106" spans="1:11" x14ac:dyDescent="0.3">
      <c r="A106" t="s">
        <v>3529</v>
      </c>
      <c r="B106" t="s">
        <v>2985</v>
      </c>
      <c r="C106" t="s">
        <v>463</v>
      </c>
      <c r="I106" t="str">
        <f>IF($C106="","",IFERROR(INDEX(airports!$E:$E,MATCH($C106,airports!$A:$A,0)),"Not in airports"))</f>
        <v>Jomo Kenyatta International Airport</v>
      </c>
      <c r="J106" t="s">
        <v>2615</v>
      </c>
      <c r="K106" t="s">
        <v>3415</v>
      </c>
    </row>
    <row r="107" spans="1:11" x14ac:dyDescent="0.3">
      <c r="A107" t="s">
        <v>3530</v>
      </c>
      <c r="B107" t="s">
        <v>2919</v>
      </c>
      <c r="C107" t="s">
        <v>463</v>
      </c>
      <c r="I107" t="str">
        <f>IF($C107="","",IFERROR(INDEX(airports!$E:$E,MATCH($C107,airports!$A:$A,0)),"Not in airports"))</f>
        <v>Jomo Kenyatta International Airport</v>
      </c>
      <c r="J107" t="s">
        <v>2615</v>
      </c>
      <c r="K107" t="s">
        <v>3415</v>
      </c>
    </row>
    <row r="108" spans="1:11" x14ac:dyDescent="0.3">
      <c r="A108" t="s">
        <v>3531</v>
      </c>
      <c r="B108" t="s">
        <v>2887</v>
      </c>
      <c r="C108" t="s">
        <v>463</v>
      </c>
      <c r="I108" t="str">
        <f>IF($C108="","",IFERROR(INDEX(airports!$E:$E,MATCH($C108,airports!$A:$A,0)),"Not in airports"))</f>
        <v>Jomo Kenyatta International Airport</v>
      </c>
      <c r="J108" t="s">
        <v>2615</v>
      </c>
      <c r="K108" t="s">
        <v>3415</v>
      </c>
    </row>
    <row r="109" spans="1:11" x14ac:dyDescent="0.3">
      <c r="A109" t="s">
        <v>3532</v>
      </c>
      <c r="B109" t="s">
        <v>2987</v>
      </c>
      <c r="C109" t="s">
        <v>463</v>
      </c>
      <c r="I109" t="str">
        <f>IF($C109="","",IFERROR(INDEX(airports!$E:$E,MATCH($C109,airports!$A:$A,0)),"Not in airports"))</f>
        <v>Jomo Kenyatta International Airport</v>
      </c>
      <c r="J109" t="s">
        <v>2615</v>
      </c>
      <c r="K109" t="s">
        <v>3415</v>
      </c>
    </row>
    <row r="110" spans="1:11" x14ac:dyDescent="0.3">
      <c r="A110" t="s">
        <v>3533</v>
      </c>
      <c r="B110" t="s">
        <v>2989</v>
      </c>
      <c r="C110" t="s">
        <v>463</v>
      </c>
      <c r="I110" t="str">
        <f>IF($C110="","",IFERROR(INDEX(airports!$E:$E,MATCH($C110,airports!$A:$A,0)),"Not in airports"))</f>
        <v>Jomo Kenyatta International Airport</v>
      </c>
      <c r="J110" t="s">
        <v>2615</v>
      </c>
      <c r="K110" t="s">
        <v>3415</v>
      </c>
    </row>
    <row r="111" spans="1:11" x14ac:dyDescent="0.3">
      <c r="A111" t="s">
        <v>3534</v>
      </c>
      <c r="B111" t="s">
        <v>2907</v>
      </c>
      <c r="C111" t="s">
        <v>1423</v>
      </c>
      <c r="I111" t="str">
        <f>IF($C111="","",IFERROR(INDEX(airports!$E:$E,MATCH($C111,airports!$A:$A,0)),"Not in airports"))</f>
        <v>Blaise Diagne International Airport</v>
      </c>
      <c r="J111" t="s">
        <v>2678</v>
      </c>
      <c r="K111" t="s">
        <v>3415</v>
      </c>
    </row>
    <row r="112" spans="1:11" x14ac:dyDescent="0.3">
      <c r="A112" t="s">
        <v>3535</v>
      </c>
      <c r="B112" t="s">
        <v>2919</v>
      </c>
      <c r="C112" t="s">
        <v>1423</v>
      </c>
      <c r="I112" t="str">
        <f>IF($C112="","",IFERROR(INDEX(airports!$E:$E,MATCH($C112,airports!$A:$A,0)),"Not in airports"))</f>
        <v>Blaise Diagne International Airport</v>
      </c>
      <c r="J112" t="s">
        <v>2678</v>
      </c>
      <c r="K112" t="s">
        <v>3415</v>
      </c>
    </row>
    <row r="113" spans="1:11" x14ac:dyDescent="0.3">
      <c r="A113" t="s">
        <v>3536</v>
      </c>
      <c r="B113" t="s">
        <v>2887</v>
      </c>
      <c r="C113" t="s">
        <v>1423</v>
      </c>
      <c r="I113" t="str">
        <f>IF($C113="","",IFERROR(INDEX(airports!$E:$E,MATCH($C113,airports!$A:$A,0)),"Not in airports"))</f>
        <v>Blaise Diagne International Airport</v>
      </c>
      <c r="J113" t="s">
        <v>2678</v>
      </c>
      <c r="K113" t="s">
        <v>3415</v>
      </c>
    </row>
    <row r="114" spans="1:11" x14ac:dyDescent="0.3">
      <c r="A114" t="s">
        <v>3537</v>
      </c>
      <c r="B114" t="s">
        <v>2891</v>
      </c>
      <c r="C114" t="s">
        <v>1423</v>
      </c>
      <c r="I114" t="str">
        <f>IF($C114="","",IFERROR(INDEX(airports!$E:$E,MATCH($C114,airports!$A:$A,0)),"Not in airports"))</f>
        <v>Blaise Diagne International Airport</v>
      </c>
      <c r="J114" t="s">
        <v>2678</v>
      </c>
      <c r="K114" t="s">
        <v>3415</v>
      </c>
    </row>
    <row r="115" spans="1:11" x14ac:dyDescent="0.3">
      <c r="A115" t="s">
        <v>3538</v>
      </c>
      <c r="B115" t="s">
        <v>2991</v>
      </c>
      <c r="C115" t="s">
        <v>1423</v>
      </c>
      <c r="I115" t="str">
        <f>IF($C115="","",IFERROR(INDEX(airports!$E:$E,MATCH($C115,airports!$A:$A,0)),"Not in airports"))</f>
        <v>Blaise Diagne International Airport</v>
      </c>
      <c r="J115" t="s">
        <v>2678</v>
      </c>
      <c r="K115" t="s">
        <v>3415</v>
      </c>
    </row>
    <row r="116" spans="1:11" x14ac:dyDescent="0.3">
      <c r="A116" t="s">
        <v>3539</v>
      </c>
      <c r="B116" t="s">
        <v>2897</v>
      </c>
      <c r="C116" t="s">
        <v>1423</v>
      </c>
      <c r="I116" t="str">
        <f>IF($C116="","",IFERROR(INDEX(airports!$E:$E,MATCH($C116,airports!$A:$A,0)),"Not in airports"))</f>
        <v>Blaise Diagne International Airport</v>
      </c>
      <c r="J116" t="s">
        <v>2678</v>
      </c>
      <c r="K116" t="s">
        <v>3415</v>
      </c>
    </row>
    <row r="117" spans="1:11" x14ac:dyDescent="0.3">
      <c r="A117" t="s">
        <v>3540</v>
      </c>
      <c r="B117" t="s">
        <v>2993</v>
      </c>
      <c r="C117" t="s">
        <v>1405</v>
      </c>
      <c r="I117" t="str">
        <f>IF($C117="","",IFERROR(INDEX(airports!$E:$E,MATCH($C117,airports!$A:$A,0)),"Not in airports"))</f>
        <v>Seychelles International Airport</v>
      </c>
      <c r="J117" t="s">
        <v>2681</v>
      </c>
      <c r="K117" t="s">
        <v>3415</v>
      </c>
    </row>
    <row r="118" spans="1:11" x14ac:dyDescent="0.3">
      <c r="A118" t="s">
        <v>3541</v>
      </c>
      <c r="B118" t="s">
        <v>2907</v>
      </c>
      <c r="C118" t="s">
        <v>307</v>
      </c>
      <c r="I118" t="str">
        <f>IF($C118="","",IFERROR(INDEX(airports!$E:$E,MATCH($C118,airports!$A:$A,0)),"Not in airports"))</f>
        <v>Houari Boumediene Airport</v>
      </c>
      <c r="J118" t="s">
        <v>2546</v>
      </c>
      <c r="K118" t="s">
        <v>3415</v>
      </c>
    </row>
    <row r="119" spans="1:11" x14ac:dyDescent="0.3">
      <c r="A119" t="s">
        <v>3542</v>
      </c>
      <c r="B119" t="s">
        <v>2895</v>
      </c>
      <c r="C119" t="s">
        <v>307</v>
      </c>
      <c r="I119" t="str">
        <f>IF($C119="","",IFERROR(INDEX(airports!$E:$E,MATCH($C119,airports!$A:$A,0)),"Not in airports"))</f>
        <v>Houari Boumediene Airport</v>
      </c>
      <c r="J119" t="s">
        <v>2546</v>
      </c>
      <c r="K119" t="s">
        <v>3415</v>
      </c>
    </row>
    <row r="120" spans="1:11" x14ac:dyDescent="0.3">
      <c r="A120" t="s">
        <v>3543</v>
      </c>
      <c r="B120" t="s">
        <v>2919</v>
      </c>
      <c r="C120" t="s">
        <v>307</v>
      </c>
      <c r="I120" t="str">
        <f>IF($C120="","",IFERROR(INDEX(airports!$E:$E,MATCH($C120,airports!$A:$A,0)),"Not in airports"))</f>
        <v>Houari Boumediene Airport</v>
      </c>
      <c r="J120" t="s">
        <v>2546</v>
      </c>
      <c r="K120" t="s">
        <v>3415</v>
      </c>
    </row>
    <row r="121" spans="1:11" x14ac:dyDescent="0.3">
      <c r="A121" t="s">
        <v>3544</v>
      </c>
      <c r="B121" t="s">
        <v>2943</v>
      </c>
      <c r="C121" t="s">
        <v>307</v>
      </c>
      <c r="I121" t="str">
        <f>IF($C121="","",IFERROR(INDEX(airports!$E:$E,MATCH($C121,airports!$A:$A,0)),"Not in airports"))</f>
        <v>Houari Boumediene Airport</v>
      </c>
      <c r="J121" t="s">
        <v>2546</v>
      </c>
      <c r="K121" t="s">
        <v>3415</v>
      </c>
    </row>
    <row r="122" spans="1:11" x14ac:dyDescent="0.3">
      <c r="A122" t="s">
        <v>3545</v>
      </c>
      <c r="B122" t="s">
        <v>2897</v>
      </c>
      <c r="C122" t="s">
        <v>307</v>
      </c>
      <c r="I122" t="str">
        <f>IF($C122="","",IFERROR(INDEX(airports!$E:$E,MATCH($C122,airports!$A:$A,0)),"Not in airports"))</f>
        <v>Houari Boumediene Airport</v>
      </c>
      <c r="J122" t="s">
        <v>2546</v>
      </c>
      <c r="K122" t="s">
        <v>3415</v>
      </c>
    </row>
    <row r="123" spans="1:11" x14ac:dyDescent="0.3">
      <c r="A123" t="s">
        <v>3546</v>
      </c>
      <c r="B123" t="s">
        <v>2995</v>
      </c>
      <c r="C123" t="s">
        <v>247</v>
      </c>
      <c r="I123" t="str">
        <f>IF($C123="","",IFERROR(INDEX(airports!$E:$E,MATCH($C123,airports!$A:$A,0)),"Not in airports"))</f>
        <v>Félix-Houphouët-Boigny International Airport</v>
      </c>
      <c r="J123" t="s">
        <v>2577</v>
      </c>
      <c r="K123" t="s">
        <v>3415</v>
      </c>
    </row>
    <row r="124" spans="1:11" x14ac:dyDescent="0.3">
      <c r="A124" t="s">
        <v>3547</v>
      </c>
      <c r="B124" t="s">
        <v>2857</v>
      </c>
      <c r="C124" t="s">
        <v>247</v>
      </c>
      <c r="I124" t="str">
        <f>IF($C124="","",IFERROR(INDEX(airports!$E:$E,MATCH($C124,airports!$A:$A,0)),"Not in airports"))</f>
        <v>Félix-Houphouët-Boigny International Airport</v>
      </c>
      <c r="J124" t="s">
        <v>2577</v>
      </c>
      <c r="K124" t="s">
        <v>3415</v>
      </c>
    </row>
    <row r="125" spans="1:11" x14ac:dyDescent="0.3">
      <c r="A125" t="s">
        <v>3548</v>
      </c>
      <c r="B125" t="s">
        <v>2907</v>
      </c>
      <c r="C125" t="s">
        <v>247</v>
      </c>
      <c r="I125" t="str">
        <f>IF($C125="","",IFERROR(INDEX(airports!$E:$E,MATCH($C125,airports!$A:$A,0)),"Not in airports"))</f>
        <v>Félix-Houphouët-Boigny International Airport</v>
      </c>
      <c r="J125" t="s">
        <v>2577</v>
      </c>
      <c r="K125" t="s">
        <v>3415</v>
      </c>
    </row>
    <row r="126" spans="1:11" x14ac:dyDescent="0.3">
      <c r="A126" t="s">
        <v>3549</v>
      </c>
      <c r="B126" t="s">
        <v>2997</v>
      </c>
      <c r="C126" t="s">
        <v>247</v>
      </c>
      <c r="I126" t="str">
        <f>IF($C126="","",IFERROR(INDEX(airports!$E:$E,MATCH($C126,airports!$A:$A,0)),"Not in airports"))</f>
        <v>Félix-Houphouët-Boigny International Airport</v>
      </c>
      <c r="J126" t="s">
        <v>2577</v>
      </c>
      <c r="K126" t="s">
        <v>3415</v>
      </c>
    </row>
    <row r="127" spans="1:11" x14ac:dyDescent="0.3">
      <c r="A127" t="s">
        <v>3550</v>
      </c>
      <c r="B127" t="s">
        <v>2887</v>
      </c>
      <c r="C127" t="s">
        <v>247</v>
      </c>
      <c r="I127" t="str">
        <f>IF($C127="","",IFERROR(INDEX(airports!$E:$E,MATCH($C127,airports!$A:$A,0)),"Not in airports"))</f>
        <v>Félix-Houphouët-Boigny International Airport</v>
      </c>
      <c r="J127" t="s">
        <v>2577</v>
      </c>
      <c r="K127" t="s">
        <v>3415</v>
      </c>
    </row>
    <row r="128" spans="1:11" x14ac:dyDescent="0.3">
      <c r="A128" t="s">
        <v>3551</v>
      </c>
      <c r="B128" t="s">
        <v>2897</v>
      </c>
      <c r="C128" t="s">
        <v>247</v>
      </c>
      <c r="I128" t="str">
        <f>IF($C128="","",IFERROR(INDEX(airports!$E:$E,MATCH($C128,airports!$A:$A,0)),"Not in airports"))</f>
        <v>Félix-Houphouët-Boigny International Airport</v>
      </c>
      <c r="J128" t="s">
        <v>2577</v>
      </c>
      <c r="K128" t="s">
        <v>3415</v>
      </c>
    </row>
    <row r="129" spans="1:11" x14ac:dyDescent="0.3">
      <c r="A129" t="s">
        <v>3552</v>
      </c>
      <c r="B129" t="s">
        <v>2919</v>
      </c>
      <c r="C129" t="s">
        <v>1397</v>
      </c>
      <c r="I129" t="str">
        <f>IF($C129="","",IFERROR(INDEX(airports!$E:$E,MATCH($C129,airports!$A:$A,0)),"Not in airports"))</f>
        <v>Kigali International Airport</v>
      </c>
      <c r="J129" t="s">
        <v>2664</v>
      </c>
      <c r="K129" t="s">
        <v>3415</v>
      </c>
    </row>
    <row r="130" spans="1:11" x14ac:dyDescent="0.3">
      <c r="A130" t="s">
        <v>3553</v>
      </c>
      <c r="B130" t="s">
        <v>2877</v>
      </c>
      <c r="C130" t="s">
        <v>1397</v>
      </c>
      <c r="I130" t="str">
        <f>IF($C130="","",IFERROR(INDEX(airports!$E:$E,MATCH($C130,airports!$A:$A,0)),"Not in airports"))</f>
        <v>Kigali International Airport</v>
      </c>
      <c r="J130" t="s">
        <v>2664</v>
      </c>
      <c r="K130" t="s">
        <v>3415</v>
      </c>
    </row>
    <row r="131" spans="1:11" x14ac:dyDescent="0.3">
      <c r="A131" t="s">
        <v>3554</v>
      </c>
      <c r="B131" t="s">
        <v>2907</v>
      </c>
      <c r="C131" t="s">
        <v>1397</v>
      </c>
      <c r="I131" t="str">
        <f>IF($C131="","",IFERROR(INDEX(airports!$E:$E,MATCH($C131,airports!$A:$A,0)),"Not in airports"))</f>
        <v>Kigali International Airport</v>
      </c>
      <c r="J131" t="s">
        <v>2664</v>
      </c>
      <c r="K131" t="s">
        <v>3415</v>
      </c>
    </row>
    <row r="132" spans="1:11" x14ac:dyDescent="0.3">
      <c r="A132" t="s">
        <v>3555</v>
      </c>
      <c r="B132" t="s">
        <v>2887</v>
      </c>
      <c r="C132" t="s">
        <v>1397</v>
      </c>
      <c r="I132" t="str">
        <f>IF($C132="","",IFERROR(INDEX(airports!$E:$E,MATCH($C132,airports!$A:$A,0)),"Not in airports"))</f>
        <v>Kigali International Airport</v>
      </c>
      <c r="J132" t="s">
        <v>2664</v>
      </c>
      <c r="K132" t="s">
        <v>3415</v>
      </c>
    </row>
    <row r="133" spans="1:11" x14ac:dyDescent="0.3">
      <c r="A133" t="s">
        <v>3556</v>
      </c>
      <c r="B133" t="s">
        <v>2919</v>
      </c>
      <c r="C133" t="s">
        <v>3557</v>
      </c>
      <c r="I133" t="str">
        <f>IF($C133="","",IFERROR(INDEX(airports!$E:$E,MATCH($C133,airports!$A:$A,0)),"Not in airports"))</f>
        <v>Asmara International Airport</v>
      </c>
      <c r="J133" t="s">
        <v>2592</v>
      </c>
      <c r="K133" t="s">
        <v>3415</v>
      </c>
    </row>
    <row r="134" spans="1:11" x14ac:dyDescent="0.3">
      <c r="A134" t="s">
        <v>3558</v>
      </c>
      <c r="B134" t="s">
        <v>2919</v>
      </c>
      <c r="C134" t="s">
        <v>1197</v>
      </c>
      <c r="I134" t="str">
        <f>IF($C134="","",IFERROR(INDEX(airports!$E:$E,MATCH($C134,airports!$A:$A,0)),"Not in airports"))</f>
        <v>Prince Said Ibrahim International Airport</v>
      </c>
      <c r="J134" t="s">
        <v>2574</v>
      </c>
      <c r="K134" t="s">
        <v>3415</v>
      </c>
    </row>
    <row r="135" spans="1:11" x14ac:dyDescent="0.3">
      <c r="A135" t="s">
        <v>3559</v>
      </c>
      <c r="B135" t="s">
        <v>2999</v>
      </c>
      <c r="C135" t="s">
        <v>1197</v>
      </c>
      <c r="I135" t="str">
        <f>IF($C135="","",IFERROR(INDEX(airports!$E:$E,MATCH($C135,airports!$A:$A,0)),"Not in airports"))</f>
        <v>Prince Said Ibrahim International Airport</v>
      </c>
      <c r="J135" t="s">
        <v>2574</v>
      </c>
      <c r="K135" t="s">
        <v>3415</v>
      </c>
    </row>
    <row r="136" spans="1:11" x14ac:dyDescent="0.3">
      <c r="A136" t="s">
        <v>3560</v>
      </c>
      <c r="B136" t="s">
        <v>2887</v>
      </c>
      <c r="C136" t="s">
        <v>1197</v>
      </c>
      <c r="I136" t="str">
        <f>IF($C136="","",IFERROR(INDEX(airports!$E:$E,MATCH($C136,airports!$A:$A,0)),"Not in airports"))</f>
        <v>Prince Said Ibrahim International Airport</v>
      </c>
      <c r="J136" t="s">
        <v>2574</v>
      </c>
      <c r="K136" t="s">
        <v>3415</v>
      </c>
    </row>
    <row r="137" spans="1:11" x14ac:dyDescent="0.3">
      <c r="A137" t="s">
        <v>3561</v>
      </c>
      <c r="B137" t="s">
        <v>3001</v>
      </c>
      <c r="C137" t="s">
        <v>1409</v>
      </c>
      <c r="I137" t="str">
        <f>IF($C137="","",IFERROR(INDEX(airports!$E:$E,MATCH($C137,airports!$A:$A,0)),"Not in airports"))</f>
        <v>Khartoum International Airport</v>
      </c>
      <c r="J137" t="s">
        <v>2696</v>
      </c>
      <c r="K137" t="s">
        <v>3415</v>
      </c>
    </row>
    <row r="138" spans="1:11" x14ac:dyDescent="0.3">
      <c r="A138" t="s">
        <v>3562</v>
      </c>
      <c r="B138" t="s">
        <v>2919</v>
      </c>
      <c r="C138" t="s">
        <v>1409</v>
      </c>
      <c r="I138" t="str">
        <f>IF($C138="","",IFERROR(INDEX(airports!$E:$E,MATCH($C138,airports!$A:$A,0)),"Not in airports"))</f>
        <v>Khartoum International Airport</v>
      </c>
      <c r="J138" t="s">
        <v>2696</v>
      </c>
      <c r="K138" t="s">
        <v>3415</v>
      </c>
    </row>
    <row r="139" spans="1:11" x14ac:dyDescent="0.3">
      <c r="A139" t="s">
        <v>3563</v>
      </c>
      <c r="B139" t="s">
        <v>2840</v>
      </c>
      <c r="C139" t="s">
        <v>1409</v>
      </c>
      <c r="I139" t="str">
        <f>IF($C139="","",IFERROR(INDEX(airports!$E:$E,MATCH($C139,airports!$A:$A,0)),"Not in airports"))</f>
        <v>Khartoum International Airport</v>
      </c>
      <c r="J139" t="s">
        <v>2696</v>
      </c>
      <c r="K139" t="s">
        <v>3415</v>
      </c>
    </row>
    <row r="140" spans="1:11" x14ac:dyDescent="0.3">
      <c r="A140" t="s">
        <v>3564</v>
      </c>
      <c r="B140" t="s">
        <v>3003</v>
      </c>
      <c r="C140" t="s">
        <v>1297</v>
      </c>
      <c r="I140" t="str">
        <f>IF($C140="","",IFERROR(INDEX(airports!$E:$E,MATCH($C140,airports!$A:$A,0)),"Not in airports"))</f>
        <v>Kamuzu International Airport</v>
      </c>
      <c r="J140" t="s">
        <v>2630</v>
      </c>
      <c r="K140" t="s">
        <v>3429</v>
      </c>
    </row>
    <row r="141" spans="1:11" x14ac:dyDescent="0.3">
      <c r="A141" t="s">
        <v>3565</v>
      </c>
      <c r="B141" t="s">
        <v>2919</v>
      </c>
      <c r="C141" t="s">
        <v>1297</v>
      </c>
      <c r="I141" t="str">
        <f>IF($C141="","",IFERROR(INDEX(airports!$E:$E,MATCH($C141,airports!$A:$A,0)),"Not in airports"))</f>
        <v>Kamuzu International Airport</v>
      </c>
      <c r="J141" t="s">
        <v>2630</v>
      </c>
      <c r="K141" t="s">
        <v>3415</v>
      </c>
    </row>
    <row r="142" spans="1:11" x14ac:dyDescent="0.3">
      <c r="A142" t="s">
        <v>3566</v>
      </c>
      <c r="B142" t="s">
        <v>2907</v>
      </c>
      <c r="C142" t="s">
        <v>1297</v>
      </c>
      <c r="I142" t="str">
        <f>IF($C142="","",IFERROR(INDEX(airports!$E:$E,MATCH($C142,airports!$A:$A,0)),"Not in airports"))</f>
        <v>Kamuzu International Airport</v>
      </c>
      <c r="J142" t="s">
        <v>2630</v>
      </c>
      <c r="K142" t="s">
        <v>3415</v>
      </c>
    </row>
    <row r="143" spans="1:11" x14ac:dyDescent="0.3">
      <c r="A143" t="s">
        <v>3567</v>
      </c>
      <c r="B143" t="s">
        <v>2989</v>
      </c>
      <c r="C143" t="s">
        <v>327</v>
      </c>
      <c r="I143" t="str">
        <f>IF($C143="","",IFERROR(INDEX(airports!$E:$E,MATCH($C143,airports!$A:$A,0)),"Not in airports"))</f>
        <v>Addis Ababa Bole International Airport</v>
      </c>
      <c r="J143" t="s">
        <v>2598</v>
      </c>
      <c r="K143" t="s">
        <v>3415</v>
      </c>
    </row>
    <row r="144" spans="1:11" x14ac:dyDescent="0.3">
      <c r="A144" t="s">
        <v>3568</v>
      </c>
      <c r="B144" t="s">
        <v>2919</v>
      </c>
      <c r="C144" t="s">
        <v>327</v>
      </c>
      <c r="I144" t="str">
        <f>IF($C144="","",IFERROR(INDEX(airports!$E:$E,MATCH($C144,airports!$A:$A,0)),"Not in airports"))</f>
        <v>Addis Ababa Bole International Airport</v>
      </c>
      <c r="J144" t="s">
        <v>2598</v>
      </c>
      <c r="K144" t="s">
        <v>3415</v>
      </c>
    </row>
    <row r="145" spans="1:11" x14ac:dyDescent="0.3">
      <c r="A145" t="s">
        <v>3569</v>
      </c>
      <c r="B145" t="s">
        <v>3005</v>
      </c>
      <c r="C145" t="s">
        <v>327</v>
      </c>
      <c r="I145" t="str">
        <f>IF($C145="","",IFERROR(INDEX(airports!$E:$E,MATCH($C145,airports!$A:$A,0)),"Not in airports"))</f>
        <v>Addis Ababa Bole International Airport</v>
      </c>
      <c r="J145" t="s">
        <v>2598</v>
      </c>
      <c r="K145" t="s">
        <v>3415</v>
      </c>
    </row>
    <row r="146" spans="1:11" x14ac:dyDescent="0.3">
      <c r="A146" t="s">
        <v>3570</v>
      </c>
      <c r="B146" t="s">
        <v>3007</v>
      </c>
      <c r="C146" t="s">
        <v>327</v>
      </c>
      <c r="I146" t="str">
        <f>IF($C146="","",IFERROR(INDEX(airports!$E:$E,MATCH($C146,airports!$A:$A,0)),"Not in airports"))</f>
        <v>Addis Ababa Bole International Airport</v>
      </c>
      <c r="J146" t="s">
        <v>2598</v>
      </c>
      <c r="K146" t="s">
        <v>3415</v>
      </c>
    </row>
    <row r="147" spans="1:11" x14ac:dyDescent="0.3">
      <c r="A147" t="s">
        <v>3571</v>
      </c>
      <c r="B147" t="s">
        <v>3009</v>
      </c>
      <c r="C147" t="s">
        <v>327</v>
      </c>
      <c r="I147" t="str">
        <f>IF($C147="","",IFERROR(INDEX(airports!$E:$E,MATCH($C147,airports!$A:$A,0)),"Not in airports"))</f>
        <v>Addis Ababa Bole International Airport</v>
      </c>
      <c r="J147" t="s">
        <v>2598</v>
      </c>
      <c r="K147" t="s">
        <v>3415</v>
      </c>
    </row>
    <row r="148" spans="1:11" x14ac:dyDescent="0.3">
      <c r="A148" t="s">
        <v>3572</v>
      </c>
      <c r="B148" t="s">
        <v>2907</v>
      </c>
      <c r="C148" t="s">
        <v>327</v>
      </c>
      <c r="I148" t="str">
        <f>IF($C148="","",IFERROR(INDEX(airports!$E:$E,MATCH($C148,airports!$A:$A,0)),"Not in airports"))</f>
        <v>Addis Ababa Bole International Airport</v>
      </c>
      <c r="J148" t="s">
        <v>2598</v>
      </c>
      <c r="K148" t="s">
        <v>3415</v>
      </c>
    </row>
    <row r="149" spans="1:11" x14ac:dyDescent="0.3">
      <c r="A149" t="s">
        <v>3573</v>
      </c>
      <c r="B149" t="s">
        <v>2899</v>
      </c>
      <c r="C149" t="s">
        <v>3574</v>
      </c>
      <c r="I149" t="str">
        <f>IF($C149="","",IFERROR(INDEX(airports!$E:$E,MATCH($C149,airports!$A:$A,0)),"Not in airports"))</f>
        <v>Aden Adde International Airport</v>
      </c>
      <c r="J149" t="s">
        <v>2687</v>
      </c>
      <c r="K149" t="s">
        <v>3415</v>
      </c>
    </row>
    <row r="150" spans="1:11" x14ac:dyDescent="0.3">
      <c r="A150" t="s">
        <v>3575</v>
      </c>
      <c r="B150" t="s">
        <v>3011</v>
      </c>
      <c r="C150" t="s">
        <v>3574</v>
      </c>
      <c r="I150" t="str">
        <f>IF($C150="","",IFERROR(INDEX(airports!$E:$E,MATCH($C150,airports!$A:$A,0)),"Not in airports"))</f>
        <v>Aden Adde International Airport</v>
      </c>
      <c r="J150" t="s">
        <v>2687</v>
      </c>
      <c r="K150" t="s">
        <v>3415</v>
      </c>
    </row>
    <row r="151" spans="1:11" x14ac:dyDescent="0.3">
      <c r="A151" t="s">
        <v>3576</v>
      </c>
      <c r="B151" t="s">
        <v>2919</v>
      </c>
      <c r="C151" t="s">
        <v>3574</v>
      </c>
      <c r="I151" t="str">
        <f>IF($C151="","",IFERROR(INDEX(airports!$E:$E,MATCH($C151,airports!$A:$A,0)),"Not in airports"))</f>
        <v>Aden Adde International Airport</v>
      </c>
      <c r="J151" t="s">
        <v>2687</v>
      </c>
      <c r="K151" t="s">
        <v>3415</v>
      </c>
    </row>
    <row r="152" spans="1:11" x14ac:dyDescent="0.3">
      <c r="A152" t="s">
        <v>3577</v>
      </c>
      <c r="B152" t="s">
        <v>2959</v>
      </c>
      <c r="C152" t="s">
        <v>239</v>
      </c>
      <c r="I152" t="str">
        <f>IF($C152="","",IFERROR(INDEX(airports!$E:$E,MATCH($C152,airports!$A:$A,0)),"Not in airports"))</f>
        <v>Maya-Maya International Airport</v>
      </c>
      <c r="J152" t="s">
        <v>2661</v>
      </c>
      <c r="K152" t="s">
        <v>3415</v>
      </c>
    </row>
    <row r="153" spans="1:11" x14ac:dyDescent="0.3">
      <c r="A153" t="s">
        <v>3578</v>
      </c>
      <c r="B153" t="s">
        <v>2979</v>
      </c>
      <c r="C153" t="s">
        <v>239</v>
      </c>
      <c r="I153" t="str">
        <f>IF($C153="","",IFERROR(INDEX(airports!$E:$E,MATCH($C153,airports!$A:$A,0)),"Not in airports"))</f>
        <v>Maya-Maya International Airport</v>
      </c>
      <c r="J153" t="s">
        <v>2661</v>
      </c>
      <c r="K153" t="s">
        <v>3415</v>
      </c>
    </row>
    <row r="154" spans="1:11" x14ac:dyDescent="0.3">
      <c r="A154" t="s">
        <v>3579</v>
      </c>
      <c r="B154" t="s">
        <v>2919</v>
      </c>
      <c r="C154" t="s">
        <v>239</v>
      </c>
      <c r="I154" t="str">
        <f>IF($C154="","",IFERROR(INDEX(airports!$E:$E,MATCH($C154,airports!$A:$A,0)),"Not in airports"))</f>
        <v>Maya-Maya International Airport</v>
      </c>
      <c r="J154" t="s">
        <v>2661</v>
      </c>
      <c r="K154" t="s">
        <v>3415</v>
      </c>
    </row>
    <row r="155" spans="1:11" x14ac:dyDescent="0.3">
      <c r="A155" t="s">
        <v>3580</v>
      </c>
      <c r="B155" t="s">
        <v>2907</v>
      </c>
      <c r="C155" t="s">
        <v>239</v>
      </c>
      <c r="I155" t="str">
        <f>IF($C155="","",IFERROR(INDEX(airports!$E:$E,MATCH($C155,airports!$A:$A,0)),"Not in airports"))</f>
        <v>Maya-Maya International Airport</v>
      </c>
      <c r="J155" t="s">
        <v>2661</v>
      </c>
      <c r="K155" t="s">
        <v>3415</v>
      </c>
    </row>
    <row r="156" spans="1:11" x14ac:dyDescent="0.3">
      <c r="A156" t="s">
        <v>3581</v>
      </c>
      <c r="B156" t="s">
        <v>3013</v>
      </c>
      <c r="C156" t="s">
        <v>239</v>
      </c>
      <c r="I156" t="str">
        <f>IF($C156="","",IFERROR(INDEX(airports!$E:$E,MATCH($C156,airports!$A:$A,0)),"Not in airports"))</f>
        <v>Maya-Maya International Airport</v>
      </c>
      <c r="J156" t="s">
        <v>2661</v>
      </c>
      <c r="K156" t="s">
        <v>3415</v>
      </c>
    </row>
    <row r="157" spans="1:11" x14ac:dyDescent="0.3">
      <c r="A157" t="s">
        <v>3582</v>
      </c>
      <c r="B157" t="s">
        <v>2907</v>
      </c>
      <c r="C157" t="s">
        <v>1281</v>
      </c>
      <c r="I157" t="str">
        <f>IF($C157="","",IFERROR(INDEX(airports!$E:$E,MATCH($C157,airports!$A:$A,0)),"Not in airports"))</f>
        <v>Nouakchott–Oumtounsy International Airport</v>
      </c>
      <c r="J157" t="s">
        <v>2636</v>
      </c>
      <c r="K157" t="s">
        <v>3415</v>
      </c>
    </row>
    <row r="158" spans="1:11" x14ac:dyDescent="0.3">
      <c r="A158" t="s">
        <v>3583</v>
      </c>
      <c r="B158" t="s">
        <v>3015</v>
      </c>
      <c r="C158" t="s">
        <v>1281</v>
      </c>
      <c r="I158" t="str">
        <f>IF($C158="","",IFERROR(INDEX(airports!$E:$E,MATCH($C158,airports!$A:$A,0)),"Not in airports"))</f>
        <v>Nouakchott–Oumtounsy International Airport</v>
      </c>
      <c r="J158" t="s">
        <v>2636</v>
      </c>
      <c r="K158" t="s">
        <v>3415</v>
      </c>
    </row>
    <row r="159" spans="1:11" x14ac:dyDescent="0.3">
      <c r="A159" t="s">
        <v>3584</v>
      </c>
      <c r="B159" t="s">
        <v>2957</v>
      </c>
      <c r="C159" t="s">
        <v>1281</v>
      </c>
      <c r="I159" t="str">
        <f>IF($C159="","",IFERROR(INDEX(airports!$E:$E,MATCH($C159,airports!$A:$A,0)),"Not in airports"))</f>
        <v>Nouakchott–Oumtounsy International Airport</v>
      </c>
      <c r="J159" t="s">
        <v>2636</v>
      </c>
      <c r="K159" t="s">
        <v>3415</v>
      </c>
    </row>
    <row r="160" spans="1:11" x14ac:dyDescent="0.3">
      <c r="A160" t="s">
        <v>3585</v>
      </c>
      <c r="B160" t="s">
        <v>2840</v>
      </c>
      <c r="C160" t="s">
        <v>1281</v>
      </c>
      <c r="I160" t="str">
        <f>IF($C160="","",IFERROR(INDEX(airports!$E:$E,MATCH($C160,airports!$A:$A,0)),"Not in airports"))</f>
        <v>Nouakchott–Oumtounsy International Airport</v>
      </c>
      <c r="J160" t="s">
        <v>2636</v>
      </c>
      <c r="K160" t="s">
        <v>3415</v>
      </c>
    </row>
    <row r="161" spans="1:11" x14ac:dyDescent="0.3">
      <c r="A161" t="s">
        <v>3586</v>
      </c>
      <c r="B161" t="s">
        <v>3017</v>
      </c>
      <c r="C161" t="s">
        <v>1281</v>
      </c>
      <c r="I161" t="str">
        <f>IF($C161="","",IFERROR(INDEX(airports!$E:$E,MATCH($C161,airports!$A:$A,0)),"Not in airports"))</f>
        <v>Nouakchott–Oumtounsy International Airport</v>
      </c>
      <c r="J161" t="s">
        <v>2636</v>
      </c>
      <c r="K161" t="s">
        <v>3415</v>
      </c>
    </row>
    <row r="162" spans="1:11" x14ac:dyDescent="0.3">
      <c r="A162" t="s">
        <v>3587</v>
      </c>
      <c r="B162" t="s">
        <v>2897</v>
      </c>
      <c r="C162" t="s">
        <v>1281</v>
      </c>
      <c r="I162" t="str">
        <f>IF($C162="","",IFERROR(INDEX(airports!$E:$E,MATCH($C162,airports!$A:$A,0)),"Not in airports"))</f>
        <v>Nouakchott–Oumtounsy International Airport</v>
      </c>
      <c r="J162" t="s">
        <v>2636</v>
      </c>
      <c r="K162" t="s">
        <v>3415</v>
      </c>
    </row>
    <row r="163" spans="1:11" x14ac:dyDescent="0.3">
      <c r="A163" t="s">
        <v>3588</v>
      </c>
      <c r="B163" t="s">
        <v>2905</v>
      </c>
      <c r="C163" t="s">
        <v>1471</v>
      </c>
      <c r="I163" t="str">
        <f>IF($C163="","",IFERROR(INDEX(airports!$E:$E,MATCH($C163,airports!$A:$A,0)),"Not in airports"))</f>
        <v>Tunis Carthage International Airport</v>
      </c>
      <c r="J163" t="s">
        <v>2705</v>
      </c>
      <c r="K163" t="s">
        <v>3415</v>
      </c>
    </row>
    <row r="164" spans="1:11" x14ac:dyDescent="0.3">
      <c r="A164" t="s">
        <v>3589</v>
      </c>
      <c r="B164" t="s">
        <v>3019</v>
      </c>
      <c r="C164" t="s">
        <v>1471</v>
      </c>
      <c r="I164" t="str">
        <f>IF($C164="","",IFERROR(INDEX(airports!$E:$E,MATCH($C164,airports!$A:$A,0)),"Not in airports"))</f>
        <v>Tunis Carthage International Airport</v>
      </c>
      <c r="J164" t="s">
        <v>2705</v>
      </c>
      <c r="K164" t="s">
        <v>3415</v>
      </c>
    </row>
    <row r="165" spans="1:11" x14ac:dyDescent="0.3">
      <c r="A165" t="s">
        <v>3590</v>
      </c>
      <c r="B165" t="s">
        <v>2907</v>
      </c>
      <c r="C165" t="s">
        <v>1471</v>
      </c>
      <c r="I165" t="str">
        <f>IF($C165="","",IFERROR(INDEX(airports!$E:$E,MATCH($C165,airports!$A:$A,0)),"Not in airports"))</f>
        <v>Tunis Carthage International Airport</v>
      </c>
      <c r="J165" t="s">
        <v>2705</v>
      </c>
      <c r="K165" t="s">
        <v>3415</v>
      </c>
    </row>
    <row r="166" spans="1:11" x14ac:dyDescent="0.3">
      <c r="A166" t="s">
        <v>3591</v>
      </c>
      <c r="B166" t="s">
        <v>2987</v>
      </c>
      <c r="C166" t="s">
        <v>295</v>
      </c>
      <c r="I166" t="str">
        <f>IF($C166="","",IFERROR(INDEX(airports!$E:$E,MATCH($C166,airports!$A:$A,0)),"Not in airports"))</f>
        <v>Djibouti-Ambouli Airport</v>
      </c>
      <c r="J166" t="s">
        <v>2583</v>
      </c>
      <c r="K166" t="s">
        <v>3415</v>
      </c>
    </row>
    <row r="167" spans="1:11" x14ac:dyDescent="0.3">
      <c r="A167" t="s">
        <v>3592</v>
      </c>
      <c r="B167" t="s">
        <v>3011</v>
      </c>
      <c r="C167" t="s">
        <v>295</v>
      </c>
      <c r="I167" t="str">
        <f>IF($C167="","",IFERROR(INDEX(airports!$E:$E,MATCH($C167,airports!$A:$A,0)),"Not in airports"))</f>
        <v>Djibouti-Ambouli Airport</v>
      </c>
      <c r="J167" t="s">
        <v>2583</v>
      </c>
      <c r="K167" t="s">
        <v>3415</v>
      </c>
    </row>
    <row r="168" spans="1:11" x14ac:dyDescent="0.3">
      <c r="A168" t="s">
        <v>3593</v>
      </c>
      <c r="B168" t="s">
        <v>3021</v>
      </c>
      <c r="C168" t="s">
        <v>295</v>
      </c>
      <c r="I168" t="str">
        <f>IF($C168="","",IFERROR(INDEX(airports!$E:$E,MATCH($C168,airports!$A:$A,0)),"Not in airports"))</f>
        <v>Djibouti-Ambouli Airport</v>
      </c>
      <c r="J168" t="s">
        <v>2583</v>
      </c>
      <c r="K168" t="s">
        <v>3415</v>
      </c>
    </row>
    <row r="169" spans="1:11" x14ac:dyDescent="0.3">
      <c r="A169" t="s">
        <v>3594</v>
      </c>
      <c r="B169" t="s">
        <v>2907</v>
      </c>
      <c r="C169" t="s">
        <v>237</v>
      </c>
      <c r="I169" t="str">
        <f>IF($C169="","",IFERROR(INDEX(airports!$E:$E,MATCH($C169,airports!$A:$A,0)),"Not in airports"))</f>
        <v>Bangui M'Poko International Airport</v>
      </c>
      <c r="J169" t="s">
        <v>2568</v>
      </c>
      <c r="K169" t="s">
        <v>3415</v>
      </c>
    </row>
    <row r="170" spans="1:11" x14ac:dyDescent="0.3">
      <c r="A170" t="s">
        <v>3595</v>
      </c>
      <c r="B170" t="s">
        <v>2919</v>
      </c>
      <c r="C170" t="s">
        <v>237</v>
      </c>
      <c r="I170" t="str">
        <f>IF($C170="","",IFERROR(INDEX(airports!$E:$E,MATCH($C170,airports!$A:$A,0)),"Not in airports"))</f>
        <v>Bangui M'Poko International Airport</v>
      </c>
      <c r="J170" t="s">
        <v>2568</v>
      </c>
      <c r="K170" t="s">
        <v>3415</v>
      </c>
    </row>
    <row r="171" spans="1:11" x14ac:dyDescent="0.3">
      <c r="A171" t="s">
        <v>3596</v>
      </c>
      <c r="B171" t="s">
        <v>2887</v>
      </c>
      <c r="C171" t="s">
        <v>237</v>
      </c>
      <c r="I171" t="str">
        <f>IF($C171="","",IFERROR(INDEX(airports!$E:$E,MATCH($C171,airports!$A:$A,0)),"Not in airports"))</f>
        <v>Bangui M'Poko International Airport</v>
      </c>
      <c r="J171" t="s">
        <v>2568</v>
      </c>
      <c r="K171" t="s">
        <v>3415</v>
      </c>
    </row>
    <row r="172" spans="1:11" x14ac:dyDescent="0.3">
      <c r="A172" t="s">
        <v>3597</v>
      </c>
      <c r="B172" t="s">
        <v>3023</v>
      </c>
      <c r="C172" t="s">
        <v>1289</v>
      </c>
      <c r="I172" t="str">
        <f>IF($C172="","",IFERROR(INDEX(airports!$E:$E,MATCH($C172,airports!$A:$A,0)),"Not in airports"))</f>
        <v>Sir Seewoosagur Ramgoolam International Airport</v>
      </c>
      <c r="J172" t="s">
        <v>2639</v>
      </c>
      <c r="K172" t="s">
        <v>3415</v>
      </c>
    </row>
    <row r="173" spans="1:11" x14ac:dyDescent="0.3">
      <c r="A173" t="s">
        <v>3598</v>
      </c>
      <c r="B173" t="s">
        <v>2907</v>
      </c>
      <c r="C173" t="s">
        <v>1421</v>
      </c>
      <c r="I173" t="str">
        <f>IF($C173="","",IFERROR(INDEX(airports!$E:$E,MATCH($C173,airports!$A:$A,0)),"Not in airports"))</f>
        <v>Lungi International Airport</v>
      </c>
      <c r="J173" t="s">
        <v>2684</v>
      </c>
      <c r="K173" t="s">
        <v>3415</v>
      </c>
    </row>
    <row r="174" spans="1:11" x14ac:dyDescent="0.3">
      <c r="A174" t="s">
        <v>3599</v>
      </c>
      <c r="B174" t="s">
        <v>2891</v>
      </c>
      <c r="C174" t="s">
        <v>1421</v>
      </c>
      <c r="I174" t="str">
        <f>IF($C174="","",IFERROR(INDEX(airports!$E:$E,MATCH($C174,airports!$A:$A,0)),"Not in airports"))</f>
        <v>Lungi International Airport</v>
      </c>
      <c r="J174" t="s">
        <v>2684</v>
      </c>
      <c r="K174" t="s">
        <v>3415</v>
      </c>
    </row>
    <row r="175" spans="1:11" x14ac:dyDescent="0.3">
      <c r="A175" t="s">
        <v>3600</v>
      </c>
      <c r="B175" t="s">
        <v>3013</v>
      </c>
      <c r="C175" t="s">
        <v>1421</v>
      </c>
      <c r="I175" t="str">
        <f>IF($C175="","",IFERROR(INDEX(airports!$E:$E,MATCH($C175,airports!$A:$A,0)),"Not in airports"))</f>
        <v>Lungi International Airport</v>
      </c>
      <c r="J175" t="s">
        <v>2684</v>
      </c>
      <c r="K175" t="s">
        <v>3415</v>
      </c>
    </row>
    <row r="176" spans="1:11" x14ac:dyDescent="0.3">
      <c r="A176" t="s">
        <v>3601</v>
      </c>
      <c r="B176" t="s">
        <v>2997</v>
      </c>
      <c r="C176" t="s">
        <v>1435</v>
      </c>
      <c r="I176" t="str">
        <f>IF($C176="","",IFERROR(INDEX(airports!$E:$E,MATCH($C176,airports!$A:$A,0)),"Not in airports"))</f>
        <v>São Tomé International Airport</v>
      </c>
      <c r="J176" t="s">
        <v>2675</v>
      </c>
      <c r="K176" t="s">
        <v>3415</v>
      </c>
    </row>
    <row r="177" spans="1:11" x14ac:dyDescent="0.3">
      <c r="A177" t="s">
        <v>3602</v>
      </c>
      <c r="B177" t="s">
        <v>2919</v>
      </c>
      <c r="C177" t="s">
        <v>1435</v>
      </c>
      <c r="I177" t="str">
        <f>IF($C177="","",IFERROR(INDEX(airports!$E:$E,MATCH($C177,airports!$A:$A,0)),"Not in airports"))</f>
        <v>São Tomé International Airport</v>
      </c>
      <c r="J177" t="s">
        <v>2675</v>
      </c>
      <c r="K177" t="s">
        <v>3415</v>
      </c>
    </row>
    <row r="178" spans="1:11" x14ac:dyDescent="0.3">
      <c r="A178" t="s">
        <v>3603</v>
      </c>
      <c r="B178" t="s">
        <v>2891</v>
      </c>
      <c r="C178" t="s">
        <v>1435</v>
      </c>
      <c r="I178" t="str">
        <f>IF($C178="","",IFERROR(INDEX(airports!$E:$E,MATCH($C178,airports!$A:$A,0)),"Not in airports"))</f>
        <v>São Tomé International Airport</v>
      </c>
      <c r="J178" t="s">
        <v>2675</v>
      </c>
      <c r="K178" t="s">
        <v>3415</v>
      </c>
    </row>
    <row r="179" spans="1:11" x14ac:dyDescent="0.3">
      <c r="A179" t="s">
        <v>3604</v>
      </c>
      <c r="B179" t="s">
        <v>2907</v>
      </c>
      <c r="C179" t="s">
        <v>377</v>
      </c>
      <c r="I179" t="str">
        <f>IF($C179="","",IFERROR(INDEX(airports!$E:$E,MATCH($C179,airports!$A:$A,0)),"Not in airports"))</f>
        <v>Ahmed Sékou Touré International Airport</v>
      </c>
      <c r="J179" t="s">
        <v>2609</v>
      </c>
      <c r="K179" t="s">
        <v>3415</v>
      </c>
    </row>
    <row r="180" spans="1:11" x14ac:dyDescent="0.3">
      <c r="A180" t="s">
        <v>3605</v>
      </c>
      <c r="B180" t="s">
        <v>3025</v>
      </c>
      <c r="C180" t="s">
        <v>377</v>
      </c>
      <c r="I180" t="str">
        <f>IF($C180="","",IFERROR(INDEX(airports!$E:$E,MATCH($C180,airports!$A:$A,0)),"Not in airports"))</f>
        <v>Ahmed Sékou Touré International Airport</v>
      </c>
      <c r="J180" t="s">
        <v>2609</v>
      </c>
      <c r="K180" t="s">
        <v>3415</v>
      </c>
    </row>
    <row r="181" spans="1:11" x14ac:dyDescent="0.3">
      <c r="A181" t="s">
        <v>3606</v>
      </c>
      <c r="B181" t="s">
        <v>2919</v>
      </c>
      <c r="C181" t="s">
        <v>377</v>
      </c>
      <c r="I181" t="str">
        <f>IF($C181="","",IFERROR(INDEX(airports!$E:$E,MATCH($C181,airports!$A:$A,0)),"Not in airports"))</f>
        <v>Ahmed Sékou Touré International Airport</v>
      </c>
      <c r="J181" t="s">
        <v>2609</v>
      </c>
      <c r="K181" t="s">
        <v>3415</v>
      </c>
    </row>
    <row r="182" spans="1:11" x14ac:dyDescent="0.3">
      <c r="A182" t="s">
        <v>3607</v>
      </c>
      <c r="B182" t="s">
        <v>2907</v>
      </c>
      <c r="C182" t="s">
        <v>1313</v>
      </c>
      <c r="I182" t="str">
        <f>IF($C182="","",IFERROR(INDEX(airports!$E:$E,MATCH($C182,airports!$A:$A,0)),"Not in airports"))</f>
        <v>Diori Hamani International Airport</v>
      </c>
      <c r="J182" t="s">
        <v>2655</v>
      </c>
      <c r="K182" t="s">
        <v>3415</v>
      </c>
    </row>
    <row r="183" spans="1:11" x14ac:dyDescent="0.3">
      <c r="A183" t="s">
        <v>3608</v>
      </c>
      <c r="B183" t="s">
        <v>2897</v>
      </c>
      <c r="C183" t="s">
        <v>1313</v>
      </c>
      <c r="I183" t="str">
        <f>IF($C183="","",IFERROR(INDEX(airports!$E:$E,MATCH($C183,airports!$A:$A,0)),"Not in airports"))</f>
        <v>Diori Hamani International Airport</v>
      </c>
      <c r="J183" t="s">
        <v>2655</v>
      </c>
      <c r="K183" t="s">
        <v>3415</v>
      </c>
    </row>
    <row r="184" spans="1:11" x14ac:dyDescent="0.3">
      <c r="A184" t="s">
        <v>3609</v>
      </c>
      <c r="B184" t="s">
        <v>2907</v>
      </c>
      <c r="C184" t="s">
        <v>1227</v>
      </c>
      <c r="I184" t="str">
        <f>IF($C184="","",IFERROR(INDEX(airports!$E:$E,MATCH($C184,airports!$A:$A,0)),"Not in airports"))</f>
        <v>Roberts International Airport</v>
      </c>
      <c r="J184" t="s">
        <v>2621</v>
      </c>
      <c r="K184" t="s">
        <v>3415</v>
      </c>
    </row>
    <row r="185" spans="1:11" x14ac:dyDescent="0.3">
      <c r="A185" t="s">
        <v>3610</v>
      </c>
      <c r="B185" t="s">
        <v>3027</v>
      </c>
      <c r="C185" t="s">
        <v>1227</v>
      </c>
      <c r="I185" t="str">
        <f>IF($C185="","",IFERROR(INDEX(airports!$E:$E,MATCH($C185,airports!$A:$A,0)),"Not in airports"))</f>
        <v>Roberts International Airport</v>
      </c>
      <c r="J185" t="s">
        <v>2621</v>
      </c>
      <c r="K185" t="s">
        <v>3415</v>
      </c>
    </row>
    <row r="186" spans="1:11" x14ac:dyDescent="0.3">
      <c r="A186" t="s">
        <v>3611</v>
      </c>
      <c r="B186" t="s">
        <v>2891</v>
      </c>
      <c r="C186" t="s">
        <v>1227</v>
      </c>
      <c r="I186" t="str">
        <f>IF($C186="","",IFERROR(INDEX(airports!$E:$E,MATCH($C186,airports!$A:$A,0)),"Not in airports"))</f>
        <v>Roberts International Airport</v>
      </c>
      <c r="J186" t="s">
        <v>2621</v>
      </c>
      <c r="K186" t="s">
        <v>3415</v>
      </c>
    </row>
    <row r="187" spans="1:11" x14ac:dyDescent="0.3">
      <c r="A187" t="s">
        <v>3612</v>
      </c>
      <c r="B187" t="s">
        <v>3029</v>
      </c>
      <c r="C187" t="s">
        <v>257</v>
      </c>
      <c r="I187" t="str">
        <f>IF($C187="","",IFERROR(INDEX(airports!$E:$E,MATCH($C187,airports!$A:$A,0)),"Not in airports"))</f>
        <v>Douala International Airport</v>
      </c>
      <c r="J187" t="s">
        <v>2562</v>
      </c>
      <c r="K187" t="s">
        <v>3415</v>
      </c>
    </row>
    <row r="188" spans="1:11" x14ac:dyDescent="0.3">
      <c r="A188" t="s">
        <v>3613</v>
      </c>
      <c r="B188" t="s">
        <v>2919</v>
      </c>
      <c r="C188" t="s">
        <v>257</v>
      </c>
      <c r="I188" t="str">
        <f>IF($C188="","",IFERROR(INDEX(airports!$E:$E,MATCH($C188,airports!$A:$A,0)),"Not in airports"))</f>
        <v>Douala International Airport</v>
      </c>
      <c r="J188" t="s">
        <v>2562</v>
      </c>
      <c r="K188" t="s">
        <v>3415</v>
      </c>
    </row>
    <row r="189" spans="1:11" x14ac:dyDescent="0.3">
      <c r="A189" t="s">
        <v>3614</v>
      </c>
      <c r="B189" t="s">
        <v>2907</v>
      </c>
      <c r="C189" t="s">
        <v>257</v>
      </c>
      <c r="I189" t="str">
        <f>IF($C189="","",IFERROR(INDEX(airports!$E:$E,MATCH($C189,airports!$A:$A,0)),"Not in airports"))</f>
        <v>Douala International Airport</v>
      </c>
      <c r="J189" t="s">
        <v>2562</v>
      </c>
      <c r="K189" t="s">
        <v>3415</v>
      </c>
    </row>
    <row r="190" spans="1:11" x14ac:dyDescent="0.3">
      <c r="A190" t="s">
        <v>3615</v>
      </c>
      <c r="B190" t="s">
        <v>2891</v>
      </c>
      <c r="C190" t="s">
        <v>257</v>
      </c>
      <c r="I190" t="str">
        <f>IF($C190="","",IFERROR(INDEX(airports!$E:$E,MATCH($C190,airports!$A:$A,0)),"Not in airports"))</f>
        <v>Douala International Airport</v>
      </c>
      <c r="J190" t="s">
        <v>2562</v>
      </c>
      <c r="K190" t="s">
        <v>3415</v>
      </c>
    </row>
    <row r="191" spans="1:11" x14ac:dyDescent="0.3">
      <c r="A191" t="s">
        <v>3616</v>
      </c>
      <c r="B191" t="s">
        <v>2897</v>
      </c>
      <c r="C191" t="s">
        <v>257</v>
      </c>
      <c r="I191" t="str">
        <f>IF($C191="","",IFERROR(INDEX(airports!$E:$E,MATCH($C191,airports!$A:$A,0)),"Not in airports"))</f>
        <v>Douala International Airport</v>
      </c>
      <c r="J191" t="s">
        <v>2562</v>
      </c>
      <c r="K191" t="s">
        <v>3415</v>
      </c>
    </row>
    <row r="192" spans="1:11" x14ac:dyDescent="0.3">
      <c r="A192" t="s">
        <v>3617</v>
      </c>
      <c r="B192" t="s">
        <v>2907</v>
      </c>
      <c r="C192" t="s">
        <v>1449</v>
      </c>
      <c r="I192" t="str">
        <f>IF($C192="","",IFERROR(INDEX(airports!$E:$E,MATCH($C192,airports!$A:$A,0)),"Not in airports"))</f>
        <v>N'Djamena International Airport</v>
      </c>
      <c r="J192" t="s">
        <v>2571</v>
      </c>
      <c r="K192" t="s">
        <v>3415</v>
      </c>
    </row>
    <row r="193" spans="1:11" x14ac:dyDescent="0.3">
      <c r="A193" t="s">
        <v>3618</v>
      </c>
      <c r="B193" t="s">
        <v>2891</v>
      </c>
      <c r="C193" t="s">
        <v>183</v>
      </c>
      <c r="I193" t="str">
        <f>IF($C193="","",IFERROR(INDEX(airports!$E:$E,MATCH($C193,airports!$A:$A,0)),"Not in airports"))</f>
        <v>Ouagadougou Thomas Sankara International Airport</v>
      </c>
      <c r="J193" t="s">
        <v>2556</v>
      </c>
      <c r="K193" t="s">
        <v>3415</v>
      </c>
    </row>
    <row r="194" spans="1:11" x14ac:dyDescent="0.3">
      <c r="A194" t="s">
        <v>3619</v>
      </c>
      <c r="B194" t="s">
        <v>3031</v>
      </c>
      <c r="C194" t="s">
        <v>183</v>
      </c>
      <c r="I194" t="str">
        <f>IF($C194="","",IFERROR(INDEX(airports!$E:$E,MATCH($C194,airports!$A:$A,0)),"Not in airports"))</f>
        <v>Ouagadougou Thomas Sankara International Airport</v>
      </c>
      <c r="J194" t="s">
        <v>2556</v>
      </c>
      <c r="K194" t="s">
        <v>3415</v>
      </c>
    </row>
    <row r="195" spans="1:11" x14ac:dyDescent="0.3">
      <c r="A195" t="s">
        <v>3620</v>
      </c>
      <c r="B195" t="s">
        <v>2907</v>
      </c>
      <c r="C195" t="s">
        <v>393</v>
      </c>
      <c r="I195" t="str">
        <f>IF($C195="","",IFERROR(INDEX(airports!$E:$E,MATCH($C195,airports!$A:$A,0)),"Not in airports"))</f>
        <v>Osvaldo Vieira International Airport</v>
      </c>
      <c r="J195" t="s">
        <v>2612</v>
      </c>
      <c r="K195" t="s">
        <v>3415</v>
      </c>
    </row>
    <row r="196" spans="1:11" x14ac:dyDescent="0.3">
      <c r="A196" t="s">
        <v>3621</v>
      </c>
      <c r="B196" t="s">
        <v>2919</v>
      </c>
      <c r="C196" t="s">
        <v>393</v>
      </c>
      <c r="I196" t="str">
        <f>IF($C196="","",IFERROR(INDEX(airports!$E:$E,MATCH($C196,airports!$A:$A,0)),"Not in airports"))</f>
        <v>Osvaldo Vieira International Airport</v>
      </c>
      <c r="J196" t="s">
        <v>2612</v>
      </c>
      <c r="K196" t="s">
        <v>3415</v>
      </c>
    </row>
    <row r="197" spans="1:11" x14ac:dyDescent="0.3">
      <c r="A197" t="s">
        <v>3622</v>
      </c>
      <c r="B197" t="s">
        <v>2857</v>
      </c>
      <c r="C197" t="s">
        <v>393</v>
      </c>
      <c r="I197" t="str">
        <f>IF($C197="","",IFERROR(INDEX(airports!$E:$E,MATCH($C197,airports!$A:$A,0)),"Not in airports"))</f>
        <v>Osvaldo Vieira International Airport</v>
      </c>
      <c r="J197" t="s">
        <v>2612</v>
      </c>
      <c r="K197" t="s">
        <v>3415</v>
      </c>
    </row>
    <row r="198" spans="1:11" x14ac:dyDescent="0.3">
      <c r="A198" t="s">
        <v>3623</v>
      </c>
      <c r="B198" t="s">
        <v>3033</v>
      </c>
      <c r="C198" t="s">
        <v>1445</v>
      </c>
      <c r="I198" t="str">
        <f>IF($C198="","",IFERROR(INDEX(airports!$E:$E,MATCH($C198,airports!$A:$A,0)),"Not in airports"))</f>
        <v>King Mswati III International Airport</v>
      </c>
      <c r="J198" t="s">
        <v>2595</v>
      </c>
      <c r="K198" t="s">
        <v>3415</v>
      </c>
    </row>
    <row r="199" spans="1:11" x14ac:dyDescent="0.3">
      <c r="A199" t="s">
        <v>3624</v>
      </c>
      <c r="B199" t="s">
        <v>2919</v>
      </c>
      <c r="C199" t="s">
        <v>1445</v>
      </c>
      <c r="I199" t="str">
        <f>IF($C199="","",IFERROR(INDEX(airports!$E:$E,MATCH($C199,airports!$A:$A,0)),"Not in airports"))</f>
        <v>King Mswati III International Airport</v>
      </c>
      <c r="J199" t="s">
        <v>2595</v>
      </c>
      <c r="K199" t="s">
        <v>3415</v>
      </c>
    </row>
    <row r="200" spans="1:11" x14ac:dyDescent="0.3">
      <c r="A200" t="s">
        <v>3625</v>
      </c>
      <c r="B200" t="s">
        <v>2907</v>
      </c>
      <c r="C200" t="s">
        <v>3626</v>
      </c>
      <c r="I200" t="str">
        <f>IF($C200="","",IFERROR(INDEX(airports!$E:$E,MATCH($C200,airports!$A:$A,0)),"Not in airports"))</f>
        <v>Malabo International Airport</v>
      </c>
      <c r="J200" t="s">
        <v>2589</v>
      </c>
      <c r="K200" t="s">
        <v>3415</v>
      </c>
    </row>
    <row r="201" spans="1:11" x14ac:dyDescent="0.3">
      <c r="A201" t="s">
        <v>3627</v>
      </c>
      <c r="B201" t="s">
        <v>2919</v>
      </c>
      <c r="C201" t="s">
        <v>3626</v>
      </c>
      <c r="I201" t="str">
        <f>IF($C201="","",IFERROR(INDEX(airports!$E:$E,MATCH($C201,airports!$A:$A,0)),"Not in airports"))</f>
        <v>Malabo International Airport</v>
      </c>
      <c r="J201" t="s">
        <v>2589</v>
      </c>
      <c r="K201" t="s">
        <v>3415</v>
      </c>
    </row>
    <row r="202" spans="1:11" x14ac:dyDescent="0.3">
      <c r="A202" t="s">
        <v>3628</v>
      </c>
      <c r="B202" t="s">
        <v>2919</v>
      </c>
      <c r="C202" t="s">
        <v>375</v>
      </c>
      <c r="I202" t="str">
        <f>IF($C202="","",IFERROR(INDEX(airports!$E:$E,MATCH($C202,airports!$A:$A,0)),"Not in airports"))</f>
        <v>Banjul International Airport</v>
      </c>
      <c r="J202" t="s">
        <v>2604</v>
      </c>
      <c r="K202" t="s">
        <v>3415</v>
      </c>
    </row>
    <row r="203" spans="1:11" x14ac:dyDescent="0.3">
      <c r="A203" t="s">
        <v>3629</v>
      </c>
      <c r="B203" t="s">
        <v>2907</v>
      </c>
      <c r="C203" t="s">
        <v>375</v>
      </c>
      <c r="I203" t="str">
        <f>IF($C203="","",IFERROR(INDEX(airports!$E:$E,MATCH($C203,airports!$A:$A,0)),"Not in airports"))</f>
        <v>Banjul International Airport</v>
      </c>
      <c r="J203" t="s">
        <v>2604</v>
      </c>
      <c r="K203" t="s">
        <v>3415</v>
      </c>
    </row>
    <row r="204" spans="1:11" x14ac:dyDescent="0.3">
      <c r="A204" t="s">
        <v>3630</v>
      </c>
      <c r="B204" t="s">
        <v>3035</v>
      </c>
      <c r="C204" t="s">
        <v>1263</v>
      </c>
      <c r="I204" t="str">
        <f>IF($C204="","",IFERROR(INDEX(airports!$E:$E,MATCH($C204,airports!$A:$A,0)),"Not in airports"))</f>
        <v>Modibo Keita International Airport</v>
      </c>
      <c r="J204" t="s">
        <v>2633</v>
      </c>
      <c r="K204" t="s">
        <v>3415</v>
      </c>
    </row>
    <row r="205" spans="1:11" x14ac:dyDescent="0.3">
      <c r="A205" t="s">
        <v>3631</v>
      </c>
      <c r="B205" t="s">
        <v>2840</v>
      </c>
      <c r="C205" t="s">
        <v>1433</v>
      </c>
      <c r="I205" t="str">
        <f>IF($C205="","",IFERROR(INDEX(airports!$E:$E,MATCH($C205,airports!$A:$A,0)),"Not in airports"))</f>
        <v>Juba International Airport</v>
      </c>
      <c r="J205" t="s">
        <v>2693</v>
      </c>
      <c r="K205" t="s">
        <v>3415</v>
      </c>
    </row>
    <row r="206" spans="1:11" x14ac:dyDescent="0.3">
      <c r="A206" t="s">
        <v>3632</v>
      </c>
      <c r="B206" t="s">
        <v>2907</v>
      </c>
      <c r="C206" t="s">
        <v>1453</v>
      </c>
      <c r="I206" t="str">
        <f>IF($C206="","",IFERROR(INDEX(airports!$E:$E,MATCH($C206,airports!$A:$A,0)),"Not in airports"))</f>
        <v>Lomé–Tokoin International Airport</v>
      </c>
      <c r="J206" t="s">
        <v>2702</v>
      </c>
      <c r="K206" t="s">
        <v>3415</v>
      </c>
    </row>
    <row r="207" spans="1:11" x14ac:dyDescent="0.3">
      <c r="A207" t="s">
        <v>3633</v>
      </c>
      <c r="B207" t="s">
        <v>2891</v>
      </c>
      <c r="C207" t="s">
        <v>1453</v>
      </c>
      <c r="I207" t="str">
        <f>IF($C207="","",IFERROR(INDEX(airports!$E:$E,MATCH($C207,airports!$A:$A,0)),"Not in airports"))</f>
        <v>Lomé–Tokoin International Airport</v>
      </c>
      <c r="J207" t="s">
        <v>2702</v>
      </c>
      <c r="K207" t="s">
        <v>3415</v>
      </c>
    </row>
    <row r="208" spans="1:11" x14ac:dyDescent="0.3">
      <c r="A208" t="s">
        <v>3634</v>
      </c>
      <c r="B208" t="s">
        <v>2907</v>
      </c>
      <c r="C208" t="s">
        <v>195</v>
      </c>
      <c r="I208" t="str">
        <f>IF($C208="","",IFERROR(INDEX(airports!$E:$E,MATCH($C208,airports!$A:$A,0)),"Not in airports"))</f>
        <v>Cotonou Cadjehoun International Airport</v>
      </c>
      <c r="J208" t="s">
        <v>2552</v>
      </c>
      <c r="K208" t="s">
        <v>3415</v>
      </c>
    </row>
    <row r="209" spans="1:11" x14ac:dyDescent="0.3">
      <c r="A209" t="s">
        <v>3635</v>
      </c>
      <c r="B209" t="s">
        <v>2897</v>
      </c>
      <c r="C209" t="s">
        <v>195</v>
      </c>
      <c r="I209" t="str">
        <f>IF($C209="","",IFERROR(INDEX(airports!$E:$E,MATCH($C209,airports!$A:$A,0)),"Not in airports"))</f>
        <v>Cotonou Cadjehoun International Airport</v>
      </c>
      <c r="J209" t="s">
        <v>2552</v>
      </c>
      <c r="K209" t="s">
        <v>3415</v>
      </c>
    </row>
    <row r="210" spans="1:11" x14ac:dyDescent="0.3">
      <c r="A210" t="s">
        <v>3636</v>
      </c>
      <c r="B210" t="s">
        <v>2907</v>
      </c>
      <c r="C210" t="s">
        <v>193</v>
      </c>
      <c r="I210" t="str">
        <f>IF($C210="","",IFERROR(INDEX(airports!$E:$E,MATCH($C210,airports!$A:$A,0)),"Not in airports"))</f>
        <v>Bujumbura Melchior Ndadaye International Airport</v>
      </c>
      <c r="J210" t="s">
        <v>2559</v>
      </c>
      <c r="K210" t="s">
        <v>3415</v>
      </c>
    </row>
    <row r="211" spans="1:11" x14ac:dyDescent="0.3">
      <c r="A211" t="s">
        <v>3637</v>
      </c>
      <c r="B211" t="s">
        <v>2859</v>
      </c>
      <c r="C211" t="s">
        <v>3638</v>
      </c>
      <c r="I211" t="str">
        <f>IF($C211="","",IFERROR(INDEX(airports!$E:$E,MATCH($C211,airports!$A:$A,0)),"Not in airports"))</f>
        <v>King Khalid International Airport</v>
      </c>
      <c r="J211" t="s">
        <v>2778</v>
      </c>
      <c r="K211" t="s">
        <v>3415</v>
      </c>
    </row>
    <row r="212" spans="1:11" x14ac:dyDescent="0.3">
      <c r="A212" t="s">
        <v>3639</v>
      </c>
      <c r="B212" t="s">
        <v>3037</v>
      </c>
      <c r="C212" t="s">
        <v>3640</v>
      </c>
      <c r="I212" t="str">
        <f>IF($C212="","",IFERROR(INDEX(airports!$E:$E,MATCH($C212,airports!$A:$A,0)),"Not in airports"))</f>
        <v>King Abdulaziz International Airport</v>
      </c>
      <c r="J212" t="s">
        <v>2778</v>
      </c>
      <c r="K212" t="s">
        <v>3429</v>
      </c>
    </row>
    <row r="213" spans="1:11" x14ac:dyDescent="0.3">
      <c r="A213" t="s">
        <v>3641</v>
      </c>
      <c r="B213" t="s">
        <v>2857</v>
      </c>
      <c r="C213" t="s">
        <v>3638</v>
      </c>
      <c r="I213" t="str">
        <f>IF($C213="","",IFERROR(INDEX(airports!$E:$E,MATCH($C213,airports!$A:$A,0)),"Not in airports"))</f>
        <v>King Khalid International Airport</v>
      </c>
      <c r="J213" t="s">
        <v>2778</v>
      </c>
      <c r="K213" t="s">
        <v>3415</v>
      </c>
    </row>
    <row r="214" spans="1:11" x14ac:dyDescent="0.3">
      <c r="A214" t="s">
        <v>3642</v>
      </c>
      <c r="B214" t="s">
        <v>3039</v>
      </c>
      <c r="C214" t="s">
        <v>3638</v>
      </c>
      <c r="I214" t="str">
        <f>IF($C214="","",IFERROR(INDEX(airports!$E:$E,MATCH($C214,airports!$A:$A,0)),"Not in airports"))</f>
        <v>King Khalid International Airport</v>
      </c>
      <c r="J214" t="s">
        <v>2778</v>
      </c>
      <c r="K214" t="s">
        <v>3415</v>
      </c>
    </row>
    <row r="215" spans="1:11" x14ac:dyDescent="0.3">
      <c r="A215" t="s">
        <v>3643</v>
      </c>
      <c r="B215" t="s">
        <v>2855</v>
      </c>
      <c r="C215" t="s">
        <v>3638</v>
      </c>
      <c r="I215" t="str">
        <f>IF($C215="","",IFERROR(INDEX(airports!$E:$E,MATCH($C215,airports!$A:$A,0)),"Not in airports"))</f>
        <v>King Khalid International Airport</v>
      </c>
      <c r="J215" t="s">
        <v>2778</v>
      </c>
      <c r="K215" t="s">
        <v>3415</v>
      </c>
    </row>
    <row r="216" spans="1:11" x14ac:dyDescent="0.3">
      <c r="A216" t="s">
        <v>3644</v>
      </c>
      <c r="B216" t="s">
        <v>3041</v>
      </c>
      <c r="C216" t="s">
        <v>3638</v>
      </c>
      <c r="I216" t="str">
        <f>IF($C216="","",IFERROR(INDEX(airports!$E:$E,MATCH($C216,airports!$A:$A,0)),"Not in airports"))</f>
        <v>King Khalid International Airport</v>
      </c>
      <c r="J216" t="s">
        <v>2778</v>
      </c>
      <c r="K216" t="s">
        <v>3415</v>
      </c>
    </row>
    <row r="217" spans="1:11" x14ac:dyDescent="0.3">
      <c r="A217" t="s">
        <v>3645</v>
      </c>
      <c r="B217" t="s">
        <v>2891</v>
      </c>
      <c r="C217" t="s">
        <v>3638</v>
      </c>
      <c r="I217" t="str">
        <f>IF($C217="","",IFERROR(INDEX(airports!$E:$E,MATCH($C217,airports!$A:$A,0)),"Not in airports"))</f>
        <v>King Khalid International Airport</v>
      </c>
      <c r="J217" t="s">
        <v>2778</v>
      </c>
      <c r="K217" t="s">
        <v>3415</v>
      </c>
    </row>
    <row r="218" spans="1:11" x14ac:dyDescent="0.3">
      <c r="A218" t="s">
        <v>3646</v>
      </c>
      <c r="B218" t="s">
        <v>3043</v>
      </c>
      <c r="C218" t="s">
        <v>3638</v>
      </c>
      <c r="I218" t="str">
        <f>IF($C218="","",IFERROR(INDEX(airports!$E:$E,MATCH($C218,airports!$A:$A,0)),"Not in airports"))</f>
        <v>King Khalid International Airport</v>
      </c>
      <c r="J218" t="s">
        <v>2778</v>
      </c>
      <c r="K218" t="s">
        <v>3415</v>
      </c>
    </row>
    <row r="219" spans="1:11" x14ac:dyDescent="0.3">
      <c r="A219" t="s">
        <v>3647</v>
      </c>
      <c r="B219" t="s">
        <v>2865</v>
      </c>
      <c r="C219" t="s">
        <v>3638</v>
      </c>
      <c r="I219" t="str">
        <f>IF($C219="","",IFERROR(INDEX(airports!$E:$E,MATCH($C219,airports!$A:$A,0)),"Not in airports"))</f>
        <v>King Khalid International Airport</v>
      </c>
      <c r="J219" t="s">
        <v>2778</v>
      </c>
      <c r="K219" t="s">
        <v>3415</v>
      </c>
    </row>
    <row r="220" spans="1:11" x14ac:dyDescent="0.3">
      <c r="A220" t="s">
        <v>3648</v>
      </c>
      <c r="B220" t="s">
        <v>3045</v>
      </c>
      <c r="C220" t="s">
        <v>3638</v>
      </c>
      <c r="I220" t="str">
        <f>IF($C220="","",IFERROR(INDEX(airports!$E:$E,MATCH($C220,airports!$A:$A,0)),"Not in airports"))</f>
        <v>King Khalid International Airport</v>
      </c>
      <c r="J220" t="s">
        <v>2778</v>
      </c>
      <c r="K220" t="s">
        <v>3415</v>
      </c>
    </row>
    <row r="221" spans="1:11" x14ac:dyDescent="0.3">
      <c r="A221" t="s">
        <v>3649</v>
      </c>
      <c r="B221" t="s">
        <v>2840</v>
      </c>
      <c r="C221" t="s">
        <v>3638</v>
      </c>
      <c r="I221" t="str">
        <f>IF($C221="","",IFERROR(INDEX(airports!$E:$E,MATCH($C221,airports!$A:$A,0)),"Not in airports"))</f>
        <v>King Khalid International Airport</v>
      </c>
      <c r="J221" t="s">
        <v>2778</v>
      </c>
      <c r="K221" t="s">
        <v>3415</v>
      </c>
    </row>
    <row r="222" spans="1:11" x14ac:dyDescent="0.3">
      <c r="A222" t="s">
        <v>3650</v>
      </c>
      <c r="B222" t="s">
        <v>2857</v>
      </c>
      <c r="C222" t="s">
        <v>3651</v>
      </c>
      <c r="I222" t="str">
        <f>IF($C222="","",IFERROR(INDEX(airports!$E:$E,MATCH($C222,airports!$A:$A,0)),"Not in airports"))</f>
        <v>Dubai International Airport</v>
      </c>
      <c r="J222" t="s">
        <v>2783</v>
      </c>
      <c r="K222" t="s">
        <v>3415</v>
      </c>
    </row>
    <row r="223" spans="1:11" x14ac:dyDescent="0.3">
      <c r="A223" t="s">
        <v>3652</v>
      </c>
      <c r="B223" t="s">
        <v>2859</v>
      </c>
      <c r="C223" t="s">
        <v>3651</v>
      </c>
      <c r="I223" t="str">
        <f>IF($C223="","",IFERROR(INDEX(airports!$E:$E,MATCH($C223,airports!$A:$A,0)),"Not in airports"))</f>
        <v>Dubai International Airport</v>
      </c>
      <c r="J223" t="s">
        <v>2783</v>
      </c>
      <c r="K223" t="s">
        <v>3415</v>
      </c>
    </row>
    <row r="224" spans="1:11" x14ac:dyDescent="0.3">
      <c r="A224" t="s">
        <v>3653</v>
      </c>
      <c r="B224" t="s">
        <v>2865</v>
      </c>
      <c r="C224" t="s">
        <v>3651</v>
      </c>
      <c r="I224" t="str">
        <f>IF($C224="","",IFERROR(INDEX(airports!$E:$E,MATCH($C224,airports!$A:$A,0)),"Not in airports"))</f>
        <v>Dubai International Airport</v>
      </c>
      <c r="J224" t="s">
        <v>2783</v>
      </c>
      <c r="K224" t="s">
        <v>3415</v>
      </c>
    </row>
    <row r="225" spans="1:11" x14ac:dyDescent="0.3">
      <c r="A225" t="s">
        <v>3654</v>
      </c>
      <c r="B225" t="s">
        <v>3047</v>
      </c>
      <c r="C225" t="s">
        <v>131</v>
      </c>
      <c r="I225" t="str">
        <f>IF($C225="","",IFERROR(INDEX(airports!$E:$E,MATCH($C225,airports!$A:$A,0)),"Not in airports"))</f>
        <v>Al Bateen Executive Airport</v>
      </c>
      <c r="J225" t="s">
        <v>2783</v>
      </c>
      <c r="K225" t="s">
        <v>3429</v>
      </c>
    </row>
    <row r="226" spans="1:11" x14ac:dyDescent="0.3">
      <c r="A226" t="s">
        <v>3655</v>
      </c>
      <c r="B226" t="s">
        <v>3007</v>
      </c>
      <c r="C226" t="s">
        <v>3651</v>
      </c>
      <c r="I226" t="str">
        <f>IF($C226="","",IFERROR(INDEX(airports!$E:$E,MATCH($C226,airports!$A:$A,0)),"Not in airports"))</f>
        <v>Dubai International Airport</v>
      </c>
      <c r="J226" t="s">
        <v>2783</v>
      </c>
      <c r="K226" t="s">
        <v>3415</v>
      </c>
    </row>
    <row r="227" spans="1:11" x14ac:dyDescent="0.3">
      <c r="A227" t="s">
        <v>3656</v>
      </c>
      <c r="B227" t="s">
        <v>3049</v>
      </c>
      <c r="C227" t="s">
        <v>3651</v>
      </c>
      <c r="I227" t="str">
        <f>IF($C227="","",IFERROR(INDEX(airports!$E:$E,MATCH($C227,airports!$A:$A,0)),"Not in airports"))</f>
        <v>Dubai International Airport</v>
      </c>
      <c r="J227" t="s">
        <v>2783</v>
      </c>
      <c r="K227" t="s">
        <v>3415</v>
      </c>
    </row>
    <row r="228" spans="1:11" x14ac:dyDescent="0.3">
      <c r="A228" t="s">
        <v>3657</v>
      </c>
      <c r="B228" t="s">
        <v>3051</v>
      </c>
      <c r="C228" t="s">
        <v>3651</v>
      </c>
      <c r="I228" t="str">
        <f>IF($C228="","",IFERROR(INDEX(airports!$E:$E,MATCH($C228,airports!$A:$A,0)),"Not in airports"))</f>
        <v>Dubai International Airport</v>
      </c>
      <c r="J228" t="s">
        <v>2783</v>
      </c>
      <c r="K228" t="s">
        <v>3415</v>
      </c>
    </row>
    <row r="229" spans="1:11" x14ac:dyDescent="0.3">
      <c r="A229" t="s">
        <v>3658</v>
      </c>
      <c r="B229" t="s">
        <v>2891</v>
      </c>
      <c r="C229" t="s">
        <v>3651</v>
      </c>
      <c r="I229" t="str">
        <f>IF($C229="","",IFERROR(INDEX(airports!$E:$E,MATCH($C229,airports!$A:$A,0)),"Not in airports"))</f>
        <v>Dubai International Airport</v>
      </c>
      <c r="J229" t="s">
        <v>2783</v>
      </c>
      <c r="K229" t="s">
        <v>3415</v>
      </c>
    </row>
    <row r="230" spans="1:11" x14ac:dyDescent="0.3">
      <c r="A230" t="s">
        <v>3659</v>
      </c>
      <c r="B230" t="s">
        <v>2855</v>
      </c>
      <c r="C230" t="s">
        <v>3651</v>
      </c>
      <c r="I230" t="str">
        <f>IF($C230="","",IFERROR(INDEX(airports!$E:$E,MATCH($C230,airports!$A:$A,0)),"Not in airports"))</f>
        <v>Dubai International Airport</v>
      </c>
      <c r="J230" t="s">
        <v>2783</v>
      </c>
      <c r="K230" t="s">
        <v>3415</v>
      </c>
    </row>
    <row r="231" spans="1:11" x14ac:dyDescent="0.3">
      <c r="A231" t="s">
        <v>3660</v>
      </c>
      <c r="B231" t="s">
        <v>3011</v>
      </c>
      <c r="C231" t="s">
        <v>3651</v>
      </c>
      <c r="I231" t="str">
        <f>IF($C231="","",IFERROR(INDEX(airports!$E:$E,MATCH($C231,airports!$A:$A,0)),"Not in airports"))</f>
        <v>Dubai International Airport</v>
      </c>
      <c r="J231" t="s">
        <v>2783</v>
      </c>
      <c r="K231" t="s">
        <v>3415</v>
      </c>
    </row>
    <row r="232" spans="1:11" x14ac:dyDescent="0.3">
      <c r="A232" t="s">
        <v>3661</v>
      </c>
      <c r="B232" t="s">
        <v>3053</v>
      </c>
      <c r="C232" t="s">
        <v>3651</v>
      </c>
      <c r="I232" t="str">
        <f>IF($C232="","",IFERROR(INDEX(airports!$E:$E,MATCH($C232,airports!$A:$A,0)),"Not in airports"))</f>
        <v>Dubai International Airport</v>
      </c>
      <c r="J232" t="s">
        <v>2783</v>
      </c>
      <c r="K232" t="s">
        <v>3415</v>
      </c>
    </row>
    <row r="233" spans="1:11" x14ac:dyDescent="0.3">
      <c r="A233" t="s">
        <v>3662</v>
      </c>
      <c r="B233" t="s">
        <v>3055</v>
      </c>
      <c r="C233" t="s">
        <v>3651</v>
      </c>
      <c r="I233" t="str">
        <f>IF($C233="","",IFERROR(INDEX(airports!$E:$E,MATCH($C233,airports!$A:$A,0)),"Not in airports"))</f>
        <v>Dubai International Airport</v>
      </c>
      <c r="J233" t="s">
        <v>2783</v>
      </c>
      <c r="K233" t="s">
        <v>3415</v>
      </c>
    </row>
    <row r="234" spans="1:11" x14ac:dyDescent="0.3">
      <c r="A234" t="s">
        <v>3663</v>
      </c>
      <c r="B234" t="s">
        <v>2840</v>
      </c>
      <c r="C234" t="s">
        <v>3651</v>
      </c>
      <c r="I234" t="str">
        <f>IF($C234="","",IFERROR(INDEX(airports!$E:$E,MATCH($C234,airports!$A:$A,0)),"Not in airports"))</f>
        <v>Dubai International Airport</v>
      </c>
      <c r="J234" t="s">
        <v>2783</v>
      </c>
      <c r="K234" t="s">
        <v>3415</v>
      </c>
    </row>
    <row r="235" spans="1:11" x14ac:dyDescent="0.3">
      <c r="A235" t="s">
        <v>3664</v>
      </c>
      <c r="B235" t="s">
        <v>3057</v>
      </c>
      <c r="C235" t="s">
        <v>3651</v>
      </c>
      <c r="I235" t="str">
        <f>IF($C235="","",IFERROR(INDEX(airports!$E:$E,MATCH($C235,airports!$A:$A,0)),"Not in airports"))</f>
        <v>Dubai International Airport</v>
      </c>
      <c r="J235" t="s">
        <v>2783</v>
      </c>
      <c r="K235" t="s">
        <v>3415</v>
      </c>
    </row>
    <row r="236" spans="1:11" x14ac:dyDescent="0.3">
      <c r="A236" t="s">
        <v>3665</v>
      </c>
      <c r="B236" t="s">
        <v>3059</v>
      </c>
      <c r="C236" t="s">
        <v>3651</v>
      </c>
      <c r="I236" t="str">
        <f>IF($C236="","",IFERROR(INDEX(airports!$E:$E,MATCH($C236,airports!$A:$A,0)),"Not in airports"))</f>
        <v>Dubai International Airport</v>
      </c>
      <c r="J236" t="s">
        <v>2783</v>
      </c>
      <c r="K236" t="s">
        <v>3415</v>
      </c>
    </row>
    <row r="237" spans="1:11" x14ac:dyDescent="0.3">
      <c r="A237" t="s">
        <v>3666</v>
      </c>
      <c r="B237" t="s">
        <v>3061</v>
      </c>
      <c r="C237" t="s">
        <v>3651</v>
      </c>
      <c r="I237" t="str">
        <f>IF($C237="","",IFERROR(INDEX(airports!$E:$E,MATCH($C237,airports!$A:$A,0)),"Not in airports"))</f>
        <v>Dubai International Airport</v>
      </c>
      <c r="J237" t="s">
        <v>2783</v>
      </c>
      <c r="K237" t="s">
        <v>3415</v>
      </c>
    </row>
    <row r="238" spans="1:11" x14ac:dyDescent="0.3">
      <c r="A238" t="s">
        <v>3667</v>
      </c>
      <c r="B238" t="s">
        <v>3063</v>
      </c>
      <c r="C238" t="s">
        <v>3651</v>
      </c>
      <c r="I238" t="str">
        <f>IF($C238="","",IFERROR(INDEX(airports!$E:$E,MATCH($C238,airports!$A:$A,0)),"Not in airports"))</f>
        <v>Dubai International Airport</v>
      </c>
      <c r="J238" t="s">
        <v>2783</v>
      </c>
      <c r="K238" t="s">
        <v>3415</v>
      </c>
    </row>
    <row r="239" spans="1:11" x14ac:dyDescent="0.3">
      <c r="A239" t="s">
        <v>3668</v>
      </c>
      <c r="B239" t="s">
        <v>3065</v>
      </c>
      <c r="C239" t="s">
        <v>3651</v>
      </c>
      <c r="I239" t="str">
        <f>IF($C239="","",IFERROR(INDEX(airports!$E:$E,MATCH($C239,airports!$A:$A,0)),"Not in airports"))</f>
        <v>Dubai International Airport</v>
      </c>
      <c r="J239" t="s">
        <v>2783</v>
      </c>
      <c r="K239" t="s">
        <v>3415</v>
      </c>
    </row>
    <row r="240" spans="1:11" x14ac:dyDescent="0.3">
      <c r="A240" t="s">
        <v>3669</v>
      </c>
      <c r="B240" t="s">
        <v>2887</v>
      </c>
      <c r="C240" t="s">
        <v>3651</v>
      </c>
      <c r="I240" t="str">
        <f>IF($C240="","",IFERROR(INDEX(airports!$E:$E,MATCH($C240,airports!$A:$A,0)),"Not in airports"))</f>
        <v>Dubai International Airport</v>
      </c>
      <c r="J240" t="s">
        <v>2783</v>
      </c>
      <c r="K240" t="s">
        <v>3415</v>
      </c>
    </row>
    <row r="241" spans="1:11" x14ac:dyDescent="0.3">
      <c r="A241" t="s">
        <v>3670</v>
      </c>
      <c r="B241" t="s">
        <v>3067</v>
      </c>
      <c r="C241" t="s">
        <v>3651</v>
      </c>
      <c r="I241" t="str">
        <f>IF($C241="","",IFERROR(INDEX(airports!$E:$E,MATCH($C241,airports!$A:$A,0)),"Not in airports"))</f>
        <v>Dubai International Airport</v>
      </c>
      <c r="J241" t="s">
        <v>2783</v>
      </c>
      <c r="K241" t="s">
        <v>3415</v>
      </c>
    </row>
    <row r="242" spans="1:11" x14ac:dyDescent="0.3">
      <c r="A242" t="s">
        <v>3671</v>
      </c>
      <c r="B242" t="s">
        <v>3043</v>
      </c>
      <c r="C242" t="s">
        <v>3651</v>
      </c>
      <c r="I242" t="str">
        <f>IF($C242="","",IFERROR(INDEX(airports!$E:$E,MATCH($C242,airports!$A:$A,0)),"Not in airports"))</f>
        <v>Dubai International Airport</v>
      </c>
      <c r="J242" t="s">
        <v>2783</v>
      </c>
      <c r="K242" t="s">
        <v>3415</v>
      </c>
    </row>
    <row r="243" spans="1:11" x14ac:dyDescent="0.3">
      <c r="A243" t="s">
        <v>3672</v>
      </c>
      <c r="B243" t="s">
        <v>3069</v>
      </c>
      <c r="C243" t="s">
        <v>3651</v>
      </c>
      <c r="I243" t="str">
        <f>IF($C243="","",IFERROR(INDEX(airports!$E:$E,MATCH($C243,airports!$A:$A,0)),"Not in airports"))</f>
        <v>Dubai International Airport</v>
      </c>
      <c r="J243" t="s">
        <v>2783</v>
      </c>
      <c r="K243" t="s">
        <v>3415</v>
      </c>
    </row>
    <row r="244" spans="1:11" x14ac:dyDescent="0.3">
      <c r="A244" t="s">
        <v>3673</v>
      </c>
      <c r="B244" t="s">
        <v>2919</v>
      </c>
      <c r="C244" t="s">
        <v>3651</v>
      </c>
      <c r="I244" t="str">
        <f>IF($C244="","",IFERROR(INDEX(airports!$E:$E,MATCH($C244,airports!$A:$A,0)),"Not in airports"))</f>
        <v>Dubai International Airport</v>
      </c>
      <c r="J244" t="s">
        <v>2783</v>
      </c>
      <c r="K244" t="s">
        <v>3415</v>
      </c>
    </row>
    <row r="245" spans="1:11" x14ac:dyDescent="0.3">
      <c r="A245" t="s">
        <v>3674</v>
      </c>
      <c r="B245" t="s">
        <v>3071</v>
      </c>
      <c r="C245" t="s">
        <v>3651</v>
      </c>
      <c r="I245" t="str">
        <f>IF($C245="","",IFERROR(INDEX(airports!$E:$E,MATCH($C245,airports!$A:$A,0)),"Not in airports"))</f>
        <v>Dubai International Airport</v>
      </c>
      <c r="J245" t="s">
        <v>2783</v>
      </c>
      <c r="K245" t="s">
        <v>3415</v>
      </c>
    </row>
    <row r="246" spans="1:11" x14ac:dyDescent="0.3">
      <c r="A246" t="s">
        <v>3675</v>
      </c>
      <c r="B246" t="s">
        <v>2907</v>
      </c>
      <c r="C246" t="s">
        <v>3651</v>
      </c>
      <c r="I246" t="str">
        <f>IF($C246="","",IFERROR(INDEX(airports!$E:$E,MATCH($C246,airports!$A:$A,0)),"Not in airports"))</f>
        <v>Dubai International Airport</v>
      </c>
      <c r="J246" t="s">
        <v>2783</v>
      </c>
      <c r="K246" t="s">
        <v>3415</v>
      </c>
    </row>
    <row r="247" spans="1:11" x14ac:dyDescent="0.3">
      <c r="A247" t="s">
        <v>3676</v>
      </c>
      <c r="B247" t="s">
        <v>2987</v>
      </c>
      <c r="C247" t="s">
        <v>3651</v>
      </c>
      <c r="I247" t="str">
        <f>IF($C247="","",IFERROR(INDEX(airports!$E:$E,MATCH($C247,airports!$A:$A,0)),"Not in airports"))</f>
        <v>Dubai International Airport</v>
      </c>
      <c r="J247" t="s">
        <v>2783</v>
      </c>
      <c r="K247" t="s">
        <v>3415</v>
      </c>
    </row>
    <row r="248" spans="1:11" x14ac:dyDescent="0.3">
      <c r="A248" t="s">
        <v>3677</v>
      </c>
      <c r="B248" t="s">
        <v>2855</v>
      </c>
      <c r="C248" t="s">
        <v>1339</v>
      </c>
      <c r="I248" t="str">
        <f>IF($C248="","",IFERROR(INDEX(airports!$E:$E,MATCH($C248,airports!$A:$A,0)),"Not in airports"))</f>
        <v>Muscat International Airport</v>
      </c>
      <c r="J248" t="s">
        <v>2786</v>
      </c>
      <c r="K248" t="s">
        <v>3415</v>
      </c>
    </row>
    <row r="249" spans="1:11" x14ac:dyDescent="0.3">
      <c r="A249" t="s">
        <v>3678</v>
      </c>
      <c r="B249" t="s">
        <v>2857</v>
      </c>
      <c r="C249" t="s">
        <v>1339</v>
      </c>
      <c r="I249" t="str">
        <f>IF($C249="","",IFERROR(INDEX(airports!$E:$E,MATCH($C249,airports!$A:$A,0)),"Not in airports"))</f>
        <v>Muscat International Airport</v>
      </c>
      <c r="J249" t="s">
        <v>2786</v>
      </c>
      <c r="K249" t="s">
        <v>3415</v>
      </c>
    </row>
    <row r="250" spans="1:11" x14ac:dyDescent="0.3">
      <c r="A250" t="s">
        <v>3679</v>
      </c>
      <c r="B250" t="s">
        <v>2859</v>
      </c>
      <c r="C250" t="s">
        <v>1339</v>
      </c>
      <c r="I250" t="str">
        <f>IF($C250="","",IFERROR(INDEX(airports!$E:$E,MATCH($C250,airports!$A:$A,0)),"Not in airports"))</f>
        <v>Muscat International Airport</v>
      </c>
      <c r="J250" t="s">
        <v>2786</v>
      </c>
      <c r="K250" t="s">
        <v>3415</v>
      </c>
    </row>
    <row r="251" spans="1:11" x14ac:dyDescent="0.3">
      <c r="A251" t="s">
        <v>3680</v>
      </c>
      <c r="B251" t="s">
        <v>2840</v>
      </c>
      <c r="C251" t="s">
        <v>1339</v>
      </c>
      <c r="I251" t="str">
        <f>IF($C251="","",IFERROR(INDEX(airports!$E:$E,MATCH($C251,airports!$A:$A,0)),"Not in airports"))</f>
        <v>Muscat International Airport</v>
      </c>
      <c r="J251" t="s">
        <v>2786</v>
      </c>
      <c r="K251" t="s">
        <v>3415</v>
      </c>
    </row>
    <row r="252" spans="1:11" x14ac:dyDescent="0.3">
      <c r="A252" t="s">
        <v>3681</v>
      </c>
      <c r="B252" t="s">
        <v>2891</v>
      </c>
      <c r="C252" t="s">
        <v>1339</v>
      </c>
      <c r="I252" t="str">
        <f>IF($C252="","",IFERROR(INDEX(airports!$E:$E,MATCH($C252,airports!$A:$A,0)),"Not in airports"))</f>
        <v>Muscat International Airport</v>
      </c>
      <c r="J252" t="s">
        <v>2786</v>
      </c>
      <c r="K252" t="s">
        <v>3415</v>
      </c>
    </row>
    <row r="253" spans="1:11" x14ac:dyDescent="0.3">
      <c r="A253" t="s">
        <v>3682</v>
      </c>
      <c r="B253" t="s">
        <v>3007</v>
      </c>
      <c r="C253" t="s">
        <v>1339</v>
      </c>
      <c r="I253" t="str">
        <f>IF($C253="","",IFERROR(INDEX(airports!$E:$E,MATCH($C253,airports!$A:$A,0)),"Not in airports"))</f>
        <v>Muscat International Airport</v>
      </c>
      <c r="J253" t="s">
        <v>2786</v>
      </c>
      <c r="K253" t="s">
        <v>3415</v>
      </c>
    </row>
    <row r="254" spans="1:11" x14ac:dyDescent="0.3">
      <c r="A254" t="s">
        <v>3683</v>
      </c>
      <c r="B254" t="s">
        <v>3045</v>
      </c>
      <c r="C254" t="s">
        <v>1339</v>
      </c>
      <c r="I254" t="str">
        <f>IF($C254="","",IFERROR(INDEX(airports!$E:$E,MATCH($C254,airports!$A:$A,0)),"Not in airports"))</f>
        <v>Muscat International Airport</v>
      </c>
      <c r="J254" t="s">
        <v>2786</v>
      </c>
      <c r="K254" t="s">
        <v>3415</v>
      </c>
    </row>
    <row r="255" spans="1:11" x14ac:dyDescent="0.3">
      <c r="A255" t="s">
        <v>3684</v>
      </c>
      <c r="B255" t="s">
        <v>3073</v>
      </c>
      <c r="C255" t="s">
        <v>423</v>
      </c>
      <c r="I255" t="str">
        <f>IF($C255="","",IFERROR(INDEX(airports!$E:$E,MATCH($C255,airports!$A:$A,0)),"Not in airports"))</f>
        <v>Ben Gurion International Airport</v>
      </c>
      <c r="J255" t="s">
        <v>2789</v>
      </c>
      <c r="K255" t="s">
        <v>3415</v>
      </c>
    </row>
    <row r="256" spans="1:11" x14ac:dyDescent="0.3">
      <c r="A256" t="s">
        <v>3685</v>
      </c>
      <c r="B256" t="s">
        <v>3075</v>
      </c>
      <c r="C256" t="s">
        <v>423</v>
      </c>
      <c r="I256" t="str">
        <f>IF($C256="","",IFERROR(INDEX(airports!$E:$E,MATCH($C256,airports!$A:$A,0)),"Not in airports"))</f>
        <v>Ben Gurion International Airport</v>
      </c>
      <c r="J256" t="s">
        <v>2789</v>
      </c>
      <c r="K256" t="s">
        <v>3415</v>
      </c>
    </row>
    <row r="257" spans="1:11" x14ac:dyDescent="0.3">
      <c r="A257" t="s">
        <v>3686</v>
      </c>
      <c r="B257" t="s">
        <v>3077</v>
      </c>
      <c r="C257" t="s">
        <v>423</v>
      </c>
      <c r="I257" t="str">
        <f>IF($C257="","",IFERROR(INDEX(airports!$E:$E,MATCH($C257,airports!$A:$A,0)),"Not in airports"))</f>
        <v>Ben Gurion International Airport</v>
      </c>
      <c r="J257" t="s">
        <v>2789</v>
      </c>
      <c r="K257" t="s">
        <v>3415</v>
      </c>
    </row>
    <row r="258" spans="1:11" x14ac:dyDescent="0.3">
      <c r="A258" t="s">
        <v>3687</v>
      </c>
      <c r="B258" t="s">
        <v>3079</v>
      </c>
      <c r="C258" t="s">
        <v>423</v>
      </c>
      <c r="I258" t="str">
        <f>IF($C258="","",IFERROR(INDEX(airports!$E:$E,MATCH($C258,airports!$A:$A,0)),"Not in airports"))</f>
        <v>Ben Gurion International Airport</v>
      </c>
      <c r="J258" t="s">
        <v>2789</v>
      </c>
      <c r="K258" t="s">
        <v>3415</v>
      </c>
    </row>
    <row r="259" spans="1:11" x14ac:dyDescent="0.3">
      <c r="A259" t="s">
        <v>3688</v>
      </c>
      <c r="B259" t="s">
        <v>3081</v>
      </c>
      <c r="C259" t="s">
        <v>1379</v>
      </c>
      <c r="I259" t="str">
        <f>IF($C259="","",IFERROR(INDEX(airports!$E:$E,MATCH($C259,airports!$A:$A,0)),"Not in airports"))</f>
        <v>Hamad International Airport</v>
      </c>
      <c r="J259" t="s">
        <v>2792</v>
      </c>
      <c r="K259" t="s">
        <v>3415</v>
      </c>
    </row>
    <row r="260" spans="1:11" x14ac:dyDescent="0.3">
      <c r="A260" t="s">
        <v>3689</v>
      </c>
      <c r="B260" t="s">
        <v>3083</v>
      </c>
      <c r="C260" t="s">
        <v>1379</v>
      </c>
      <c r="I260" t="str">
        <f>IF($C260="","",IFERROR(INDEX(airports!$E:$E,MATCH($C260,airports!$A:$A,0)),"Not in airports"))</f>
        <v>Hamad International Airport</v>
      </c>
      <c r="J260" t="s">
        <v>2792</v>
      </c>
      <c r="K260" t="s">
        <v>3429</v>
      </c>
    </row>
    <row r="261" spans="1:11" x14ac:dyDescent="0.3">
      <c r="A261" t="s">
        <v>3690</v>
      </c>
      <c r="B261" t="s">
        <v>3085</v>
      </c>
      <c r="C261" t="s">
        <v>1379</v>
      </c>
      <c r="I261" t="str">
        <f>IF($C261="","",IFERROR(INDEX(airports!$E:$E,MATCH($C261,airports!$A:$A,0)),"Not in airports"))</f>
        <v>Hamad International Airport</v>
      </c>
      <c r="J261" t="s">
        <v>2792</v>
      </c>
      <c r="K261" t="s">
        <v>3415</v>
      </c>
    </row>
    <row r="262" spans="1:11" x14ac:dyDescent="0.3">
      <c r="A262" t="s">
        <v>3691</v>
      </c>
      <c r="B262" t="s">
        <v>3071</v>
      </c>
      <c r="C262" t="s">
        <v>1379</v>
      </c>
      <c r="I262" t="str">
        <f>IF($C262="","",IFERROR(INDEX(airports!$E:$E,MATCH($C262,airports!$A:$A,0)),"Not in airports"))</f>
        <v>Hamad International Airport</v>
      </c>
      <c r="J262" t="s">
        <v>2792</v>
      </c>
      <c r="K262" t="s">
        <v>3415</v>
      </c>
    </row>
    <row r="263" spans="1:11" x14ac:dyDescent="0.3">
      <c r="A263" t="s">
        <v>3692</v>
      </c>
      <c r="B263" t="s">
        <v>2857</v>
      </c>
      <c r="C263" t="s">
        <v>1379</v>
      </c>
      <c r="I263" t="str">
        <f>IF($C263="","",IFERROR(INDEX(airports!$E:$E,MATCH($C263,airports!$A:$A,0)),"Not in airports"))</f>
        <v>Hamad International Airport</v>
      </c>
      <c r="J263" t="s">
        <v>2792</v>
      </c>
      <c r="K263" t="s">
        <v>3415</v>
      </c>
    </row>
    <row r="264" spans="1:11" x14ac:dyDescent="0.3">
      <c r="A264" t="s">
        <v>3693</v>
      </c>
      <c r="B264" t="s">
        <v>3013</v>
      </c>
      <c r="C264" t="s">
        <v>1379</v>
      </c>
      <c r="I264" t="str">
        <f>IF($C264="","",IFERROR(INDEX(airports!$E:$E,MATCH($C264,airports!$A:$A,0)),"Not in airports"))</f>
        <v>Hamad International Airport</v>
      </c>
      <c r="J264" t="s">
        <v>2792</v>
      </c>
      <c r="K264" t="s">
        <v>3415</v>
      </c>
    </row>
    <row r="265" spans="1:11" x14ac:dyDescent="0.3">
      <c r="A265" t="s">
        <v>3694</v>
      </c>
      <c r="B265" t="s">
        <v>3061</v>
      </c>
      <c r="C265" t="s">
        <v>1379</v>
      </c>
      <c r="I265" t="str">
        <f>IF($C265="","",IFERROR(INDEX(airports!$E:$E,MATCH($C265,airports!$A:$A,0)),"Not in airports"))</f>
        <v>Hamad International Airport</v>
      </c>
      <c r="J265" t="s">
        <v>2792</v>
      </c>
      <c r="K265" t="s">
        <v>3415</v>
      </c>
    </row>
    <row r="266" spans="1:11" x14ac:dyDescent="0.3">
      <c r="A266" t="s">
        <v>3695</v>
      </c>
      <c r="B266" t="s">
        <v>2859</v>
      </c>
      <c r="C266" t="s">
        <v>1379</v>
      </c>
      <c r="I266" t="str">
        <f>IF($C266="","",IFERROR(INDEX(airports!$E:$E,MATCH($C266,airports!$A:$A,0)),"Not in airports"))</f>
        <v>Hamad International Airport</v>
      </c>
      <c r="J266" t="s">
        <v>2792</v>
      </c>
      <c r="K266" t="s">
        <v>3415</v>
      </c>
    </row>
    <row r="267" spans="1:11" x14ac:dyDescent="0.3">
      <c r="A267" t="s">
        <v>3696</v>
      </c>
      <c r="B267" t="s">
        <v>3087</v>
      </c>
      <c r="C267" t="s">
        <v>1379</v>
      </c>
      <c r="I267" t="str">
        <f>IF($C267="","",IFERROR(INDEX(airports!$E:$E,MATCH($C267,airports!$A:$A,0)),"Not in airports"))</f>
        <v>Hamad International Airport</v>
      </c>
      <c r="J267" t="s">
        <v>2792</v>
      </c>
      <c r="K267" t="s">
        <v>3415</v>
      </c>
    </row>
    <row r="268" spans="1:11" x14ac:dyDescent="0.3">
      <c r="A268" t="s">
        <v>3697</v>
      </c>
      <c r="B268" t="s">
        <v>3089</v>
      </c>
      <c r="C268" t="s">
        <v>453</v>
      </c>
      <c r="I268" t="str">
        <f>IF($C268="","",IFERROR(INDEX(airports!$E:$E,MATCH($C268,airports!$A:$A,0)),"Not in airports"))</f>
        <v>Queen Alia International Airport</v>
      </c>
      <c r="J268" t="s">
        <v>2795</v>
      </c>
      <c r="K268" t="s">
        <v>3415</v>
      </c>
    </row>
    <row r="269" spans="1:11" x14ac:dyDescent="0.3">
      <c r="A269" t="s">
        <v>3698</v>
      </c>
      <c r="B269" t="s">
        <v>3091</v>
      </c>
      <c r="C269" t="s">
        <v>453</v>
      </c>
      <c r="I269" t="str">
        <f>IF($C269="","",IFERROR(INDEX(airports!$E:$E,MATCH($C269,airports!$A:$A,0)),"Not in airports"))</f>
        <v>Queen Alia International Airport</v>
      </c>
      <c r="J269" t="s">
        <v>2795</v>
      </c>
      <c r="K269" t="s">
        <v>3415</v>
      </c>
    </row>
    <row r="270" spans="1:11" x14ac:dyDescent="0.3">
      <c r="A270" t="s">
        <v>3699</v>
      </c>
      <c r="B270" t="s">
        <v>2859</v>
      </c>
      <c r="C270" t="s">
        <v>453</v>
      </c>
      <c r="I270" t="str">
        <f>IF($C270="","",IFERROR(INDEX(airports!$E:$E,MATCH($C270,airports!$A:$A,0)),"Not in airports"))</f>
        <v>Queen Alia International Airport</v>
      </c>
      <c r="J270" t="s">
        <v>2795</v>
      </c>
      <c r="K270" t="s">
        <v>3415</v>
      </c>
    </row>
    <row r="271" spans="1:11" x14ac:dyDescent="0.3">
      <c r="A271" t="s">
        <v>3700</v>
      </c>
      <c r="B271" t="s">
        <v>2855</v>
      </c>
      <c r="C271" t="s">
        <v>453</v>
      </c>
      <c r="I271" t="str">
        <f>IF($C271="","",IFERROR(INDEX(airports!$E:$E,MATCH($C271,airports!$A:$A,0)),"Not in airports"))</f>
        <v>Queen Alia International Airport</v>
      </c>
      <c r="J271" t="s">
        <v>2795</v>
      </c>
      <c r="K271" t="s">
        <v>3415</v>
      </c>
    </row>
    <row r="272" spans="1:11" x14ac:dyDescent="0.3">
      <c r="A272" t="s">
        <v>3701</v>
      </c>
      <c r="B272" t="s">
        <v>3093</v>
      </c>
      <c r="C272" t="s">
        <v>453</v>
      </c>
      <c r="I272" t="str">
        <f>IF($C272="","",IFERROR(INDEX(airports!$E:$E,MATCH($C272,airports!$A:$A,0)),"Not in airports"))</f>
        <v>Queen Alia International Airport</v>
      </c>
      <c r="J272" t="s">
        <v>2795</v>
      </c>
      <c r="K272" t="s">
        <v>3415</v>
      </c>
    </row>
    <row r="273" spans="1:11" x14ac:dyDescent="0.3">
      <c r="A273" t="s">
        <v>3702</v>
      </c>
      <c r="B273" t="s">
        <v>3095</v>
      </c>
      <c r="C273" t="s">
        <v>453</v>
      </c>
      <c r="I273" t="str">
        <f>IF($C273="","",IFERROR(INDEX(airports!$E:$E,MATCH($C273,airports!$A:$A,0)),"Not in airports"))</f>
        <v>Queen Alia International Airport</v>
      </c>
      <c r="J273" t="s">
        <v>2795</v>
      </c>
      <c r="K273" t="s">
        <v>3415</v>
      </c>
    </row>
    <row r="274" spans="1:11" x14ac:dyDescent="0.3">
      <c r="A274" t="s">
        <v>3703</v>
      </c>
      <c r="B274" t="s">
        <v>3081</v>
      </c>
      <c r="C274" t="s">
        <v>1207</v>
      </c>
      <c r="I274" t="str">
        <f>IF($C274="","",IFERROR(INDEX(airports!$E:$E,MATCH($C274,airports!$A:$A,0)),"Not in airports"))</f>
        <v>Kuwait International Airport</v>
      </c>
      <c r="J274" t="s">
        <v>2798</v>
      </c>
      <c r="K274" t="s">
        <v>3415</v>
      </c>
    </row>
    <row r="275" spans="1:11" x14ac:dyDescent="0.3">
      <c r="A275" t="s">
        <v>3704</v>
      </c>
      <c r="B275" t="s">
        <v>3071</v>
      </c>
      <c r="C275" t="s">
        <v>1207</v>
      </c>
      <c r="I275" t="str">
        <f>IF($C275="","",IFERROR(INDEX(airports!$E:$E,MATCH($C275,airports!$A:$A,0)),"Not in airports"))</f>
        <v>Kuwait International Airport</v>
      </c>
      <c r="J275" t="s">
        <v>2798</v>
      </c>
      <c r="K275" t="s">
        <v>3415</v>
      </c>
    </row>
    <row r="276" spans="1:11" x14ac:dyDescent="0.3">
      <c r="A276" t="s">
        <v>3705</v>
      </c>
      <c r="B276" t="s">
        <v>2857</v>
      </c>
      <c r="C276" t="s">
        <v>1207</v>
      </c>
      <c r="I276" t="str">
        <f>IF($C276="","",IFERROR(INDEX(airports!$E:$E,MATCH($C276,airports!$A:$A,0)),"Not in airports"))</f>
        <v>Kuwait International Airport</v>
      </c>
      <c r="J276" t="s">
        <v>2798</v>
      </c>
      <c r="K276" t="s">
        <v>3415</v>
      </c>
    </row>
    <row r="277" spans="1:11" x14ac:dyDescent="0.3">
      <c r="A277" t="s">
        <v>3706</v>
      </c>
      <c r="B277" t="s">
        <v>3097</v>
      </c>
      <c r="C277" t="s">
        <v>1207</v>
      </c>
      <c r="I277" t="str">
        <f>IF($C277="","",IFERROR(INDEX(airports!$E:$E,MATCH($C277,airports!$A:$A,0)),"Not in airports"))</f>
        <v>Kuwait International Airport</v>
      </c>
      <c r="J277" t="s">
        <v>2798</v>
      </c>
      <c r="K277" t="s">
        <v>3415</v>
      </c>
    </row>
    <row r="278" spans="1:11" x14ac:dyDescent="0.3">
      <c r="A278" t="s">
        <v>3707</v>
      </c>
      <c r="B278" t="s">
        <v>3099</v>
      </c>
      <c r="C278" t="s">
        <v>3708</v>
      </c>
      <c r="I278" t="str">
        <f>IF($C278="","",IFERROR(INDEX(airports!$E:$E,MATCH($C278,airports!$A:$A,0)),"Not in airports"))</f>
        <v>Glasgow Prestwick Airport</v>
      </c>
      <c r="J278" t="s">
        <v>2798</v>
      </c>
      <c r="K278" t="s">
        <v>3429</v>
      </c>
    </row>
    <row r="279" spans="1:11" x14ac:dyDescent="0.3">
      <c r="A279" t="s">
        <v>3709</v>
      </c>
      <c r="B279" t="s">
        <v>3001</v>
      </c>
      <c r="C279" t="s">
        <v>1207</v>
      </c>
      <c r="I279" t="str">
        <f>IF($C279="","",IFERROR(INDEX(airports!$E:$E,MATCH($C279,airports!$A:$A,0)),"Not in airports"))</f>
        <v>Kuwait International Airport</v>
      </c>
      <c r="J279" t="s">
        <v>2798</v>
      </c>
      <c r="K279" t="s">
        <v>3415</v>
      </c>
    </row>
    <row r="280" spans="1:11" x14ac:dyDescent="0.3">
      <c r="A280" t="s">
        <v>3710</v>
      </c>
      <c r="B280" t="s">
        <v>2895</v>
      </c>
      <c r="C280" t="s">
        <v>1207</v>
      </c>
      <c r="I280" t="str">
        <f>IF($C280="","",IFERROR(INDEX(airports!$E:$E,MATCH($C280,airports!$A:$A,0)),"Not in airports"))</f>
        <v>Kuwait International Airport</v>
      </c>
      <c r="J280" t="s">
        <v>2798</v>
      </c>
      <c r="K280" t="s">
        <v>3415</v>
      </c>
    </row>
    <row r="281" spans="1:11" x14ac:dyDescent="0.3">
      <c r="A281" t="s">
        <v>3711</v>
      </c>
      <c r="B281" t="s">
        <v>3087</v>
      </c>
      <c r="C281" t="s">
        <v>1207</v>
      </c>
      <c r="I281" t="str">
        <f>IF($C281="","",IFERROR(INDEX(airports!$E:$E,MATCH($C281,airports!$A:$A,0)),"Not in airports"))</f>
        <v>Kuwait International Airport</v>
      </c>
      <c r="J281" t="s">
        <v>2798</v>
      </c>
      <c r="K281" t="s">
        <v>3415</v>
      </c>
    </row>
    <row r="282" spans="1:11" x14ac:dyDescent="0.3">
      <c r="A282" t="s">
        <v>3712</v>
      </c>
      <c r="B282" t="s">
        <v>3081</v>
      </c>
      <c r="C282" t="s">
        <v>191</v>
      </c>
      <c r="I282" t="str">
        <f>IF($C282="","",IFERROR(INDEX(airports!$E:$E,MATCH($C282,airports!$A:$A,0)),"Not in airports"))</f>
        <v>Bahrain International Airport</v>
      </c>
      <c r="J282" t="s">
        <v>2801</v>
      </c>
      <c r="K282" t="s">
        <v>3415</v>
      </c>
    </row>
    <row r="283" spans="1:11" x14ac:dyDescent="0.3">
      <c r="A283" t="s">
        <v>3713</v>
      </c>
      <c r="B283" t="s">
        <v>3101</v>
      </c>
      <c r="C283" t="s">
        <v>191</v>
      </c>
      <c r="I283" t="str">
        <f>IF($C283="","",IFERROR(INDEX(airports!$E:$E,MATCH($C283,airports!$A:$A,0)),"Not in airports"))</f>
        <v>Bahrain International Airport</v>
      </c>
      <c r="J283" t="s">
        <v>2801</v>
      </c>
      <c r="K283" t="s">
        <v>3415</v>
      </c>
    </row>
    <row r="284" spans="1:11" x14ac:dyDescent="0.3">
      <c r="A284" t="s">
        <v>3714</v>
      </c>
      <c r="B284" t="s">
        <v>3103</v>
      </c>
      <c r="C284" t="s">
        <v>191</v>
      </c>
      <c r="I284" t="str">
        <f>IF($C284="","",IFERROR(INDEX(airports!$E:$E,MATCH($C284,airports!$A:$A,0)),"Not in airports"))</f>
        <v>Bahrain International Airport</v>
      </c>
      <c r="J284" t="s">
        <v>2801</v>
      </c>
      <c r="K284" t="s">
        <v>3429</v>
      </c>
    </row>
    <row r="285" spans="1:11" x14ac:dyDescent="0.3">
      <c r="A285" t="s">
        <v>3715</v>
      </c>
      <c r="B285" t="s">
        <v>3105</v>
      </c>
      <c r="C285" t="s">
        <v>1219</v>
      </c>
      <c r="I285" t="str">
        <f>IF($C285="","",IFERROR(INDEX(airports!$E:$E,MATCH($C285,airports!$A:$A,0)),"Not in airports"))</f>
        <v>Beirut Rafic Hariri International Airport</v>
      </c>
      <c r="J285" t="s">
        <v>2804</v>
      </c>
      <c r="K285" t="s">
        <v>3415</v>
      </c>
    </row>
    <row r="286" spans="1:11" x14ac:dyDescent="0.3">
      <c r="A286" t="s">
        <v>3716</v>
      </c>
      <c r="B286" t="s">
        <v>3107</v>
      </c>
      <c r="C286" t="s">
        <v>1219</v>
      </c>
      <c r="I286" t="str">
        <f>IF($C286="","",IFERROR(INDEX(airports!$E:$E,MATCH($C286,airports!$A:$A,0)),"Not in airports"))</f>
        <v>Beirut Rafic Hariri International Airport</v>
      </c>
      <c r="J286" t="s">
        <v>2804</v>
      </c>
      <c r="K286" t="s">
        <v>3415</v>
      </c>
    </row>
    <row r="287" spans="1:11" x14ac:dyDescent="0.3">
      <c r="A287" t="s">
        <v>3717</v>
      </c>
      <c r="B287" t="s">
        <v>3109</v>
      </c>
      <c r="C287" t="s">
        <v>1219</v>
      </c>
      <c r="I287" t="str">
        <f>IF($C287="","",IFERROR(INDEX(airports!$E:$E,MATCH($C287,airports!$A:$A,0)),"Not in airports"))</f>
        <v>Beirut Rafic Hariri International Airport</v>
      </c>
      <c r="J287" t="s">
        <v>2804</v>
      </c>
      <c r="K287" t="s">
        <v>3415</v>
      </c>
    </row>
    <row r="288" spans="1:11" x14ac:dyDescent="0.3">
      <c r="A288" t="s">
        <v>3718</v>
      </c>
      <c r="B288" t="s">
        <v>3111</v>
      </c>
      <c r="C288" t="s">
        <v>433</v>
      </c>
      <c r="I288" t="str">
        <f>IF($C288="","",IFERROR(INDEX(airports!$E:$E,MATCH($C288,airports!$A:$A,0)),"Not in airports"))</f>
        <v>Baghdad International Airport</v>
      </c>
      <c r="J288" t="s">
        <v>2807</v>
      </c>
      <c r="K288" t="s">
        <v>3415</v>
      </c>
    </row>
    <row r="289" spans="1:11" x14ac:dyDescent="0.3">
      <c r="A289" t="s">
        <v>3719</v>
      </c>
      <c r="B289" t="s">
        <v>3057</v>
      </c>
      <c r="C289" t="s">
        <v>433</v>
      </c>
      <c r="I289" t="str">
        <f>IF($C289="","",IFERROR(INDEX(airports!$E:$E,MATCH($C289,airports!$A:$A,0)),"Not in airports"))</f>
        <v>Baghdad International Airport</v>
      </c>
      <c r="J289" t="s">
        <v>2807</v>
      </c>
      <c r="K289" t="s">
        <v>3415</v>
      </c>
    </row>
    <row r="290" spans="1:11" x14ac:dyDescent="0.3">
      <c r="A290" t="s">
        <v>3720</v>
      </c>
      <c r="B290" t="s">
        <v>3007</v>
      </c>
      <c r="C290" t="s">
        <v>433</v>
      </c>
      <c r="I290" t="str">
        <f>IF($C290="","",IFERROR(INDEX(airports!$E:$E,MATCH($C290,airports!$A:$A,0)),"Not in airports"))</f>
        <v>Baghdad International Airport</v>
      </c>
      <c r="J290" t="s">
        <v>2807</v>
      </c>
      <c r="K290" t="s">
        <v>3415</v>
      </c>
    </row>
    <row r="291" spans="1:11" x14ac:dyDescent="0.3">
      <c r="A291" t="s">
        <v>3721</v>
      </c>
      <c r="B291" t="s">
        <v>3113</v>
      </c>
      <c r="C291" t="s">
        <v>433</v>
      </c>
      <c r="I291" t="str">
        <f>IF($C291="","",IFERROR(INDEX(airports!$E:$E,MATCH($C291,airports!$A:$A,0)),"Not in airports"))</f>
        <v>Baghdad International Airport</v>
      </c>
      <c r="J291" t="s">
        <v>2807</v>
      </c>
      <c r="K291" t="s">
        <v>3415</v>
      </c>
    </row>
    <row r="292" spans="1:11" x14ac:dyDescent="0.3">
      <c r="A292" t="s">
        <v>3722</v>
      </c>
      <c r="B292" t="s">
        <v>2891</v>
      </c>
      <c r="C292" t="s">
        <v>433</v>
      </c>
      <c r="I292" t="str">
        <f>IF($C292="","",IFERROR(INDEX(airports!$E:$E,MATCH($C292,airports!$A:$A,0)),"Not in airports"))</f>
        <v>Baghdad International Airport</v>
      </c>
      <c r="J292" t="s">
        <v>2807</v>
      </c>
      <c r="K292" t="s">
        <v>3415</v>
      </c>
    </row>
    <row r="293" spans="1:11" x14ac:dyDescent="0.3">
      <c r="A293" t="s">
        <v>3723</v>
      </c>
      <c r="B293" t="s">
        <v>2857</v>
      </c>
      <c r="C293" t="s">
        <v>433</v>
      </c>
      <c r="I293" t="str">
        <f>IF($C293="","",IFERROR(INDEX(airports!$E:$E,MATCH($C293,airports!$A:$A,0)),"Not in airports"))</f>
        <v>Baghdad International Airport</v>
      </c>
      <c r="J293" t="s">
        <v>2807</v>
      </c>
      <c r="K293" t="s">
        <v>3415</v>
      </c>
    </row>
    <row r="294" spans="1:11" x14ac:dyDescent="0.3">
      <c r="A294" t="s">
        <v>3724</v>
      </c>
      <c r="B294" t="s">
        <v>3065</v>
      </c>
      <c r="C294" t="s">
        <v>3725</v>
      </c>
      <c r="I294" t="str">
        <f>IF($C294="","",IFERROR(INDEX(airports!$E:$E,MATCH($C294,airports!$A:$A,0)),"Not in airports"))</f>
        <v>Sanaa International Airport</v>
      </c>
      <c r="J294" t="s">
        <v>2810</v>
      </c>
      <c r="K294" t="s">
        <v>3415</v>
      </c>
    </row>
    <row r="295" spans="1:11" x14ac:dyDescent="0.3">
      <c r="A295" t="s">
        <v>3726</v>
      </c>
      <c r="B295" t="s">
        <v>3007</v>
      </c>
      <c r="C295" t="s">
        <v>135</v>
      </c>
      <c r="I295" t="str">
        <f>IF($C295="","",IFERROR(INDEX(airports!$E:$E,MATCH($C295,airports!$A:$A,0)),"Not in airports"))</f>
        <v>Kabul International Airport</v>
      </c>
      <c r="J295" t="s">
        <v>2813</v>
      </c>
      <c r="K295" t="s">
        <v>3415</v>
      </c>
    </row>
    <row r="296" spans="1:11" x14ac:dyDescent="0.3">
      <c r="A296" t="s">
        <v>3727</v>
      </c>
      <c r="B296" t="s">
        <v>3071</v>
      </c>
      <c r="C296" t="s">
        <v>135</v>
      </c>
      <c r="I296" t="str">
        <f>IF($C296="","",IFERROR(INDEX(airports!$E:$E,MATCH($C296,airports!$A:$A,0)),"Not in airports"))</f>
        <v>Kabul International Airport</v>
      </c>
      <c r="J296" t="s">
        <v>2813</v>
      </c>
      <c r="K296" t="s">
        <v>3415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0B07-CC78-4440-8A6E-62CFD57EE748}">
  <dimension ref="A1:F296"/>
  <sheetViews>
    <sheetView workbookViewId="0">
      <pane ySplit="1" topLeftCell="A263" activePane="bottomLeft" state="frozen"/>
      <selection pane="bottomLeft" activeCell="F95" sqref="F95"/>
    </sheetView>
  </sheetViews>
  <sheetFormatPr defaultRowHeight="14.4" x14ac:dyDescent="0.3"/>
  <cols>
    <col min="1" max="1" width="9.21875" bestFit="1" customWidth="1"/>
    <col min="2" max="2" width="8.77734375" bestFit="1" customWidth="1"/>
    <col min="3" max="3" width="14.88671875" bestFit="1" customWidth="1"/>
    <col min="4" max="4" width="19.77734375" bestFit="1" customWidth="1"/>
    <col min="5" max="5" width="25.77734375" bestFit="1" customWidth="1"/>
    <col min="6" max="6" width="28.44140625" bestFit="1" customWidth="1"/>
  </cols>
  <sheetData>
    <row r="1" spans="1:6" x14ac:dyDescent="0.3">
      <c r="A1" s="19" t="s">
        <v>2306</v>
      </c>
      <c r="B1" s="19" t="s">
        <v>2285</v>
      </c>
      <c r="C1" s="19" t="s">
        <v>2312</v>
      </c>
      <c r="D1" s="19" t="s">
        <v>2313</v>
      </c>
      <c r="E1" s="19" t="s">
        <v>2314</v>
      </c>
      <c r="F1" s="19" t="s">
        <v>2315</v>
      </c>
    </row>
    <row r="2" spans="1:6" x14ac:dyDescent="0.3">
      <c r="A2" t="s">
        <v>3115</v>
      </c>
      <c r="B2" t="s">
        <v>2840</v>
      </c>
      <c r="C2" t="s">
        <v>2586</v>
      </c>
      <c r="E2" t="s">
        <v>3116</v>
      </c>
      <c r="F2" t="str">
        <f>IF($C2="","",IFERROR(INDEX(countries!$B:$B,MATCH($C2,countries!$C:$C,0)),"Not in countries"))</f>
        <v>Egypt</v>
      </c>
    </row>
    <row r="3" spans="1:6" x14ac:dyDescent="0.3">
      <c r="A3" t="s">
        <v>3117</v>
      </c>
      <c r="B3" t="s">
        <v>2845</v>
      </c>
      <c r="C3" t="s">
        <v>2586</v>
      </c>
      <c r="E3" t="s">
        <v>3116</v>
      </c>
      <c r="F3" t="str">
        <f>IF($C3="","",IFERROR(INDEX(countries!$B:$B,MATCH($C3,countries!$C:$C,0)),"Not in countries"))</f>
        <v>Egypt</v>
      </c>
    </row>
    <row r="4" spans="1:6" x14ac:dyDescent="0.3">
      <c r="A4" t="s">
        <v>3118</v>
      </c>
      <c r="B4" t="s">
        <v>2847</v>
      </c>
      <c r="C4" t="s">
        <v>2586</v>
      </c>
      <c r="E4" t="s">
        <v>3116</v>
      </c>
      <c r="F4" t="str">
        <f>IF($C4="","",IFERROR(INDEX(countries!$B:$B,MATCH($C4,countries!$C:$C,0)),"Not in countries"))</f>
        <v>Egypt</v>
      </c>
    </row>
    <row r="5" spans="1:6" x14ac:dyDescent="0.3">
      <c r="A5" t="s">
        <v>3119</v>
      </c>
      <c r="B5" t="s">
        <v>2849</v>
      </c>
      <c r="C5" t="s">
        <v>2586</v>
      </c>
      <c r="E5" t="s">
        <v>3116</v>
      </c>
      <c r="F5" t="str">
        <f>IF($C5="","",IFERROR(INDEX(countries!$B:$B,MATCH($C5,countries!$C:$C,0)),"Not in countries"))</f>
        <v>Egypt</v>
      </c>
    </row>
    <row r="6" spans="1:6" x14ac:dyDescent="0.3">
      <c r="A6" t="s">
        <v>3120</v>
      </c>
      <c r="B6" t="s">
        <v>2851</v>
      </c>
      <c r="C6" t="s">
        <v>2586</v>
      </c>
      <c r="E6" t="s">
        <v>3116</v>
      </c>
      <c r="F6" t="str">
        <f>IF($C6="","",IFERROR(INDEX(countries!$B:$B,MATCH($C6,countries!$C:$C,0)),"Not in countries"))</f>
        <v>Egypt</v>
      </c>
    </row>
    <row r="7" spans="1:6" x14ac:dyDescent="0.3">
      <c r="A7" t="s">
        <v>3121</v>
      </c>
      <c r="B7" t="s">
        <v>2853</v>
      </c>
      <c r="C7" t="s">
        <v>2586</v>
      </c>
      <c r="E7" t="s">
        <v>3116</v>
      </c>
      <c r="F7" t="str">
        <f>IF($C7="","",IFERROR(INDEX(countries!$B:$B,MATCH($C7,countries!$C:$C,0)),"Not in countries"))</f>
        <v>Egypt</v>
      </c>
    </row>
    <row r="8" spans="1:6" x14ac:dyDescent="0.3">
      <c r="A8" t="s">
        <v>3122</v>
      </c>
      <c r="B8" t="s">
        <v>2855</v>
      </c>
      <c r="C8" t="s">
        <v>2586</v>
      </c>
      <c r="E8" t="s">
        <v>3116</v>
      </c>
      <c r="F8" t="str">
        <f>IF($C8="","",IFERROR(INDEX(countries!$B:$B,MATCH($C8,countries!$C:$C,0)),"Not in countries"))</f>
        <v>Egypt</v>
      </c>
    </row>
    <row r="9" spans="1:6" x14ac:dyDescent="0.3">
      <c r="A9" t="s">
        <v>3123</v>
      </c>
      <c r="B9" t="s">
        <v>2857</v>
      </c>
      <c r="C9" t="s">
        <v>2586</v>
      </c>
      <c r="E9" t="s">
        <v>3116</v>
      </c>
      <c r="F9" t="str">
        <f>IF($C9="","",IFERROR(INDEX(countries!$B:$B,MATCH($C9,countries!$C:$C,0)),"Not in countries"))</f>
        <v>Egypt</v>
      </c>
    </row>
    <row r="10" spans="1:6" x14ac:dyDescent="0.3">
      <c r="A10" t="s">
        <v>3124</v>
      </c>
      <c r="B10" t="s">
        <v>2859</v>
      </c>
      <c r="C10" t="s">
        <v>2586</v>
      </c>
      <c r="E10" t="s">
        <v>3116</v>
      </c>
      <c r="F10" t="str">
        <f>IF($C10="","",IFERROR(INDEX(countries!$B:$B,MATCH($C10,countries!$C:$C,0)),"Not in countries"))</f>
        <v>Egypt</v>
      </c>
    </row>
    <row r="11" spans="1:6" x14ac:dyDescent="0.3">
      <c r="A11" t="s">
        <v>3125</v>
      </c>
      <c r="B11" t="s">
        <v>2861</v>
      </c>
      <c r="C11" t="s">
        <v>2586</v>
      </c>
      <c r="E11" t="s">
        <v>3116</v>
      </c>
      <c r="F11" t="str">
        <f>IF($C11="","",IFERROR(INDEX(countries!$B:$B,MATCH($C11,countries!$C:$C,0)),"Not in countries"))</f>
        <v>Egypt</v>
      </c>
    </row>
    <row r="12" spans="1:6" x14ac:dyDescent="0.3">
      <c r="A12" t="s">
        <v>3126</v>
      </c>
      <c r="B12" t="s">
        <v>2863</v>
      </c>
      <c r="C12" t="s">
        <v>2690</v>
      </c>
      <c r="E12" t="s">
        <v>3116</v>
      </c>
      <c r="F12" t="str">
        <f>IF($C12="","",IFERROR(INDEX(countries!$B:$B,MATCH($C12,countries!$C:$C,0)),"Not in countries"))</f>
        <v>South Africa</v>
      </c>
    </row>
    <row r="13" spans="1:6" x14ac:dyDescent="0.3">
      <c r="A13" t="s">
        <v>3127</v>
      </c>
      <c r="B13" t="s">
        <v>2865</v>
      </c>
      <c r="C13" t="s">
        <v>2690</v>
      </c>
      <c r="E13" t="s">
        <v>3116</v>
      </c>
      <c r="F13" t="str">
        <f>IF($C13="","",IFERROR(INDEX(countries!$B:$B,MATCH($C13,countries!$C:$C,0)),"Not in countries"))</f>
        <v>South Africa</v>
      </c>
    </row>
    <row r="14" spans="1:6" x14ac:dyDescent="0.3">
      <c r="A14" t="s">
        <v>3128</v>
      </c>
      <c r="B14" t="s">
        <v>2867</v>
      </c>
      <c r="C14" t="s">
        <v>2690</v>
      </c>
      <c r="E14" t="s">
        <v>3116</v>
      </c>
      <c r="F14" t="str">
        <f>IF($C14="","",IFERROR(INDEX(countries!$B:$B,MATCH($C14,countries!$C:$C,0)),"Not in countries"))</f>
        <v>South Africa</v>
      </c>
    </row>
    <row r="15" spans="1:6" x14ac:dyDescent="0.3">
      <c r="A15" t="s">
        <v>3129</v>
      </c>
      <c r="B15" t="s">
        <v>2869</v>
      </c>
      <c r="C15" t="s">
        <v>2690</v>
      </c>
      <c r="E15" t="s">
        <v>3116</v>
      </c>
      <c r="F15" t="str">
        <f>IF($C15="","",IFERROR(INDEX(countries!$B:$B,MATCH($C15,countries!$C:$C,0)),"Not in countries"))</f>
        <v>South Africa</v>
      </c>
    </row>
    <row r="16" spans="1:6" x14ac:dyDescent="0.3">
      <c r="A16" t="s">
        <v>3130</v>
      </c>
      <c r="B16" t="s">
        <v>2871</v>
      </c>
      <c r="C16" t="s">
        <v>2690</v>
      </c>
      <c r="E16" t="s">
        <v>3116</v>
      </c>
      <c r="F16" t="str">
        <f>IF($C16="","",IFERROR(INDEX(countries!$B:$B,MATCH($C16,countries!$C:$C,0)),"Not in countries"))</f>
        <v>South Africa</v>
      </c>
    </row>
    <row r="17" spans="1:6" x14ac:dyDescent="0.3">
      <c r="A17" t="s">
        <v>3131</v>
      </c>
      <c r="B17" t="s">
        <v>2873</v>
      </c>
      <c r="C17" t="s">
        <v>2690</v>
      </c>
      <c r="E17" t="s">
        <v>3116</v>
      </c>
      <c r="F17" t="str">
        <f>IF($C17="","",IFERROR(INDEX(countries!$B:$B,MATCH($C17,countries!$C:$C,0)),"Not in countries"))</f>
        <v>South Africa</v>
      </c>
    </row>
    <row r="18" spans="1:6" x14ac:dyDescent="0.3">
      <c r="A18" t="s">
        <v>3132</v>
      </c>
      <c r="B18" t="s">
        <v>2875</v>
      </c>
      <c r="C18" t="s">
        <v>2690</v>
      </c>
      <c r="E18" t="s">
        <v>3116</v>
      </c>
      <c r="F18" t="str">
        <f>IF($C18="","",IFERROR(INDEX(countries!$B:$B,MATCH($C18,countries!$C:$C,0)),"Not in countries"))</f>
        <v>South Africa</v>
      </c>
    </row>
    <row r="19" spans="1:6" x14ac:dyDescent="0.3">
      <c r="A19" t="s">
        <v>3133</v>
      </c>
      <c r="B19" t="s">
        <v>2877</v>
      </c>
      <c r="C19" t="s">
        <v>2690</v>
      </c>
      <c r="E19" t="s">
        <v>3116</v>
      </c>
      <c r="F19" t="str">
        <f>IF($C19="","",IFERROR(INDEX(countries!$B:$B,MATCH($C19,countries!$C:$C,0)),"Not in countries"))</f>
        <v>South Africa</v>
      </c>
    </row>
    <row r="20" spans="1:6" x14ac:dyDescent="0.3">
      <c r="A20" t="s">
        <v>3134</v>
      </c>
      <c r="B20" t="s">
        <v>2879</v>
      </c>
      <c r="C20" t="s">
        <v>2690</v>
      </c>
      <c r="E20" t="s">
        <v>3116</v>
      </c>
      <c r="F20" t="str">
        <f>IF($C20="","",IFERROR(INDEX(countries!$B:$B,MATCH($C20,countries!$C:$C,0)),"Not in countries"))</f>
        <v>South Africa</v>
      </c>
    </row>
    <row r="21" spans="1:6" x14ac:dyDescent="0.3">
      <c r="A21" t="s">
        <v>3135</v>
      </c>
      <c r="B21" t="s">
        <v>2881</v>
      </c>
      <c r="C21" t="s">
        <v>2690</v>
      </c>
      <c r="E21" t="s">
        <v>3116</v>
      </c>
      <c r="F21" t="str">
        <f>IF($C21="","",IFERROR(INDEX(countries!$B:$B,MATCH($C21,countries!$C:$C,0)),"Not in countries"))</f>
        <v>South Africa</v>
      </c>
    </row>
    <row r="22" spans="1:6" x14ac:dyDescent="0.3">
      <c r="A22" t="s">
        <v>3136</v>
      </c>
      <c r="B22" t="s">
        <v>2883</v>
      </c>
      <c r="C22" t="s">
        <v>2690</v>
      </c>
      <c r="E22" t="s">
        <v>3116</v>
      </c>
      <c r="F22" t="str">
        <f>IF($C22="","",IFERROR(INDEX(countries!$B:$B,MATCH($C22,countries!$C:$C,0)),"Not in countries"))</f>
        <v>South Africa</v>
      </c>
    </row>
    <row r="23" spans="1:6" x14ac:dyDescent="0.3">
      <c r="A23" t="s">
        <v>3137</v>
      </c>
      <c r="B23" t="s">
        <v>2885</v>
      </c>
      <c r="C23" t="s">
        <v>2690</v>
      </c>
      <c r="E23" t="s">
        <v>3116</v>
      </c>
      <c r="F23" t="str">
        <f>IF($C23="","",IFERROR(INDEX(countries!$B:$B,MATCH($C23,countries!$C:$C,0)),"Not in countries"))</f>
        <v>South Africa</v>
      </c>
    </row>
    <row r="24" spans="1:6" x14ac:dyDescent="0.3">
      <c r="A24" t="s">
        <v>3138</v>
      </c>
      <c r="B24" t="s">
        <v>2887</v>
      </c>
      <c r="C24" t="s">
        <v>2699</v>
      </c>
      <c r="E24" t="s">
        <v>3116</v>
      </c>
      <c r="F24" t="str">
        <f>IF($C24="","",IFERROR(INDEX(countries!$B:$B,MATCH($C24,countries!$C:$C,0)),"Not in countries"))</f>
        <v>Tanzania</v>
      </c>
    </row>
    <row r="25" spans="1:6" x14ac:dyDescent="0.3">
      <c r="A25" t="s">
        <v>3139</v>
      </c>
      <c r="B25" t="s">
        <v>2889</v>
      </c>
      <c r="C25" t="s">
        <v>2699</v>
      </c>
      <c r="E25" t="s">
        <v>3116</v>
      </c>
      <c r="F25" t="str">
        <f>IF($C25="","",IFERROR(INDEX(countries!$B:$B,MATCH($C25,countries!$C:$C,0)),"Not in countries"))</f>
        <v>Tanzania</v>
      </c>
    </row>
    <row r="26" spans="1:6" x14ac:dyDescent="0.3">
      <c r="A26" t="s">
        <v>3140</v>
      </c>
      <c r="B26" t="s">
        <v>2891</v>
      </c>
      <c r="C26" t="s">
        <v>2699</v>
      </c>
      <c r="E26" t="s">
        <v>3116</v>
      </c>
      <c r="F26" t="str">
        <f>IF($C26="","",IFERROR(INDEX(countries!$B:$B,MATCH($C26,countries!$C:$C,0)),"Not in countries"))</f>
        <v>Tanzania</v>
      </c>
    </row>
    <row r="27" spans="1:6" x14ac:dyDescent="0.3">
      <c r="A27" t="s">
        <v>3141</v>
      </c>
      <c r="B27" t="s">
        <v>2893</v>
      </c>
      <c r="C27" t="s">
        <v>2699</v>
      </c>
      <c r="E27" t="s">
        <v>3116</v>
      </c>
      <c r="F27" t="str">
        <f>IF($C27="","",IFERROR(INDEX(countries!$B:$B,MATCH($C27,countries!$C:$C,0)),"Not in countries"))</f>
        <v>Tanzania</v>
      </c>
    </row>
    <row r="28" spans="1:6" x14ac:dyDescent="0.3">
      <c r="A28" t="s">
        <v>3142</v>
      </c>
      <c r="B28" t="s">
        <v>2895</v>
      </c>
      <c r="C28" t="s">
        <v>2699</v>
      </c>
      <c r="E28" t="s">
        <v>3116</v>
      </c>
      <c r="F28" t="str">
        <f>IF($C28="","",IFERROR(INDEX(countries!$B:$B,MATCH($C28,countries!$C:$C,0)),"Not in countries"))</f>
        <v>Tanzania</v>
      </c>
    </row>
    <row r="29" spans="1:6" x14ac:dyDescent="0.3">
      <c r="A29" t="s">
        <v>3143</v>
      </c>
      <c r="B29" t="s">
        <v>2897</v>
      </c>
      <c r="C29" t="s">
        <v>2699</v>
      </c>
      <c r="E29" t="s">
        <v>3116</v>
      </c>
      <c r="F29" t="str">
        <f>IF($C29="","",IFERROR(INDEX(countries!$B:$B,MATCH($C29,countries!$C:$C,0)),"Not in countries"))</f>
        <v>Tanzania</v>
      </c>
    </row>
    <row r="30" spans="1:6" x14ac:dyDescent="0.3">
      <c r="A30" t="s">
        <v>3144</v>
      </c>
      <c r="B30" t="s">
        <v>2899</v>
      </c>
      <c r="C30" t="s">
        <v>2699</v>
      </c>
      <c r="E30" t="s">
        <v>3116</v>
      </c>
      <c r="F30" t="str">
        <f>IF($C30="","",IFERROR(INDEX(countries!$B:$B,MATCH($C30,countries!$C:$C,0)),"Not in countries"))</f>
        <v>Tanzania</v>
      </c>
    </row>
    <row r="31" spans="1:6" x14ac:dyDescent="0.3">
      <c r="A31" t="s">
        <v>3145</v>
      </c>
      <c r="B31" t="s">
        <v>2895</v>
      </c>
      <c r="C31" t="s">
        <v>2645</v>
      </c>
      <c r="E31" t="s">
        <v>3116</v>
      </c>
      <c r="F31" t="str">
        <f>IF($C31="","",IFERROR(INDEX(countries!$B:$B,MATCH($C31,countries!$C:$C,0)),"Not in countries"))</f>
        <v>Morocco</v>
      </c>
    </row>
    <row r="32" spans="1:6" x14ac:dyDescent="0.3">
      <c r="A32" t="s">
        <v>3146</v>
      </c>
      <c r="B32" t="s">
        <v>2901</v>
      </c>
      <c r="C32" t="s">
        <v>2645</v>
      </c>
      <c r="E32" t="s">
        <v>3116</v>
      </c>
      <c r="F32" t="str">
        <f>IF($C32="","",IFERROR(INDEX(countries!$B:$B,MATCH($C32,countries!$C:$C,0)),"Not in countries"))</f>
        <v>Morocco</v>
      </c>
    </row>
    <row r="33" spans="1:6" x14ac:dyDescent="0.3">
      <c r="A33" t="s">
        <v>3147</v>
      </c>
      <c r="B33" t="s">
        <v>2857</v>
      </c>
      <c r="C33" t="s">
        <v>2645</v>
      </c>
      <c r="E33" t="s">
        <v>3116</v>
      </c>
      <c r="F33" t="str">
        <f>IF($C33="","",IFERROR(INDEX(countries!$B:$B,MATCH($C33,countries!$C:$C,0)),"Not in countries"))</f>
        <v>Morocco</v>
      </c>
    </row>
    <row r="34" spans="1:6" x14ac:dyDescent="0.3">
      <c r="A34" t="s">
        <v>3148</v>
      </c>
      <c r="B34" t="s">
        <v>2903</v>
      </c>
      <c r="C34" t="s">
        <v>2645</v>
      </c>
      <c r="E34" t="s">
        <v>3116</v>
      </c>
      <c r="F34" t="str">
        <f>IF($C34="","",IFERROR(INDEX(countries!$B:$B,MATCH($C34,countries!$C:$C,0)),"Not in countries"))</f>
        <v>Morocco</v>
      </c>
    </row>
    <row r="35" spans="1:6" x14ac:dyDescent="0.3">
      <c r="A35" t="s">
        <v>3149</v>
      </c>
      <c r="B35" t="s">
        <v>2905</v>
      </c>
      <c r="C35" t="s">
        <v>2645</v>
      </c>
      <c r="E35" t="s">
        <v>3116</v>
      </c>
      <c r="F35" t="str">
        <f>IF($C35="","",IFERROR(INDEX(countries!$B:$B,MATCH($C35,countries!$C:$C,0)),"Not in countries"))</f>
        <v>Morocco</v>
      </c>
    </row>
    <row r="36" spans="1:6" x14ac:dyDescent="0.3">
      <c r="A36" t="s">
        <v>3150</v>
      </c>
      <c r="B36" t="s">
        <v>2907</v>
      </c>
      <c r="C36" t="s">
        <v>2645</v>
      </c>
      <c r="E36" t="s">
        <v>3116</v>
      </c>
      <c r="F36" t="str">
        <f>IF($C36="","",IFERROR(INDEX(countries!$B:$B,MATCH($C36,countries!$C:$C,0)),"Not in countries"))</f>
        <v>Morocco</v>
      </c>
    </row>
    <row r="37" spans="1:6" x14ac:dyDescent="0.3">
      <c r="A37" t="s">
        <v>3151</v>
      </c>
      <c r="B37" t="s">
        <v>2840</v>
      </c>
      <c r="C37" t="s">
        <v>2645</v>
      </c>
      <c r="E37" t="s">
        <v>3116</v>
      </c>
      <c r="F37" t="str">
        <f>IF($C37="","",IFERROR(INDEX(countries!$B:$B,MATCH($C37,countries!$C:$C,0)),"Not in countries"))</f>
        <v>Morocco</v>
      </c>
    </row>
    <row r="38" spans="1:6" x14ac:dyDescent="0.3">
      <c r="A38" t="s">
        <v>3152</v>
      </c>
      <c r="B38" t="s">
        <v>2909</v>
      </c>
      <c r="C38" t="s">
        <v>2565</v>
      </c>
      <c r="E38" t="s">
        <v>3116</v>
      </c>
      <c r="F38" t="str">
        <f>IF($C38="","",IFERROR(INDEX(countries!$B:$B,MATCH($C38,countries!$C:$C,0)),"Not in countries"))</f>
        <v>Cape Verde</v>
      </c>
    </row>
    <row r="39" spans="1:6" x14ac:dyDescent="0.3">
      <c r="A39" t="s">
        <v>3153</v>
      </c>
      <c r="B39" t="s">
        <v>2911</v>
      </c>
      <c r="C39" t="s">
        <v>2565</v>
      </c>
      <c r="E39" t="s">
        <v>3116</v>
      </c>
      <c r="F39" t="str">
        <f>IF($C39="","",IFERROR(INDEX(countries!$B:$B,MATCH($C39,countries!$C:$C,0)),"Not in countries"))</f>
        <v>Cape Verde</v>
      </c>
    </row>
    <row r="40" spans="1:6" x14ac:dyDescent="0.3">
      <c r="A40" t="s">
        <v>3154</v>
      </c>
      <c r="B40" t="s">
        <v>2913</v>
      </c>
      <c r="C40" t="s">
        <v>2565</v>
      </c>
      <c r="E40" t="s">
        <v>3116</v>
      </c>
      <c r="F40" t="str">
        <f>IF($C40="","",IFERROR(INDEX(countries!$B:$B,MATCH($C40,countries!$C:$C,0)),"Not in countries"))</f>
        <v>Cape Verde</v>
      </c>
    </row>
    <row r="41" spans="1:6" x14ac:dyDescent="0.3">
      <c r="A41" t="s">
        <v>3155</v>
      </c>
      <c r="B41" t="s">
        <v>2915</v>
      </c>
      <c r="C41" t="s">
        <v>2565</v>
      </c>
      <c r="E41" t="s">
        <v>3116</v>
      </c>
      <c r="F41" t="str">
        <f>IF($C41="","",IFERROR(INDEX(countries!$B:$B,MATCH($C41,countries!$C:$C,0)),"Not in countries"))</f>
        <v>Cape Verde</v>
      </c>
    </row>
    <row r="42" spans="1:6" x14ac:dyDescent="0.3">
      <c r="A42" t="s">
        <v>3156</v>
      </c>
      <c r="B42" t="s">
        <v>2907</v>
      </c>
      <c r="C42" t="s">
        <v>2565</v>
      </c>
      <c r="E42" t="s">
        <v>3116</v>
      </c>
      <c r="F42" t="str">
        <f>IF($C42="","",IFERROR(INDEX(countries!$B:$B,MATCH($C42,countries!$C:$C,0)),"Not in countries"))</f>
        <v>Cape Verde</v>
      </c>
    </row>
    <row r="43" spans="1:6" x14ac:dyDescent="0.3">
      <c r="A43" t="s">
        <v>3157</v>
      </c>
      <c r="B43" t="s">
        <v>2917</v>
      </c>
      <c r="C43" t="s">
        <v>2648</v>
      </c>
      <c r="E43" t="s">
        <v>3116</v>
      </c>
      <c r="F43" t="str">
        <f>IF($C43="","",IFERROR(INDEX(countries!$B:$B,MATCH($C43,countries!$C:$C,0)),"Not in countries"))</f>
        <v>Mozambique</v>
      </c>
    </row>
    <row r="44" spans="1:6" x14ac:dyDescent="0.3">
      <c r="A44" t="s">
        <v>3158</v>
      </c>
      <c r="B44" t="s">
        <v>2919</v>
      </c>
      <c r="C44" t="s">
        <v>2648</v>
      </c>
      <c r="E44" t="s">
        <v>3116</v>
      </c>
      <c r="F44" t="str">
        <f>IF($C44="","",IFERROR(INDEX(countries!$B:$B,MATCH($C44,countries!$C:$C,0)),"Not in countries"))</f>
        <v>Mozambique</v>
      </c>
    </row>
    <row r="45" spans="1:6" x14ac:dyDescent="0.3">
      <c r="A45" t="s">
        <v>3159</v>
      </c>
      <c r="B45" t="s">
        <v>2921</v>
      </c>
      <c r="C45" t="s">
        <v>2648</v>
      </c>
      <c r="E45" t="s">
        <v>3116</v>
      </c>
      <c r="F45" t="str">
        <f>IF($C45="","",IFERROR(INDEX(countries!$B:$B,MATCH($C45,countries!$C:$C,0)),"Not in countries"))</f>
        <v>Mozambique</v>
      </c>
    </row>
    <row r="46" spans="1:6" x14ac:dyDescent="0.3">
      <c r="A46" t="s">
        <v>3160</v>
      </c>
      <c r="B46" t="s">
        <v>2865</v>
      </c>
      <c r="C46" t="s">
        <v>2648</v>
      </c>
      <c r="E46" t="s">
        <v>3116</v>
      </c>
      <c r="F46" t="str">
        <f>IF($C46="","",IFERROR(INDEX(countries!$B:$B,MATCH($C46,countries!$C:$C,0)),"Not in countries"))</f>
        <v>Mozambique</v>
      </c>
    </row>
    <row r="47" spans="1:6" x14ac:dyDescent="0.3">
      <c r="A47" t="s">
        <v>3161</v>
      </c>
      <c r="B47" t="s">
        <v>2923</v>
      </c>
      <c r="C47" t="s">
        <v>2715</v>
      </c>
      <c r="E47" t="s">
        <v>3116</v>
      </c>
      <c r="F47" t="str">
        <f>IF($C47="","",IFERROR(INDEX(countries!$B:$B,MATCH($C47,countries!$C:$C,0)),"Not in countries"))</f>
        <v>Zimbabwe</v>
      </c>
    </row>
    <row r="48" spans="1:6" x14ac:dyDescent="0.3">
      <c r="A48" t="s">
        <v>3162</v>
      </c>
      <c r="B48" t="s">
        <v>2925</v>
      </c>
      <c r="C48" t="s">
        <v>2715</v>
      </c>
      <c r="E48" t="s">
        <v>3116</v>
      </c>
      <c r="F48" t="str">
        <f>IF($C48="","",IFERROR(INDEX(countries!$B:$B,MATCH($C48,countries!$C:$C,0)),"Not in countries"))</f>
        <v>Zimbabwe</v>
      </c>
    </row>
    <row r="49" spans="1:6" x14ac:dyDescent="0.3">
      <c r="A49" t="s">
        <v>3163</v>
      </c>
      <c r="B49" t="s">
        <v>2927</v>
      </c>
      <c r="C49" t="s">
        <v>2715</v>
      </c>
      <c r="E49" t="s">
        <v>3116</v>
      </c>
      <c r="F49" t="str">
        <f>IF($C49="","",IFERROR(INDEX(countries!$B:$B,MATCH($C49,countries!$C:$C,0)),"Not in countries"))</f>
        <v>Zimbabwe</v>
      </c>
    </row>
    <row r="50" spans="1:6" x14ac:dyDescent="0.3">
      <c r="A50" t="s">
        <v>3164</v>
      </c>
      <c r="B50" t="s">
        <v>2929</v>
      </c>
      <c r="C50" t="s">
        <v>2713</v>
      </c>
      <c r="E50" t="s">
        <v>3116</v>
      </c>
      <c r="F50" t="str">
        <f>IF($C50="","",IFERROR(INDEX(countries!$B:$B,MATCH($C50,countries!$C:$C,0)),"Not in countries"))</f>
        <v>Zambia</v>
      </c>
    </row>
    <row r="51" spans="1:6" x14ac:dyDescent="0.3">
      <c r="A51" t="s">
        <v>3165</v>
      </c>
      <c r="B51" t="s">
        <v>2919</v>
      </c>
      <c r="C51" t="s">
        <v>2713</v>
      </c>
      <c r="E51" t="s">
        <v>3116</v>
      </c>
      <c r="F51" t="str">
        <f>IF($C51="","",IFERROR(INDEX(countries!$B:$B,MATCH($C51,countries!$C:$C,0)),"Not in countries"))</f>
        <v>Zambia</v>
      </c>
    </row>
    <row r="52" spans="1:6" x14ac:dyDescent="0.3">
      <c r="A52" t="s">
        <v>3166</v>
      </c>
      <c r="B52" t="s">
        <v>2931</v>
      </c>
      <c r="C52" t="s">
        <v>2713</v>
      </c>
      <c r="E52" t="s">
        <v>3116</v>
      </c>
      <c r="F52" t="str">
        <f>IF($C52="","",IFERROR(INDEX(countries!$B:$B,MATCH($C52,countries!$C:$C,0)),"Not in countries"))</f>
        <v>Zambia</v>
      </c>
    </row>
    <row r="53" spans="1:6" x14ac:dyDescent="0.3">
      <c r="A53" t="s">
        <v>3167</v>
      </c>
      <c r="B53" t="s">
        <v>2857</v>
      </c>
      <c r="C53" t="s">
        <v>2713</v>
      </c>
      <c r="E53" t="s">
        <v>3116</v>
      </c>
      <c r="F53" t="str">
        <f>IF($C53="","",IFERROR(INDEX(countries!$B:$B,MATCH($C53,countries!$C:$C,0)),"Not in countries"))</f>
        <v>Zambia</v>
      </c>
    </row>
    <row r="54" spans="1:6" x14ac:dyDescent="0.3">
      <c r="A54" t="s">
        <v>3168</v>
      </c>
      <c r="B54" t="s">
        <v>2865</v>
      </c>
      <c r="C54" t="s">
        <v>2713</v>
      </c>
      <c r="E54" t="s">
        <v>3116</v>
      </c>
      <c r="F54" t="str">
        <f>IF($C54="","",IFERROR(INDEX(countries!$B:$B,MATCH($C54,countries!$C:$C,0)),"Not in countries"))</f>
        <v>Zambia</v>
      </c>
    </row>
    <row r="55" spans="1:6" x14ac:dyDescent="0.3">
      <c r="A55" t="s">
        <v>3169</v>
      </c>
      <c r="B55" t="s">
        <v>2933</v>
      </c>
      <c r="C55" t="s">
        <v>2549</v>
      </c>
      <c r="E55" t="s">
        <v>3116</v>
      </c>
      <c r="F55" t="str">
        <f>IF($C55="","",IFERROR(INDEX(countries!$B:$B,MATCH($C55,countries!$C:$C,0)),"Not in countries"))</f>
        <v>Angola</v>
      </c>
    </row>
    <row r="56" spans="1:6" x14ac:dyDescent="0.3">
      <c r="A56" t="s">
        <v>3170</v>
      </c>
      <c r="B56" t="s">
        <v>2935</v>
      </c>
      <c r="C56" t="s">
        <v>2549</v>
      </c>
      <c r="E56" t="s">
        <v>3116</v>
      </c>
      <c r="F56" t="str">
        <f>IF($C56="","",IFERROR(INDEX(countries!$B:$B,MATCH($C56,countries!$C:$C,0)),"Not in countries"))</f>
        <v>Angola</v>
      </c>
    </row>
    <row r="57" spans="1:6" x14ac:dyDescent="0.3">
      <c r="A57" t="s">
        <v>3171</v>
      </c>
      <c r="B57" t="s">
        <v>2937</v>
      </c>
      <c r="C57" t="s">
        <v>2549</v>
      </c>
      <c r="E57" t="s">
        <v>3116</v>
      </c>
      <c r="F57" t="str">
        <f>IF($C57="","",IFERROR(INDEX(countries!$B:$B,MATCH($C57,countries!$C:$C,0)),"Not in countries"))</f>
        <v>Angola</v>
      </c>
    </row>
    <row r="58" spans="1:6" x14ac:dyDescent="0.3">
      <c r="A58" t="s">
        <v>3172</v>
      </c>
      <c r="B58" t="s">
        <v>2939</v>
      </c>
      <c r="C58" t="s">
        <v>2549</v>
      </c>
      <c r="E58" t="s">
        <v>3116</v>
      </c>
      <c r="F58" t="str">
        <f>IF($C58="","",IFERROR(INDEX(countries!$B:$B,MATCH($C58,countries!$C:$C,0)),"Not in countries"))</f>
        <v>Angola</v>
      </c>
    </row>
    <row r="59" spans="1:6" x14ac:dyDescent="0.3">
      <c r="A59" t="s">
        <v>3173</v>
      </c>
      <c r="B59" t="s">
        <v>2941</v>
      </c>
      <c r="C59" t="s">
        <v>2549</v>
      </c>
      <c r="E59" t="s">
        <v>3116</v>
      </c>
      <c r="F59" t="str">
        <f>IF($C59="","",IFERROR(INDEX(countries!$B:$B,MATCH($C59,countries!$C:$C,0)),"Not in countries"))</f>
        <v>Angola</v>
      </c>
    </row>
    <row r="60" spans="1:6" x14ac:dyDescent="0.3">
      <c r="A60" t="s">
        <v>3174</v>
      </c>
      <c r="B60" t="s">
        <v>2943</v>
      </c>
      <c r="C60" t="s">
        <v>14</v>
      </c>
      <c r="E60" t="s">
        <v>3116</v>
      </c>
      <c r="F60" t="str">
        <f>IF($C60="","",IFERROR(INDEX(countries!$B:$B,MATCH($C60,countries!$C:$C,0)),"Not in countries"))</f>
        <v>Ghana</v>
      </c>
    </row>
    <row r="61" spans="1:6" x14ac:dyDescent="0.3">
      <c r="A61" t="s">
        <v>3175</v>
      </c>
      <c r="B61" t="s">
        <v>2919</v>
      </c>
      <c r="C61" t="s">
        <v>14</v>
      </c>
      <c r="E61" t="s">
        <v>3116</v>
      </c>
      <c r="F61" t="str">
        <f>IF($C61="","",IFERROR(INDEX(countries!$B:$B,MATCH($C61,countries!$C:$C,0)),"Not in countries"))</f>
        <v>Ghana</v>
      </c>
    </row>
    <row r="62" spans="1:6" x14ac:dyDescent="0.3">
      <c r="A62" t="s">
        <v>3176</v>
      </c>
      <c r="B62" t="s">
        <v>2907</v>
      </c>
      <c r="C62" t="s">
        <v>14</v>
      </c>
      <c r="E62" t="s">
        <v>3116</v>
      </c>
      <c r="F62" t="str">
        <f>IF($C62="","",IFERROR(INDEX(countries!$B:$B,MATCH($C62,countries!$C:$C,0)),"Not in countries"))</f>
        <v>Ghana</v>
      </c>
    </row>
    <row r="63" spans="1:6" x14ac:dyDescent="0.3">
      <c r="A63" t="s">
        <v>3177</v>
      </c>
      <c r="B63" t="s">
        <v>2895</v>
      </c>
      <c r="C63" t="s">
        <v>14</v>
      </c>
      <c r="E63" t="s">
        <v>3116</v>
      </c>
      <c r="F63" t="str">
        <f>IF($C63="","",IFERROR(INDEX(countries!$B:$B,MATCH($C63,countries!$C:$C,0)),"Not in countries"))</f>
        <v>Ghana</v>
      </c>
    </row>
    <row r="64" spans="1:6" x14ac:dyDescent="0.3">
      <c r="A64" t="s">
        <v>3178</v>
      </c>
      <c r="B64" t="s">
        <v>2945</v>
      </c>
      <c r="C64" t="s">
        <v>14</v>
      </c>
      <c r="E64" t="s">
        <v>3116</v>
      </c>
      <c r="F64" t="str">
        <f>IF($C64="","",IFERROR(INDEX(countries!$B:$B,MATCH($C64,countries!$C:$C,0)),"Not in countries"))</f>
        <v>Ghana</v>
      </c>
    </row>
    <row r="65" spans="1:6" x14ac:dyDescent="0.3">
      <c r="A65" t="s">
        <v>3179</v>
      </c>
      <c r="B65" t="s">
        <v>2947</v>
      </c>
      <c r="C65" t="s">
        <v>14</v>
      </c>
      <c r="E65" t="s">
        <v>3116</v>
      </c>
      <c r="F65" t="str">
        <f>IF($C65="","",IFERROR(INDEX(countries!$B:$B,MATCH($C65,countries!$C:$C,0)),"Not in countries"))</f>
        <v>Ghana</v>
      </c>
    </row>
    <row r="66" spans="1:6" x14ac:dyDescent="0.3">
      <c r="A66" t="s">
        <v>3180</v>
      </c>
      <c r="B66" t="s">
        <v>2887</v>
      </c>
      <c r="C66" t="s">
        <v>14</v>
      </c>
      <c r="E66" t="s">
        <v>3116</v>
      </c>
      <c r="F66" t="str">
        <f>IF($C66="","",IFERROR(INDEX(countries!$B:$B,MATCH($C66,countries!$C:$C,0)),"Not in countries"))</f>
        <v>Ghana</v>
      </c>
    </row>
    <row r="67" spans="1:6" x14ac:dyDescent="0.3">
      <c r="A67" t="s">
        <v>3181</v>
      </c>
      <c r="B67" t="s">
        <v>2949</v>
      </c>
      <c r="C67" t="s">
        <v>14</v>
      </c>
      <c r="E67" t="s">
        <v>3116</v>
      </c>
      <c r="F67" t="str">
        <f>IF($C67="","",IFERROR(INDEX(countries!$B:$B,MATCH($C67,countries!$C:$C,0)),"Not in countries"))</f>
        <v>Ghana</v>
      </c>
    </row>
    <row r="68" spans="1:6" x14ac:dyDescent="0.3">
      <c r="A68" t="s">
        <v>3182</v>
      </c>
      <c r="B68" t="s">
        <v>2951</v>
      </c>
      <c r="C68" t="s">
        <v>14</v>
      </c>
      <c r="E68" t="s">
        <v>3116</v>
      </c>
      <c r="F68" t="str">
        <f>IF($C68="","",IFERROR(INDEX(countries!$B:$B,MATCH($C68,countries!$C:$C,0)),"Not in countries"))</f>
        <v>Ghana</v>
      </c>
    </row>
    <row r="69" spans="1:6" x14ac:dyDescent="0.3">
      <c r="A69" t="s">
        <v>3183</v>
      </c>
      <c r="B69" t="s">
        <v>2891</v>
      </c>
      <c r="C69" t="s">
        <v>14</v>
      </c>
      <c r="E69" t="s">
        <v>3116</v>
      </c>
      <c r="F69" t="str">
        <f>IF($C69="","",IFERROR(INDEX(countries!$B:$B,MATCH($C69,countries!$C:$C,0)),"Not in countries"))</f>
        <v>Ghana</v>
      </c>
    </row>
    <row r="70" spans="1:6" x14ac:dyDescent="0.3">
      <c r="A70" t="s">
        <v>3184</v>
      </c>
      <c r="B70" t="s">
        <v>2953</v>
      </c>
      <c r="C70" t="s">
        <v>14</v>
      </c>
      <c r="E70" t="s">
        <v>3116</v>
      </c>
      <c r="F70" t="str">
        <f>IF($C70="","",IFERROR(INDEX(countries!$B:$B,MATCH($C70,countries!$C:$C,0)),"Not in countries"))</f>
        <v>Ghana</v>
      </c>
    </row>
    <row r="71" spans="1:6" x14ac:dyDescent="0.3">
      <c r="A71" t="s">
        <v>3185</v>
      </c>
      <c r="B71" t="s">
        <v>2909</v>
      </c>
      <c r="C71" t="s">
        <v>14</v>
      </c>
      <c r="E71" t="s">
        <v>3116</v>
      </c>
      <c r="F71" t="str">
        <f>IF($C71="","",IFERROR(INDEX(countries!$B:$B,MATCH($C71,countries!$C:$C,0)),"Not in countries"))</f>
        <v>Ghana</v>
      </c>
    </row>
    <row r="72" spans="1:6" x14ac:dyDescent="0.3">
      <c r="A72" t="s">
        <v>3186</v>
      </c>
      <c r="B72" t="s">
        <v>2955</v>
      </c>
      <c r="C72" t="s">
        <v>14</v>
      </c>
      <c r="E72" t="s">
        <v>3116</v>
      </c>
      <c r="F72" t="str">
        <f>IF($C72="","",IFERROR(INDEX(countries!$B:$B,MATCH($C72,countries!$C:$C,0)),"Not in countries"))</f>
        <v>Ghana</v>
      </c>
    </row>
    <row r="73" spans="1:6" x14ac:dyDescent="0.3">
      <c r="A73" t="s">
        <v>3187</v>
      </c>
      <c r="B73" t="s">
        <v>2897</v>
      </c>
      <c r="C73" t="s">
        <v>14</v>
      </c>
      <c r="E73" t="s">
        <v>3116</v>
      </c>
      <c r="F73" t="str">
        <f>IF($C73="","",IFERROR(INDEX(countries!$B:$B,MATCH($C73,countries!$C:$C,0)),"Not in countries"))</f>
        <v>Ghana</v>
      </c>
    </row>
    <row r="74" spans="1:6" x14ac:dyDescent="0.3">
      <c r="A74" t="s">
        <v>3188</v>
      </c>
      <c r="B74" t="s">
        <v>2933</v>
      </c>
      <c r="C74" t="s">
        <v>14</v>
      </c>
      <c r="E74" t="s">
        <v>3116</v>
      </c>
      <c r="F74" t="str">
        <f>IF($C74="","",IFERROR(INDEX(countries!$B:$B,MATCH($C74,countries!$C:$C,0)),"Not in countries"))</f>
        <v>Ghana</v>
      </c>
    </row>
    <row r="75" spans="1:6" x14ac:dyDescent="0.3">
      <c r="A75" t="s">
        <v>3189</v>
      </c>
      <c r="B75" t="s">
        <v>2957</v>
      </c>
      <c r="C75" t="s">
        <v>2601</v>
      </c>
      <c r="E75" t="s">
        <v>3116</v>
      </c>
      <c r="F75" t="str">
        <f>IF($C75="","",IFERROR(INDEX(countries!$B:$B,MATCH($C75,countries!$C:$C,0)),"Not in countries"))</f>
        <v>Gabon</v>
      </c>
    </row>
    <row r="76" spans="1:6" x14ac:dyDescent="0.3">
      <c r="A76" t="s">
        <v>3190</v>
      </c>
      <c r="B76" t="s">
        <v>2959</v>
      </c>
      <c r="C76" t="s">
        <v>2601</v>
      </c>
      <c r="E76" t="s">
        <v>3116</v>
      </c>
      <c r="F76" t="str">
        <f>IF($C76="","",IFERROR(INDEX(countries!$B:$B,MATCH($C76,countries!$C:$C,0)),"Not in countries"))</f>
        <v>Gabon</v>
      </c>
    </row>
    <row r="77" spans="1:6" x14ac:dyDescent="0.3">
      <c r="A77" t="s">
        <v>3191</v>
      </c>
      <c r="B77" t="s">
        <v>2891</v>
      </c>
      <c r="C77" t="s">
        <v>2601</v>
      </c>
      <c r="E77" t="s">
        <v>3116</v>
      </c>
      <c r="F77" t="str">
        <f>IF($C77="","",IFERROR(INDEX(countries!$B:$B,MATCH($C77,countries!$C:$C,0)),"Not in countries"))</f>
        <v>Gabon</v>
      </c>
    </row>
    <row r="78" spans="1:6" x14ac:dyDescent="0.3">
      <c r="A78" t="s">
        <v>3192</v>
      </c>
      <c r="B78" t="s">
        <v>2961</v>
      </c>
      <c r="C78" t="s">
        <v>2601</v>
      </c>
      <c r="E78" t="s">
        <v>3116</v>
      </c>
      <c r="F78" t="str">
        <f>IF($C78="","",IFERROR(INDEX(countries!$B:$B,MATCH($C78,countries!$C:$C,0)),"Not in countries"))</f>
        <v>Gabon</v>
      </c>
    </row>
    <row r="79" spans="1:6" x14ac:dyDescent="0.3">
      <c r="A79" t="s">
        <v>3193</v>
      </c>
      <c r="B79" t="s">
        <v>2919</v>
      </c>
      <c r="C79" t="s">
        <v>2601</v>
      </c>
      <c r="E79" t="s">
        <v>3116</v>
      </c>
      <c r="F79" t="str">
        <f>IF($C79="","",IFERROR(INDEX(countries!$B:$B,MATCH($C79,countries!$C:$C,0)),"Not in countries"))</f>
        <v>Gabon</v>
      </c>
    </row>
    <row r="80" spans="1:6" x14ac:dyDescent="0.3">
      <c r="A80" t="s">
        <v>3194</v>
      </c>
      <c r="B80" t="s">
        <v>2907</v>
      </c>
      <c r="C80" t="s">
        <v>2601</v>
      </c>
      <c r="E80" t="s">
        <v>3116</v>
      </c>
      <c r="F80" t="str">
        <f>IF($C80="","",IFERROR(INDEX(countries!$B:$B,MATCH($C80,countries!$C:$C,0)),"Not in countries"))</f>
        <v>Gabon</v>
      </c>
    </row>
    <row r="81" spans="1:6" x14ac:dyDescent="0.3">
      <c r="A81" t="s">
        <v>3195</v>
      </c>
      <c r="B81" t="s">
        <v>2963</v>
      </c>
      <c r="C81" t="s">
        <v>2554</v>
      </c>
      <c r="E81" t="s">
        <v>3116</v>
      </c>
      <c r="F81" t="str">
        <f>IF($C81="","",IFERROR(INDEX(countries!$B:$B,MATCH($C81,countries!$C:$C,0)),"Not in countries"))</f>
        <v>Botswana</v>
      </c>
    </row>
    <row r="82" spans="1:6" x14ac:dyDescent="0.3">
      <c r="A82" t="s">
        <v>3196</v>
      </c>
      <c r="B82" t="s">
        <v>2919</v>
      </c>
      <c r="C82" t="s">
        <v>2554</v>
      </c>
      <c r="E82" t="s">
        <v>3116</v>
      </c>
      <c r="F82" t="str">
        <f>IF($C82="","",IFERROR(INDEX(countries!$B:$B,MATCH($C82,countries!$C:$C,0)),"Not in countries"))</f>
        <v>Botswana</v>
      </c>
    </row>
    <row r="83" spans="1:6" x14ac:dyDescent="0.3">
      <c r="A83" t="s">
        <v>3197</v>
      </c>
      <c r="B83" t="s">
        <v>2965</v>
      </c>
      <c r="C83" t="s">
        <v>2554</v>
      </c>
      <c r="E83" t="s">
        <v>3116</v>
      </c>
      <c r="F83" t="str">
        <f>IF($C83="","",IFERROR(INDEX(countries!$B:$B,MATCH($C83,countries!$C:$C,0)),"Not in countries"))</f>
        <v>Botswana</v>
      </c>
    </row>
    <row r="84" spans="1:6" x14ac:dyDescent="0.3">
      <c r="A84" t="s">
        <v>3198</v>
      </c>
      <c r="B84" t="s">
        <v>2865</v>
      </c>
      <c r="C84" t="s">
        <v>2658</v>
      </c>
      <c r="E84" t="s">
        <v>3116</v>
      </c>
      <c r="F84" t="str">
        <f>IF($C84="","",IFERROR(INDEX(countries!$B:$B,MATCH($C84,countries!$C:$C,0)),"Not in countries"))</f>
        <v>Nigeria</v>
      </c>
    </row>
    <row r="85" spans="1:6" x14ac:dyDescent="0.3">
      <c r="A85" t="s">
        <v>3199</v>
      </c>
      <c r="B85" t="s">
        <v>2951</v>
      </c>
      <c r="C85" t="s">
        <v>2658</v>
      </c>
      <c r="E85" t="s">
        <v>3116</v>
      </c>
      <c r="F85" t="str">
        <f>IF($C85="","",IFERROR(INDEX(countries!$B:$B,MATCH($C85,countries!$C:$C,0)),"Not in countries"))</f>
        <v>Nigeria</v>
      </c>
    </row>
    <row r="86" spans="1:6" x14ac:dyDescent="0.3">
      <c r="A86" t="s">
        <v>3200</v>
      </c>
      <c r="B86" t="s">
        <v>2967</v>
      </c>
      <c r="C86" t="s">
        <v>2658</v>
      </c>
      <c r="E86" t="s">
        <v>3116</v>
      </c>
      <c r="F86" t="str">
        <f>IF($C86="","",IFERROR(INDEX(countries!$B:$B,MATCH($C86,countries!$C:$C,0)),"Not in countries"))</f>
        <v>Nigeria</v>
      </c>
    </row>
    <row r="87" spans="1:6" x14ac:dyDescent="0.3">
      <c r="A87" t="s">
        <v>3201</v>
      </c>
      <c r="B87" t="s">
        <v>2969</v>
      </c>
      <c r="C87" t="s">
        <v>2652</v>
      </c>
      <c r="E87" t="s">
        <v>3116</v>
      </c>
      <c r="F87" t="str">
        <f>IF($C87="","",IFERROR(INDEX(countries!$B:$B,MATCH($C87,countries!$C:$C,0)),"Not in countries"))</f>
        <v>Namibia</v>
      </c>
    </row>
    <row r="88" spans="1:6" x14ac:dyDescent="0.3">
      <c r="A88" t="s">
        <v>3202</v>
      </c>
      <c r="B88" t="s">
        <v>2971</v>
      </c>
      <c r="C88" t="s">
        <v>2652</v>
      </c>
      <c r="E88" t="s">
        <v>3116</v>
      </c>
      <c r="F88" t="str">
        <f>IF($C88="","",IFERROR(INDEX(countries!$B:$B,MATCH($C88,countries!$C:$C,0)),"Not in countries"))</f>
        <v>Namibia</v>
      </c>
    </row>
    <row r="89" spans="1:6" x14ac:dyDescent="0.3">
      <c r="A89" t="s">
        <v>3203</v>
      </c>
      <c r="B89" t="s">
        <v>2939</v>
      </c>
      <c r="C89" t="s">
        <v>2652</v>
      </c>
      <c r="E89" t="s">
        <v>3116</v>
      </c>
      <c r="F89" t="str">
        <f>IF($C89="","",IFERROR(INDEX(countries!$B:$B,MATCH($C89,countries!$C:$C,0)),"Not in countries"))</f>
        <v>Namibia</v>
      </c>
    </row>
    <row r="90" spans="1:6" x14ac:dyDescent="0.3">
      <c r="A90" t="s">
        <v>3204</v>
      </c>
      <c r="B90" t="s">
        <v>2973</v>
      </c>
      <c r="C90" t="s">
        <v>2652</v>
      </c>
      <c r="E90" t="s">
        <v>3116</v>
      </c>
      <c r="F90" t="str">
        <f>IF($C90="","",IFERROR(INDEX(countries!$B:$B,MATCH($C90,countries!$C:$C,0)),"Not in countries"))</f>
        <v>Namibia</v>
      </c>
    </row>
    <row r="91" spans="1:6" x14ac:dyDescent="0.3">
      <c r="A91" t="s">
        <v>3205</v>
      </c>
      <c r="B91" t="s">
        <v>2975</v>
      </c>
      <c r="C91" t="s">
        <v>2652</v>
      </c>
      <c r="E91" t="s">
        <v>3116</v>
      </c>
      <c r="F91" t="str">
        <f>IF($C91="","",IFERROR(INDEX(countries!$B:$B,MATCH($C91,countries!$C:$C,0)),"Not in countries"))</f>
        <v>Namibia</v>
      </c>
    </row>
    <row r="92" spans="1:6" x14ac:dyDescent="0.3">
      <c r="A92" t="s">
        <v>3206</v>
      </c>
      <c r="B92" t="s">
        <v>2919</v>
      </c>
      <c r="C92" t="s">
        <v>2652</v>
      </c>
      <c r="E92" t="s">
        <v>3116</v>
      </c>
      <c r="F92" t="str">
        <f>IF($C92="","",IFERROR(INDEX(countries!$B:$B,MATCH($C92,countries!$C:$C,0)),"Not in countries"))</f>
        <v>Namibia</v>
      </c>
    </row>
    <row r="93" spans="1:6" x14ac:dyDescent="0.3">
      <c r="A93" t="s">
        <v>3207</v>
      </c>
      <c r="B93" t="s">
        <v>2933</v>
      </c>
      <c r="C93" t="s">
        <v>2652</v>
      </c>
      <c r="E93" t="s">
        <v>3116</v>
      </c>
      <c r="F93" t="str">
        <f>IF($C93="","",IFERROR(INDEX(countries!$B:$B,MATCH($C93,countries!$C:$C,0)),"Not in countries"))</f>
        <v>Namibia</v>
      </c>
    </row>
    <row r="94" spans="1:6" x14ac:dyDescent="0.3">
      <c r="A94" t="s">
        <v>3208</v>
      </c>
      <c r="B94" t="s">
        <v>2977</v>
      </c>
      <c r="C94" t="s">
        <v>2580</v>
      </c>
      <c r="E94" t="s">
        <v>3116</v>
      </c>
      <c r="F94" t="str">
        <f>IF($C94="","",IFERROR(INDEX(countries!$B:$B,MATCH($C94,countries!$C:$C,0)),"Not in countries"))</f>
        <v>Democratic Republic of the Congo</v>
      </c>
    </row>
    <row r="95" spans="1:6" x14ac:dyDescent="0.3">
      <c r="A95" t="s">
        <v>3209</v>
      </c>
      <c r="B95" t="s">
        <v>2979</v>
      </c>
      <c r="C95" t="s">
        <v>2580</v>
      </c>
      <c r="E95" t="s">
        <v>3116</v>
      </c>
      <c r="F95" t="str">
        <f>IF($C95="","",IFERROR(INDEX(countries!$B:$B,MATCH($C95,countries!$C:$C,0)),"Not in countries"))</f>
        <v>Democratic Republic of the Congo</v>
      </c>
    </row>
    <row r="96" spans="1:6" x14ac:dyDescent="0.3">
      <c r="A96" t="s">
        <v>3210</v>
      </c>
      <c r="B96" t="s">
        <v>2883</v>
      </c>
      <c r="C96" t="s">
        <v>2580</v>
      </c>
      <c r="E96" t="s">
        <v>3116</v>
      </c>
      <c r="F96" t="str">
        <f>IF($C96="","",IFERROR(INDEX(countries!$B:$B,MATCH($C96,countries!$C:$C,0)),"Not in countries"))</f>
        <v>Democratic Republic of the Congo</v>
      </c>
    </row>
    <row r="97" spans="1:6" x14ac:dyDescent="0.3">
      <c r="A97" t="s">
        <v>3211</v>
      </c>
      <c r="B97" t="s">
        <v>2865</v>
      </c>
      <c r="C97" t="s">
        <v>2580</v>
      </c>
      <c r="E97" t="s">
        <v>3116</v>
      </c>
      <c r="F97" t="str">
        <f>IF($C97="","",IFERROR(INDEX(countries!$B:$B,MATCH($C97,countries!$C:$C,0)),"Not in countries"))</f>
        <v>Democratic Republic of the Congo</v>
      </c>
    </row>
    <row r="98" spans="1:6" x14ac:dyDescent="0.3">
      <c r="A98" t="s">
        <v>3212</v>
      </c>
      <c r="B98" t="s">
        <v>2981</v>
      </c>
      <c r="C98" t="s">
        <v>2707</v>
      </c>
      <c r="E98" t="s">
        <v>3116</v>
      </c>
      <c r="F98" t="str">
        <f>IF($C98="","",IFERROR(INDEX(countries!$B:$B,MATCH($C98,countries!$C:$C,0)),"Not in countries"))</f>
        <v>Uganda</v>
      </c>
    </row>
    <row r="99" spans="1:6" x14ac:dyDescent="0.3">
      <c r="A99" t="s">
        <v>3213</v>
      </c>
      <c r="B99" t="s">
        <v>2907</v>
      </c>
      <c r="C99" t="s">
        <v>2707</v>
      </c>
      <c r="E99" t="s">
        <v>3116</v>
      </c>
      <c r="F99" t="str">
        <f>IF($C99="","",IFERROR(INDEX(countries!$B:$B,MATCH($C99,countries!$C:$C,0)),"Not in countries"))</f>
        <v>Uganda</v>
      </c>
    </row>
    <row r="100" spans="1:6" x14ac:dyDescent="0.3">
      <c r="A100" t="s">
        <v>3214</v>
      </c>
      <c r="B100" t="s">
        <v>2983</v>
      </c>
      <c r="C100" t="s">
        <v>2707</v>
      </c>
      <c r="E100" t="s">
        <v>3116</v>
      </c>
      <c r="F100" t="str">
        <f>IF($C100="","",IFERROR(INDEX(countries!$B:$B,MATCH($C100,countries!$C:$C,0)),"Not in countries"))</f>
        <v>Uganda</v>
      </c>
    </row>
    <row r="101" spans="1:6" x14ac:dyDescent="0.3">
      <c r="A101" t="s">
        <v>3215</v>
      </c>
      <c r="B101" t="s">
        <v>2889</v>
      </c>
      <c r="C101" t="s">
        <v>2707</v>
      </c>
      <c r="E101" t="s">
        <v>3116</v>
      </c>
      <c r="F101" t="str">
        <f>IF($C101="","",IFERROR(INDEX(countries!$B:$B,MATCH($C101,countries!$C:$C,0)),"Not in countries"))</f>
        <v>Uganda</v>
      </c>
    </row>
    <row r="102" spans="1:6" x14ac:dyDescent="0.3">
      <c r="A102" t="s">
        <v>3216</v>
      </c>
      <c r="B102" t="s">
        <v>2919</v>
      </c>
      <c r="C102" t="s">
        <v>2707</v>
      </c>
      <c r="E102" t="s">
        <v>3116</v>
      </c>
      <c r="F102" t="str">
        <f>IF($C102="","",IFERROR(INDEX(countries!$B:$B,MATCH($C102,countries!$C:$C,0)),"Not in countries"))</f>
        <v>Uganda</v>
      </c>
    </row>
    <row r="103" spans="1:6" x14ac:dyDescent="0.3">
      <c r="A103" t="s">
        <v>3217</v>
      </c>
      <c r="B103" t="s">
        <v>2891</v>
      </c>
      <c r="C103" t="s">
        <v>2707</v>
      </c>
      <c r="E103" t="s">
        <v>3116</v>
      </c>
      <c r="F103" t="str">
        <f>IF($C103="","",IFERROR(INDEX(countries!$B:$B,MATCH($C103,countries!$C:$C,0)),"Not in countries"))</f>
        <v>Uganda</v>
      </c>
    </row>
    <row r="104" spans="1:6" x14ac:dyDescent="0.3">
      <c r="A104" t="s">
        <v>3218</v>
      </c>
      <c r="B104" t="s">
        <v>2863</v>
      </c>
      <c r="C104" t="s">
        <v>2707</v>
      </c>
      <c r="E104" t="s">
        <v>3116</v>
      </c>
      <c r="F104" t="str">
        <f>IF($C104="","",IFERROR(INDEX(countries!$B:$B,MATCH($C104,countries!$C:$C,0)),"Not in countries"))</f>
        <v>Uganda</v>
      </c>
    </row>
    <row r="105" spans="1:6" x14ac:dyDescent="0.3">
      <c r="A105" t="s">
        <v>3219</v>
      </c>
      <c r="B105" t="s">
        <v>2899</v>
      </c>
      <c r="C105" t="s">
        <v>2615</v>
      </c>
      <c r="E105" t="s">
        <v>3116</v>
      </c>
      <c r="F105" t="str">
        <f>IF($C105="","",IFERROR(INDEX(countries!$B:$B,MATCH($C105,countries!$C:$C,0)),"Not in countries"))</f>
        <v>Kenya</v>
      </c>
    </row>
    <row r="106" spans="1:6" x14ac:dyDescent="0.3">
      <c r="A106" t="s">
        <v>3220</v>
      </c>
      <c r="B106" t="s">
        <v>2985</v>
      </c>
      <c r="C106" t="s">
        <v>2615</v>
      </c>
      <c r="E106" t="s">
        <v>3116</v>
      </c>
      <c r="F106" t="str">
        <f>IF($C106="","",IFERROR(INDEX(countries!$B:$B,MATCH($C106,countries!$C:$C,0)),"Not in countries"))</f>
        <v>Kenya</v>
      </c>
    </row>
    <row r="107" spans="1:6" x14ac:dyDescent="0.3">
      <c r="A107" t="s">
        <v>3221</v>
      </c>
      <c r="B107" t="s">
        <v>2919</v>
      </c>
      <c r="C107" t="s">
        <v>2615</v>
      </c>
      <c r="E107" t="s">
        <v>3116</v>
      </c>
      <c r="F107" t="str">
        <f>IF($C107="","",IFERROR(INDEX(countries!$B:$B,MATCH($C107,countries!$C:$C,0)),"Not in countries"))</f>
        <v>Kenya</v>
      </c>
    </row>
    <row r="108" spans="1:6" x14ac:dyDescent="0.3">
      <c r="A108" t="s">
        <v>3222</v>
      </c>
      <c r="B108" t="s">
        <v>2887</v>
      </c>
      <c r="C108" t="s">
        <v>2615</v>
      </c>
      <c r="E108" t="s">
        <v>3116</v>
      </c>
      <c r="F108" t="str">
        <f>IF($C108="","",IFERROR(INDEX(countries!$B:$B,MATCH($C108,countries!$C:$C,0)),"Not in countries"))</f>
        <v>Kenya</v>
      </c>
    </row>
    <row r="109" spans="1:6" x14ac:dyDescent="0.3">
      <c r="A109" t="s">
        <v>3223</v>
      </c>
      <c r="B109" t="s">
        <v>2987</v>
      </c>
      <c r="C109" t="s">
        <v>2615</v>
      </c>
      <c r="E109" t="s">
        <v>3116</v>
      </c>
      <c r="F109" t="str">
        <f>IF($C109="","",IFERROR(INDEX(countries!$B:$B,MATCH($C109,countries!$C:$C,0)),"Not in countries"))</f>
        <v>Kenya</v>
      </c>
    </row>
    <row r="110" spans="1:6" x14ac:dyDescent="0.3">
      <c r="A110" t="s">
        <v>3224</v>
      </c>
      <c r="B110" t="s">
        <v>2989</v>
      </c>
      <c r="C110" t="s">
        <v>2615</v>
      </c>
      <c r="E110" t="s">
        <v>3116</v>
      </c>
      <c r="F110" t="str">
        <f>IF($C110="","",IFERROR(INDEX(countries!$B:$B,MATCH($C110,countries!$C:$C,0)),"Not in countries"))</f>
        <v>Kenya</v>
      </c>
    </row>
    <row r="111" spans="1:6" x14ac:dyDescent="0.3">
      <c r="A111" t="s">
        <v>3225</v>
      </c>
      <c r="B111" t="s">
        <v>2907</v>
      </c>
      <c r="C111" t="s">
        <v>2678</v>
      </c>
      <c r="E111" t="s">
        <v>3116</v>
      </c>
      <c r="F111" t="str">
        <f>IF($C111="","",IFERROR(INDEX(countries!$B:$B,MATCH($C111,countries!$C:$C,0)),"Not in countries"))</f>
        <v>Senegal</v>
      </c>
    </row>
    <row r="112" spans="1:6" x14ac:dyDescent="0.3">
      <c r="A112" t="s">
        <v>3226</v>
      </c>
      <c r="B112" t="s">
        <v>2919</v>
      </c>
      <c r="C112" t="s">
        <v>2678</v>
      </c>
      <c r="E112" t="s">
        <v>3116</v>
      </c>
      <c r="F112" t="str">
        <f>IF($C112="","",IFERROR(INDEX(countries!$B:$B,MATCH($C112,countries!$C:$C,0)),"Not in countries"))</f>
        <v>Senegal</v>
      </c>
    </row>
    <row r="113" spans="1:6" x14ac:dyDescent="0.3">
      <c r="A113" t="s">
        <v>3227</v>
      </c>
      <c r="B113" t="s">
        <v>2887</v>
      </c>
      <c r="C113" t="s">
        <v>2678</v>
      </c>
      <c r="E113" t="s">
        <v>3116</v>
      </c>
      <c r="F113" t="str">
        <f>IF($C113="","",IFERROR(INDEX(countries!$B:$B,MATCH($C113,countries!$C:$C,0)),"Not in countries"))</f>
        <v>Senegal</v>
      </c>
    </row>
    <row r="114" spans="1:6" x14ac:dyDescent="0.3">
      <c r="A114" t="s">
        <v>3228</v>
      </c>
      <c r="B114" t="s">
        <v>2891</v>
      </c>
      <c r="C114" t="s">
        <v>2678</v>
      </c>
      <c r="E114" t="s">
        <v>3116</v>
      </c>
      <c r="F114" t="str">
        <f>IF($C114="","",IFERROR(INDEX(countries!$B:$B,MATCH($C114,countries!$C:$C,0)),"Not in countries"))</f>
        <v>Senegal</v>
      </c>
    </row>
    <row r="115" spans="1:6" x14ac:dyDescent="0.3">
      <c r="A115" t="s">
        <v>3229</v>
      </c>
      <c r="B115" t="s">
        <v>2991</v>
      </c>
      <c r="C115" t="s">
        <v>2678</v>
      </c>
      <c r="E115" t="s">
        <v>3116</v>
      </c>
      <c r="F115" t="str">
        <f>IF($C115="","",IFERROR(INDEX(countries!$B:$B,MATCH($C115,countries!$C:$C,0)),"Not in countries"))</f>
        <v>Senegal</v>
      </c>
    </row>
    <row r="116" spans="1:6" x14ac:dyDescent="0.3">
      <c r="A116" t="s">
        <v>3230</v>
      </c>
      <c r="B116" t="s">
        <v>2897</v>
      </c>
      <c r="C116" t="s">
        <v>2678</v>
      </c>
      <c r="E116" t="s">
        <v>3116</v>
      </c>
      <c r="F116" t="str">
        <f>IF($C116="","",IFERROR(INDEX(countries!$B:$B,MATCH($C116,countries!$C:$C,0)),"Not in countries"))</f>
        <v>Senegal</v>
      </c>
    </row>
    <row r="117" spans="1:6" x14ac:dyDescent="0.3">
      <c r="A117" t="s">
        <v>3231</v>
      </c>
      <c r="B117" t="s">
        <v>2993</v>
      </c>
      <c r="C117" t="s">
        <v>2681</v>
      </c>
      <c r="E117" t="s">
        <v>3116</v>
      </c>
      <c r="F117" t="str">
        <f>IF($C117="","",IFERROR(INDEX(countries!$B:$B,MATCH($C117,countries!$C:$C,0)),"Not in countries"))</f>
        <v>Seychelles</v>
      </c>
    </row>
    <row r="118" spans="1:6" x14ac:dyDescent="0.3">
      <c r="A118" t="s">
        <v>3232</v>
      </c>
      <c r="B118" t="s">
        <v>2907</v>
      </c>
      <c r="C118" t="s">
        <v>2546</v>
      </c>
      <c r="E118" t="s">
        <v>3116</v>
      </c>
      <c r="F118" t="str">
        <f>IF($C118="","",IFERROR(INDEX(countries!$B:$B,MATCH($C118,countries!$C:$C,0)),"Not in countries"))</f>
        <v>Algeria</v>
      </c>
    </row>
    <row r="119" spans="1:6" x14ac:dyDescent="0.3">
      <c r="A119" t="s">
        <v>3233</v>
      </c>
      <c r="B119" t="s">
        <v>2895</v>
      </c>
      <c r="C119" t="s">
        <v>2546</v>
      </c>
      <c r="E119" t="s">
        <v>3116</v>
      </c>
      <c r="F119" t="str">
        <f>IF($C119="","",IFERROR(INDEX(countries!$B:$B,MATCH($C119,countries!$C:$C,0)),"Not in countries"))</f>
        <v>Algeria</v>
      </c>
    </row>
    <row r="120" spans="1:6" x14ac:dyDescent="0.3">
      <c r="A120" t="s">
        <v>3234</v>
      </c>
      <c r="B120" t="s">
        <v>2919</v>
      </c>
      <c r="C120" t="s">
        <v>2546</v>
      </c>
      <c r="E120" t="s">
        <v>3116</v>
      </c>
      <c r="F120" t="str">
        <f>IF($C120="","",IFERROR(INDEX(countries!$B:$B,MATCH($C120,countries!$C:$C,0)),"Not in countries"))</f>
        <v>Algeria</v>
      </c>
    </row>
    <row r="121" spans="1:6" x14ac:dyDescent="0.3">
      <c r="A121" t="s">
        <v>3235</v>
      </c>
      <c r="B121" t="s">
        <v>2943</v>
      </c>
      <c r="C121" t="s">
        <v>2546</v>
      </c>
      <c r="E121" t="s">
        <v>3116</v>
      </c>
      <c r="F121" t="str">
        <f>IF($C121="","",IFERROR(INDEX(countries!$B:$B,MATCH($C121,countries!$C:$C,0)),"Not in countries"))</f>
        <v>Algeria</v>
      </c>
    </row>
    <row r="122" spans="1:6" x14ac:dyDescent="0.3">
      <c r="A122" t="s">
        <v>3236</v>
      </c>
      <c r="B122" t="s">
        <v>2897</v>
      </c>
      <c r="C122" t="s">
        <v>2546</v>
      </c>
      <c r="E122" t="s">
        <v>3116</v>
      </c>
      <c r="F122" t="str">
        <f>IF($C122="","",IFERROR(INDEX(countries!$B:$B,MATCH($C122,countries!$C:$C,0)),"Not in countries"))</f>
        <v>Algeria</v>
      </c>
    </row>
    <row r="123" spans="1:6" x14ac:dyDescent="0.3">
      <c r="A123" t="s">
        <v>3237</v>
      </c>
      <c r="B123" t="s">
        <v>2995</v>
      </c>
      <c r="C123" t="s">
        <v>2577</v>
      </c>
      <c r="E123" t="s">
        <v>3116</v>
      </c>
      <c r="F123" t="str">
        <f>IF($C123="","",IFERROR(INDEX(countries!$B:$B,MATCH($C123,countries!$C:$C,0)),"Not in countries"))</f>
        <v>Côte d'Ivoire</v>
      </c>
    </row>
    <row r="124" spans="1:6" x14ac:dyDescent="0.3">
      <c r="A124" t="s">
        <v>3238</v>
      </c>
      <c r="B124" t="s">
        <v>2857</v>
      </c>
      <c r="C124" t="s">
        <v>2577</v>
      </c>
      <c r="E124" t="s">
        <v>3116</v>
      </c>
      <c r="F124" t="str">
        <f>IF($C124="","",IFERROR(INDEX(countries!$B:$B,MATCH($C124,countries!$C:$C,0)),"Not in countries"))</f>
        <v>Côte d'Ivoire</v>
      </c>
    </row>
    <row r="125" spans="1:6" x14ac:dyDescent="0.3">
      <c r="A125" t="s">
        <v>3239</v>
      </c>
      <c r="B125" t="s">
        <v>2907</v>
      </c>
      <c r="C125" t="s">
        <v>2577</v>
      </c>
      <c r="E125" t="s">
        <v>3116</v>
      </c>
      <c r="F125" t="str">
        <f>IF($C125="","",IFERROR(INDEX(countries!$B:$B,MATCH($C125,countries!$C:$C,0)),"Not in countries"))</f>
        <v>Côte d'Ivoire</v>
      </c>
    </row>
    <row r="126" spans="1:6" x14ac:dyDescent="0.3">
      <c r="A126" t="s">
        <v>3240</v>
      </c>
      <c r="B126" t="s">
        <v>2997</v>
      </c>
      <c r="C126" t="s">
        <v>2577</v>
      </c>
      <c r="E126" t="s">
        <v>3116</v>
      </c>
      <c r="F126" t="str">
        <f>IF($C126="","",IFERROR(INDEX(countries!$B:$B,MATCH($C126,countries!$C:$C,0)),"Not in countries"))</f>
        <v>Côte d'Ivoire</v>
      </c>
    </row>
    <row r="127" spans="1:6" x14ac:dyDescent="0.3">
      <c r="A127" t="s">
        <v>3241</v>
      </c>
      <c r="B127" t="s">
        <v>2887</v>
      </c>
      <c r="C127" t="s">
        <v>2577</v>
      </c>
      <c r="E127" t="s">
        <v>3116</v>
      </c>
      <c r="F127" t="str">
        <f>IF($C127="","",IFERROR(INDEX(countries!$B:$B,MATCH($C127,countries!$C:$C,0)),"Not in countries"))</f>
        <v>Côte d'Ivoire</v>
      </c>
    </row>
    <row r="128" spans="1:6" x14ac:dyDescent="0.3">
      <c r="A128" t="s">
        <v>3242</v>
      </c>
      <c r="B128" t="s">
        <v>2897</v>
      </c>
      <c r="C128" t="s">
        <v>2577</v>
      </c>
      <c r="E128" t="s">
        <v>3116</v>
      </c>
      <c r="F128" t="str">
        <f>IF($C128="","",IFERROR(INDEX(countries!$B:$B,MATCH($C128,countries!$C:$C,0)),"Not in countries"))</f>
        <v>Côte d'Ivoire</v>
      </c>
    </row>
    <row r="129" spans="1:6" x14ac:dyDescent="0.3">
      <c r="A129" t="s">
        <v>3243</v>
      </c>
      <c r="B129" t="s">
        <v>2919</v>
      </c>
      <c r="C129" t="s">
        <v>2664</v>
      </c>
      <c r="E129" t="s">
        <v>3116</v>
      </c>
      <c r="F129" t="str">
        <f>IF($C129="","",IFERROR(INDEX(countries!$B:$B,MATCH($C129,countries!$C:$C,0)),"Not in countries"))</f>
        <v>Rwanda</v>
      </c>
    </row>
    <row r="130" spans="1:6" x14ac:dyDescent="0.3">
      <c r="A130" t="s">
        <v>3244</v>
      </c>
      <c r="B130" t="s">
        <v>2877</v>
      </c>
      <c r="C130" t="s">
        <v>2664</v>
      </c>
      <c r="E130" t="s">
        <v>3116</v>
      </c>
      <c r="F130" t="str">
        <f>IF($C130="","",IFERROR(INDEX(countries!$B:$B,MATCH($C130,countries!$C:$C,0)),"Not in countries"))</f>
        <v>Rwanda</v>
      </c>
    </row>
    <row r="131" spans="1:6" x14ac:dyDescent="0.3">
      <c r="A131" t="s">
        <v>3245</v>
      </c>
      <c r="B131" t="s">
        <v>2907</v>
      </c>
      <c r="C131" t="s">
        <v>2664</v>
      </c>
      <c r="E131" t="s">
        <v>3116</v>
      </c>
      <c r="F131" t="str">
        <f>IF($C131="","",IFERROR(INDEX(countries!$B:$B,MATCH($C131,countries!$C:$C,0)),"Not in countries"))</f>
        <v>Rwanda</v>
      </c>
    </row>
    <row r="132" spans="1:6" x14ac:dyDescent="0.3">
      <c r="A132" t="s">
        <v>3246</v>
      </c>
      <c r="B132" t="s">
        <v>2887</v>
      </c>
      <c r="C132" t="s">
        <v>2664</v>
      </c>
      <c r="E132" t="s">
        <v>3116</v>
      </c>
      <c r="F132" t="str">
        <f>IF($C132="","",IFERROR(INDEX(countries!$B:$B,MATCH($C132,countries!$C:$C,0)),"Not in countries"))</f>
        <v>Rwanda</v>
      </c>
    </row>
    <row r="133" spans="1:6" x14ac:dyDescent="0.3">
      <c r="A133" t="s">
        <v>3247</v>
      </c>
      <c r="B133" t="s">
        <v>2919</v>
      </c>
      <c r="C133" t="s">
        <v>2592</v>
      </c>
      <c r="E133" t="s">
        <v>3116</v>
      </c>
      <c r="F133" t="str">
        <f>IF($C133="","",IFERROR(INDEX(countries!$B:$B,MATCH($C133,countries!$C:$C,0)),"Not in countries"))</f>
        <v>Eritrea</v>
      </c>
    </row>
    <row r="134" spans="1:6" x14ac:dyDescent="0.3">
      <c r="A134" t="s">
        <v>3248</v>
      </c>
      <c r="B134" t="s">
        <v>2919</v>
      </c>
      <c r="C134" t="s">
        <v>2574</v>
      </c>
      <c r="E134" t="s">
        <v>3116</v>
      </c>
      <c r="F134" t="str">
        <f>IF($C134="","",IFERROR(INDEX(countries!$B:$B,MATCH($C134,countries!$C:$C,0)),"Not in countries"))</f>
        <v>Comoros</v>
      </c>
    </row>
    <row r="135" spans="1:6" x14ac:dyDescent="0.3">
      <c r="A135" t="s">
        <v>3249</v>
      </c>
      <c r="B135" t="s">
        <v>2999</v>
      </c>
      <c r="C135" t="s">
        <v>2574</v>
      </c>
      <c r="E135" t="s">
        <v>3116</v>
      </c>
      <c r="F135" t="str">
        <f>IF($C135="","",IFERROR(INDEX(countries!$B:$B,MATCH($C135,countries!$C:$C,0)),"Not in countries"))</f>
        <v>Comoros</v>
      </c>
    </row>
    <row r="136" spans="1:6" x14ac:dyDescent="0.3">
      <c r="A136" t="s">
        <v>3250</v>
      </c>
      <c r="B136" t="s">
        <v>2887</v>
      </c>
      <c r="C136" t="s">
        <v>2574</v>
      </c>
      <c r="E136" t="s">
        <v>3116</v>
      </c>
      <c r="F136" t="str">
        <f>IF($C136="","",IFERROR(INDEX(countries!$B:$B,MATCH($C136,countries!$C:$C,0)),"Not in countries"))</f>
        <v>Comoros</v>
      </c>
    </row>
    <row r="137" spans="1:6" x14ac:dyDescent="0.3">
      <c r="A137" t="s">
        <v>3251</v>
      </c>
      <c r="B137" t="s">
        <v>3001</v>
      </c>
      <c r="C137" t="s">
        <v>2696</v>
      </c>
      <c r="E137" t="s">
        <v>3116</v>
      </c>
      <c r="F137" t="str">
        <f>IF($C137="","",IFERROR(INDEX(countries!$B:$B,MATCH($C137,countries!$C:$C,0)),"Not in countries"))</f>
        <v>Sudan</v>
      </c>
    </row>
    <row r="138" spans="1:6" x14ac:dyDescent="0.3">
      <c r="A138" t="s">
        <v>3252</v>
      </c>
      <c r="B138" t="s">
        <v>2919</v>
      </c>
      <c r="C138" t="s">
        <v>2696</v>
      </c>
      <c r="E138" t="s">
        <v>3116</v>
      </c>
      <c r="F138" t="str">
        <f>IF($C138="","",IFERROR(INDEX(countries!$B:$B,MATCH($C138,countries!$C:$C,0)),"Not in countries"))</f>
        <v>Sudan</v>
      </c>
    </row>
    <row r="139" spans="1:6" x14ac:dyDescent="0.3">
      <c r="A139" t="s">
        <v>3253</v>
      </c>
      <c r="B139" t="s">
        <v>2840</v>
      </c>
      <c r="C139" t="s">
        <v>2696</v>
      </c>
      <c r="E139" t="s">
        <v>3116</v>
      </c>
      <c r="F139" t="str">
        <f>IF($C139="","",IFERROR(INDEX(countries!$B:$B,MATCH($C139,countries!$C:$C,0)),"Not in countries"))</f>
        <v>Sudan</v>
      </c>
    </row>
    <row r="140" spans="1:6" x14ac:dyDescent="0.3">
      <c r="A140" t="s">
        <v>3254</v>
      </c>
      <c r="B140" t="s">
        <v>3003</v>
      </c>
      <c r="C140" t="s">
        <v>2630</v>
      </c>
      <c r="E140" t="s">
        <v>3116</v>
      </c>
      <c r="F140" t="str">
        <f>IF($C140="","",IFERROR(INDEX(countries!$B:$B,MATCH($C140,countries!$C:$C,0)),"Not in countries"))</f>
        <v>Malawi</v>
      </c>
    </row>
    <row r="141" spans="1:6" x14ac:dyDescent="0.3">
      <c r="A141" t="s">
        <v>3255</v>
      </c>
      <c r="B141" t="s">
        <v>2919</v>
      </c>
      <c r="C141" t="s">
        <v>2630</v>
      </c>
      <c r="E141" t="s">
        <v>3116</v>
      </c>
      <c r="F141" t="str">
        <f>IF($C141="","",IFERROR(INDEX(countries!$B:$B,MATCH($C141,countries!$C:$C,0)),"Not in countries"))</f>
        <v>Malawi</v>
      </c>
    </row>
    <row r="142" spans="1:6" x14ac:dyDescent="0.3">
      <c r="A142" t="s">
        <v>3256</v>
      </c>
      <c r="B142" t="s">
        <v>2907</v>
      </c>
      <c r="C142" t="s">
        <v>2630</v>
      </c>
      <c r="E142" t="s">
        <v>3116</v>
      </c>
      <c r="F142" t="str">
        <f>IF($C142="","",IFERROR(INDEX(countries!$B:$B,MATCH($C142,countries!$C:$C,0)),"Not in countries"))</f>
        <v>Malawi</v>
      </c>
    </row>
    <row r="143" spans="1:6" x14ac:dyDescent="0.3">
      <c r="A143" t="s">
        <v>3257</v>
      </c>
      <c r="B143" t="s">
        <v>2989</v>
      </c>
      <c r="C143" t="s">
        <v>2598</v>
      </c>
      <c r="E143" t="s">
        <v>3116</v>
      </c>
      <c r="F143" t="str">
        <f>IF($C143="","",IFERROR(INDEX(countries!$B:$B,MATCH($C143,countries!$C:$C,0)),"Not in countries"))</f>
        <v>Ethiopia</v>
      </c>
    </row>
    <row r="144" spans="1:6" x14ac:dyDescent="0.3">
      <c r="A144" t="s">
        <v>3258</v>
      </c>
      <c r="B144" t="s">
        <v>2919</v>
      </c>
      <c r="C144" t="s">
        <v>2598</v>
      </c>
      <c r="E144" t="s">
        <v>3116</v>
      </c>
      <c r="F144" t="str">
        <f>IF($C144="","",IFERROR(INDEX(countries!$B:$B,MATCH($C144,countries!$C:$C,0)),"Not in countries"))</f>
        <v>Ethiopia</v>
      </c>
    </row>
    <row r="145" spans="1:6" x14ac:dyDescent="0.3">
      <c r="A145" t="s">
        <v>3259</v>
      </c>
      <c r="B145" t="s">
        <v>3005</v>
      </c>
      <c r="C145" t="s">
        <v>2598</v>
      </c>
      <c r="E145" t="s">
        <v>3116</v>
      </c>
      <c r="F145" t="str">
        <f>IF($C145="","",IFERROR(INDEX(countries!$B:$B,MATCH($C145,countries!$C:$C,0)),"Not in countries"))</f>
        <v>Ethiopia</v>
      </c>
    </row>
    <row r="146" spans="1:6" x14ac:dyDescent="0.3">
      <c r="A146" t="s">
        <v>3260</v>
      </c>
      <c r="B146" t="s">
        <v>3007</v>
      </c>
      <c r="C146" t="s">
        <v>2598</v>
      </c>
      <c r="E146" t="s">
        <v>3116</v>
      </c>
      <c r="F146" t="str">
        <f>IF($C146="","",IFERROR(INDEX(countries!$B:$B,MATCH($C146,countries!$C:$C,0)),"Not in countries"))</f>
        <v>Ethiopia</v>
      </c>
    </row>
    <row r="147" spans="1:6" x14ac:dyDescent="0.3">
      <c r="A147" t="s">
        <v>3261</v>
      </c>
      <c r="B147" t="s">
        <v>3009</v>
      </c>
      <c r="C147" t="s">
        <v>2598</v>
      </c>
      <c r="E147" t="s">
        <v>3116</v>
      </c>
      <c r="F147" t="str">
        <f>IF($C147="","",IFERROR(INDEX(countries!$B:$B,MATCH($C147,countries!$C:$C,0)),"Not in countries"))</f>
        <v>Ethiopia</v>
      </c>
    </row>
    <row r="148" spans="1:6" x14ac:dyDescent="0.3">
      <c r="A148" t="s">
        <v>3262</v>
      </c>
      <c r="B148" t="s">
        <v>2907</v>
      </c>
      <c r="C148" t="s">
        <v>2598</v>
      </c>
      <c r="E148" t="s">
        <v>3116</v>
      </c>
      <c r="F148" t="str">
        <f>IF($C148="","",IFERROR(INDEX(countries!$B:$B,MATCH($C148,countries!$C:$C,0)),"Not in countries"))</f>
        <v>Ethiopia</v>
      </c>
    </row>
    <row r="149" spans="1:6" x14ac:dyDescent="0.3">
      <c r="A149" t="s">
        <v>3263</v>
      </c>
      <c r="B149" t="s">
        <v>2899</v>
      </c>
      <c r="C149" t="s">
        <v>2687</v>
      </c>
      <c r="E149" t="s">
        <v>3116</v>
      </c>
      <c r="F149" t="str">
        <f>IF($C149="","",IFERROR(INDEX(countries!$B:$B,MATCH($C149,countries!$C:$C,0)),"Not in countries"))</f>
        <v>Somalia</v>
      </c>
    </row>
    <row r="150" spans="1:6" x14ac:dyDescent="0.3">
      <c r="A150" t="s">
        <v>3264</v>
      </c>
      <c r="B150" t="s">
        <v>3011</v>
      </c>
      <c r="C150" t="s">
        <v>2687</v>
      </c>
      <c r="E150" t="s">
        <v>3116</v>
      </c>
      <c r="F150" t="str">
        <f>IF($C150="","",IFERROR(INDEX(countries!$B:$B,MATCH($C150,countries!$C:$C,0)),"Not in countries"))</f>
        <v>Somalia</v>
      </c>
    </row>
    <row r="151" spans="1:6" x14ac:dyDescent="0.3">
      <c r="A151" t="s">
        <v>3265</v>
      </c>
      <c r="B151" t="s">
        <v>2919</v>
      </c>
      <c r="C151" t="s">
        <v>2687</v>
      </c>
      <c r="E151" t="s">
        <v>3116</v>
      </c>
      <c r="F151" t="str">
        <f>IF($C151="","",IFERROR(INDEX(countries!$B:$B,MATCH($C151,countries!$C:$C,0)),"Not in countries"))</f>
        <v>Somalia</v>
      </c>
    </row>
    <row r="152" spans="1:6" x14ac:dyDescent="0.3">
      <c r="A152" t="s">
        <v>3266</v>
      </c>
      <c r="B152" t="s">
        <v>2959</v>
      </c>
      <c r="C152" t="s">
        <v>2661</v>
      </c>
      <c r="E152" t="s">
        <v>3116</v>
      </c>
      <c r="F152" t="str">
        <f>IF($C152="","",IFERROR(INDEX(countries!$B:$B,MATCH($C152,countries!$C:$C,0)),"Not in countries"))</f>
        <v>Republic of the Congo</v>
      </c>
    </row>
    <row r="153" spans="1:6" x14ac:dyDescent="0.3">
      <c r="A153" t="s">
        <v>3267</v>
      </c>
      <c r="B153" t="s">
        <v>2979</v>
      </c>
      <c r="C153" t="s">
        <v>2661</v>
      </c>
      <c r="E153" t="s">
        <v>3116</v>
      </c>
      <c r="F153" t="str">
        <f>IF($C153="","",IFERROR(INDEX(countries!$B:$B,MATCH($C153,countries!$C:$C,0)),"Not in countries"))</f>
        <v>Republic of the Congo</v>
      </c>
    </row>
    <row r="154" spans="1:6" x14ac:dyDescent="0.3">
      <c r="A154" t="s">
        <v>3268</v>
      </c>
      <c r="B154" t="s">
        <v>2919</v>
      </c>
      <c r="C154" t="s">
        <v>2661</v>
      </c>
      <c r="E154" t="s">
        <v>3116</v>
      </c>
      <c r="F154" t="str">
        <f>IF($C154="","",IFERROR(INDEX(countries!$B:$B,MATCH($C154,countries!$C:$C,0)),"Not in countries"))</f>
        <v>Republic of the Congo</v>
      </c>
    </row>
    <row r="155" spans="1:6" x14ac:dyDescent="0.3">
      <c r="A155" t="s">
        <v>3269</v>
      </c>
      <c r="B155" t="s">
        <v>2907</v>
      </c>
      <c r="C155" t="s">
        <v>2661</v>
      </c>
      <c r="E155" t="s">
        <v>3116</v>
      </c>
      <c r="F155" t="str">
        <f>IF($C155="","",IFERROR(INDEX(countries!$B:$B,MATCH($C155,countries!$C:$C,0)),"Not in countries"))</f>
        <v>Republic of the Congo</v>
      </c>
    </row>
    <row r="156" spans="1:6" x14ac:dyDescent="0.3">
      <c r="A156" t="s">
        <v>3270</v>
      </c>
      <c r="B156" t="s">
        <v>3013</v>
      </c>
      <c r="C156" t="s">
        <v>2661</v>
      </c>
      <c r="E156" t="s">
        <v>3116</v>
      </c>
      <c r="F156" t="str">
        <f>IF($C156="","",IFERROR(INDEX(countries!$B:$B,MATCH($C156,countries!$C:$C,0)),"Not in countries"))</f>
        <v>Republic of the Congo</v>
      </c>
    </row>
    <row r="157" spans="1:6" x14ac:dyDescent="0.3">
      <c r="A157" t="s">
        <v>3271</v>
      </c>
      <c r="B157" t="s">
        <v>2907</v>
      </c>
      <c r="C157" t="s">
        <v>2636</v>
      </c>
      <c r="E157" t="s">
        <v>3116</v>
      </c>
      <c r="F157" t="str">
        <f>IF($C157="","",IFERROR(INDEX(countries!$B:$B,MATCH($C157,countries!$C:$C,0)),"Not in countries"))</f>
        <v>Mauritania</v>
      </c>
    </row>
    <row r="158" spans="1:6" x14ac:dyDescent="0.3">
      <c r="A158" t="s">
        <v>3272</v>
      </c>
      <c r="B158" t="s">
        <v>3015</v>
      </c>
      <c r="C158" t="s">
        <v>2636</v>
      </c>
      <c r="E158" t="s">
        <v>3116</v>
      </c>
      <c r="F158" t="str">
        <f>IF($C158="","",IFERROR(INDEX(countries!$B:$B,MATCH($C158,countries!$C:$C,0)),"Not in countries"))</f>
        <v>Mauritania</v>
      </c>
    </row>
    <row r="159" spans="1:6" x14ac:dyDescent="0.3">
      <c r="A159" t="s">
        <v>3273</v>
      </c>
      <c r="B159" t="s">
        <v>2957</v>
      </c>
      <c r="C159" t="s">
        <v>2636</v>
      </c>
      <c r="E159" t="s">
        <v>3116</v>
      </c>
      <c r="F159" t="str">
        <f>IF($C159="","",IFERROR(INDEX(countries!$B:$B,MATCH($C159,countries!$C:$C,0)),"Not in countries"))</f>
        <v>Mauritania</v>
      </c>
    </row>
    <row r="160" spans="1:6" x14ac:dyDescent="0.3">
      <c r="A160" t="s">
        <v>3274</v>
      </c>
      <c r="B160" t="s">
        <v>2840</v>
      </c>
      <c r="C160" t="s">
        <v>2636</v>
      </c>
      <c r="E160" t="s">
        <v>3116</v>
      </c>
      <c r="F160" t="str">
        <f>IF($C160="","",IFERROR(INDEX(countries!$B:$B,MATCH($C160,countries!$C:$C,0)),"Not in countries"))</f>
        <v>Mauritania</v>
      </c>
    </row>
    <row r="161" spans="1:6" x14ac:dyDescent="0.3">
      <c r="A161" t="s">
        <v>3275</v>
      </c>
      <c r="B161" t="s">
        <v>3017</v>
      </c>
      <c r="C161" t="s">
        <v>2636</v>
      </c>
      <c r="E161" t="s">
        <v>3116</v>
      </c>
      <c r="F161" t="str">
        <f>IF($C161="","",IFERROR(INDEX(countries!$B:$B,MATCH($C161,countries!$C:$C,0)),"Not in countries"))</f>
        <v>Mauritania</v>
      </c>
    </row>
    <row r="162" spans="1:6" x14ac:dyDescent="0.3">
      <c r="A162" t="s">
        <v>3276</v>
      </c>
      <c r="B162" t="s">
        <v>2897</v>
      </c>
      <c r="C162" t="s">
        <v>2636</v>
      </c>
      <c r="E162" t="s">
        <v>3116</v>
      </c>
      <c r="F162" t="str">
        <f>IF($C162="","",IFERROR(INDEX(countries!$B:$B,MATCH($C162,countries!$C:$C,0)),"Not in countries"))</f>
        <v>Mauritania</v>
      </c>
    </row>
    <row r="163" spans="1:6" x14ac:dyDescent="0.3">
      <c r="A163" t="s">
        <v>3277</v>
      </c>
      <c r="B163" t="s">
        <v>2905</v>
      </c>
      <c r="C163" t="s">
        <v>2705</v>
      </c>
      <c r="E163" t="s">
        <v>3116</v>
      </c>
      <c r="F163" t="str">
        <f>IF($C163="","",IFERROR(INDEX(countries!$B:$B,MATCH($C163,countries!$C:$C,0)),"Not in countries"))</f>
        <v>Tunisia</v>
      </c>
    </row>
    <row r="164" spans="1:6" x14ac:dyDescent="0.3">
      <c r="A164" t="s">
        <v>3278</v>
      </c>
      <c r="B164" t="s">
        <v>3019</v>
      </c>
      <c r="C164" t="s">
        <v>2705</v>
      </c>
      <c r="E164" t="s">
        <v>3116</v>
      </c>
      <c r="F164" t="str">
        <f>IF($C164="","",IFERROR(INDEX(countries!$B:$B,MATCH($C164,countries!$C:$C,0)),"Not in countries"))</f>
        <v>Tunisia</v>
      </c>
    </row>
    <row r="165" spans="1:6" x14ac:dyDescent="0.3">
      <c r="A165" t="s">
        <v>3279</v>
      </c>
      <c r="B165" t="s">
        <v>2907</v>
      </c>
      <c r="C165" t="s">
        <v>2705</v>
      </c>
      <c r="E165" t="s">
        <v>3116</v>
      </c>
      <c r="F165" t="str">
        <f>IF($C165="","",IFERROR(INDEX(countries!$B:$B,MATCH($C165,countries!$C:$C,0)),"Not in countries"))</f>
        <v>Tunisia</v>
      </c>
    </row>
    <row r="166" spans="1:6" x14ac:dyDescent="0.3">
      <c r="A166" t="s">
        <v>3280</v>
      </c>
      <c r="B166" t="s">
        <v>2987</v>
      </c>
      <c r="C166" t="s">
        <v>2583</v>
      </c>
      <c r="E166" t="s">
        <v>3116</v>
      </c>
      <c r="F166" t="str">
        <f>IF($C166="","",IFERROR(INDEX(countries!$B:$B,MATCH($C166,countries!$C:$C,0)),"Not in countries"))</f>
        <v>Djibouti</v>
      </c>
    </row>
    <row r="167" spans="1:6" x14ac:dyDescent="0.3">
      <c r="A167" t="s">
        <v>3281</v>
      </c>
      <c r="B167" t="s">
        <v>3011</v>
      </c>
      <c r="C167" t="s">
        <v>2583</v>
      </c>
      <c r="E167" t="s">
        <v>3116</v>
      </c>
      <c r="F167" t="str">
        <f>IF($C167="","",IFERROR(INDEX(countries!$B:$B,MATCH($C167,countries!$C:$C,0)),"Not in countries"))</f>
        <v>Djibouti</v>
      </c>
    </row>
    <row r="168" spans="1:6" x14ac:dyDescent="0.3">
      <c r="A168" t="s">
        <v>3282</v>
      </c>
      <c r="B168" t="s">
        <v>3021</v>
      </c>
      <c r="C168" t="s">
        <v>2583</v>
      </c>
      <c r="E168" t="s">
        <v>3116</v>
      </c>
      <c r="F168" t="str">
        <f>IF($C168="","",IFERROR(INDEX(countries!$B:$B,MATCH($C168,countries!$C:$C,0)),"Not in countries"))</f>
        <v>Djibouti</v>
      </c>
    </row>
    <row r="169" spans="1:6" x14ac:dyDescent="0.3">
      <c r="A169" t="s">
        <v>3283</v>
      </c>
      <c r="B169" t="s">
        <v>2907</v>
      </c>
      <c r="C169" t="s">
        <v>2568</v>
      </c>
      <c r="E169" t="s">
        <v>3116</v>
      </c>
      <c r="F169" t="str">
        <f>IF($C169="","",IFERROR(INDEX(countries!$B:$B,MATCH($C169,countries!$C:$C,0)),"Not in countries"))</f>
        <v>Central African Republic</v>
      </c>
    </row>
    <row r="170" spans="1:6" x14ac:dyDescent="0.3">
      <c r="A170" t="s">
        <v>3284</v>
      </c>
      <c r="B170" t="s">
        <v>2919</v>
      </c>
      <c r="C170" t="s">
        <v>2568</v>
      </c>
      <c r="E170" t="s">
        <v>3116</v>
      </c>
      <c r="F170" t="str">
        <f>IF($C170="","",IFERROR(INDEX(countries!$B:$B,MATCH($C170,countries!$C:$C,0)),"Not in countries"))</f>
        <v>Central African Republic</v>
      </c>
    </row>
    <row r="171" spans="1:6" x14ac:dyDescent="0.3">
      <c r="A171" t="s">
        <v>3285</v>
      </c>
      <c r="B171" t="s">
        <v>2887</v>
      </c>
      <c r="C171" t="s">
        <v>2568</v>
      </c>
      <c r="E171" t="s">
        <v>3116</v>
      </c>
      <c r="F171" t="str">
        <f>IF($C171="","",IFERROR(INDEX(countries!$B:$B,MATCH($C171,countries!$C:$C,0)),"Not in countries"))</f>
        <v>Central African Republic</v>
      </c>
    </row>
    <row r="172" spans="1:6" x14ac:dyDescent="0.3">
      <c r="A172" t="s">
        <v>3286</v>
      </c>
      <c r="B172" t="s">
        <v>3023</v>
      </c>
      <c r="C172" t="s">
        <v>2639</v>
      </c>
      <c r="E172" t="s">
        <v>3116</v>
      </c>
      <c r="F172" t="str">
        <f>IF($C172="","",IFERROR(INDEX(countries!$B:$B,MATCH($C172,countries!$C:$C,0)),"Not in countries"))</f>
        <v>Mauritius</v>
      </c>
    </row>
    <row r="173" spans="1:6" x14ac:dyDescent="0.3">
      <c r="A173" t="s">
        <v>3287</v>
      </c>
      <c r="B173" t="s">
        <v>2907</v>
      </c>
      <c r="C173" t="s">
        <v>2684</v>
      </c>
      <c r="E173" t="s">
        <v>3116</v>
      </c>
      <c r="F173" t="str">
        <f>IF($C173="","",IFERROR(INDEX(countries!$B:$B,MATCH($C173,countries!$C:$C,0)),"Not in countries"))</f>
        <v>Sierra Leone</v>
      </c>
    </row>
    <row r="174" spans="1:6" x14ac:dyDescent="0.3">
      <c r="A174" t="s">
        <v>3288</v>
      </c>
      <c r="B174" t="s">
        <v>2891</v>
      </c>
      <c r="C174" t="s">
        <v>2684</v>
      </c>
      <c r="E174" t="s">
        <v>3116</v>
      </c>
      <c r="F174" t="str">
        <f>IF($C174="","",IFERROR(INDEX(countries!$B:$B,MATCH($C174,countries!$C:$C,0)),"Not in countries"))</f>
        <v>Sierra Leone</v>
      </c>
    </row>
    <row r="175" spans="1:6" x14ac:dyDescent="0.3">
      <c r="A175" t="s">
        <v>3289</v>
      </c>
      <c r="B175" t="s">
        <v>3013</v>
      </c>
      <c r="C175" t="s">
        <v>2684</v>
      </c>
      <c r="E175" t="s">
        <v>3116</v>
      </c>
      <c r="F175" t="str">
        <f>IF($C175="","",IFERROR(INDEX(countries!$B:$B,MATCH($C175,countries!$C:$C,0)),"Not in countries"))</f>
        <v>Sierra Leone</v>
      </c>
    </row>
    <row r="176" spans="1:6" x14ac:dyDescent="0.3">
      <c r="A176" t="s">
        <v>3290</v>
      </c>
      <c r="B176" t="s">
        <v>2997</v>
      </c>
      <c r="C176" t="s">
        <v>2675</v>
      </c>
      <c r="E176" t="s">
        <v>3116</v>
      </c>
      <c r="F176" t="str">
        <f>IF($C176="","",IFERROR(INDEX(countries!$B:$B,MATCH($C176,countries!$C:$C,0)),"Not in countries"))</f>
        <v>São Tomé and Príncipe</v>
      </c>
    </row>
    <row r="177" spans="1:6" x14ac:dyDescent="0.3">
      <c r="A177" t="s">
        <v>3291</v>
      </c>
      <c r="B177" t="s">
        <v>2919</v>
      </c>
      <c r="C177" t="s">
        <v>2675</v>
      </c>
      <c r="E177" t="s">
        <v>3116</v>
      </c>
      <c r="F177" t="str">
        <f>IF($C177="","",IFERROR(INDEX(countries!$B:$B,MATCH($C177,countries!$C:$C,0)),"Not in countries"))</f>
        <v>São Tomé and Príncipe</v>
      </c>
    </row>
    <row r="178" spans="1:6" x14ac:dyDescent="0.3">
      <c r="A178" t="s">
        <v>3292</v>
      </c>
      <c r="B178" t="s">
        <v>2891</v>
      </c>
      <c r="C178" t="s">
        <v>2675</v>
      </c>
      <c r="E178" t="s">
        <v>3116</v>
      </c>
      <c r="F178" t="str">
        <f>IF($C178="","",IFERROR(INDEX(countries!$B:$B,MATCH($C178,countries!$C:$C,0)),"Not in countries"))</f>
        <v>São Tomé and Príncipe</v>
      </c>
    </row>
    <row r="179" spans="1:6" x14ac:dyDescent="0.3">
      <c r="A179" t="s">
        <v>3293</v>
      </c>
      <c r="B179" t="s">
        <v>2907</v>
      </c>
      <c r="C179" t="s">
        <v>2609</v>
      </c>
      <c r="E179" t="s">
        <v>3116</v>
      </c>
      <c r="F179" t="str">
        <f>IF($C179="","",IFERROR(INDEX(countries!$B:$B,MATCH($C179,countries!$C:$C,0)),"Not in countries"))</f>
        <v>Guinea</v>
      </c>
    </row>
    <row r="180" spans="1:6" x14ac:dyDescent="0.3">
      <c r="A180" t="s">
        <v>3294</v>
      </c>
      <c r="B180" t="s">
        <v>3025</v>
      </c>
      <c r="C180" t="s">
        <v>2609</v>
      </c>
      <c r="E180" t="s">
        <v>3116</v>
      </c>
      <c r="F180" t="str">
        <f>IF($C180="","",IFERROR(INDEX(countries!$B:$B,MATCH($C180,countries!$C:$C,0)),"Not in countries"))</f>
        <v>Guinea</v>
      </c>
    </row>
    <row r="181" spans="1:6" x14ac:dyDescent="0.3">
      <c r="A181" t="s">
        <v>3295</v>
      </c>
      <c r="B181" t="s">
        <v>2919</v>
      </c>
      <c r="C181" t="s">
        <v>2609</v>
      </c>
      <c r="E181" t="s">
        <v>3116</v>
      </c>
      <c r="F181" t="str">
        <f>IF($C181="","",IFERROR(INDEX(countries!$B:$B,MATCH($C181,countries!$C:$C,0)),"Not in countries"))</f>
        <v>Guinea</v>
      </c>
    </row>
    <row r="182" spans="1:6" x14ac:dyDescent="0.3">
      <c r="A182" t="s">
        <v>3296</v>
      </c>
      <c r="B182" t="s">
        <v>2907</v>
      </c>
      <c r="C182" t="s">
        <v>2655</v>
      </c>
      <c r="E182" t="s">
        <v>3116</v>
      </c>
      <c r="F182" t="str">
        <f>IF($C182="","",IFERROR(INDEX(countries!$B:$B,MATCH($C182,countries!$C:$C,0)),"Not in countries"))</f>
        <v>Niger</v>
      </c>
    </row>
    <row r="183" spans="1:6" x14ac:dyDescent="0.3">
      <c r="A183" t="s">
        <v>3297</v>
      </c>
      <c r="B183" t="s">
        <v>2897</v>
      </c>
      <c r="C183" t="s">
        <v>2655</v>
      </c>
      <c r="E183" t="s">
        <v>3116</v>
      </c>
      <c r="F183" t="str">
        <f>IF($C183="","",IFERROR(INDEX(countries!$B:$B,MATCH($C183,countries!$C:$C,0)),"Not in countries"))</f>
        <v>Niger</v>
      </c>
    </row>
    <row r="184" spans="1:6" x14ac:dyDescent="0.3">
      <c r="A184" t="s">
        <v>3298</v>
      </c>
      <c r="B184" t="s">
        <v>2907</v>
      </c>
      <c r="C184" t="s">
        <v>2621</v>
      </c>
      <c r="E184" t="s">
        <v>3116</v>
      </c>
      <c r="F184" t="str">
        <f>IF($C184="","",IFERROR(INDEX(countries!$B:$B,MATCH($C184,countries!$C:$C,0)),"Not in countries"))</f>
        <v>Liberia</v>
      </c>
    </row>
    <row r="185" spans="1:6" x14ac:dyDescent="0.3">
      <c r="A185" t="s">
        <v>3299</v>
      </c>
      <c r="B185" t="s">
        <v>3027</v>
      </c>
      <c r="C185" t="s">
        <v>2621</v>
      </c>
      <c r="E185" t="s">
        <v>3116</v>
      </c>
      <c r="F185" t="str">
        <f>IF($C185="","",IFERROR(INDEX(countries!$B:$B,MATCH($C185,countries!$C:$C,0)),"Not in countries"))</f>
        <v>Liberia</v>
      </c>
    </row>
    <row r="186" spans="1:6" x14ac:dyDescent="0.3">
      <c r="A186" t="s">
        <v>3300</v>
      </c>
      <c r="B186" t="s">
        <v>2891</v>
      </c>
      <c r="C186" t="s">
        <v>2621</v>
      </c>
      <c r="E186" t="s">
        <v>3116</v>
      </c>
      <c r="F186" t="str">
        <f>IF($C186="","",IFERROR(INDEX(countries!$B:$B,MATCH($C186,countries!$C:$C,0)),"Not in countries"))</f>
        <v>Liberia</v>
      </c>
    </row>
    <row r="187" spans="1:6" x14ac:dyDescent="0.3">
      <c r="A187" t="s">
        <v>3301</v>
      </c>
      <c r="B187" t="s">
        <v>3029</v>
      </c>
      <c r="C187" t="s">
        <v>2562</v>
      </c>
      <c r="E187" t="s">
        <v>3116</v>
      </c>
      <c r="F187" t="str">
        <f>IF($C187="","",IFERROR(INDEX(countries!$B:$B,MATCH($C187,countries!$C:$C,0)),"Not in countries"))</f>
        <v>Cameroon</v>
      </c>
    </row>
    <row r="188" spans="1:6" x14ac:dyDescent="0.3">
      <c r="A188" t="s">
        <v>3302</v>
      </c>
      <c r="B188" t="s">
        <v>2919</v>
      </c>
      <c r="C188" t="s">
        <v>2562</v>
      </c>
      <c r="E188" t="s">
        <v>3116</v>
      </c>
      <c r="F188" t="str">
        <f>IF($C188="","",IFERROR(INDEX(countries!$B:$B,MATCH($C188,countries!$C:$C,0)),"Not in countries"))</f>
        <v>Cameroon</v>
      </c>
    </row>
    <row r="189" spans="1:6" x14ac:dyDescent="0.3">
      <c r="A189" t="s">
        <v>3303</v>
      </c>
      <c r="B189" t="s">
        <v>2907</v>
      </c>
      <c r="C189" t="s">
        <v>2562</v>
      </c>
      <c r="E189" t="s">
        <v>3116</v>
      </c>
      <c r="F189" t="str">
        <f>IF($C189="","",IFERROR(INDEX(countries!$B:$B,MATCH($C189,countries!$C:$C,0)),"Not in countries"))</f>
        <v>Cameroon</v>
      </c>
    </row>
    <row r="190" spans="1:6" x14ac:dyDescent="0.3">
      <c r="A190" t="s">
        <v>3304</v>
      </c>
      <c r="B190" t="s">
        <v>2891</v>
      </c>
      <c r="C190" t="s">
        <v>2562</v>
      </c>
      <c r="E190" t="s">
        <v>3116</v>
      </c>
      <c r="F190" t="str">
        <f>IF($C190="","",IFERROR(INDEX(countries!$B:$B,MATCH($C190,countries!$C:$C,0)),"Not in countries"))</f>
        <v>Cameroon</v>
      </c>
    </row>
    <row r="191" spans="1:6" x14ac:dyDescent="0.3">
      <c r="A191" t="s">
        <v>3305</v>
      </c>
      <c r="B191" t="s">
        <v>2897</v>
      </c>
      <c r="C191" t="s">
        <v>2562</v>
      </c>
      <c r="E191" t="s">
        <v>3116</v>
      </c>
      <c r="F191" t="str">
        <f>IF($C191="","",IFERROR(INDEX(countries!$B:$B,MATCH($C191,countries!$C:$C,0)),"Not in countries"))</f>
        <v>Cameroon</v>
      </c>
    </row>
    <row r="192" spans="1:6" x14ac:dyDescent="0.3">
      <c r="A192" t="s">
        <v>3306</v>
      </c>
      <c r="B192" t="s">
        <v>2907</v>
      </c>
      <c r="C192" t="s">
        <v>2571</v>
      </c>
      <c r="E192" t="s">
        <v>3116</v>
      </c>
      <c r="F192" t="str">
        <f>IF($C192="","",IFERROR(INDEX(countries!$B:$B,MATCH($C192,countries!$C:$C,0)),"Not in countries"))</f>
        <v>Chad</v>
      </c>
    </row>
    <row r="193" spans="1:6" x14ac:dyDescent="0.3">
      <c r="A193" t="s">
        <v>3307</v>
      </c>
      <c r="B193" t="s">
        <v>2891</v>
      </c>
      <c r="C193" t="s">
        <v>2556</v>
      </c>
      <c r="E193" t="s">
        <v>3116</v>
      </c>
      <c r="F193" t="str">
        <f>IF($C193="","",IFERROR(INDEX(countries!$B:$B,MATCH($C193,countries!$C:$C,0)),"Not in countries"))</f>
        <v>Burkina Faso</v>
      </c>
    </row>
    <row r="194" spans="1:6" x14ac:dyDescent="0.3">
      <c r="A194" t="s">
        <v>3308</v>
      </c>
      <c r="B194" t="s">
        <v>3031</v>
      </c>
      <c r="C194" t="s">
        <v>2556</v>
      </c>
      <c r="E194" t="s">
        <v>3116</v>
      </c>
      <c r="F194" t="str">
        <f>IF($C194="","",IFERROR(INDEX(countries!$B:$B,MATCH($C194,countries!$C:$C,0)),"Not in countries"))</f>
        <v>Burkina Faso</v>
      </c>
    </row>
    <row r="195" spans="1:6" x14ac:dyDescent="0.3">
      <c r="A195" t="s">
        <v>3309</v>
      </c>
      <c r="B195" t="s">
        <v>2907</v>
      </c>
      <c r="C195" t="s">
        <v>2612</v>
      </c>
      <c r="E195" t="s">
        <v>3116</v>
      </c>
      <c r="F195" t="str">
        <f>IF($C195="","",IFERROR(INDEX(countries!$B:$B,MATCH($C195,countries!$C:$C,0)),"Not in countries"))</f>
        <v>Guinea-Bissau</v>
      </c>
    </row>
    <row r="196" spans="1:6" x14ac:dyDescent="0.3">
      <c r="A196" t="s">
        <v>3310</v>
      </c>
      <c r="B196" t="s">
        <v>2919</v>
      </c>
      <c r="C196" t="s">
        <v>2612</v>
      </c>
      <c r="E196" t="s">
        <v>3116</v>
      </c>
      <c r="F196" t="str">
        <f>IF($C196="","",IFERROR(INDEX(countries!$B:$B,MATCH($C196,countries!$C:$C,0)),"Not in countries"))</f>
        <v>Guinea-Bissau</v>
      </c>
    </row>
    <row r="197" spans="1:6" x14ac:dyDescent="0.3">
      <c r="A197" t="s">
        <v>3311</v>
      </c>
      <c r="B197" t="s">
        <v>2857</v>
      </c>
      <c r="C197" t="s">
        <v>2612</v>
      </c>
      <c r="E197" t="s">
        <v>3116</v>
      </c>
      <c r="F197" t="str">
        <f>IF($C197="","",IFERROR(INDEX(countries!$B:$B,MATCH($C197,countries!$C:$C,0)),"Not in countries"))</f>
        <v>Guinea-Bissau</v>
      </c>
    </row>
    <row r="198" spans="1:6" x14ac:dyDescent="0.3">
      <c r="A198" t="s">
        <v>3312</v>
      </c>
      <c r="B198" t="s">
        <v>3033</v>
      </c>
      <c r="C198" t="s">
        <v>2595</v>
      </c>
      <c r="E198" t="s">
        <v>3116</v>
      </c>
      <c r="F198" t="str">
        <f>IF($C198="","",IFERROR(INDEX(countries!$B:$B,MATCH($C198,countries!$C:$C,0)),"Not in countries"))</f>
        <v>Eswatini</v>
      </c>
    </row>
    <row r="199" spans="1:6" x14ac:dyDescent="0.3">
      <c r="A199" t="s">
        <v>3313</v>
      </c>
      <c r="B199" t="s">
        <v>2919</v>
      </c>
      <c r="C199" t="s">
        <v>2595</v>
      </c>
      <c r="E199" t="s">
        <v>3116</v>
      </c>
      <c r="F199" t="str">
        <f>IF($C199="","",IFERROR(INDEX(countries!$B:$B,MATCH($C199,countries!$C:$C,0)),"Not in countries"))</f>
        <v>Eswatini</v>
      </c>
    </row>
    <row r="200" spans="1:6" x14ac:dyDescent="0.3">
      <c r="A200" t="s">
        <v>3314</v>
      </c>
      <c r="B200" t="s">
        <v>2907</v>
      </c>
      <c r="C200" t="s">
        <v>2589</v>
      </c>
      <c r="E200" t="s">
        <v>3116</v>
      </c>
      <c r="F200" t="str">
        <f>IF($C200="","",IFERROR(INDEX(countries!$B:$B,MATCH($C200,countries!$C:$C,0)),"Not in countries"))</f>
        <v>Equatorial Guinea</v>
      </c>
    </row>
    <row r="201" spans="1:6" x14ac:dyDescent="0.3">
      <c r="A201" t="s">
        <v>3315</v>
      </c>
      <c r="B201" t="s">
        <v>2919</v>
      </c>
      <c r="C201" t="s">
        <v>2589</v>
      </c>
      <c r="E201" t="s">
        <v>3116</v>
      </c>
      <c r="F201" t="str">
        <f>IF($C201="","",IFERROR(INDEX(countries!$B:$B,MATCH($C201,countries!$C:$C,0)),"Not in countries"))</f>
        <v>Equatorial Guinea</v>
      </c>
    </row>
    <row r="202" spans="1:6" x14ac:dyDescent="0.3">
      <c r="A202" t="s">
        <v>3316</v>
      </c>
      <c r="B202" t="s">
        <v>2919</v>
      </c>
      <c r="C202" t="s">
        <v>2604</v>
      </c>
      <c r="E202" t="s">
        <v>3116</v>
      </c>
      <c r="F202" t="str">
        <f>IF($C202="","",IFERROR(INDEX(countries!$B:$B,MATCH($C202,countries!$C:$C,0)),"Not in countries"))</f>
        <v>Gambia</v>
      </c>
    </row>
    <row r="203" spans="1:6" x14ac:dyDescent="0.3">
      <c r="A203" t="s">
        <v>3317</v>
      </c>
      <c r="B203" t="s">
        <v>2907</v>
      </c>
      <c r="C203" t="s">
        <v>2604</v>
      </c>
      <c r="E203" t="s">
        <v>3116</v>
      </c>
      <c r="F203" t="str">
        <f>IF($C203="","",IFERROR(INDEX(countries!$B:$B,MATCH($C203,countries!$C:$C,0)),"Not in countries"))</f>
        <v>Gambia</v>
      </c>
    </row>
    <row r="204" spans="1:6" x14ac:dyDescent="0.3">
      <c r="A204" t="s">
        <v>3318</v>
      </c>
      <c r="B204" t="s">
        <v>3035</v>
      </c>
      <c r="C204" t="s">
        <v>2633</v>
      </c>
      <c r="E204" t="s">
        <v>3116</v>
      </c>
      <c r="F204" t="str">
        <f>IF($C204="","",IFERROR(INDEX(countries!$B:$B,MATCH($C204,countries!$C:$C,0)),"Not in countries"))</f>
        <v>Mali</v>
      </c>
    </row>
    <row r="205" spans="1:6" x14ac:dyDescent="0.3">
      <c r="A205" t="s">
        <v>3319</v>
      </c>
      <c r="B205" t="s">
        <v>2840</v>
      </c>
      <c r="C205" t="s">
        <v>2693</v>
      </c>
      <c r="E205" t="s">
        <v>3116</v>
      </c>
      <c r="F205" t="str">
        <f>IF($C205="","",IFERROR(INDEX(countries!$B:$B,MATCH($C205,countries!$C:$C,0)),"Not in countries"))</f>
        <v>South Sudan</v>
      </c>
    </row>
    <row r="206" spans="1:6" x14ac:dyDescent="0.3">
      <c r="A206" t="s">
        <v>3320</v>
      </c>
      <c r="B206" t="s">
        <v>2907</v>
      </c>
      <c r="C206" t="s">
        <v>2702</v>
      </c>
      <c r="E206" t="s">
        <v>3116</v>
      </c>
      <c r="F206" t="str">
        <f>IF($C206="","",IFERROR(INDEX(countries!$B:$B,MATCH($C206,countries!$C:$C,0)),"Not in countries"))</f>
        <v>Togo</v>
      </c>
    </row>
    <row r="207" spans="1:6" x14ac:dyDescent="0.3">
      <c r="A207" t="s">
        <v>3321</v>
      </c>
      <c r="B207" t="s">
        <v>2891</v>
      </c>
      <c r="C207" t="s">
        <v>2702</v>
      </c>
      <c r="E207" t="s">
        <v>3116</v>
      </c>
      <c r="F207" t="str">
        <f>IF($C207="","",IFERROR(INDEX(countries!$B:$B,MATCH($C207,countries!$C:$C,0)),"Not in countries"))</f>
        <v>Togo</v>
      </c>
    </row>
    <row r="208" spans="1:6" x14ac:dyDescent="0.3">
      <c r="A208" t="s">
        <v>3322</v>
      </c>
      <c r="B208" t="s">
        <v>2907</v>
      </c>
      <c r="C208" t="s">
        <v>2552</v>
      </c>
      <c r="E208" t="s">
        <v>3116</v>
      </c>
      <c r="F208" t="str">
        <f>IF($C208="","",IFERROR(INDEX(countries!$B:$B,MATCH($C208,countries!$C:$C,0)),"Not in countries"))</f>
        <v>Benin</v>
      </c>
    </row>
    <row r="209" spans="1:6" x14ac:dyDescent="0.3">
      <c r="A209" t="s">
        <v>3323</v>
      </c>
      <c r="B209" t="s">
        <v>2897</v>
      </c>
      <c r="C209" t="s">
        <v>2552</v>
      </c>
      <c r="E209" t="s">
        <v>3116</v>
      </c>
      <c r="F209" t="str">
        <f>IF($C209="","",IFERROR(INDEX(countries!$B:$B,MATCH($C209,countries!$C:$C,0)),"Not in countries"))</f>
        <v>Benin</v>
      </c>
    </row>
    <row r="210" spans="1:6" x14ac:dyDescent="0.3">
      <c r="A210" t="s">
        <v>3324</v>
      </c>
      <c r="B210" t="s">
        <v>2907</v>
      </c>
      <c r="C210" t="s">
        <v>2559</v>
      </c>
      <c r="E210" t="s">
        <v>3116</v>
      </c>
      <c r="F210" t="str">
        <f>IF($C210="","",IFERROR(INDEX(countries!$B:$B,MATCH($C210,countries!$C:$C,0)),"Not in countries"))</f>
        <v>Burundi</v>
      </c>
    </row>
    <row r="211" spans="1:6" x14ac:dyDescent="0.3">
      <c r="A211" t="s">
        <v>3325</v>
      </c>
      <c r="B211" t="s">
        <v>2859</v>
      </c>
      <c r="C211" t="s">
        <v>2778</v>
      </c>
      <c r="E211" t="s">
        <v>3116</v>
      </c>
      <c r="F211" t="str">
        <f>IF($C211="","",IFERROR(INDEX(countries!$B:$B,MATCH($C211,countries!$C:$C,0)),"Not in countries"))</f>
        <v>Saudi Arabia</v>
      </c>
    </row>
    <row r="212" spans="1:6" x14ac:dyDescent="0.3">
      <c r="A212" t="s">
        <v>3326</v>
      </c>
      <c r="B212" t="s">
        <v>3037</v>
      </c>
      <c r="C212" t="s">
        <v>2778</v>
      </c>
      <c r="E212" t="s">
        <v>3116</v>
      </c>
      <c r="F212" t="str">
        <f>IF($C212="","",IFERROR(INDEX(countries!$B:$B,MATCH($C212,countries!$C:$C,0)),"Not in countries"))</f>
        <v>Saudi Arabia</v>
      </c>
    </row>
    <row r="213" spans="1:6" x14ac:dyDescent="0.3">
      <c r="A213" t="s">
        <v>3327</v>
      </c>
      <c r="B213" t="s">
        <v>2857</v>
      </c>
      <c r="C213" t="s">
        <v>2778</v>
      </c>
      <c r="E213" t="s">
        <v>3116</v>
      </c>
      <c r="F213" t="str">
        <f>IF($C213="","",IFERROR(INDEX(countries!$B:$B,MATCH($C213,countries!$C:$C,0)),"Not in countries"))</f>
        <v>Saudi Arabia</v>
      </c>
    </row>
    <row r="214" spans="1:6" x14ac:dyDescent="0.3">
      <c r="A214" t="s">
        <v>3328</v>
      </c>
      <c r="B214" t="s">
        <v>3039</v>
      </c>
      <c r="C214" t="s">
        <v>2778</v>
      </c>
      <c r="E214" t="s">
        <v>3116</v>
      </c>
      <c r="F214" t="str">
        <f>IF($C214="","",IFERROR(INDEX(countries!$B:$B,MATCH($C214,countries!$C:$C,0)),"Not in countries"))</f>
        <v>Saudi Arabia</v>
      </c>
    </row>
    <row r="215" spans="1:6" x14ac:dyDescent="0.3">
      <c r="A215" t="s">
        <v>3329</v>
      </c>
      <c r="B215" t="s">
        <v>2855</v>
      </c>
      <c r="C215" t="s">
        <v>2778</v>
      </c>
      <c r="E215" t="s">
        <v>3116</v>
      </c>
      <c r="F215" t="str">
        <f>IF($C215="","",IFERROR(INDEX(countries!$B:$B,MATCH($C215,countries!$C:$C,0)),"Not in countries"))</f>
        <v>Saudi Arabia</v>
      </c>
    </row>
    <row r="216" spans="1:6" x14ac:dyDescent="0.3">
      <c r="A216" t="s">
        <v>3330</v>
      </c>
      <c r="B216" t="s">
        <v>3041</v>
      </c>
      <c r="C216" t="s">
        <v>2778</v>
      </c>
      <c r="E216" t="s">
        <v>3116</v>
      </c>
      <c r="F216" t="str">
        <f>IF($C216="","",IFERROR(INDEX(countries!$B:$B,MATCH($C216,countries!$C:$C,0)),"Not in countries"))</f>
        <v>Saudi Arabia</v>
      </c>
    </row>
    <row r="217" spans="1:6" x14ac:dyDescent="0.3">
      <c r="A217" t="s">
        <v>3331</v>
      </c>
      <c r="B217" t="s">
        <v>2891</v>
      </c>
      <c r="C217" t="s">
        <v>2778</v>
      </c>
      <c r="E217" t="s">
        <v>3116</v>
      </c>
      <c r="F217" t="str">
        <f>IF($C217="","",IFERROR(INDEX(countries!$B:$B,MATCH($C217,countries!$C:$C,0)),"Not in countries"))</f>
        <v>Saudi Arabia</v>
      </c>
    </row>
    <row r="218" spans="1:6" x14ac:dyDescent="0.3">
      <c r="A218" t="s">
        <v>3332</v>
      </c>
      <c r="B218" t="s">
        <v>3043</v>
      </c>
      <c r="C218" t="s">
        <v>2778</v>
      </c>
      <c r="E218" t="s">
        <v>3116</v>
      </c>
      <c r="F218" t="str">
        <f>IF($C218="","",IFERROR(INDEX(countries!$B:$B,MATCH($C218,countries!$C:$C,0)),"Not in countries"))</f>
        <v>Saudi Arabia</v>
      </c>
    </row>
    <row r="219" spans="1:6" x14ac:dyDescent="0.3">
      <c r="A219" t="s">
        <v>3333</v>
      </c>
      <c r="B219" t="s">
        <v>2865</v>
      </c>
      <c r="C219" t="s">
        <v>2778</v>
      </c>
      <c r="E219" t="s">
        <v>3116</v>
      </c>
      <c r="F219" t="str">
        <f>IF($C219="","",IFERROR(INDEX(countries!$B:$B,MATCH($C219,countries!$C:$C,0)),"Not in countries"))</f>
        <v>Saudi Arabia</v>
      </c>
    </row>
    <row r="220" spans="1:6" x14ac:dyDescent="0.3">
      <c r="A220" t="s">
        <v>3334</v>
      </c>
      <c r="B220" t="s">
        <v>3045</v>
      </c>
      <c r="C220" t="s">
        <v>2778</v>
      </c>
      <c r="E220" t="s">
        <v>3116</v>
      </c>
      <c r="F220" t="str">
        <f>IF($C220="","",IFERROR(INDEX(countries!$B:$B,MATCH($C220,countries!$C:$C,0)),"Not in countries"))</f>
        <v>Saudi Arabia</v>
      </c>
    </row>
    <row r="221" spans="1:6" x14ac:dyDescent="0.3">
      <c r="A221" t="s">
        <v>3335</v>
      </c>
      <c r="B221" t="s">
        <v>2840</v>
      </c>
      <c r="C221" t="s">
        <v>2778</v>
      </c>
      <c r="E221" t="s">
        <v>3116</v>
      </c>
      <c r="F221" t="str">
        <f>IF($C221="","",IFERROR(INDEX(countries!$B:$B,MATCH($C221,countries!$C:$C,0)),"Not in countries"))</f>
        <v>Saudi Arabia</v>
      </c>
    </row>
    <row r="222" spans="1:6" x14ac:dyDescent="0.3">
      <c r="A222" t="s">
        <v>3336</v>
      </c>
      <c r="B222" t="s">
        <v>2857</v>
      </c>
      <c r="C222" t="s">
        <v>2783</v>
      </c>
      <c r="E222" t="s">
        <v>3116</v>
      </c>
      <c r="F222" t="str">
        <f>IF($C222="","",IFERROR(INDEX(countries!$B:$B,MATCH($C222,countries!$C:$C,0)),"Not in countries"))</f>
        <v>United Arab Emirates</v>
      </c>
    </row>
    <row r="223" spans="1:6" x14ac:dyDescent="0.3">
      <c r="A223" t="s">
        <v>3337</v>
      </c>
      <c r="B223" t="s">
        <v>2859</v>
      </c>
      <c r="C223" t="s">
        <v>2783</v>
      </c>
      <c r="E223" t="s">
        <v>3116</v>
      </c>
      <c r="F223" t="str">
        <f>IF($C223="","",IFERROR(INDEX(countries!$B:$B,MATCH($C223,countries!$C:$C,0)),"Not in countries"))</f>
        <v>United Arab Emirates</v>
      </c>
    </row>
    <row r="224" spans="1:6" x14ac:dyDescent="0.3">
      <c r="A224" t="s">
        <v>3338</v>
      </c>
      <c r="B224" t="s">
        <v>2865</v>
      </c>
      <c r="C224" t="s">
        <v>2783</v>
      </c>
      <c r="E224" t="s">
        <v>3116</v>
      </c>
      <c r="F224" t="str">
        <f>IF($C224="","",IFERROR(INDEX(countries!$B:$B,MATCH($C224,countries!$C:$C,0)),"Not in countries"))</f>
        <v>United Arab Emirates</v>
      </c>
    </row>
    <row r="225" spans="1:6" x14ac:dyDescent="0.3">
      <c r="A225" t="s">
        <v>3339</v>
      </c>
      <c r="B225" t="s">
        <v>3047</v>
      </c>
      <c r="C225" t="s">
        <v>2783</v>
      </c>
      <c r="E225" t="s">
        <v>3116</v>
      </c>
      <c r="F225" t="str">
        <f>IF($C225="","",IFERROR(INDEX(countries!$B:$B,MATCH($C225,countries!$C:$C,0)),"Not in countries"))</f>
        <v>United Arab Emirates</v>
      </c>
    </row>
    <row r="226" spans="1:6" x14ac:dyDescent="0.3">
      <c r="A226" t="s">
        <v>3340</v>
      </c>
      <c r="B226" t="s">
        <v>3007</v>
      </c>
      <c r="C226" t="s">
        <v>2783</v>
      </c>
      <c r="E226" t="s">
        <v>3116</v>
      </c>
      <c r="F226" t="str">
        <f>IF($C226="","",IFERROR(INDEX(countries!$B:$B,MATCH($C226,countries!$C:$C,0)),"Not in countries"))</f>
        <v>United Arab Emirates</v>
      </c>
    </row>
    <row r="227" spans="1:6" x14ac:dyDescent="0.3">
      <c r="A227" t="s">
        <v>3341</v>
      </c>
      <c r="B227" t="s">
        <v>3049</v>
      </c>
      <c r="C227" t="s">
        <v>2783</v>
      </c>
      <c r="E227" t="s">
        <v>3116</v>
      </c>
      <c r="F227" t="str">
        <f>IF($C227="","",IFERROR(INDEX(countries!$B:$B,MATCH($C227,countries!$C:$C,0)),"Not in countries"))</f>
        <v>United Arab Emirates</v>
      </c>
    </row>
    <row r="228" spans="1:6" x14ac:dyDescent="0.3">
      <c r="A228" t="s">
        <v>3342</v>
      </c>
      <c r="B228" t="s">
        <v>3051</v>
      </c>
      <c r="C228" t="s">
        <v>2783</v>
      </c>
      <c r="E228" t="s">
        <v>3116</v>
      </c>
      <c r="F228" t="str">
        <f>IF($C228="","",IFERROR(INDEX(countries!$B:$B,MATCH($C228,countries!$C:$C,0)),"Not in countries"))</f>
        <v>United Arab Emirates</v>
      </c>
    </row>
    <row r="229" spans="1:6" x14ac:dyDescent="0.3">
      <c r="A229" t="s">
        <v>3343</v>
      </c>
      <c r="B229" t="s">
        <v>2891</v>
      </c>
      <c r="C229" t="s">
        <v>2783</v>
      </c>
      <c r="E229" t="s">
        <v>3116</v>
      </c>
      <c r="F229" t="str">
        <f>IF($C229="","",IFERROR(INDEX(countries!$B:$B,MATCH($C229,countries!$C:$C,0)),"Not in countries"))</f>
        <v>United Arab Emirates</v>
      </c>
    </row>
    <row r="230" spans="1:6" x14ac:dyDescent="0.3">
      <c r="A230" t="s">
        <v>3344</v>
      </c>
      <c r="B230" t="s">
        <v>2855</v>
      </c>
      <c r="C230" t="s">
        <v>2783</v>
      </c>
      <c r="E230" t="s">
        <v>3116</v>
      </c>
      <c r="F230" t="str">
        <f>IF($C230="","",IFERROR(INDEX(countries!$B:$B,MATCH($C230,countries!$C:$C,0)),"Not in countries"))</f>
        <v>United Arab Emirates</v>
      </c>
    </row>
    <row r="231" spans="1:6" x14ac:dyDescent="0.3">
      <c r="A231" t="s">
        <v>3345</v>
      </c>
      <c r="B231" t="s">
        <v>3011</v>
      </c>
      <c r="C231" t="s">
        <v>2783</v>
      </c>
      <c r="E231" t="s">
        <v>3116</v>
      </c>
      <c r="F231" t="str">
        <f>IF($C231="","",IFERROR(INDEX(countries!$B:$B,MATCH($C231,countries!$C:$C,0)),"Not in countries"))</f>
        <v>United Arab Emirates</v>
      </c>
    </row>
    <row r="232" spans="1:6" x14ac:dyDescent="0.3">
      <c r="A232" t="s">
        <v>3346</v>
      </c>
      <c r="B232" t="s">
        <v>3053</v>
      </c>
      <c r="C232" t="s">
        <v>2783</v>
      </c>
      <c r="E232" t="s">
        <v>3116</v>
      </c>
      <c r="F232" t="str">
        <f>IF($C232="","",IFERROR(INDEX(countries!$B:$B,MATCH($C232,countries!$C:$C,0)),"Not in countries"))</f>
        <v>United Arab Emirates</v>
      </c>
    </row>
    <row r="233" spans="1:6" x14ac:dyDescent="0.3">
      <c r="A233" t="s">
        <v>3347</v>
      </c>
      <c r="B233" t="s">
        <v>3055</v>
      </c>
      <c r="C233" t="s">
        <v>2783</v>
      </c>
      <c r="E233" t="s">
        <v>3116</v>
      </c>
      <c r="F233" t="str">
        <f>IF($C233="","",IFERROR(INDEX(countries!$B:$B,MATCH($C233,countries!$C:$C,0)),"Not in countries"))</f>
        <v>United Arab Emirates</v>
      </c>
    </row>
    <row r="234" spans="1:6" x14ac:dyDescent="0.3">
      <c r="A234" t="s">
        <v>3348</v>
      </c>
      <c r="B234" t="s">
        <v>2840</v>
      </c>
      <c r="C234" t="s">
        <v>2783</v>
      </c>
      <c r="E234" t="s">
        <v>3116</v>
      </c>
      <c r="F234" t="str">
        <f>IF($C234="","",IFERROR(INDEX(countries!$B:$B,MATCH($C234,countries!$C:$C,0)),"Not in countries"))</f>
        <v>United Arab Emirates</v>
      </c>
    </row>
    <row r="235" spans="1:6" x14ac:dyDescent="0.3">
      <c r="A235" t="s">
        <v>3349</v>
      </c>
      <c r="B235" t="s">
        <v>3057</v>
      </c>
      <c r="C235" t="s">
        <v>2783</v>
      </c>
      <c r="E235" t="s">
        <v>3116</v>
      </c>
      <c r="F235" t="str">
        <f>IF($C235="","",IFERROR(INDEX(countries!$B:$B,MATCH($C235,countries!$C:$C,0)),"Not in countries"))</f>
        <v>United Arab Emirates</v>
      </c>
    </row>
    <row r="236" spans="1:6" x14ac:dyDescent="0.3">
      <c r="A236" t="s">
        <v>3350</v>
      </c>
      <c r="B236" t="s">
        <v>3059</v>
      </c>
      <c r="C236" t="s">
        <v>2783</v>
      </c>
      <c r="E236" t="s">
        <v>3116</v>
      </c>
      <c r="F236" t="str">
        <f>IF($C236="","",IFERROR(INDEX(countries!$B:$B,MATCH($C236,countries!$C:$C,0)),"Not in countries"))</f>
        <v>United Arab Emirates</v>
      </c>
    </row>
    <row r="237" spans="1:6" x14ac:dyDescent="0.3">
      <c r="A237" t="s">
        <v>3351</v>
      </c>
      <c r="B237" t="s">
        <v>3061</v>
      </c>
      <c r="C237" t="s">
        <v>2783</v>
      </c>
      <c r="E237" t="s">
        <v>3116</v>
      </c>
      <c r="F237" t="str">
        <f>IF($C237="","",IFERROR(INDEX(countries!$B:$B,MATCH($C237,countries!$C:$C,0)),"Not in countries"))</f>
        <v>United Arab Emirates</v>
      </c>
    </row>
    <row r="238" spans="1:6" x14ac:dyDescent="0.3">
      <c r="A238" t="s">
        <v>3352</v>
      </c>
      <c r="B238" t="s">
        <v>3063</v>
      </c>
      <c r="C238" t="s">
        <v>2783</v>
      </c>
      <c r="E238" t="s">
        <v>3116</v>
      </c>
      <c r="F238" t="str">
        <f>IF($C238="","",IFERROR(INDEX(countries!$B:$B,MATCH($C238,countries!$C:$C,0)),"Not in countries"))</f>
        <v>United Arab Emirates</v>
      </c>
    </row>
    <row r="239" spans="1:6" x14ac:dyDescent="0.3">
      <c r="A239" t="s">
        <v>3353</v>
      </c>
      <c r="B239" t="s">
        <v>3065</v>
      </c>
      <c r="C239" t="s">
        <v>2783</v>
      </c>
      <c r="E239" t="s">
        <v>3116</v>
      </c>
      <c r="F239" t="str">
        <f>IF($C239="","",IFERROR(INDEX(countries!$B:$B,MATCH($C239,countries!$C:$C,0)),"Not in countries"))</f>
        <v>United Arab Emirates</v>
      </c>
    </row>
    <row r="240" spans="1:6" x14ac:dyDescent="0.3">
      <c r="A240" t="s">
        <v>3354</v>
      </c>
      <c r="B240" t="s">
        <v>2887</v>
      </c>
      <c r="C240" t="s">
        <v>2783</v>
      </c>
      <c r="E240" t="s">
        <v>3116</v>
      </c>
      <c r="F240" t="str">
        <f>IF($C240="","",IFERROR(INDEX(countries!$B:$B,MATCH($C240,countries!$C:$C,0)),"Not in countries"))</f>
        <v>United Arab Emirates</v>
      </c>
    </row>
    <row r="241" spans="1:6" x14ac:dyDescent="0.3">
      <c r="A241" t="s">
        <v>3355</v>
      </c>
      <c r="B241" t="s">
        <v>3067</v>
      </c>
      <c r="C241" t="s">
        <v>2783</v>
      </c>
      <c r="E241" t="s">
        <v>3116</v>
      </c>
      <c r="F241" t="str">
        <f>IF($C241="","",IFERROR(INDEX(countries!$B:$B,MATCH($C241,countries!$C:$C,0)),"Not in countries"))</f>
        <v>United Arab Emirates</v>
      </c>
    </row>
    <row r="242" spans="1:6" x14ac:dyDescent="0.3">
      <c r="A242" t="s">
        <v>3356</v>
      </c>
      <c r="B242" t="s">
        <v>3043</v>
      </c>
      <c r="C242" t="s">
        <v>2783</v>
      </c>
      <c r="E242" t="s">
        <v>3116</v>
      </c>
      <c r="F242" t="str">
        <f>IF($C242="","",IFERROR(INDEX(countries!$B:$B,MATCH($C242,countries!$C:$C,0)),"Not in countries"))</f>
        <v>United Arab Emirates</v>
      </c>
    </row>
    <row r="243" spans="1:6" x14ac:dyDescent="0.3">
      <c r="A243" t="s">
        <v>3357</v>
      </c>
      <c r="B243" t="s">
        <v>3069</v>
      </c>
      <c r="C243" t="s">
        <v>2783</v>
      </c>
      <c r="E243" t="s">
        <v>3116</v>
      </c>
      <c r="F243" t="str">
        <f>IF($C243="","",IFERROR(INDEX(countries!$B:$B,MATCH($C243,countries!$C:$C,0)),"Not in countries"))</f>
        <v>United Arab Emirates</v>
      </c>
    </row>
    <row r="244" spans="1:6" x14ac:dyDescent="0.3">
      <c r="A244" t="s">
        <v>3358</v>
      </c>
      <c r="B244" t="s">
        <v>2919</v>
      </c>
      <c r="C244" t="s">
        <v>2783</v>
      </c>
      <c r="E244" t="s">
        <v>3116</v>
      </c>
      <c r="F244" t="str">
        <f>IF($C244="","",IFERROR(INDEX(countries!$B:$B,MATCH($C244,countries!$C:$C,0)),"Not in countries"))</f>
        <v>United Arab Emirates</v>
      </c>
    </row>
    <row r="245" spans="1:6" x14ac:dyDescent="0.3">
      <c r="A245" t="s">
        <v>3359</v>
      </c>
      <c r="B245" t="s">
        <v>3071</v>
      </c>
      <c r="C245" t="s">
        <v>2783</v>
      </c>
      <c r="E245" t="s">
        <v>3116</v>
      </c>
      <c r="F245" t="str">
        <f>IF($C245="","",IFERROR(INDEX(countries!$B:$B,MATCH($C245,countries!$C:$C,0)),"Not in countries"))</f>
        <v>United Arab Emirates</v>
      </c>
    </row>
    <row r="246" spans="1:6" x14ac:dyDescent="0.3">
      <c r="A246" t="s">
        <v>3360</v>
      </c>
      <c r="B246" t="s">
        <v>2907</v>
      </c>
      <c r="C246" t="s">
        <v>2783</v>
      </c>
      <c r="E246" t="s">
        <v>3116</v>
      </c>
      <c r="F246" t="str">
        <f>IF($C246="","",IFERROR(INDEX(countries!$B:$B,MATCH($C246,countries!$C:$C,0)),"Not in countries"))</f>
        <v>United Arab Emirates</v>
      </c>
    </row>
    <row r="247" spans="1:6" x14ac:dyDescent="0.3">
      <c r="A247" t="s">
        <v>3361</v>
      </c>
      <c r="B247" t="s">
        <v>2987</v>
      </c>
      <c r="C247" t="s">
        <v>2783</v>
      </c>
      <c r="E247" t="s">
        <v>3116</v>
      </c>
      <c r="F247" t="str">
        <f>IF($C247="","",IFERROR(INDEX(countries!$B:$B,MATCH($C247,countries!$C:$C,0)),"Not in countries"))</f>
        <v>United Arab Emirates</v>
      </c>
    </row>
    <row r="248" spans="1:6" x14ac:dyDescent="0.3">
      <c r="A248" t="s">
        <v>3362</v>
      </c>
      <c r="B248" t="s">
        <v>2855</v>
      </c>
      <c r="C248" t="s">
        <v>2786</v>
      </c>
      <c r="E248" t="s">
        <v>3116</v>
      </c>
      <c r="F248" t="str">
        <f>IF($C248="","",IFERROR(INDEX(countries!$B:$B,MATCH($C248,countries!$C:$C,0)),"Not in countries"))</f>
        <v>Oman</v>
      </c>
    </row>
    <row r="249" spans="1:6" x14ac:dyDescent="0.3">
      <c r="A249" t="s">
        <v>3363</v>
      </c>
      <c r="B249" t="s">
        <v>2857</v>
      </c>
      <c r="C249" t="s">
        <v>2786</v>
      </c>
      <c r="E249" t="s">
        <v>3116</v>
      </c>
      <c r="F249" t="str">
        <f>IF($C249="","",IFERROR(INDEX(countries!$B:$B,MATCH($C249,countries!$C:$C,0)),"Not in countries"))</f>
        <v>Oman</v>
      </c>
    </row>
    <row r="250" spans="1:6" x14ac:dyDescent="0.3">
      <c r="A250" t="s">
        <v>3364</v>
      </c>
      <c r="B250" t="s">
        <v>2859</v>
      </c>
      <c r="C250" t="s">
        <v>2786</v>
      </c>
      <c r="E250" t="s">
        <v>3116</v>
      </c>
      <c r="F250" t="str">
        <f>IF($C250="","",IFERROR(INDEX(countries!$B:$B,MATCH($C250,countries!$C:$C,0)),"Not in countries"))</f>
        <v>Oman</v>
      </c>
    </row>
    <row r="251" spans="1:6" x14ac:dyDescent="0.3">
      <c r="A251" t="s">
        <v>3365</v>
      </c>
      <c r="B251" t="s">
        <v>2840</v>
      </c>
      <c r="C251" t="s">
        <v>2786</v>
      </c>
      <c r="E251" t="s">
        <v>3116</v>
      </c>
      <c r="F251" t="str">
        <f>IF($C251="","",IFERROR(INDEX(countries!$B:$B,MATCH($C251,countries!$C:$C,0)),"Not in countries"))</f>
        <v>Oman</v>
      </c>
    </row>
    <row r="252" spans="1:6" x14ac:dyDescent="0.3">
      <c r="A252" t="s">
        <v>3366</v>
      </c>
      <c r="B252" t="s">
        <v>2891</v>
      </c>
      <c r="C252" t="s">
        <v>2786</v>
      </c>
      <c r="E252" t="s">
        <v>3116</v>
      </c>
      <c r="F252" t="str">
        <f>IF($C252="","",IFERROR(INDEX(countries!$B:$B,MATCH($C252,countries!$C:$C,0)),"Not in countries"))</f>
        <v>Oman</v>
      </c>
    </row>
    <row r="253" spans="1:6" x14ac:dyDescent="0.3">
      <c r="A253" t="s">
        <v>3367</v>
      </c>
      <c r="B253" t="s">
        <v>3007</v>
      </c>
      <c r="C253" t="s">
        <v>2786</v>
      </c>
      <c r="E253" t="s">
        <v>3116</v>
      </c>
      <c r="F253" t="str">
        <f>IF($C253="","",IFERROR(INDEX(countries!$B:$B,MATCH($C253,countries!$C:$C,0)),"Not in countries"))</f>
        <v>Oman</v>
      </c>
    </row>
    <row r="254" spans="1:6" x14ac:dyDescent="0.3">
      <c r="A254" t="s">
        <v>3368</v>
      </c>
      <c r="B254" t="s">
        <v>3045</v>
      </c>
      <c r="C254" t="s">
        <v>2786</v>
      </c>
      <c r="E254" t="s">
        <v>3116</v>
      </c>
      <c r="F254" t="str">
        <f>IF($C254="","",IFERROR(INDEX(countries!$B:$B,MATCH($C254,countries!$C:$C,0)),"Not in countries"))</f>
        <v>Oman</v>
      </c>
    </row>
    <row r="255" spans="1:6" x14ac:dyDescent="0.3">
      <c r="A255" t="s">
        <v>3369</v>
      </c>
      <c r="B255" t="s">
        <v>3073</v>
      </c>
      <c r="C255" t="s">
        <v>2789</v>
      </c>
      <c r="E255" t="s">
        <v>3116</v>
      </c>
      <c r="F255" t="str">
        <f>IF($C255="","",IFERROR(INDEX(countries!$B:$B,MATCH($C255,countries!$C:$C,0)),"Not in countries"))</f>
        <v>Israel</v>
      </c>
    </row>
    <row r="256" spans="1:6" x14ac:dyDescent="0.3">
      <c r="A256" t="s">
        <v>3370</v>
      </c>
      <c r="B256" t="s">
        <v>3075</v>
      </c>
      <c r="C256" t="s">
        <v>2789</v>
      </c>
      <c r="E256" t="s">
        <v>3116</v>
      </c>
      <c r="F256" t="str">
        <f>IF($C256="","",IFERROR(INDEX(countries!$B:$B,MATCH($C256,countries!$C:$C,0)),"Not in countries"))</f>
        <v>Israel</v>
      </c>
    </row>
    <row r="257" spans="1:6" x14ac:dyDescent="0.3">
      <c r="A257" t="s">
        <v>3371</v>
      </c>
      <c r="B257" t="s">
        <v>3077</v>
      </c>
      <c r="C257" t="s">
        <v>2789</v>
      </c>
      <c r="E257" t="s">
        <v>3116</v>
      </c>
      <c r="F257" t="str">
        <f>IF($C257="","",IFERROR(INDEX(countries!$B:$B,MATCH($C257,countries!$C:$C,0)),"Not in countries"))</f>
        <v>Israel</v>
      </c>
    </row>
    <row r="258" spans="1:6" x14ac:dyDescent="0.3">
      <c r="A258" t="s">
        <v>3372</v>
      </c>
      <c r="B258" t="s">
        <v>3079</v>
      </c>
      <c r="C258" t="s">
        <v>2789</v>
      </c>
      <c r="E258" t="s">
        <v>3116</v>
      </c>
      <c r="F258" t="str">
        <f>IF($C258="","",IFERROR(INDEX(countries!$B:$B,MATCH($C258,countries!$C:$C,0)),"Not in countries"))</f>
        <v>Israel</v>
      </c>
    </row>
    <row r="259" spans="1:6" x14ac:dyDescent="0.3">
      <c r="A259" t="s">
        <v>3373</v>
      </c>
      <c r="B259" t="s">
        <v>3081</v>
      </c>
      <c r="C259" t="s">
        <v>2792</v>
      </c>
      <c r="E259" t="s">
        <v>3116</v>
      </c>
      <c r="F259" t="str">
        <f>IF($C259="","",IFERROR(INDEX(countries!$B:$B,MATCH($C259,countries!$C:$C,0)),"Not in countries"))</f>
        <v>Qatar</v>
      </c>
    </row>
    <row r="260" spans="1:6" x14ac:dyDescent="0.3">
      <c r="A260" t="s">
        <v>3374</v>
      </c>
      <c r="B260" t="s">
        <v>3083</v>
      </c>
      <c r="C260" t="s">
        <v>2792</v>
      </c>
      <c r="E260" t="s">
        <v>3116</v>
      </c>
      <c r="F260" t="str">
        <f>IF($C260="","",IFERROR(INDEX(countries!$B:$B,MATCH($C260,countries!$C:$C,0)),"Not in countries"))</f>
        <v>Qatar</v>
      </c>
    </row>
    <row r="261" spans="1:6" x14ac:dyDescent="0.3">
      <c r="A261" t="s">
        <v>3375</v>
      </c>
      <c r="B261" t="s">
        <v>3085</v>
      </c>
      <c r="C261" t="s">
        <v>2792</v>
      </c>
      <c r="E261" t="s">
        <v>3116</v>
      </c>
      <c r="F261" t="str">
        <f>IF($C261="","",IFERROR(INDEX(countries!$B:$B,MATCH($C261,countries!$C:$C,0)),"Not in countries"))</f>
        <v>Qatar</v>
      </c>
    </row>
    <row r="262" spans="1:6" x14ac:dyDescent="0.3">
      <c r="A262" t="s">
        <v>3376</v>
      </c>
      <c r="B262" t="s">
        <v>3071</v>
      </c>
      <c r="C262" t="s">
        <v>2792</v>
      </c>
      <c r="E262" t="s">
        <v>3116</v>
      </c>
      <c r="F262" t="str">
        <f>IF($C262="","",IFERROR(INDEX(countries!$B:$B,MATCH($C262,countries!$C:$C,0)),"Not in countries"))</f>
        <v>Qatar</v>
      </c>
    </row>
    <row r="263" spans="1:6" x14ac:dyDescent="0.3">
      <c r="A263" t="s">
        <v>3377</v>
      </c>
      <c r="B263" t="s">
        <v>2857</v>
      </c>
      <c r="C263" t="s">
        <v>2792</v>
      </c>
      <c r="E263" t="s">
        <v>3116</v>
      </c>
      <c r="F263" t="str">
        <f>IF($C263="","",IFERROR(INDEX(countries!$B:$B,MATCH($C263,countries!$C:$C,0)),"Not in countries"))</f>
        <v>Qatar</v>
      </c>
    </row>
    <row r="264" spans="1:6" x14ac:dyDescent="0.3">
      <c r="A264" t="s">
        <v>3378</v>
      </c>
      <c r="B264" t="s">
        <v>3013</v>
      </c>
      <c r="C264" t="s">
        <v>2792</v>
      </c>
      <c r="E264" t="s">
        <v>3116</v>
      </c>
      <c r="F264" t="str">
        <f>IF($C264="","",IFERROR(INDEX(countries!$B:$B,MATCH($C264,countries!$C:$C,0)),"Not in countries"))</f>
        <v>Qatar</v>
      </c>
    </row>
    <row r="265" spans="1:6" x14ac:dyDescent="0.3">
      <c r="A265" t="s">
        <v>3379</v>
      </c>
      <c r="B265" t="s">
        <v>3061</v>
      </c>
      <c r="C265" t="s">
        <v>2792</v>
      </c>
      <c r="E265" t="s">
        <v>3116</v>
      </c>
      <c r="F265" t="str">
        <f>IF($C265="","",IFERROR(INDEX(countries!$B:$B,MATCH($C265,countries!$C:$C,0)),"Not in countries"))</f>
        <v>Qatar</v>
      </c>
    </row>
    <row r="266" spans="1:6" x14ac:dyDescent="0.3">
      <c r="A266" t="s">
        <v>3380</v>
      </c>
      <c r="B266" t="s">
        <v>2859</v>
      </c>
      <c r="C266" t="s">
        <v>2792</v>
      </c>
      <c r="E266" t="s">
        <v>3116</v>
      </c>
      <c r="F266" t="str">
        <f>IF($C266="","",IFERROR(INDEX(countries!$B:$B,MATCH($C266,countries!$C:$C,0)),"Not in countries"))</f>
        <v>Qatar</v>
      </c>
    </row>
    <row r="267" spans="1:6" x14ac:dyDescent="0.3">
      <c r="A267" t="s">
        <v>3381</v>
      </c>
      <c r="B267" t="s">
        <v>3087</v>
      </c>
      <c r="C267" t="s">
        <v>2792</v>
      </c>
      <c r="E267" t="s">
        <v>3116</v>
      </c>
      <c r="F267" t="str">
        <f>IF($C267="","",IFERROR(INDEX(countries!$B:$B,MATCH($C267,countries!$C:$C,0)),"Not in countries"))</f>
        <v>Qatar</v>
      </c>
    </row>
    <row r="268" spans="1:6" x14ac:dyDescent="0.3">
      <c r="A268" t="s">
        <v>3382</v>
      </c>
      <c r="B268" t="s">
        <v>3089</v>
      </c>
      <c r="C268" t="s">
        <v>2795</v>
      </c>
      <c r="E268" t="s">
        <v>3116</v>
      </c>
      <c r="F268" t="str">
        <f>IF($C268="","",IFERROR(INDEX(countries!$B:$B,MATCH($C268,countries!$C:$C,0)),"Not in countries"))</f>
        <v>Jordan</v>
      </c>
    </row>
    <row r="269" spans="1:6" x14ac:dyDescent="0.3">
      <c r="A269" t="s">
        <v>3383</v>
      </c>
      <c r="B269" t="s">
        <v>3091</v>
      </c>
      <c r="C269" t="s">
        <v>2795</v>
      </c>
      <c r="E269" t="s">
        <v>3116</v>
      </c>
      <c r="F269" t="str">
        <f>IF($C269="","",IFERROR(INDEX(countries!$B:$B,MATCH($C269,countries!$C:$C,0)),"Not in countries"))</f>
        <v>Jordan</v>
      </c>
    </row>
    <row r="270" spans="1:6" x14ac:dyDescent="0.3">
      <c r="A270" t="s">
        <v>3384</v>
      </c>
      <c r="B270" t="s">
        <v>2859</v>
      </c>
      <c r="C270" t="s">
        <v>2795</v>
      </c>
      <c r="E270" t="s">
        <v>3116</v>
      </c>
      <c r="F270" t="str">
        <f>IF($C270="","",IFERROR(INDEX(countries!$B:$B,MATCH($C270,countries!$C:$C,0)),"Not in countries"))</f>
        <v>Jordan</v>
      </c>
    </row>
    <row r="271" spans="1:6" x14ac:dyDescent="0.3">
      <c r="A271" t="s">
        <v>3385</v>
      </c>
      <c r="B271" t="s">
        <v>2855</v>
      </c>
      <c r="C271" t="s">
        <v>2795</v>
      </c>
      <c r="E271" t="s">
        <v>3116</v>
      </c>
      <c r="F271" t="str">
        <f>IF($C271="","",IFERROR(INDEX(countries!$B:$B,MATCH($C271,countries!$C:$C,0)),"Not in countries"))</f>
        <v>Jordan</v>
      </c>
    </row>
    <row r="272" spans="1:6" x14ac:dyDescent="0.3">
      <c r="A272" t="s">
        <v>3386</v>
      </c>
      <c r="B272" t="s">
        <v>3093</v>
      </c>
      <c r="C272" t="s">
        <v>2795</v>
      </c>
      <c r="E272" t="s">
        <v>3116</v>
      </c>
      <c r="F272" t="str">
        <f>IF($C272="","",IFERROR(INDEX(countries!$B:$B,MATCH($C272,countries!$C:$C,0)),"Not in countries"))</f>
        <v>Jordan</v>
      </c>
    </row>
    <row r="273" spans="1:6" x14ac:dyDescent="0.3">
      <c r="A273" t="s">
        <v>3387</v>
      </c>
      <c r="B273" t="s">
        <v>3095</v>
      </c>
      <c r="C273" t="s">
        <v>2795</v>
      </c>
      <c r="E273" t="s">
        <v>3116</v>
      </c>
      <c r="F273" t="str">
        <f>IF($C273="","",IFERROR(INDEX(countries!$B:$B,MATCH($C273,countries!$C:$C,0)),"Not in countries"))</f>
        <v>Jordan</v>
      </c>
    </row>
    <row r="274" spans="1:6" x14ac:dyDescent="0.3">
      <c r="A274" t="s">
        <v>3388</v>
      </c>
      <c r="B274" t="s">
        <v>3081</v>
      </c>
      <c r="C274" t="s">
        <v>2798</v>
      </c>
      <c r="E274" t="s">
        <v>3116</v>
      </c>
      <c r="F274" t="str">
        <f>IF($C274="","",IFERROR(INDEX(countries!$B:$B,MATCH($C274,countries!$C:$C,0)),"Not in countries"))</f>
        <v>Kuwait</v>
      </c>
    </row>
    <row r="275" spans="1:6" x14ac:dyDescent="0.3">
      <c r="A275" t="s">
        <v>3389</v>
      </c>
      <c r="B275" t="s">
        <v>3071</v>
      </c>
      <c r="C275" t="s">
        <v>2798</v>
      </c>
      <c r="E275" t="s">
        <v>3116</v>
      </c>
      <c r="F275" t="str">
        <f>IF($C275="","",IFERROR(INDEX(countries!$B:$B,MATCH($C275,countries!$C:$C,0)),"Not in countries"))</f>
        <v>Kuwait</v>
      </c>
    </row>
    <row r="276" spans="1:6" x14ac:dyDescent="0.3">
      <c r="A276" t="s">
        <v>3390</v>
      </c>
      <c r="B276" t="s">
        <v>2857</v>
      </c>
      <c r="C276" t="s">
        <v>2798</v>
      </c>
      <c r="E276" t="s">
        <v>3116</v>
      </c>
      <c r="F276" t="str">
        <f>IF($C276="","",IFERROR(INDEX(countries!$B:$B,MATCH($C276,countries!$C:$C,0)),"Not in countries"))</f>
        <v>Kuwait</v>
      </c>
    </row>
    <row r="277" spans="1:6" x14ac:dyDescent="0.3">
      <c r="A277" t="s">
        <v>3391</v>
      </c>
      <c r="B277" t="s">
        <v>3097</v>
      </c>
      <c r="C277" t="s">
        <v>2798</v>
      </c>
      <c r="E277" t="s">
        <v>3116</v>
      </c>
      <c r="F277" t="str">
        <f>IF($C277="","",IFERROR(INDEX(countries!$B:$B,MATCH($C277,countries!$C:$C,0)),"Not in countries"))</f>
        <v>Kuwait</v>
      </c>
    </row>
    <row r="278" spans="1:6" x14ac:dyDescent="0.3">
      <c r="A278" t="s">
        <v>3392</v>
      </c>
      <c r="B278" t="s">
        <v>3099</v>
      </c>
      <c r="C278" t="s">
        <v>2798</v>
      </c>
      <c r="E278" t="s">
        <v>3116</v>
      </c>
      <c r="F278" t="str">
        <f>IF($C278="","",IFERROR(INDEX(countries!$B:$B,MATCH($C278,countries!$C:$C,0)),"Not in countries"))</f>
        <v>Kuwait</v>
      </c>
    </row>
    <row r="279" spans="1:6" x14ac:dyDescent="0.3">
      <c r="A279" t="s">
        <v>3393</v>
      </c>
      <c r="B279" t="s">
        <v>3001</v>
      </c>
      <c r="C279" t="s">
        <v>2798</v>
      </c>
      <c r="E279" t="s">
        <v>3116</v>
      </c>
      <c r="F279" t="str">
        <f>IF($C279="","",IFERROR(INDEX(countries!$B:$B,MATCH($C279,countries!$C:$C,0)),"Not in countries"))</f>
        <v>Kuwait</v>
      </c>
    </row>
    <row r="280" spans="1:6" x14ac:dyDescent="0.3">
      <c r="A280" t="s">
        <v>3394</v>
      </c>
      <c r="B280" t="s">
        <v>2895</v>
      </c>
      <c r="C280" t="s">
        <v>2798</v>
      </c>
      <c r="E280" t="s">
        <v>3116</v>
      </c>
      <c r="F280" t="str">
        <f>IF($C280="","",IFERROR(INDEX(countries!$B:$B,MATCH($C280,countries!$C:$C,0)),"Not in countries"))</f>
        <v>Kuwait</v>
      </c>
    </row>
    <row r="281" spans="1:6" x14ac:dyDescent="0.3">
      <c r="A281" t="s">
        <v>3395</v>
      </c>
      <c r="B281" t="s">
        <v>3087</v>
      </c>
      <c r="C281" t="s">
        <v>2798</v>
      </c>
      <c r="E281" t="s">
        <v>3116</v>
      </c>
      <c r="F281" t="str">
        <f>IF($C281="","",IFERROR(INDEX(countries!$B:$B,MATCH($C281,countries!$C:$C,0)),"Not in countries"))</f>
        <v>Kuwait</v>
      </c>
    </row>
    <row r="282" spans="1:6" x14ac:dyDescent="0.3">
      <c r="A282" t="s">
        <v>3396</v>
      </c>
      <c r="B282" t="s">
        <v>3081</v>
      </c>
      <c r="C282" t="s">
        <v>2801</v>
      </c>
      <c r="E282" t="s">
        <v>3116</v>
      </c>
      <c r="F282" t="str">
        <f>IF($C282="","",IFERROR(INDEX(countries!$B:$B,MATCH($C282,countries!$C:$C,0)),"Not in countries"))</f>
        <v>Bahrain</v>
      </c>
    </row>
    <row r="283" spans="1:6" x14ac:dyDescent="0.3">
      <c r="A283" t="s">
        <v>3397</v>
      </c>
      <c r="B283" t="s">
        <v>3101</v>
      </c>
      <c r="C283" t="s">
        <v>2801</v>
      </c>
      <c r="E283" t="s">
        <v>3116</v>
      </c>
      <c r="F283" t="str">
        <f>IF($C283="","",IFERROR(INDEX(countries!$B:$B,MATCH($C283,countries!$C:$C,0)),"Not in countries"))</f>
        <v>Bahrain</v>
      </c>
    </row>
    <row r="284" spans="1:6" x14ac:dyDescent="0.3">
      <c r="A284" t="s">
        <v>3398</v>
      </c>
      <c r="B284" t="s">
        <v>3103</v>
      </c>
      <c r="C284" t="s">
        <v>2801</v>
      </c>
      <c r="E284" t="s">
        <v>3116</v>
      </c>
      <c r="F284" t="str">
        <f>IF($C284="","",IFERROR(INDEX(countries!$B:$B,MATCH($C284,countries!$C:$C,0)),"Not in countries"))</f>
        <v>Bahrain</v>
      </c>
    </row>
    <row r="285" spans="1:6" x14ac:dyDescent="0.3">
      <c r="A285" t="s">
        <v>3399</v>
      </c>
      <c r="B285" t="s">
        <v>3105</v>
      </c>
      <c r="C285" t="s">
        <v>2804</v>
      </c>
      <c r="E285" t="s">
        <v>3116</v>
      </c>
      <c r="F285" t="str">
        <f>IF($C285="","",IFERROR(INDEX(countries!$B:$B,MATCH($C285,countries!$C:$C,0)),"Not in countries"))</f>
        <v>Lebanon</v>
      </c>
    </row>
    <row r="286" spans="1:6" x14ac:dyDescent="0.3">
      <c r="A286" t="s">
        <v>3400</v>
      </c>
      <c r="B286" t="s">
        <v>3107</v>
      </c>
      <c r="C286" t="s">
        <v>2804</v>
      </c>
      <c r="E286" t="s">
        <v>3116</v>
      </c>
      <c r="F286" t="str">
        <f>IF($C286="","",IFERROR(INDEX(countries!$B:$B,MATCH($C286,countries!$C:$C,0)),"Not in countries"))</f>
        <v>Lebanon</v>
      </c>
    </row>
    <row r="287" spans="1:6" x14ac:dyDescent="0.3">
      <c r="A287" t="s">
        <v>3401</v>
      </c>
      <c r="B287" t="s">
        <v>3109</v>
      </c>
      <c r="C287" t="s">
        <v>2804</v>
      </c>
      <c r="E287" t="s">
        <v>3116</v>
      </c>
      <c r="F287" t="str">
        <f>IF($C287="","",IFERROR(INDEX(countries!$B:$B,MATCH($C287,countries!$C:$C,0)),"Not in countries"))</f>
        <v>Lebanon</v>
      </c>
    </row>
    <row r="288" spans="1:6" x14ac:dyDescent="0.3">
      <c r="A288" t="s">
        <v>3402</v>
      </c>
      <c r="B288" t="s">
        <v>3111</v>
      </c>
      <c r="C288" t="s">
        <v>2807</v>
      </c>
      <c r="E288" t="s">
        <v>3116</v>
      </c>
      <c r="F288" t="str">
        <f>IF($C288="","",IFERROR(INDEX(countries!$B:$B,MATCH($C288,countries!$C:$C,0)),"Not in countries"))</f>
        <v>Iraq</v>
      </c>
    </row>
    <row r="289" spans="1:6" x14ac:dyDescent="0.3">
      <c r="A289" t="s">
        <v>3403</v>
      </c>
      <c r="B289" t="s">
        <v>3057</v>
      </c>
      <c r="C289" t="s">
        <v>2807</v>
      </c>
      <c r="E289" t="s">
        <v>3116</v>
      </c>
      <c r="F289" t="str">
        <f>IF($C289="","",IFERROR(INDEX(countries!$B:$B,MATCH($C289,countries!$C:$C,0)),"Not in countries"))</f>
        <v>Iraq</v>
      </c>
    </row>
    <row r="290" spans="1:6" x14ac:dyDescent="0.3">
      <c r="A290" t="s">
        <v>3404</v>
      </c>
      <c r="B290" t="s">
        <v>3007</v>
      </c>
      <c r="C290" t="s">
        <v>2807</v>
      </c>
      <c r="E290" t="s">
        <v>3116</v>
      </c>
      <c r="F290" t="str">
        <f>IF($C290="","",IFERROR(INDEX(countries!$B:$B,MATCH($C290,countries!$C:$C,0)),"Not in countries"))</f>
        <v>Iraq</v>
      </c>
    </row>
    <row r="291" spans="1:6" x14ac:dyDescent="0.3">
      <c r="A291" t="s">
        <v>3405</v>
      </c>
      <c r="B291" t="s">
        <v>3113</v>
      </c>
      <c r="C291" t="s">
        <v>2807</v>
      </c>
      <c r="E291" t="s">
        <v>3116</v>
      </c>
      <c r="F291" t="str">
        <f>IF($C291="","",IFERROR(INDEX(countries!$B:$B,MATCH($C291,countries!$C:$C,0)),"Not in countries"))</f>
        <v>Iraq</v>
      </c>
    </row>
    <row r="292" spans="1:6" x14ac:dyDescent="0.3">
      <c r="A292" t="s">
        <v>3406</v>
      </c>
      <c r="B292" t="s">
        <v>2891</v>
      </c>
      <c r="C292" t="s">
        <v>2807</v>
      </c>
      <c r="E292" t="s">
        <v>3116</v>
      </c>
      <c r="F292" t="str">
        <f>IF($C292="","",IFERROR(INDEX(countries!$B:$B,MATCH($C292,countries!$C:$C,0)),"Not in countries"))</f>
        <v>Iraq</v>
      </c>
    </row>
    <row r="293" spans="1:6" x14ac:dyDescent="0.3">
      <c r="A293" t="s">
        <v>3407</v>
      </c>
      <c r="B293" t="s">
        <v>2857</v>
      </c>
      <c r="C293" t="s">
        <v>2807</v>
      </c>
      <c r="E293" t="s">
        <v>3116</v>
      </c>
      <c r="F293" t="str">
        <f>IF($C293="","",IFERROR(INDEX(countries!$B:$B,MATCH($C293,countries!$C:$C,0)),"Not in countries"))</f>
        <v>Iraq</v>
      </c>
    </row>
    <row r="294" spans="1:6" x14ac:dyDescent="0.3">
      <c r="A294" t="s">
        <v>3408</v>
      </c>
      <c r="B294" t="s">
        <v>3065</v>
      </c>
      <c r="C294" t="s">
        <v>2810</v>
      </c>
      <c r="E294" t="s">
        <v>3116</v>
      </c>
      <c r="F294" t="str">
        <f>IF($C294="","",IFERROR(INDEX(countries!$B:$B,MATCH($C294,countries!$C:$C,0)),"Not in countries"))</f>
        <v>Yemen</v>
      </c>
    </row>
    <row r="295" spans="1:6" x14ac:dyDescent="0.3">
      <c r="A295" t="s">
        <v>3409</v>
      </c>
      <c r="B295" t="s">
        <v>3007</v>
      </c>
      <c r="C295" t="s">
        <v>2813</v>
      </c>
      <c r="E295" t="s">
        <v>3116</v>
      </c>
      <c r="F295" t="str">
        <f>IF($C295="","",IFERROR(INDEX(countries!$B:$B,MATCH($C295,countries!$C:$C,0)),"Not in countries"))</f>
        <v>Afghanistan</v>
      </c>
    </row>
    <row r="296" spans="1:6" x14ac:dyDescent="0.3">
      <c r="A296" t="s">
        <v>3410</v>
      </c>
      <c r="B296" t="s">
        <v>3071</v>
      </c>
      <c r="C296" t="s">
        <v>2813</v>
      </c>
      <c r="E296" t="s">
        <v>3116</v>
      </c>
      <c r="F296" t="str">
        <f>IF($C296="","",IFERROR(INDEX(countries!$B:$B,MATCH($C296,countries!$C:$C,0)),"Not in countries"))</f>
        <v>Afghanistan</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9D46F-5729-44E9-94B4-F134D181F298}">
  <dimension ref="A1:V143"/>
  <sheetViews>
    <sheetView workbookViewId="0">
      <pane ySplit="1" topLeftCell="A119" activePane="bottomLeft" state="frozen"/>
      <selection pane="bottomLeft" activeCell="B44" sqref="B44"/>
    </sheetView>
  </sheetViews>
  <sheetFormatPr defaultRowHeight="14.4" x14ac:dyDescent="0.3"/>
  <cols>
    <col min="1" max="1" width="9.21875" bestFit="1" customWidth="1"/>
    <col min="2" max="2" width="38.109375" bestFit="1" customWidth="1"/>
    <col min="3" max="4" width="9.44140625" bestFit="1" customWidth="1"/>
    <col min="5" max="5" width="10.88671875" bestFit="1" customWidth="1"/>
    <col min="6" max="6" width="19.109375" bestFit="1" customWidth="1"/>
    <col min="7" max="7" width="22.44140625" bestFit="1" customWidth="1"/>
    <col min="8" max="8" width="20.5546875" bestFit="1" customWidth="1"/>
    <col min="9" max="9" width="22.109375" bestFit="1" customWidth="1"/>
    <col min="10" max="10" width="6" bestFit="1" customWidth="1"/>
    <col min="11" max="11" width="5.44140625" bestFit="1" customWidth="1"/>
    <col min="12" max="16" width="35.21875" customWidth="1"/>
  </cols>
  <sheetData>
    <row r="1" spans="1:22" x14ac:dyDescent="0.3">
      <c r="A1" s="19" t="s">
        <v>2316</v>
      </c>
      <c r="B1" s="19" t="s">
        <v>2317</v>
      </c>
      <c r="C1" s="19" t="s">
        <v>2318</v>
      </c>
      <c r="D1" s="19" t="s">
        <v>2319</v>
      </c>
      <c r="E1" s="19" t="s">
        <v>2320</v>
      </c>
      <c r="F1" s="19" t="s">
        <v>2321</v>
      </c>
      <c r="G1" s="19" t="s">
        <v>2322</v>
      </c>
      <c r="H1" s="19" t="s">
        <v>2323</v>
      </c>
      <c r="I1" s="19" t="s">
        <v>2324</v>
      </c>
      <c r="J1" s="19" t="s">
        <v>2325</v>
      </c>
      <c r="K1" s="19" t="s">
        <v>2300</v>
      </c>
      <c r="L1" s="25" t="s">
        <v>5276</v>
      </c>
      <c r="M1" s="25" t="s">
        <v>5277</v>
      </c>
      <c r="N1" s="25" t="s">
        <v>5278</v>
      </c>
      <c r="O1" s="25" t="s">
        <v>6215</v>
      </c>
      <c r="P1" s="25" t="s">
        <v>6216</v>
      </c>
      <c r="Q1" s="1" t="s">
        <v>8523</v>
      </c>
      <c r="R1" s="1" t="s">
        <v>8524</v>
      </c>
      <c r="S1" s="1" t="s">
        <v>8525</v>
      </c>
      <c r="T1" s="1" t="s">
        <v>8526</v>
      </c>
      <c r="U1" s="1" t="s">
        <v>8527</v>
      </c>
      <c r="V1" s="1" t="s">
        <v>8528</v>
      </c>
    </row>
    <row r="2" spans="1:22" x14ac:dyDescent="0.3">
      <c r="A2" t="s">
        <v>2545</v>
      </c>
      <c r="B2" t="s">
        <v>789</v>
      </c>
      <c r="C2" t="s">
        <v>2546</v>
      </c>
      <c r="D2" t="s">
        <v>1538</v>
      </c>
      <c r="E2" s="20" t="s">
        <v>2717</v>
      </c>
      <c r="F2" s="4"/>
      <c r="G2" s="4" t="s">
        <v>4467</v>
      </c>
      <c r="H2" s="4" t="s">
        <v>4467</v>
      </c>
      <c r="I2" s="4"/>
      <c r="J2" t="s">
        <v>2547</v>
      </c>
      <c r="L2" t="s">
        <v>5279</v>
      </c>
      <c r="M2" t="s">
        <v>5279</v>
      </c>
      <c r="O2" s="6"/>
      <c r="S2" s="6"/>
      <c r="U2" t="str">
        <f>IF($I2="","UNVERIFIED - USING FALLBACK",IF(OR($Q2="",$S2=""),"UNVERIFIED - NO SOURCE",IF(OR($O2="",$P2=""),"LEAD TIME OK / FLAGS UNVERIFIED","VERIFIED")))</f>
        <v>UNVERIFIED - USING FALLBACK</v>
      </c>
      <c r="V2" s="109">
        <f>IF($I2&lt;&gt;"",$I2,admin!$B$15)</f>
        <v>72</v>
      </c>
    </row>
    <row r="3" spans="1:22" x14ac:dyDescent="0.3">
      <c r="A3" t="s">
        <v>2548</v>
      </c>
      <c r="B3" t="s">
        <v>663</v>
      </c>
      <c r="C3" t="s">
        <v>2549</v>
      </c>
      <c r="D3" t="s">
        <v>2550</v>
      </c>
      <c r="E3" s="20" t="s">
        <v>2718</v>
      </c>
      <c r="F3" s="4"/>
      <c r="G3" s="4" t="s">
        <v>4467</v>
      </c>
      <c r="H3" s="4" t="s">
        <v>4467</v>
      </c>
      <c r="I3" s="4"/>
      <c r="J3" t="s">
        <v>2547</v>
      </c>
      <c r="L3" t="s">
        <v>5279</v>
      </c>
      <c r="M3" t="s">
        <v>5279</v>
      </c>
      <c r="O3" s="6"/>
      <c r="S3" s="6"/>
      <c r="U3" t="str">
        <f t="shared" ref="U3:U66" si="0">IF($I3="","UNVERIFIED - USING FALLBACK",IF(OR($Q3="",$S3=""),"UNVERIFIED - NO SOURCE",IF(OR($O3="",$P3=""),"LEAD TIME OK / FLAGS UNVERIFIED","VERIFIED")))</f>
        <v>UNVERIFIED - USING FALLBACK</v>
      </c>
      <c r="V3" s="109">
        <f>IF($I3&lt;&gt;"",$I3,admin!$B$15)</f>
        <v>72</v>
      </c>
    </row>
    <row r="4" spans="1:22" x14ac:dyDescent="0.3">
      <c r="A4" t="s">
        <v>2551</v>
      </c>
      <c r="B4" t="s">
        <v>702</v>
      </c>
      <c r="C4" t="s">
        <v>2552</v>
      </c>
      <c r="D4" t="s">
        <v>1244</v>
      </c>
      <c r="E4" s="20" t="s">
        <v>2719</v>
      </c>
      <c r="F4" s="4"/>
      <c r="G4" s="4" t="s">
        <v>4467</v>
      </c>
      <c r="H4" s="4" t="s">
        <v>4467</v>
      </c>
      <c r="I4" s="4"/>
      <c r="J4" t="s">
        <v>2547</v>
      </c>
      <c r="L4" t="s">
        <v>5279</v>
      </c>
      <c r="M4" t="s">
        <v>5279</v>
      </c>
      <c r="O4" s="6"/>
      <c r="S4" s="6"/>
      <c r="U4" t="str">
        <f t="shared" si="0"/>
        <v>UNVERIFIED - USING FALLBACK</v>
      </c>
      <c r="V4" s="109">
        <f>IF($I4&lt;&gt;"",$I4,admin!$B$15)</f>
        <v>72</v>
      </c>
    </row>
    <row r="5" spans="1:22" x14ac:dyDescent="0.3">
      <c r="A5" t="s">
        <v>2553</v>
      </c>
      <c r="B5" t="s">
        <v>721</v>
      </c>
      <c r="C5" t="s">
        <v>2554</v>
      </c>
      <c r="D5" t="s">
        <v>1330</v>
      </c>
      <c r="E5" s="20" t="s">
        <v>2720</v>
      </c>
      <c r="F5" s="4"/>
      <c r="G5" s="4" t="s">
        <v>4467</v>
      </c>
      <c r="H5" s="4" t="s">
        <v>4467</v>
      </c>
      <c r="I5" s="4"/>
      <c r="J5" t="s">
        <v>2547</v>
      </c>
      <c r="L5" t="s">
        <v>5279</v>
      </c>
      <c r="M5" t="s">
        <v>5279</v>
      </c>
      <c r="O5" s="6"/>
      <c r="S5" s="6"/>
      <c r="U5" t="str">
        <f t="shared" si="0"/>
        <v>UNVERIFIED - USING FALLBACK</v>
      </c>
      <c r="V5" s="109">
        <f>IF($I5&lt;&gt;"",$I5,admin!$B$15)</f>
        <v>72</v>
      </c>
    </row>
    <row r="6" spans="1:22" x14ac:dyDescent="0.3">
      <c r="A6" t="s">
        <v>2555</v>
      </c>
      <c r="B6" t="s">
        <v>692</v>
      </c>
      <c r="C6" t="s">
        <v>2556</v>
      </c>
      <c r="D6" t="s">
        <v>2557</v>
      </c>
      <c r="E6" s="20" t="s">
        <v>2721</v>
      </c>
      <c r="F6" s="4"/>
      <c r="G6" s="4" t="s">
        <v>4467</v>
      </c>
      <c r="H6" s="4" t="s">
        <v>4467</v>
      </c>
      <c r="I6" s="4"/>
      <c r="J6" t="s">
        <v>2547</v>
      </c>
      <c r="L6" t="s">
        <v>5279</v>
      </c>
      <c r="M6" t="s">
        <v>5279</v>
      </c>
      <c r="O6" s="6"/>
      <c r="S6" s="6"/>
      <c r="U6" t="str">
        <f t="shared" si="0"/>
        <v>UNVERIFIED - USING FALLBACK</v>
      </c>
      <c r="V6" s="109">
        <f>IF($I6&lt;&gt;"",$I6,admin!$B$15)</f>
        <v>72</v>
      </c>
    </row>
    <row r="7" spans="1:22" x14ac:dyDescent="0.3">
      <c r="A7" t="s">
        <v>2558</v>
      </c>
      <c r="B7" t="s">
        <v>700</v>
      </c>
      <c r="C7" t="s">
        <v>2559</v>
      </c>
      <c r="D7" t="s">
        <v>2560</v>
      </c>
      <c r="E7" s="20" t="s">
        <v>2722</v>
      </c>
      <c r="F7" s="4"/>
      <c r="G7" s="4" t="s">
        <v>4467</v>
      </c>
      <c r="H7" s="4" t="s">
        <v>4467</v>
      </c>
      <c r="I7" s="4"/>
      <c r="J7" t="s">
        <v>2547</v>
      </c>
      <c r="L7" t="s">
        <v>5279</v>
      </c>
      <c r="M7" t="s">
        <v>5279</v>
      </c>
      <c r="O7" s="6"/>
      <c r="S7" s="6"/>
      <c r="U7" t="str">
        <f t="shared" si="0"/>
        <v>UNVERIFIED - USING FALLBACK</v>
      </c>
      <c r="V7" s="109">
        <f>IF($I7&lt;&gt;"",$I7,admin!$B$15)</f>
        <v>72</v>
      </c>
    </row>
    <row r="8" spans="1:22" x14ac:dyDescent="0.3">
      <c r="A8" t="s">
        <v>2561</v>
      </c>
      <c r="B8" t="s">
        <v>753</v>
      </c>
      <c r="C8" t="s">
        <v>2562</v>
      </c>
      <c r="D8" t="s">
        <v>2563</v>
      </c>
      <c r="E8" s="20" t="s">
        <v>2723</v>
      </c>
      <c r="F8" s="4"/>
      <c r="G8" s="4" t="s">
        <v>4467</v>
      </c>
      <c r="H8" s="4" t="s">
        <v>4467</v>
      </c>
      <c r="I8" s="4"/>
      <c r="J8" t="s">
        <v>2547</v>
      </c>
      <c r="L8" t="s">
        <v>5279</v>
      </c>
      <c r="M8" t="s">
        <v>5279</v>
      </c>
      <c r="O8" s="6"/>
      <c r="S8" s="6"/>
      <c r="U8" t="str">
        <f t="shared" si="0"/>
        <v>UNVERIFIED - USING FALLBACK</v>
      </c>
      <c r="V8" s="109">
        <f>IF($I8&lt;&gt;"",$I8,admin!$B$15)</f>
        <v>72</v>
      </c>
    </row>
    <row r="9" spans="1:22" x14ac:dyDescent="0.3">
      <c r="A9" t="s">
        <v>2564</v>
      </c>
      <c r="B9" t="s">
        <v>767</v>
      </c>
      <c r="C9" t="s">
        <v>2565</v>
      </c>
      <c r="D9" t="s">
        <v>2566</v>
      </c>
      <c r="E9" s="20" t="s">
        <v>2724</v>
      </c>
      <c r="F9" s="4"/>
      <c r="G9" s="4" t="s">
        <v>4467</v>
      </c>
      <c r="H9" s="4" t="s">
        <v>4467</v>
      </c>
      <c r="I9" s="4"/>
      <c r="J9" t="s">
        <v>2547</v>
      </c>
      <c r="L9" t="s">
        <v>5279</v>
      </c>
      <c r="M9" t="s">
        <v>5279</v>
      </c>
      <c r="O9" s="6"/>
      <c r="S9" s="6"/>
      <c r="U9" t="str">
        <f t="shared" si="0"/>
        <v>UNVERIFIED - USING FALLBACK</v>
      </c>
      <c r="V9" s="109">
        <f>IF($I9&lt;&gt;"",$I9,admin!$B$15)</f>
        <v>72</v>
      </c>
    </row>
    <row r="10" spans="1:22" x14ac:dyDescent="0.3">
      <c r="A10" t="s">
        <v>2567</v>
      </c>
      <c r="B10" t="s">
        <v>737</v>
      </c>
      <c r="C10" t="s">
        <v>2568</v>
      </c>
      <c r="D10" t="s">
        <v>2569</v>
      </c>
      <c r="E10" s="20" t="s">
        <v>2725</v>
      </c>
      <c r="F10" s="4"/>
      <c r="G10" s="4" t="s">
        <v>4467</v>
      </c>
      <c r="H10" s="4" t="s">
        <v>4467</v>
      </c>
      <c r="I10" s="4"/>
      <c r="J10" t="s">
        <v>2547</v>
      </c>
      <c r="L10" t="s">
        <v>5279</v>
      </c>
      <c r="M10" t="s">
        <v>5279</v>
      </c>
      <c r="O10" s="6"/>
      <c r="S10" s="6"/>
      <c r="U10" t="str">
        <f t="shared" si="0"/>
        <v>UNVERIFIED - USING FALLBACK</v>
      </c>
      <c r="V10" s="109">
        <f>IF($I10&lt;&gt;"",$I10,admin!$B$15)</f>
        <v>72</v>
      </c>
    </row>
    <row r="11" spans="1:22" x14ac:dyDescent="0.3">
      <c r="A11" t="s">
        <v>2570</v>
      </c>
      <c r="B11" t="s">
        <v>1927</v>
      </c>
      <c r="C11" t="s">
        <v>2571</v>
      </c>
      <c r="D11" t="s">
        <v>2572</v>
      </c>
      <c r="E11" s="20" t="s">
        <v>2726</v>
      </c>
      <c r="F11" s="4"/>
      <c r="G11" s="4" t="s">
        <v>4467</v>
      </c>
      <c r="H11" s="4" t="s">
        <v>4467</v>
      </c>
      <c r="I11" s="4"/>
      <c r="J11" t="s">
        <v>2547</v>
      </c>
      <c r="L11" t="s">
        <v>5279</v>
      </c>
      <c r="M11" t="s">
        <v>5279</v>
      </c>
      <c r="O11" s="6"/>
      <c r="S11" s="6"/>
      <c r="U11" t="str">
        <f t="shared" si="0"/>
        <v>UNVERIFIED - USING FALLBACK</v>
      </c>
      <c r="V11" s="109">
        <f>IF($I11&lt;&gt;"",$I11,admin!$B$15)</f>
        <v>72</v>
      </c>
    </row>
    <row r="12" spans="1:22" x14ac:dyDescent="0.3">
      <c r="A12" t="s">
        <v>2573</v>
      </c>
      <c r="B12" t="s">
        <v>1728</v>
      </c>
      <c r="C12" t="s">
        <v>2574</v>
      </c>
      <c r="D12" t="s">
        <v>2575</v>
      </c>
      <c r="E12" s="20" t="s">
        <v>2727</v>
      </c>
      <c r="F12" s="4"/>
      <c r="G12" s="4" t="s">
        <v>4467</v>
      </c>
      <c r="H12" s="4" t="s">
        <v>4467</v>
      </c>
      <c r="I12" s="4"/>
      <c r="J12" t="s">
        <v>2547</v>
      </c>
      <c r="L12" t="s">
        <v>5279</v>
      </c>
      <c r="M12" t="s">
        <v>5279</v>
      </c>
      <c r="O12" s="6"/>
      <c r="S12" s="6"/>
      <c r="U12" t="str">
        <f t="shared" si="0"/>
        <v>UNVERIFIED - USING FALLBACK</v>
      </c>
      <c r="V12" s="109">
        <f>IF($I12&lt;&gt;"",$I12,admin!$B$15)</f>
        <v>72</v>
      </c>
    </row>
    <row r="13" spans="1:22" x14ac:dyDescent="0.3">
      <c r="A13" t="s">
        <v>2576</v>
      </c>
      <c r="B13" t="s">
        <v>745</v>
      </c>
      <c r="C13" t="s">
        <v>2577</v>
      </c>
      <c r="D13" t="s">
        <v>2578</v>
      </c>
      <c r="E13" s="20" t="s">
        <v>2728</v>
      </c>
      <c r="F13" s="4"/>
      <c r="G13" s="4" t="s">
        <v>4467</v>
      </c>
      <c r="H13" s="4" t="s">
        <v>4467</v>
      </c>
      <c r="I13" s="4"/>
      <c r="J13" t="s">
        <v>2547</v>
      </c>
      <c r="L13" t="s">
        <v>5279</v>
      </c>
      <c r="M13" t="s">
        <v>5279</v>
      </c>
      <c r="O13" s="6"/>
      <c r="S13" s="6"/>
      <c r="U13" t="str">
        <f t="shared" si="0"/>
        <v>UNVERIFIED - USING FALLBACK</v>
      </c>
      <c r="V13" s="109">
        <f>IF($I13&lt;&gt;"",$I13,admin!$B$15)</f>
        <v>72</v>
      </c>
    </row>
    <row r="14" spans="1:22" x14ac:dyDescent="0.3">
      <c r="A14" t="s">
        <v>2579</v>
      </c>
      <c r="B14" t="s">
        <v>734</v>
      </c>
      <c r="C14" t="s">
        <v>2580</v>
      </c>
      <c r="D14" t="s">
        <v>2581</v>
      </c>
      <c r="E14" s="20" t="s">
        <v>2729</v>
      </c>
      <c r="F14" s="4"/>
      <c r="G14" s="4" t="s">
        <v>4467</v>
      </c>
      <c r="H14" s="4" t="s">
        <v>4467</v>
      </c>
      <c r="I14" s="4"/>
      <c r="J14" t="s">
        <v>2547</v>
      </c>
      <c r="L14" t="s">
        <v>5279</v>
      </c>
      <c r="M14" t="s">
        <v>5279</v>
      </c>
      <c r="O14" s="6"/>
      <c r="S14" s="6"/>
      <c r="U14" t="str">
        <f t="shared" si="0"/>
        <v>UNVERIFIED - USING FALLBACK</v>
      </c>
      <c r="V14" s="109">
        <f>IF($I14&lt;&gt;"",$I14,admin!$B$15)</f>
        <v>72</v>
      </c>
    </row>
    <row r="15" spans="1:22" x14ac:dyDescent="0.3">
      <c r="A15" t="s">
        <v>2582</v>
      </c>
      <c r="B15" t="s">
        <v>781</v>
      </c>
      <c r="C15" t="s">
        <v>2583</v>
      </c>
      <c r="D15" t="s">
        <v>2584</v>
      </c>
      <c r="E15" s="20" t="s">
        <v>2730</v>
      </c>
      <c r="F15" s="4"/>
      <c r="G15" s="4" t="s">
        <v>4467</v>
      </c>
      <c r="H15" s="4" t="s">
        <v>4467</v>
      </c>
      <c r="I15" s="4"/>
      <c r="J15" t="s">
        <v>2547</v>
      </c>
      <c r="L15" t="s">
        <v>5279</v>
      </c>
      <c r="M15" t="s">
        <v>5279</v>
      </c>
      <c r="O15" s="6"/>
      <c r="S15" s="6"/>
      <c r="U15" t="str">
        <f t="shared" si="0"/>
        <v>UNVERIFIED - USING FALLBACK</v>
      </c>
      <c r="V15" s="109">
        <f>IF($I15&lt;&gt;"",$I15,admin!$B$15)</f>
        <v>72</v>
      </c>
    </row>
    <row r="16" spans="1:22" x14ac:dyDescent="0.3">
      <c r="A16" t="s">
        <v>2585</v>
      </c>
      <c r="B16" t="s">
        <v>16</v>
      </c>
      <c r="C16" t="s">
        <v>2586</v>
      </c>
      <c r="D16" t="s">
        <v>2587</v>
      </c>
      <c r="E16" s="20" t="s">
        <v>2731</v>
      </c>
      <c r="F16" s="4"/>
      <c r="G16" s="4" t="s">
        <v>4467</v>
      </c>
      <c r="H16" s="4" t="s">
        <v>4467</v>
      </c>
      <c r="I16" s="4"/>
      <c r="J16" t="s">
        <v>2547</v>
      </c>
      <c r="L16" t="s">
        <v>5279</v>
      </c>
      <c r="M16" t="s">
        <v>5279</v>
      </c>
      <c r="O16" s="6"/>
      <c r="S16" s="6"/>
      <c r="U16" t="str">
        <f t="shared" si="0"/>
        <v>UNVERIFIED - USING FALLBACK</v>
      </c>
      <c r="V16" s="109">
        <f>IF($I16&lt;&gt;"",$I16,admin!$B$15)</f>
        <v>72</v>
      </c>
    </row>
    <row r="17" spans="1:22" x14ac:dyDescent="0.3">
      <c r="A17" t="s">
        <v>2588</v>
      </c>
      <c r="B17" t="s">
        <v>848</v>
      </c>
      <c r="C17" t="s">
        <v>2589</v>
      </c>
      <c r="D17" t="s">
        <v>2590</v>
      </c>
      <c r="E17" s="20" t="s">
        <v>2732</v>
      </c>
      <c r="F17" s="4"/>
      <c r="G17" s="4" t="s">
        <v>4467</v>
      </c>
      <c r="H17" s="4" t="s">
        <v>4467</v>
      </c>
      <c r="I17" s="4"/>
      <c r="J17" t="s">
        <v>2547</v>
      </c>
      <c r="L17" t="s">
        <v>5279</v>
      </c>
      <c r="M17" t="s">
        <v>5279</v>
      </c>
      <c r="O17" s="6"/>
      <c r="S17" s="6"/>
      <c r="U17" t="str">
        <f t="shared" si="0"/>
        <v>UNVERIFIED - USING FALLBACK</v>
      </c>
      <c r="V17" s="109">
        <f>IF($I17&lt;&gt;"",$I17,admin!$B$15)</f>
        <v>72</v>
      </c>
    </row>
    <row r="18" spans="1:22" x14ac:dyDescent="0.3">
      <c r="A18" t="s">
        <v>2591</v>
      </c>
      <c r="B18" t="s">
        <v>6</v>
      </c>
      <c r="C18" t="s">
        <v>2592</v>
      </c>
      <c r="D18" t="s">
        <v>2593</v>
      </c>
      <c r="E18" s="20" t="s">
        <v>2733</v>
      </c>
      <c r="F18" s="4"/>
      <c r="G18" s="4" t="s">
        <v>4467</v>
      </c>
      <c r="H18" s="4" t="s">
        <v>4467</v>
      </c>
      <c r="I18" s="4"/>
      <c r="J18" t="s">
        <v>2547</v>
      </c>
      <c r="L18" t="s">
        <v>5279</v>
      </c>
      <c r="M18" t="s">
        <v>5279</v>
      </c>
      <c r="O18" s="6"/>
      <c r="S18" s="6"/>
      <c r="U18" t="str">
        <f t="shared" si="0"/>
        <v>UNVERIFIED - USING FALLBACK</v>
      </c>
      <c r="V18" s="109">
        <f>IF($I18&lt;&gt;"",$I18,admin!$B$15)</f>
        <v>72</v>
      </c>
    </row>
    <row r="19" spans="1:22" x14ac:dyDescent="0.3">
      <c r="A19" t="s">
        <v>2594</v>
      </c>
      <c r="B19" t="s">
        <v>1923</v>
      </c>
      <c r="C19" t="s">
        <v>2595</v>
      </c>
      <c r="D19" t="s">
        <v>2596</v>
      </c>
      <c r="E19" s="20" t="s">
        <v>2734</v>
      </c>
      <c r="F19" s="4"/>
      <c r="G19" s="4" t="s">
        <v>4467</v>
      </c>
      <c r="H19" s="4" t="s">
        <v>4467</v>
      </c>
      <c r="I19" s="4"/>
      <c r="J19" t="s">
        <v>2547</v>
      </c>
      <c r="L19" t="s">
        <v>5279</v>
      </c>
      <c r="M19" t="s">
        <v>5279</v>
      </c>
      <c r="O19" s="6"/>
      <c r="S19" s="6"/>
      <c r="U19" t="str">
        <f t="shared" si="0"/>
        <v>UNVERIFIED - USING FALLBACK</v>
      </c>
      <c r="V19" s="109">
        <f>IF($I19&lt;&gt;"",$I19,admin!$B$15)</f>
        <v>72</v>
      </c>
    </row>
    <row r="20" spans="1:22" x14ac:dyDescent="0.3">
      <c r="A20" t="s">
        <v>2597</v>
      </c>
      <c r="B20" t="s">
        <v>7</v>
      </c>
      <c r="C20" t="s">
        <v>2598</v>
      </c>
      <c r="D20" t="s">
        <v>2599</v>
      </c>
      <c r="E20" s="20" t="s">
        <v>2735</v>
      </c>
      <c r="F20" s="4"/>
      <c r="G20" s="4" t="s">
        <v>4467</v>
      </c>
      <c r="H20" s="4" t="s">
        <v>4467</v>
      </c>
      <c r="I20" s="4"/>
      <c r="J20" t="s">
        <v>2547</v>
      </c>
      <c r="L20" t="s">
        <v>5279</v>
      </c>
      <c r="M20" t="s">
        <v>5279</v>
      </c>
      <c r="O20" s="6"/>
      <c r="S20" s="6"/>
      <c r="U20" t="str">
        <f t="shared" si="0"/>
        <v>UNVERIFIED - USING FALLBACK</v>
      </c>
      <c r="V20" s="109">
        <f>IF($I20&lt;&gt;"",$I20,admin!$B$15)</f>
        <v>72</v>
      </c>
    </row>
    <row r="21" spans="1:22" x14ac:dyDescent="0.3">
      <c r="A21" t="s">
        <v>2600</v>
      </c>
      <c r="B21" t="s">
        <v>823</v>
      </c>
      <c r="C21" t="s">
        <v>2601</v>
      </c>
      <c r="D21" t="s">
        <v>2602</v>
      </c>
      <c r="E21" s="20" t="s">
        <v>2736</v>
      </c>
      <c r="F21" s="4"/>
      <c r="G21" s="4" t="s">
        <v>4467</v>
      </c>
      <c r="H21" s="4" t="s">
        <v>4467</v>
      </c>
      <c r="I21" s="4"/>
      <c r="J21" t="s">
        <v>2547</v>
      </c>
      <c r="L21" t="s">
        <v>5279</v>
      </c>
      <c r="M21" t="s">
        <v>5279</v>
      </c>
      <c r="O21" s="6"/>
      <c r="S21" s="6"/>
      <c r="U21" t="str">
        <f t="shared" si="0"/>
        <v>UNVERIFIED - USING FALLBACK</v>
      </c>
      <c r="V21" s="109">
        <f>IF($I21&lt;&gt;"",$I21,admin!$B$15)</f>
        <v>72</v>
      </c>
    </row>
    <row r="22" spans="1:22" x14ac:dyDescent="0.3">
      <c r="A22" t="s">
        <v>2603</v>
      </c>
      <c r="B22" t="s">
        <v>842</v>
      </c>
      <c r="C22" t="s">
        <v>2604</v>
      </c>
      <c r="D22" t="s">
        <v>2605</v>
      </c>
      <c r="E22" s="20" t="s">
        <v>2737</v>
      </c>
      <c r="F22" s="4"/>
      <c r="G22" s="4" t="s">
        <v>4467</v>
      </c>
      <c r="H22" s="4" t="s">
        <v>4467</v>
      </c>
      <c r="I22" s="4"/>
      <c r="J22" t="s">
        <v>2547</v>
      </c>
      <c r="L22" t="s">
        <v>5279</v>
      </c>
      <c r="M22" t="s">
        <v>5279</v>
      </c>
      <c r="O22" s="6"/>
      <c r="S22" s="6"/>
      <c r="U22" t="str">
        <f t="shared" si="0"/>
        <v>UNVERIFIED - USING FALLBACK</v>
      </c>
      <c r="V22" s="109">
        <f>IF($I22&lt;&gt;"",$I22,admin!$B$15)</f>
        <v>72</v>
      </c>
    </row>
    <row r="23" spans="1:22" x14ac:dyDescent="0.3">
      <c r="A23" t="s">
        <v>2606</v>
      </c>
      <c r="B23" t="s">
        <v>836</v>
      </c>
      <c r="C23" t="s">
        <v>14</v>
      </c>
      <c r="D23" t="s">
        <v>2607</v>
      </c>
      <c r="E23" s="20" t="s">
        <v>2738</v>
      </c>
      <c r="F23" s="4"/>
      <c r="G23" s="4" t="s">
        <v>4467</v>
      </c>
      <c r="H23" s="4" t="s">
        <v>4467</v>
      </c>
      <c r="I23" s="4"/>
      <c r="J23" t="s">
        <v>2547</v>
      </c>
      <c r="L23" t="s">
        <v>5279</v>
      </c>
      <c r="M23" t="s">
        <v>5279</v>
      </c>
      <c r="O23" s="6"/>
      <c r="S23" s="6"/>
      <c r="U23" t="str">
        <f t="shared" si="0"/>
        <v>UNVERIFIED - USING FALLBACK</v>
      </c>
      <c r="V23" s="109">
        <f>IF($I23&lt;&gt;"",$I23,admin!$B$15)</f>
        <v>72</v>
      </c>
    </row>
    <row r="24" spans="1:22" x14ac:dyDescent="0.3">
      <c r="A24" t="s">
        <v>2608</v>
      </c>
      <c r="B24" t="s">
        <v>844</v>
      </c>
      <c r="C24" t="s">
        <v>2609</v>
      </c>
      <c r="D24" t="s">
        <v>2610</v>
      </c>
      <c r="E24" s="20" t="s">
        <v>2739</v>
      </c>
      <c r="F24" s="4"/>
      <c r="G24" s="4" t="s">
        <v>4467</v>
      </c>
      <c r="H24" s="4" t="s">
        <v>4467</v>
      </c>
      <c r="I24" s="4"/>
      <c r="J24" t="s">
        <v>2547</v>
      </c>
      <c r="L24" t="s">
        <v>5279</v>
      </c>
      <c r="M24" t="s">
        <v>5279</v>
      </c>
      <c r="O24" s="6"/>
      <c r="S24" s="6"/>
      <c r="U24" t="str">
        <f t="shared" si="0"/>
        <v>UNVERIFIED - USING FALLBACK</v>
      </c>
      <c r="V24" s="109">
        <f>IF($I24&lt;&gt;"",$I24,admin!$B$15)</f>
        <v>72</v>
      </c>
    </row>
    <row r="25" spans="1:22" x14ac:dyDescent="0.3">
      <c r="A25" t="s">
        <v>2611</v>
      </c>
      <c r="B25" t="s">
        <v>858</v>
      </c>
      <c r="C25" t="s">
        <v>2612</v>
      </c>
      <c r="D25" t="s">
        <v>2613</v>
      </c>
      <c r="E25" s="20" t="s">
        <v>2740</v>
      </c>
      <c r="F25" s="4"/>
      <c r="G25" s="4" t="s">
        <v>4467</v>
      </c>
      <c r="H25" s="4" t="s">
        <v>4467</v>
      </c>
      <c r="I25" s="4"/>
      <c r="J25" t="s">
        <v>2547</v>
      </c>
      <c r="L25" t="s">
        <v>5279</v>
      </c>
      <c r="M25" t="s">
        <v>5279</v>
      </c>
      <c r="O25" s="6"/>
      <c r="S25" s="6"/>
      <c r="U25" t="str">
        <f t="shared" si="0"/>
        <v>UNVERIFIED - USING FALLBACK</v>
      </c>
      <c r="V25" s="109">
        <f>IF($I25&lt;&gt;"",$I25,admin!$B$15)</f>
        <v>72</v>
      </c>
    </row>
    <row r="26" spans="1:22" x14ac:dyDescent="0.3">
      <c r="A26" t="s">
        <v>2614</v>
      </c>
      <c r="B26" t="s">
        <v>8</v>
      </c>
      <c r="C26" t="s">
        <v>2615</v>
      </c>
      <c r="D26" t="s">
        <v>2616</v>
      </c>
      <c r="E26" s="20" t="s">
        <v>2741</v>
      </c>
      <c r="F26" s="4"/>
      <c r="G26" s="4" t="s">
        <v>4467</v>
      </c>
      <c r="H26" s="4" t="s">
        <v>4467</v>
      </c>
      <c r="I26" s="4"/>
      <c r="J26" t="s">
        <v>2547</v>
      </c>
      <c r="L26" t="s">
        <v>5279</v>
      </c>
      <c r="M26" t="s">
        <v>5279</v>
      </c>
      <c r="O26" s="6"/>
      <c r="S26" s="6"/>
      <c r="U26" t="str">
        <f t="shared" si="0"/>
        <v>UNVERIFIED - USING FALLBACK</v>
      </c>
      <c r="V26" s="109">
        <f>IF($I26&lt;&gt;"",$I26,admin!$B$15)</f>
        <v>72</v>
      </c>
    </row>
    <row r="27" spans="1:22" x14ac:dyDescent="0.3">
      <c r="A27" t="s">
        <v>2617</v>
      </c>
      <c r="B27" t="s">
        <v>1754</v>
      </c>
      <c r="C27" t="s">
        <v>2618</v>
      </c>
      <c r="D27" t="s">
        <v>2619</v>
      </c>
      <c r="E27" s="20" t="s">
        <v>2742</v>
      </c>
      <c r="F27" s="4"/>
      <c r="G27" s="4" t="s">
        <v>4467</v>
      </c>
      <c r="H27" s="4" t="s">
        <v>4467</v>
      </c>
      <c r="I27" s="4"/>
      <c r="J27" t="s">
        <v>2547</v>
      </c>
      <c r="L27" t="s">
        <v>5279</v>
      </c>
      <c r="M27" t="s">
        <v>5279</v>
      </c>
      <c r="O27" s="6"/>
      <c r="S27" s="6"/>
      <c r="U27" t="str">
        <f t="shared" si="0"/>
        <v>UNVERIFIED - USING FALLBACK</v>
      </c>
      <c r="V27" s="109">
        <f>IF($I27&lt;&gt;"",$I27,admin!$B$15)</f>
        <v>72</v>
      </c>
    </row>
    <row r="28" spans="1:22" x14ac:dyDescent="0.3">
      <c r="A28" t="s">
        <v>2620</v>
      </c>
      <c r="B28" t="s">
        <v>762</v>
      </c>
      <c r="C28" t="s">
        <v>2621</v>
      </c>
      <c r="D28" t="s">
        <v>2622</v>
      </c>
      <c r="E28" s="20" t="s">
        <v>2743</v>
      </c>
      <c r="F28" s="4"/>
      <c r="G28" s="4" t="s">
        <v>4467</v>
      </c>
      <c r="H28" s="4" t="s">
        <v>4467</v>
      </c>
      <c r="I28" s="4"/>
      <c r="J28" t="s">
        <v>2547</v>
      </c>
      <c r="L28" t="s">
        <v>5279</v>
      </c>
      <c r="M28" t="s">
        <v>5279</v>
      </c>
      <c r="O28" s="6"/>
      <c r="S28" s="6"/>
      <c r="U28" t="str">
        <f t="shared" si="0"/>
        <v>UNVERIFIED - USING FALLBACK</v>
      </c>
      <c r="V28" s="109">
        <f>IF($I28&lt;&gt;"",$I28,admin!$B$15)</f>
        <v>72</v>
      </c>
    </row>
    <row r="29" spans="1:22" x14ac:dyDescent="0.3">
      <c r="A29" t="s">
        <v>2623</v>
      </c>
      <c r="B29" t="s">
        <v>1763</v>
      </c>
      <c r="C29" t="s">
        <v>2624</v>
      </c>
      <c r="D29" t="s">
        <v>2625</v>
      </c>
      <c r="E29" s="20" t="s">
        <v>2744</v>
      </c>
      <c r="F29" s="4"/>
      <c r="G29" s="4" t="s">
        <v>4467</v>
      </c>
      <c r="H29" s="4" t="s">
        <v>4467</v>
      </c>
      <c r="I29" s="4"/>
      <c r="J29" t="s">
        <v>2547</v>
      </c>
      <c r="L29" t="s">
        <v>5279</v>
      </c>
      <c r="M29" t="s">
        <v>5279</v>
      </c>
      <c r="O29" s="6"/>
      <c r="S29" s="6"/>
      <c r="U29" t="str">
        <f t="shared" si="0"/>
        <v>UNVERIFIED - USING FALLBACK</v>
      </c>
      <c r="V29" s="109">
        <f>IF($I29&lt;&gt;"",$I29,admin!$B$15)</f>
        <v>72</v>
      </c>
    </row>
    <row r="30" spans="1:22" x14ac:dyDescent="0.3">
      <c r="A30" t="s">
        <v>2626</v>
      </c>
      <c r="B30" t="s">
        <v>1773</v>
      </c>
      <c r="C30" t="s">
        <v>2627</v>
      </c>
      <c r="D30" t="s">
        <v>2628</v>
      </c>
      <c r="E30" s="20" t="s">
        <v>2745</v>
      </c>
      <c r="F30" s="4"/>
      <c r="G30" s="4" t="s">
        <v>4467</v>
      </c>
      <c r="H30" s="4" t="s">
        <v>4467</v>
      </c>
      <c r="I30" s="4"/>
      <c r="J30" t="s">
        <v>2547</v>
      </c>
      <c r="L30" t="s">
        <v>5279</v>
      </c>
      <c r="M30" t="s">
        <v>5279</v>
      </c>
      <c r="O30" s="6"/>
      <c r="S30" s="6"/>
      <c r="U30" t="str">
        <f t="shared" si="0"/>
        <v>UNVERIFIED - USING FALLBACK</v>
      </c>
      <c r="V30" s="109">
        <f>IF($I30&lt;&gt;"",$I30,admin!$B$15)</f>
        <v>72</v>
      </c>
    </row>
    <row r="31" spans="1:22" x14ac:dyDescent="0.3">
      <c r="A31" t="s">
        <v>2629</v>
      </c>
      <c r="B31" t="s">
        <v>10</v>
      </c>
      <c r="C31" t="s">
        <v>2630</v>
      </c>
      <c r="D31" t="s">
        <v>2631</v>
      </c>
      <c r="E31" s="20" t="s">
        <v>2746</v>
      </c>
      <c r="F31" s="4"/>
      <c r="G31" s="4" t="s">
        <v>4467</v>
      </c>
      <c r="H31" s="4" t="s">
        <v>4467</v>
      </c>
      <c r="I31" s="4"/>
      <c r="J31" t="s">
        <v>2547</v>
      </c>
      <c r="L31" t="s">
        <v>5279</v>
      </c>
      <c r="M31" t="s">
        <v>5279</v>
      </c>
      <c r="O31" s="6"/>
      <c r="S31" s="6"/>
      <c r="U31" t="str">
        <f t="shared" si="0"/>
        <v>UNVERIFIED - USING FALLBACK</v>
      </c>
      <c r="V31" s="109">
        <f>IF($I31&lt;&gt;"",$I31,admin!$B$15)</f>
        <v>72</v>
      </c>
    </row>
    <row r="32" spans="1:22" x14ac:dyDescent="0.3">
      <c r="A32" t="s">
        <v>2632</v>
      </c>
      <c r="B32" t="s">
        <v>1781</v>
      </c>
      <c r="C32" t="s">
        <v>2633</v>
      </c>
      <c r="D32" t="s">
        <v>2634</v>
      </c>
      <c r="E32" s="20" t="s">
        <v>2747</v>
      </c>
      <c r="F32" s="4"/>
      <c r="G32" s="4" t="s">
        <v>4467</v>
      </c>
      <c r="H32" s="4" t="s">
        <v>4467</v>
      </c>
      <c r="I32" s="4"/>
      <c r="J32" t="s">
        <v>2547</v>
      </c>
      <c r="L32" t="s">
        <v>5279</v>
      </c>
      <c r="M32" t="s">
        <v>5279</v>
      </c>
      <c r="O32" s="6"/>
      <c r="S32" s="6"/>
      <c r="U32" t="str">
        <f t="shared" si="0"/>
        <v>UNVERIFIED - USING FALLBACK</v>
      </c>
      <c r="V32" s="109">
        <f>IF($I32&lt;&gt;"",$I32,admin!$B$15)</f>
        <v>72</v>
      </c>
    </row>
    <row r="33" spans="1:22" x14ac:dyDescent="0.3">
      <c r="A33" t="s">
        <v>2635</v>
      </c>
      <c r="B33" t="s">
        <v>1795</v>
      </c>
      <c r="C33" t="s">
        <v>2636</v>
      </c>
      <c r="D33" t="s">
        <v>2637</v>
      </c>
      <c r="E33" s="20" t="s">
        <v>2748</v>
      </c>
      <c r="F33" s="4"/>
      <c r="G33" s="4" t="s">
        <v>4467</v>
      </c>
      <c r="H33" s="4" t="s">
        <v>4467</v>
      </c>
      <c r="I33" s="4"/>
      <c r="J33" t="s">
        <v>2547</v>
      </c>
      <c r="L33" t="s">
        <v>5279</v>
      </c>
      <c r="M33" t="s">
        <v>5279</v>
      </c>
      <c r="O33" s="6"/>
      <c r="S33" s="6"/>
      <c r="U33" t="str">
        <f t="shared" si="0"/>
        <v>UNVERIFIED - USING FALLBACK</v>
      </c>
      <c r="V33" s="109">
        <f>IF($I33&lt;&gt;"",$I33,admin!$B$15)</f>
        <v>72</v>
      </c>
    </row>
    <row r="34" spans="1:22" x14ac:dyDescent="0.3">
      <c r="A34" t="s">
        <v>2638</v>
      </c>
      <c r="B34" t="s">
        <v>1802</v>
      </c>
      <c r="C34" t="s">
        <v>2639</v>
      </c>
      <c r="D34" t="s">
        <v>2640</v>
      </c>
      <c r="E34" s="20" t="s">
        <v>2749</v>
      </c>
      <c r="F34" s="4"/>
      <c r="G34" s="4" t="s">
        <v>4467</v>
      </c>
      <c r="H34" s="4" t="s">
        <v>4467</v>
      </c>
      <c r="I34" s="4"/>
      <c r="J34" t="s">
        <v>2547</v>
      </c>
      <c r="L34" t="s">
        <v>5279</v>
      </c>
      <c r="M34" t="s">
        <v>5279</v>
      </c>
      <c r="O34" s="6"/>
      <c r="S34" s="6"/>
      <c r="U34" t="str">
        <f t="shared" si="0"/>
        <v>UNVERIFIED - USING FALLBACK</v>
      </c>
      <c r="V34" s="109">
        <f>IF($I34&lt;&gt;"",$I34,admin!$B$15)</f>
        <v>72</v>
      </c>
    </row>
    <row r="35" spans="1:22" x14ac:dyDescent="0.3">
      <c r="A35" t="s">
        <v>2641</v>
      </c>
      <c r="B35" t="s">
        <v>1996</v>
      </c>
      <c r="C35" t="s">
        <v>2642</v>
      </c>
      <c r="D35" t="s">
        <v>2643</v>
      </c>
      <c r="E35" s="20" t="s">
        <v>2750</v>
      </c>
      <c r="F35" s="4"/>
      <c r="G35" s="4" t="s">
        <v>4467</v>
      </c>
      <c r="H35" s="4" t="s">
        <v>4467</v>
      </c>
      <c r="I35" s="4"/>
      <c r="J35" t="s">
        <v>2547</v>
      </c>
      <c r="L35" t="s">
        <v>5279</v>
      </c>
      <c r="M35" t="s">
        <v>5279</v>
      </c>
      <c r="O35" s="6"/>
      <c r="S35" s="6"/>
      <c r="U35" t="str">
        <f t="shared" si="0"/>
        <v>UNVERIFIED - USING FALLBACK</v>
      </c>
      <c r="V35" s="109">
        <f>IF($I35&lt;&gt;"",$I35,admin!$B$15)</f>
        <v>72</v>
      </c>
    </row>
    <row r="36" spans="1:22" x14ac:dyDescent="0.3">
      <c r="A36" t="s">
        <v>2644</v>
      </c>
      <c r="B36" t="s">
        <v>1766</v>
      </c>
      <c r="C36" t="s">
        <v>2645</v>
      </c>
      <c r="D36" t="s">
        <v>2646</v>
      </c>
      <c r="E36" s="20" t="s">
        <v>2751</v>
      </c>
      <c r="F36" s="4"/>
      <c r="G36" s="4" t="s">
        <v>4467</v>
      </c>
      <c r="H36" s="4" t="s">
        <v>4467</v>
      </c>
      <c r="I36" s="4"/>
      <c r="J36" t="s">
        <v>2547</v>
      </c>
      <c r="L36" t="s">
        <v>5279</v>
      </c>
      <c r="M36" t="s">
        <v>5279</v>
      </c>
      <c r="O36" s="6"/>
      <c r="S36" s="6"/>
      <c r="U36" t="str">
        <f t="shared" si="0"/>
        <v>UNVERIFIED - USING FALLBACK</v>
      </c>
      <c r="V36" s="109">
        <f>IF($I36&lt;&gt;"",$I36,admin!$B$15)</f>
        <v>72</v>
      </c>
    </row>
    <row r="37" spans="1:22" x14ac:dyDescent="0.3">
      <c r="A37" t="s">
        <v>2647</v>
      </c>
      <c r="B37" t="s">
        <v>1815</v>
      </c>
      <c r="C37" t="s">
        <v>2648</v>
      </c>
      <c r="D37" t="s">
        <v>2649</v>
      </c>
      <c r="E37" s="20" t="s">
        <v>2752</v>
      </c>
      <c r="F37" s="4"/>
      <c r="G37" s="4" t="s">
        <v>4467</v>
      </c>
      <c r="H37" s="4" t="s">
        <v>4467</v>
      </c>
      <c r="I37" s="4"/>
      <c r="J37" t="s">
        <v>2547</v>
      </c>
      <c r="L37" t="s">
        <v>5279</v>
      </c>
      <c r="M37" t="s">
        <v>5279</v>
      </c>
      <c r="O37" s="6"/>
      <c r="S37" s="6"/>
      <c r="U37" t="str">
        <f t="shared" si="0"/>
        <v>UNVERIFIED - USING FALLBACK</v>
      </c>
      <c r="V37" s="109">
        <f>IF($I37&lt;&gt;"",$I37,admin!$B$15)</f>
        <v>72</v>
      </c>
    </row>
    <row r="38" spans="1:22" x14ac:dyDescent="0.3">
      <c r="A38" t="s">
        <v>2650</v>
      </c>
      <c r="B38" t="s">
        <v>2651</v>
      </c>
      <c r="C38" t="s">
        <v>2652</v>
      </c>
      <c r="D38" t="s">
        <v>2653</v>
      </c>
      <c r="E38" s="20" t="s">
        <v>2753</v>
      </c>
      <c r="F38" s="4"/>
      <c r="G38" s="4" t="s">
        <v>4467</v>
      </c>
      <c r="H38" s="4" t="s">
        <v>4467</v>
      </c>
      <c r="I38" s="4"/>
      <c r="J38" t="s">
        <v>2547</v>
      </c>
      <c r="L38" t="s">
        <v>5279</v>
      </c>
      <c r="M38" t="s">
        <v>5279</v>
      </c>
      <c r="O38" s="6"/>
      <c r="S38" s="6"/>
      <c r="U38" t="str">
        <f t="shared" si="0"/>
        <v>UNVERIFIED - USING FALLBACK</v>
      </c>
      <c r="V38" s="109">
        <f>IF($I38&lt;&gt;"",$I38,admin!$B$15)</f>
        <v>72</v>
      </c>
    </row>
    <row r="39" spans="1:22" x14ac:dyDescent="0.3">
      <c r="A39" t="s">
        <v>2654</v>
      </c>
      <c r="B39" t="s">
        <v>1820</v>
      </c>
      <c r="C39" t="s">
        <v>2655</v>
      </c>
      <c r="D39" t="s">
        <v>2656</v>
      </c>
      <c r="E39" s="20" t="s">
        <v>2754</v>
      </c>
      <c r="F39" s="4"/>
      <c r="G39" s="4" t="s">
        <v>4467</v>
      </c>
      <c r="H39" s="4" t="s">
        <v>4467</v>
      </c>
      <c r="I39" s="4"/>
      <c r="J39" t="s">
        <v>2547</v>
      </c>
      <c r="L39" t="s">
        <v>5279</v>
      </c>
      <c r="M39" t="s">
        <v>5279</v>
      </c>
      <c r="O39" s="6"/>
      <c r="S39" s="6"/>
      <c r="U39" t="str">
        <f t="shared" si="0"/>
        <v>UNVERIFIED - USING FALLBACK</v>
      </c>
      <c r="V39" s="109">
        <f>IF($I39&lt;&gt;"",$I39,admin!$B$15)</f>
        <v>72</v>
      </c>
    </row>
    <row r="40" spans="1:22" x14ac:dyDescent="0.3">
      <c r="A40" t="s">
        <v>2657</v>
      </c>
      <c r="B40" t="s">
        <v>1822</v>
      </c>
      <c r="C40" t="s">
        <v>2658</v>
      </c>
      <c r="D40" t="s">
        <v>2659</v>
      </c>
      <c r="E40" s="20" t="s">
        <v>2755</v>
      </c>
      <c r="F40" s="4"/>
      <c r="G40" s="4" t="s">
        <v>4467</v>
      </c>
      <c r="H40" s="4" t="s">
        <v>4467</v>
      </c>
      <c r="I40" s="4"/>
      <c r="J40" t="s">
        <v>2547</v>
      </c>
      <c r="L40" t="s">
        <v>5279</v>
      </c>
      <c r="M40" t="s">
        <v>5279</v>
      </c>
      <c r="O40" s="6"/>
      <c r="S40" s="6"/>
      <c r="U40" t="str">
        <f t="shared" si="0"/>
        <v>UNVERIFIED - USING FALLBACK</v>
      </c>
      <c r="V40" s="109">
        <f>IF($I40&lt;&gt;"",$I40,admin!$B$15)</f>
        <v>72</v>
      </c>
    </row>
    <row r="41" spans="1:22" x14ac:dyDescent="0.3">
      <c r="A41" t="s">
        <v>2660</v>
      </c>
      <c r="B41" t="s">
        <v>739</v>
      </c>
      <c r="C41" t="s">
        <v>2661</v>
      </c>
      <c r="D41" t="s">
        <v>2662</v>
      </c>
      <c r="E41" s="20" t="s">
        <v>2756</v>
      </c>
      <c r="F41" s="4"/>
      <c r="G41" s="4" t="s">
        <v>4467</v>
      </c>
      <c r="H41" s="4" t="s">
        <v>4467</v>
      </c>
      <c r="I41" s="4"/>
      <c r="J41" t="s">
        <v>2547</v>
      </c>
      <c r="L41" t="s">
        <v>5279</v>
      </c>
      <c r="M41" t="s">
        <v>5279</v>
      </c>
      <c r="O41" s="6"/>
      <c r="S41" s="6"/>
      <c r="U41" t="str">
        <f t="shared" si="0"/>
        <v>UNVERIFIED - USING FALLBACK</v>
      </c>
      <c r="V41" s="109">
        <f>IF($I41&lt;&gt;"",$I41,admin!$B$15)</f>
        <v>72</v>
      </c>
    </row>
    <row r="42" spans="1:22" x14ac:dyDescent="0.3">
      <c r="A42" t="s">
        <v>2663</v>
      </c>
      <c r="B42" t="s">
        <v>1884</v>
      </c>
      <c r="C42" t="s">
        <v>2664</v>
      </c>
      <c r="D42" t="s">
        <v>2665</v>
      </c>
      <c r="E42" s="20" t="s">
        <v>2757</v>
      </c>
      <c r="F42" s="4"/>
      <c r="G42" s="4" t="s">
        <v>4467</v>
      </c>
      <c r="H42" s="4" t="s">
        <v>4467</v>
      </c>
      <c r="I42" s="4"/>
      <c r="J42" t="s">
        <v>2547</v>
      </c>
      <c r="L42" t="s">
        <v>5279</v>
      </c>
      <c r="M42" t="s">
        <v>5279</v>
      </c>
      <c r="O42" s="6"/>
      <c r="S42" s="6"/>
      <c r="U42" t="str">
        <f t="shared" si="0"/>
        <v>UNVERIFIED - USING FALLBACK</v>
      </c>
      <c r="V42" s="109">
        <f>IF($I42&lt;&gt;"",$I42,admin!$B$15)</f>
        <v>72</v>
      </c>
    </row>
    <row r="43" spans="1:22" x14ac:dyDescent="0.3">
      <c r="A43" t="s">
        <v>2666</v>
      </c>
      <c r="B43" t="s">
        <v>1872</v>
      </c>
      <c r="C43" t="s">
        <v>2667</v>
      </c>
      <c r="D43" t="s">
        <v>2668</v>
      </c>
      <c r="E43" s="20" t="s">
        <v>2750</v>
      </c>
      <c r="F43" s="4"/>
      <c r="G43" s="4" t="s">
        <v>4467</v>
      </c>
      <c r="H43" s="4" t="s">
        <v>4467</v>
      </c>
      <c r="I43" s="4"/>
      <c r="J43" t="s">
        <v>2547</v>
      </c>
      <c r="L43" t="s">
        <v>5279</v>
      </c>
      <c r="M43" t="s">
        <v>5279</v>
      </c>
      <c r="O43" s="6"/>
      <c r="S43" s="6"/>
      <c r="U43" t="str">
        <f t="shared" si="0"/>
        <v>UNVERIFIED - USING FALLBACK</v>
      </c>
      <c r="V43" s="109">
        <f>IF($I43&lt;&gt;"",$I43,admin!$B$15)</f>
        <v>72</v>
      </c>
    </row>
    <row r="44" spans="1:22" x14ac:dyDescent="0.3">
      <c r="A44" t="s">
        <v>2669</v>
      </c>
      <c r="B44" t="s">
        <v>2670</v>
      </c>
      <c r="C44" t="s">
        <v>2671</v>
      </c>
      <c r="D44" t="s">
        <v>2672</v>
      </c>
      <c r="E44" s="20" t="s">
        <v>2758</v>
      </c>
      <c r="F44" s="4"/>
      <c r="G44" s="4" t="s">
        <v>4467</v>
      </c>
      <c r="H44" s="4" t="s">
        <v>4467</v>
      </c>
      <c r="I44" s="4"/>
      <c r="J44" t="s">
        <v>2547</v>
      </c>
      <c r="L44" t="s">
        <v>5279</v>
      </c>
      <c r="M44" t="s">
        <v>5279</v>
      </c>
      <c r="O44" s="6"/>
      <c r="S44" s="6"/>
      <c r="U44" t="str">
        <f t="shared" si="0"/>
        <v>UNVERIFIED - USING FALLBACK</v>
      </c>
      <c r="V44" s="109">
        <f>IF($I44&lt;&gt;"",$I44,admin!$B$15)</f>
        <v>72</v>
      </c>
    </row>
    <row r="45" spans="1:22" x14ac:dyDescent="0.3">
      <c r="A45" t="s">
        <v>2673</v>
      </c>
      <c r="B45" t="s">
        <v>2674</v>
      </c>
      <c r="C45" t="s">
        <v>2675</v>
      </c>
      <c r="D45" t="s">
        <v>2676</v>
      </c>
      <c r="E45" s="20" t="s">
        <v>2759</v>
      </c>
      <c r="F45" s="4"/>
      <c r="G45" s="4" t="s">
        <v>4467</v>
      </c>
      <c r="H45" s="4" t="s">
        <v>4467</v>
      </c>
      <c r="I45" s="4"/>
      <c r="J45" t="s">
        <v>2547</v>
      </c>
      <c r="L45" t="s">
        <v>5279</v>
      </c>
      <c r="M45" t="s">
        <v>5279</v>
      </c>
      <c r="O45" s="6"/>
      <c r="S45" s="6"/>
      <c r="U45" t="str">
        <f t="shared" si="0"/>
        <v>UNVERIFIED - USING FALLBACK</v>
      </c>
      <c r="V45" s="109">
        <f>IF($I45&lt;&gt;"",$I45,admin!$B$15)</f>
        <v>72</v>
      </c>
    </row>
    <row r="46" spans="1:22" x14ac:dyDescent="0.3">
      <c r="A46" t="s">
        <v>2677</v>
      </c>
      <c r="B46" t="s">
        <v>1906</v>
      </c>
      <c r="C46" t="s">
        <v>2678</v>
      </c>
      <c r="D46" t="s">
        <v>2679</v>
      </c>
      <c r="E46" s="20" t="s">
        <v>2760</v>
      </c>
      <c r="F46" s="4"/>
      <c r="G46" s="4" t="s">
        <v>4467</v>
      </c>
      <c r="H46" s="4" t="s">
        <v>4467</v>
      </c>
      <c r="I46" s="4"/>
      <c r="J46" t="s">
        <v>2547</v>
      </c>
      <c r="L46" t="s">
        <v>5279</v>
      </c>
      <c r="M46" t="s">
        <v>5279</v>
      </c>
      <c r="O46" s="6"/>
      <c r="S46" s="6"/>
      <c r="U46" t="str">
        <f t="shared" si="0"/>
        <v>UNVERIFIED - USING FALLBACK</v>
      </c>
      <c r="V46" s="109">
        <f>IF($I46&lt;&gt;"",$I46,admin!$B$15)</f>
        <v>72</v>
      </c>
    </row>
    <row r="47" spans="1:22" x14ac:dyDescent="0.3">
      <c r="A47" t="s">
        <v>2680</v>
      </c>
      <c r="B47" t="s">
        <v>1891</v>
      </c>
      <c r="C47" t="s">
        <v>2681</v>
      </c>
      <c r="D47" t="s">
        <v>2682</v>
      </c>
      <c r="E47" s="20" t="s">
        <v>2761</v>
      </c>
      <c r="F47" s="4"/>
      <c r="G47" s="4" t="s">
        <v>4467</v>
      </c>
      <c r="H47" s="4" t="s">
        <v>4467</v>
      </c>
      <c r="I47" s="4"/>
      <c r="J47" t="s">
        <v>2547</v>
      </c>
      <c r="L47" t="s">
        <v>5279</v>
      </c>
      <c r="M47" t="s">
        <v>5279</v>
      </c>
      <c r="O47" s="6"/>
      <c r="S47" s="6"/>
      <c r="U47" t="str">
        <f t="shared" si="0"/>
        <v>UNVERIFIED - USING FALLBACK</v>
      </c>
      <c r="V47" s="109">
        <f>IF($I47&lt;&gt;"",$I47,admin!$B$15)</f>
        <v>72</v>
      </c>
    </row>
    <row r="48" spans="1:22" x14ac:dyDescent="0.3">
      <c r="A48" t="s">
        <v>2683</v>
      </c>
      <c r="B48" t="s">
        <v>1904</v>
      </c>
      <c r="C48" t="s">
        <v>2684</v>
      </c>
      <c r="D48" t="s">
        <v>2685</v>
      </c>
      <c r="E48" s="20" t="s">
        <v>2762</v>
      </c>
      <c r="F48" s="4"/>
      <c r="G48" s="4" t="s">
        <v>4467</v>
      </c>
      <c r="H48" s="4" t="s">
        <v>4467</v>
      </c>
      <c r="I48" s="4"/>
      <c r="J48" t="s">
        <v>2547</v>
      </c>
      <c r="L48" t="s">
        <v>5279</v>
      </c>
      <c r="M48" t="s">
        <v>5279</v>
      </c>
      <c r="O48" s="6"/>
      <c r="S48" s="6"/>
      <c r="U48" t="str">
        <f t="shared" si="0"/>
        <v>UNVERIFIED - USING FALLBACK</v>
      </c>
      <c r="V48" s="109">
        <f>IF($I48&lt;&gt;"",$I48,admin!$B$15)</f>
        <v>72</v>
      </c>
    </row>
    <row r="49" spans="1:22" x14ac:dyDescent="0.3">
      <c r="A49" t="s">
        <v>2686</v>
      </c>
      <c r="B49" t="s">
        <v>1908</v>
      </c>
      <c r="C49" t="s">
        <v>2687</v>
      </c>
      <c r="D49" t="s">
        <v>2688</v>
      </c>
      <c r="E49" s="20" t="s">
        <v>2763</v>
      </c>
      <c r="F49" s="4"/>
      <c r="G49" s="4" t="s">
        <v>4467</v>
      </c>
      <c r="H49" s="4" t="s">
        <v>4467</v>
      </c>
      <c r="I49" s="4"/>
      <c r="J49" t="s">
        <v>2547</v>
      </c>
      <c r="L49" t="s">
        <v>5279</v>
      </c>
      <c r="M49" t="s">
        <v>5279</v>
      </c>
      <c r="O49" s="6"/>
      <c r="S49" s="6"/>
      <c r="U49" t="str">
        <f t="shared" si="0"/>
        <v>UNVERIFIED - USING FALLBACK</v>
      </c>
      <c r="V49" s="109">
        <f>IF($I49&lt;&gt;"",$I49,admin!$B$15)</f>
        <v>72</v>
      </c>
    </row>
    <row r="50" spans="1:22" x14ac:dyDescent="0.3">
      <c r="A50" t="s">
        <v>2689</v>
      </c>
      <c r="B50" t="s">
        <v>1998</v>
      </c>
      <c r="C50" t="s">
        <v>2690</v>
      </c>
      <c r="D50" t="s">
        <v>2691</v>
      </c>
      <c r="E50" s="20" t="s">
        <v>2764</v>
      </c>
      <c r="F50" s="4"/>
      <c r="G50" s="4" t="s">
        <v>4467</v>
      </c>
      <c r="H50" s="4" t="s">
        <v>4467</v>
      </c>
      <c r="I50" s="4"/>
      <c r="J50" t="s">
        <v>2547</v>
      </c>
      <c r="L50" t="s">
        <v>5279</v>
      </c>
      <c r="M50" t="s">
        <v>5279</v>
      </c>
      <c r="O50" s="6"/>
      <c r="S50" s="6"/>
      <c r="U50" t="str">
        <f t="shared" si="0"/>
        <v>UNVERIFIED - USING FALLBACK</v>
      </c>
      <c r="V50" s="109">
        <f>IF($I50&lt;&gt;"",$I50,admin!$B$15)</f>
        <v>72</v>
      </c>
    </row>
    <row r="51" spans="1:22" x14ac:dyDescent="0.3">
      <c r="A51" t="s">
        <v>2692</v>
      </c>
      <c r="B51" t="s">
        <v>1913</v>
      </c>
      <c r="C51" t="s">
        <v>2693</v>
      </c>
      <c r="D51" t="s">
        <v>2694</v>
      </c>
      <c r="E51" s="20" t="s">
        <v>2765</v>
      </c>
      <c r="F51" s="4"/>
      <c r="G51" s="4" t="s">
        <v>4467</v>
      </c>
      <c r="H51" s="4" t="s">
        <v>4467</v>
      </c>
      <c r="I51" s="4"/>
      <c r="J51" t="s">
        <v>2547</v>
      </c>
      <c r="L51" t="s">
        <v>5279</v>
      </c>
      <c r="M51" t="s">
        <v>5279</v>
      </c>
      <c r="O51" s="6"/>
      <c r="S51" s="6"/>
      <c r="U51" t="str">
        <f t="shared" si="0"/>
        <v>UNVERIFIED - USING FALLBACK</v>
      </c>
      <c r="V51" s="109">
        <f>IF($I51&lt;&gt;"",$I51,admin!$B$15)</f>
        <v>72</v>
      </c>
    </row>
    <row r="52" spans="1:22" x14ac:dyDescent="0.3">
      <c r="A52" t="s">
        <v>2695</v>
      </c>
      <c r="B52" t="s">
        <v>1893</v>
      </c>
      <c r="C52" t="s">
        <v>2696</v>
      </c>
      <c r="D52" t="s">
        <v>2697</v>
      </c>
      <c r="E52" s="20" t="s">
        <v>2766</v>
      </c>
      <c r="F52" s="4"/>
      <c r="G52" s="4" t="s">
        <v>4467</v>
      </c>
      <c r="H52" s="4" t="s">
        <v>4467</v>
      </c>
      <c r="I52" s="4"/>
      <c r="J52" t="s">
        <v>2547</v>
      </c>
      <c r="L52" t="s">
        <v>5279</v>
      </c>
      <c r="M52" t="s">
        <v>5279</v>
      </c>
      <c r="O52" s="6"/>
      <c r="S52" s="6"/>
      <c r="U52" t="str">
        <f t="shared" si="0"/>
        <v>UNVERIFIED - USING FALLBACK</v>
      </c>
      <c r="V52" s="109">
        <f>IF($I52&lt;&gt;"",$I52,admin!$B$15)</f>
        <v>72</v>
      </c>
    </row>
    <row r="53" spans="1:22" x14ac:dyDescent="0.3">
      <c r="A53" t="s">
        <v>2698</v>
      </c>
      <c r="B53" t="s">
        <v>9</v>
      </c>
      <c r="C53" t="s">
        <v>2699</v>
      </c>
      <c r="D53" t="s">
        <v>2700</v>
      </c>
      <c r="E53" s="20" t="s">
        <v>2767</v>
      </c>
      <c r="F53" s="4"/>
      <c r="G53" s="4" t="s">
        <v>4467</v>
      </c>
      <c r="H53" s="4" t="s">
        <v>4467</v>
      </c>
      <c r="I53" s="4"/>
      <c r="J53" t="s">
        <v>2547</v>
      </c>
      <c r="L53" t="s">
        <v>5279</v>
      </c>
      <c r="M53" t="s">
        <v>5279</v>
      </c>
      <c r="O53" s="6"/>
      <c r="S53" s="6"/>
      <c r="U53" t="str">
        <f t="shared" si="0"/>
        <v>UNVERIFIED - USING FALLBACK</v>
      </c>
      <c r="V53" s="109">
        <f>IF($I53&lt;&gt;"",$I53,admin!$B$15)</f>
        <v>72</v>
      </c>
    </row>
    <row r="54" spans="1:22" x14ac:dyDescent="0.3">
      <c r="A54" t="s">
        <v>2701</v>
      </c>
      <c r="B54" t="s">
        <v>1929</v>
      </c>
      <c r="C54" t="s">
        <v>2702</v>
      </c>
      <c r="D54" t="s">
        <v>2703</v>
      </c>
      <c r="E54" s="20" t="s">
        <v>2768</v>
      </c>
      <c r="F54" s="4"/>
      <c r="G54" s="4" t="s">
        <v>4467</v>
      </c>
      <c r="H54" s="4" t="s">
        <v>4467</v>
      </c>
      <c r="I54" s="4"/>
      <c r="J54" t="s">
        <v>2547</v>
      </c>
      <c r="L54" t="s">
        <v>5279</v>
      </c>
      <c r="M54" t="s">
        <v>5279</v>
      </c>
      <c r="O54" s="6"/>
      <c r="S54" s="6"/>
      <c r="U54" t="str">
        <f t="shared" si="0"/>
        <v>UNVERIFIED - USING FALLBACK</v>
      </c>
      <c r="V54" s="109">
        <f>IF($I54&lt;&gt;"",$I54,admin!$B$15)</f>
        <v>72</v>
      </c>
    </row>
    <row r="55" spans="1:22" x14ac:dyDescent="0.3">
      <c r="A55" t="s">
        <v>2704</v>
      </c>
      <c r="B55" t="s">
        <v>1943</v>
      </c>
      <c r="C55" t="s">
        <v>2705</v>
      </c>
      <c r="D55" t="s">
        <v>1472</v>
      </c>
      <c r="E55" s="20" t="s">
        <v>2769</v>
      </c>
      <c r="F55" s="4"/>
      <c r="G55" s="4" t="s">
        <v>4467</v>
      </c>
      <c r="H55" s="4" t="s">
        <v>4467</v>
      </c>
      <c r="I55" s="4"/>
      <c r="J55" t="s">
        <v>2547</v>
      </c>
      <c r="L55" t="s">
        <v>5279</v>
      </c>
      <c r="M55" t="s">
        <v>5279</v>
      </c>
      <c r="O55" s="6"/>
      <c r="S55" s="6"/>
      <c r="U55" t="str">
        <f t="shared" si="0"/>
        <v>UNVERIFIED - USING FALLBACK</v>
      </c>
      <c r="V55" s="109">
        <f>IF($I55&lt;&gt;"",$I55,admin!$B$15)</f>
        <v>72</v>
      </c>
    </row>
    <row r="56" spans="1:22" x14ac:dyDescent="0.3">
      <c r="A56" t="s">
        <v>2706</v>
      </c>
      <c r="B56" t="s">
        <v>1963</v>
      </c>
      <c r="C56" t="s">
        <v>2707</v>
      </c>
      <c r="D56" t="s">
        <v>2708</v>
      </c>
      <c r="E56" s="20" t="s">
        <v>2770</v>
      </c>
      <c r="F56" s="4"/>
      <c r="G56" s="4" t="s">
        <v>4467</v>
      </c>
      <c r="H56" s="4" t="s">
        <v>4467</v>
      </c>
      <c r="I56" s="4"/>
      <c r="J56" t="s">
        <v>2547</v>
      </c>
      <c r="L56" t="s">
        <v>5279</v>
      </c>
      <c r="M56" t="s">
        <v>5279</v>
      </c>
      <c r="O56" s="6"/>
      <c r="S56" s="6"/>
      <c r="U56" t="str">
        <f t="shared" si="0"/>
        <v>UNVERIFIED - USING FALLBACK</v>
      </c>
      <c r="V56" s="109">
        <f>IF($I56&lt;&gt;"",$I56,admin!$B$15)</f>
        <v>72</v>
      </c>
    </row>
    <row r="57" spans="1:22" x14ac:dyDescent="0.3">
      <c r="A57" t="s">
        <v>2709</v>
      </c>
      <c r="B57" t="s">
        <v>799</v>
      </c>
      <c r="C57" t="s">
        <v>2710</v>
      </c>
      <c r="D57" t="s">
        <v>2711</v>
      </c>
      <c r="E57" s="20" t="s">
        <v>2751</v>
      </c>
      <c r="F57" s="4"/>
      <c r="G57" s="4" t="s">
        <v>4467</v>
      </c>
      <c r="H57" s="4" t="s">
        <v>4467</v>
      </c>
      <c r="I57" s="4"/>
      <c r="J57" t="s">
        <v>2547</v>
      </c>
      <c r="L57" t="s">
        <v>5279</v>
      </c>
      <c r="M57" t="s">
        <v>5279</v>
      </c>
      <c r="O57" s="6"/>
      <c r="S57" s="6"/>
      <c r="U57" t="str">
        <f t="shared" si="0"/>
        <v>UNVERIFIED - USING FALLBACK</v>
      </c>
      <c r="V57" s="109">
        <f>IF($I57&lt;&gt;"",$I57,admin!$B$15)</f>
        <v>72</v>
      </c>
    </row>
    <row r="58" spans="1:22" x14ac:dyDescent="0.3">
      <c r="A58" t="s">
        <v>2712</v>
      </c>
      <c r="B58" t="s">
        <v>11</v>
      </c>
      <c r="C58" t="s">
        <v>2713</v>
      </c>
      <c r="D58" t="s">
        <v>2714</v>
      </c>
      <c r="E58" s="20" t="s">
        <v>2771</v>
      </c>
      <c r="F58" s="4"/>
      <c r="G58" s="4" t="s">
        <v>4467</v>
      </c>
      <c r="H58" s="4" t="s">
        <v>4467</v>
      </c>
      <c r="I58" s="4"/>
      <c r="J58" t="s">
        <v>2547</v>
      </c>
      <c r="L58" t="s">
        <v>5279</v>
      </c>
      <c r="M58" t="s">
        <v>5279</v>
      </c>
      <c r="O58" s="6"/>
      <c r="S58" s="6"/>
      <c r="U58" t="str">
        <f t="shared" si="0"/>
        <v>UNVERIFIED - USING FALLBACK</v>
      </c>
      <c r="V58" s="109">
        <f>IF($I58&lt;&gt;"",$I58,admin!$B$15)</f>
        <v>72</v>
      </c>
    </row>
    <row r="59" spans="1:22" x14ac:dyDescent="0.3">
      <c r="A59" t="s">
        <v>2777</v>
      </c>
      <c r="B59" t="s">
        <v>1886</v>
      </c>
      <c r="C59" t="s">
        <v>2778</v>
      </c>
      <c r="D59" t="s">
        <v>2779</v>
      </c>
      <c r="E59" s="20" t="s">
        <v>2780</v>
      </c>
      <c r="F59" s="4"/>
      <c r="G59" s="4" t="s">
        <v>4467</v>
      </c>
      <c r="H59" s="4" t="s">
        <v>4467</v>
      </c>
      <c r="I59" s="4"/>
      <c r="J59" t="s">
        <v>2781</v>
      </c>
      <c r="L59" t="s">
        <v>5279</v>
      </c>
      <c r="M59" t="s">
        <v>5279</v>
      </c>
      <c r="O59" s="6"/>
      <c r="S59" s="6"/>
      <c r="U59" t="str">
        <f t="shared" si="0"/>
        <v>UNVERIFIED - USING FALLBACK</v>
      </c>
      <c r="V59" s="109">
        <f>IF($I59&lt;&gt;"",$I59,admin!$B$15)</f>
        <v>72</v>
      </c>
    </row>
    <row r="60" spans="1:22" x14ac:dyDescent="0.3">
      <c r="A60" t="s">
        <v>2782</v>
      </c>
      <c r="B60" t="s">
        <v>651</v>
      </c>
      <c r="C60" t="s">
        <v>2783</v>
      </c>
      <c r="D60" t="s">
        <v>2784</v>
      </c>
      <c r="E60" s="20" t="s">
        <v>2816</v>
      </c>
      <c r="F60" s="4"/>
      <c r="G60" s="4" t="s">
        <v>4467</v>
      </c>
      <c r="H60" s="4" t="s">
        <v>4467</v>
      </c>
      <c r="I60" s="4"/>
      <c r="J60" t="s">
        <v>2781</v>
      </c>
      <c r="L60" t="s">
        <v>5279</v>
      </c>
      <c r="M60" t="s">
        <v>5279</v>
      </c>
      <c r="O60" s="6"/>
      <c r="S60" s="6"/>
      <c r="U60" t="str">
        <f t="shared" si="0"/>
        <v>UNVERIFIED - USING FALLBACK</v>
      </c>
      <c r="V60" s="109">
        <f>IF($I60&lt;&gt;"",$I60,admin!$B$15)</f>
        <v>72</v>
      </c>
    </row>
    <row r="61" spans="1:22" x14ac:dyDescent="0.3">
      <c r="A61" t="s">
        <v>2785</v>
      </c>
      <c r="B61" t="s">
        <v>84</v>
      </c>
      <c r="C61" t="s">
        <v>2786</v>
      </c>
      <c r="D61" t="s">
        <v>2787</v>
      </c>
      <c r="E61" s="20" t="s">
        <v>2817</v>
      </c>
      <c r="F61" s="4"/>
      <c r="G61" s="4" t="s">
        <v>4467</v>
      </c>
      <c r="H61" s="4" t="s">
        <v>4467</v>
      </c>
      <c r="I61" s="4"/>
      <c r="J61" t="s">
        <v>2781</v>
      </c>
      <c r="L61" t="s">
        <v>5279</v>
      </c>
      <c r="M61" t="s">
        <v>5279</v>
      </c>
      <c r="O61" s="6"/>
      <c r="S61" s="6"/>
      <c r="U61" t="str">
        <f t="shared" si="0"/>
        <v>UNVERIFIED - USING FALLBACK</v>
      </c>
      <c r="V61" s="109">
        <f>IF($I61&lt;&gt;"",$I61,admin!$B$15)</f>
        <v>72</v>
      </c>
    </row>
    <row r="62" spans="1:22" x14ac:dyDescent="0.3">
      <c r="A62" t="s">
        <v>2788</v>
      </c>
      <c r="B62" t="s">
        <v>881</v>
      </c>
      <c r="C62" t="s">
        <v>2789</v>
      </c>
      <c r="D62" t="s">
        <v>2790</v>
      </c>
      <c r="E62" s="20" t="s">
        <v>2818</v>
      </c>
      <c r="F62" s="4"/>
      <c r="G62" s="4" t="s">
        <v>4467</v>
      </c>
      <c r="H62" s="4" t="s">
        <v>4467</v>
      </c>
      <c r="I62" s="4"/>
      <c r="J62" t="s">
        <v>2781</v>
      </c>
      <c r="L62" t="s">
        <v>5279</v>
      </c>
      <c r="M62" t="s">
        <v>5279</v>
      </c>
      <c r="O62" s="6"/>
      <c r="S62" s="6"/>
      <c r="U62" t="str">
        <f t="shared" si="0"/>
        <v>UNVERIFIED - USING FALLBACK</v>
      </c>
      <c r="V62" s="109">
        <f>IF($I62&lt;&gt;"",$I62,admin!$B$15)</f>
        <v>72</v>
      </c>
    </row>
    <row r="63" spans="1:22" x14ac:dyDescent="0.3">
      <c r="A63" t="s">
        <v>2791</v>
      </c>
      <c r="B63" t="s">
        <v>1870</v>
      </c>
      <c r="C63" t="s">
        <v>2792</v>
      </c>
      <c r="D63" t="s">
        <v>2793</v>
      </c>
      <c r="E63" s="20" t="s">
        <v>2819</v>
      </c>
      <c r="F63" s="4"/>
      <c r="G63" s="4" t="s">
        <v>4467</v>
      </c>
      <c r="H63" s="4" t="s">
        <v>4467</v>
      </c>
      <c r="I63" s="4"/>
      <c r="J63" t="s">
        <v>2781</v>
      </c>
      <c r="L63" t="s">
        <v>5279</v>
      </c>
      <c r="M63" t="s">
        <v>5279</v>
      </c>
      <c r="O63" s="6"/>
      <c r="S63" s="6"/>
      <c r="U63" t="str">
        <f t="shared" si="0"/>
        <v>UNVERIFIED - USING FALLBACK</v>
      </c>
      <c r="V63" s="109">
        <f>IF($I63&lt;&gt;"",$I63,admin!$B$15)</f>
        <v>72</v>
      </c>
    </row>
    <row r="64" spans="1:22" x14ac:dyDescent="0.3">
      <c r="A64" t="s">
        <v>2794</v>
      </c>
      <c r="B64" t="s">
        <v>904</v>
      </c>
      <c r="C64" t="s">
        <v>2795</v>
      </c>
      <c r="D64" t="s">
        <v>2796</v>
      </c>
      <c r="E64" s="20" t="s">
        <v>2820</v>
      </c>
      <c r="F64" s="4"/>
      <c r="G64" s="4" t="s">
        <v>4467</v>
      </c>
      <c r="H64" s="4" t="s">
        <v>4467</v>
      </c>
      <c r="I64" s="4"/>
      <c r="J64" t="s">
        <v>2781</v>
      </c>
      <c r="L64" t="s">
        <v>5279</v>
      </c>
      <c r="M64" t="s">
        <v>5279</v>
      </c>
      <c r="O64" s="6"/>
      <c r="S64" s="6"/>
      <c r="U64" t="str">
        <f t="shared" si="0"/>
        <v>UNVERIFIED - USING FALLBACK</v>
      </c>
      <c r="V64" s="109">
        <f>IF($I64&lt;&gt;"",$I64,admin!$B$15)</f>
        <v>72</v>
      </c>
    </row>
    <row r="65" spans="1:22" x14ac:dyDescent="0.3">
      <c r="A65" t="s">
        <v>2797</v>
      </c>
      <c r="B65" t="s">
        <v>1737</v>
      </c>
      <c r="C65" t="s">
        <v>2798</v>
      </c>
      <c r="D65" t="s">
        <v>2799</v>
      </c>
      <c r="E65" s="20" t="s">
        <v>2821</v>
      </c>
      <c r="F65" s="4"/>
      <c r="G65" s="4" t="s">
        <v>4467</v>
      </c>
      <c r="H65" s="4" t="s">
        <v>4467</v>
      </c>
      <c r="I65" s="4"/>
      <c r="J65" t="s">
        <v>2781</v>
      </c>
      <c r="L65" t="s">
        <v>5279</v>
      </c>
      <c r="M65" t="s">
        <v>5279</v>
      </c>
      <c r="O65" s="6"/>
      <c r="S65" s="6"/>
      <c r="U65" t="str">
        <f t="shared" si="0"/>
        <v>UNVERIFIED - USING FALLBACK</v>
      </c>
      <c r="V65" s="109">
        <f>IF($I65&lt;&gt;"",$I65,admin!$B$15)</f>
        <v>72</v>
      </c>
    </row>
    <row r="66" spans="1:22" x14ac:dyDescent="0.3">
      <c r="A66" t="s">
        <v>2800</v>
      </c>
      <c r="B66" t="s">
        <v>698</v>
      </c>
      <c r="C66" t="s">
        <v>2801</v>
      </c>
      <c r="D66" t="s">
        <v>2802</v>
      </c>
      <c r="E66" s="20" t="s">
        <v>2822</v>
      </c>
      <c r="F66" s="4"/>
      <c r="G66" s="4" t="s">
        <v>4467</v>
      </c>
      <c r="H66" s="4" t="s">
        <v>4467</v>
      </c>
      <c r="I66" s="4"/>
      <c r="J66" t="s">
        <v>2781</v>
      </c>
      <c r="L66" t="s">
        <v>5279</v>
      </c>
      <c r="M66" t="s">
        <v>5279</v>
      </c>
      <c r="O66" s="6"/>
      <c r="S66" s="6"/>
      <c r="U66" t="str">
        <f t="shared" si="0"/>
        <v>UNVERIFIED - USING FALLBACK</v>
      </c>
      <c r="V66" s="109">
        <f>IF($I66&lt;&gt;"",$I66,admin!$B$15)</f>
        <v>72</v>
      </c>
    </row>
    <row r="67" spans="1:22" x14ac:dyDescent="0.3">
      <c r="A67" t="s">
        <v>2803</v>
      </c>
      <c r="B67" t="s">
        <v>1747</v>
      </c>
      <c r="C67" t="s">
        <v>2804</v>
      </c>
      <c r="D67" t="s">
        <v>2805</v>
      </c>
      <c r="E67" s="20" t="s">
        <v>2823</v>
      </c>
      <c r="F67" s="4"/>
      <c r="G67" s="4" t="s">
        <v>4467</v>
      </c>
      <c r="H67" s="4" t="s">
        <v>4467</v>
      </c>
      <c r="I67" s="4"/>
      <c r="J67" t="s">
        <v>2781</v>
      </c>
      <c r="L67" t="s">
        <v>5279</v>
      </c>
      <c r="M67" t="s">
        <v>5279</v>
      </c>
      <c r="O67" s="6"/>
      <c r="S67" s="6"/>
      <c r="U67" t="str">
        <f t="shared" ref="U67:U130" si="1">IF($I67="","UNVERIFIED - USING FALLBACK",IF(OR($Q67="",$S67=""),"UNVERIFIED - NO SOURCE",IF(OR($O67="",$P67=""),"LEAD TIME OK / FLAGS UNVERIFIED","VERIFIED")))</f>
        <v>UNVERIFIED - USING FALLBACK</v>
      </c>
      <c r="V67" s="109">
        <f>IF($I67&lt;&gt;"",$I67,admin!$B$15)</f>
        <v>72</v>
      </c>
    </row>
    <row r="68" spans="1:22" x14ac:dyDescent="0.3">
      <c r="A68" t="s">
        <v>2806</v>
      </c>
      <c r="B68" t="s">
        <v>889</v>
      </c>
      <c r="C68" t="s">
        <v>2807</v>
      </c>
      <c r="D68" t="s">
        <v>2808</v>
      </c>
      <c r="E68" s="20" t="s">
        <v>2824</v>
      </c>
      <c r="F68" s="4"/>
      <c r="G68" s="4" t="s">
        <v>4467</v>
      </c>
      <c r="H68" s="4" t="s">
        <v>4467</v>
      </c>
      <c r="I68" s="4"/>
      <c r="J68" t="s">
        <v>2781</v>
      </c>
      <c r="L68" t="s">
        <v>5279</v>
      </c>
      <c r="M68" t="s">
        <v>5279</v>
      </c>
      <c r="O68" s="6"/>
      <c r="S68" s="6"/>
      <c r="U68" t="str">
        <f t="shared" si="1"/>
        <v>UNVERIFIED - USING FALLBACK</v>
      </c>
      <c r="V68" s="109">
        <f>IF($I68&lt;&gt;"",$I68,admin!$B$15)</f>
        <v>72</v>
      </c>
    </row>
    <row r="69" spans="1:22" x14ac:dyDescent="0.3">
      <c r="A69" t="s">
        <v>2809</v>
      </c>
      <c r="B69" t="s">
        <v>1993</v>
      </c>
      <c r="C69" t="s">
        <v>2810</v>
      </c>
      <c r="D69" t="s">
        <v>2811</v>
      </c>
      <c r="E69" s="20" t="s">
        <v>2825</v>
      </c>
      <c r="F69" s="4"/>
      <c r="G69" s="4" t="s">
        <v>4467</v>
      </c>
      <c r="H69" s="4" t="s">
        <v>4467</v>
      </c>
      <c r="I69" s="4"/>
      <c r="J69" t="s">
        <v>2781</v>
      </c>
      <c r="L69" t="s">
        <v>5279</v>
      </c>
      <c r="M69" t="s">
        <v>5279</v>
      </c>
      <c r="O69" s="6"/>
      <c r="S69" s="6"/>
      <c r="U69" t="str">
        <f t="shared" si="1"/>
        <v>UNVERIFIED - USING FALLBACK</v>
      </c>
      <c r="V69" s="109">
        <f>IF($I69&lt;&gt;"",$I69,admin!$B$15)</f>
        <v>72</v>
      </c>
    </row>
    <row r="70" spans="1:22" x14ac:dyDescent="0.3">
      <c r="A70" t="s">
        <v>2812</v>
      </c>
      <c r="B70" t="s">
        <v>653</v>
      </c>
      <c r="C70" t="s">
        <v>2813</v>
      </c>
      <c r="D70" t="s">
        <v>2814</v>
      </c>
      <c r="E70" s="20" t="s">
        <v>2826</v>
      </c>
      <c r="F70" s="4"/>
      <c r="G70" s="4" t="s">
        <v>4467</v>
      </c>
      <c r="H70" s="4" t="s">
        <v>4467</v>
      </c>
      <c r="I70" s="4"/>
      <c r="J70" t="s">
        <v>2815</v>
      </c>
      <c r="L70" t="s">
        <v>5279</v>
      </c>
      <c r="M70" t="s">
        <v>5279</v>
      </c>
      <c r="O70" s="6"/>
      <c r="S70" s="6"/>
      <c r="U70" t="str">
        <f t="shared" si="1"/>
        <v>UNVERIFIED - USING FALLBACK</v>
      </c>
      <c r="V70" s="109">
        <f>IF($I70&lt;&gt;"",$I70,admin!$B$15)</f>
        <v>72</v>
      </c>
    </row>
    <row r="71" spans="1:22" x14ac:dyDescent="0.3">
      <c r="A71" t="s">
        <v>3411</v>
      </c>
      <c r="B71" t="s">
        <v>2003</v>
      </c>
      <c r="C71" t="s">
        <v>2715</v>
      </c>
      <c r="D71" t="s">
        <v>2716</v>
      </c>
      <c r="E71" s="20" t="s">
        <v>2772</v>
      </c>
      <c r="F71" s="4"/>
      <c r="G71" s="4" t="s">
        <v>4467</v>
      </c>
      <c r="H71" s="4" t="s">
        <v>4467</v>
      </c>
      <c r="I71" s="4"/>
      <c r="J71" t="s">
        <v>2547</v>
      </c>
      <c r="L71" t="s">
        <v>5279</v>
      </c>
      <c r="M71" t="s">
        <v>5279</v>
      </c>
      <c r="O71" s="6"/>
      <c r="S71" s="6"/>
      <c r="U71" t="str">
        <f t="shared" si="1"/>
        <v>UNVERIFIED - USING FALLBACK</v>
      </c>
      <c r="V71" s="109">
        <f>IF($I71&lt;&gt;"",$I71,admin!$B$15)</f>
        <v>72</v>
      </c>
    </row>
    <row r="72" spans="1:22" x14ac:dyDescent="0.3">
      <c r="A72" t="s">
        <v>3411</v>
      </c>
      <c r="B72" t="s">
        <v>1991</v>
      </c>
      <c r="D72" t="s">
        <v>4360</v>
      </c>
      <c r="G72" t="s">
        <v>4467</v>
      </c>
      <c r="H72" t="s">
        <v>4467</v>
      </c>
      <c r="J72" t="s">
        <v>4388</v>
      </c>
      <c r="K72" t="s">
        <v>4389</v>
      </c>
      <c r="L72" t="s">
        <v>5279</v>
      </c>
      <c r="M72" t="s">
        <v>5279</v>
      </c>
      <c r="O72" s="6"/>
      <c r="S72" s="6"/>
      <c r="U72" t="str">
        <f t="shared" si="1"/>
        <v>UNVERIFIED - USING FALLBACK</v>
      </c>
      <c r="V72" s="109">
        <f>IF($I72&lt;&gt;"",$I72,admin!$B$15)</f>
        <v>72</v>
      </c>
    </row>
    <row r="73" spans="1:22" x14ac:dyDescent="0.3">
      <c r="A73" t="s">
        <v>4390</v>
      </c>
      <c r="B73" t="s">
        <v>658</v>
      </c>
      <c r="D73" t="s">
        <v>1504</v>
      </c>
      <c r="G73" t="s">
        <v>4467</v>
      </c>
      <c r="H73" t="s">
        <v>4467</v>
      </c>
      <c r="J73" t="s">
        <v>4388</v>
      </c>
      <c r="K73" t="s">
        <v>4389</v>
      </c>
      <c r="L73" t="s">
        <v>5279</v>
      </c>
      <c r="M73" t="s">
        <v>5279</v>
      </c>
      <c r="O73" s="6"/>
      <c r="S73" s="6"/>
      <c r="U73" t="str">
        <f t="shared" si="1"/>
        <v>UNVERIFIED - USING FALLBACK</v>
      </c>
      <c r="V73" s="109">
        <f>IF($I73&lt;&gt;"",$I73,admin!$B$15)</f>
        <v>72</v>
      </c>
    </row>
    <row r="74" spans="1:22" x14ac:dyDescent="0.3">
      <c r="A74" t="s">
        <v>4391</v>
      </c>
      <c r="B74" t="s">
        <v>660</v>
      </c>
      <c r="D74" t="s">
        <v>4350</v>
      </c>
      <c r="G74" t="s">
        <v>4467</v>
      </c>
      <c r="H74" t="s">
        <v>4467</v>
      </c>
      <c r="J74" t="s">
        <v>4392</v>
      </c>
      <c r="K74" t="s">
        <v>4389</v>
      </c>
      <c r="L74" t="s">
        <v>5279</v>
      </c>
      <c r="M74" t="s">
        <v>5279</v>
      </c>
      <c r="O74" s="6"/>
      <c r="S74" s="6"/>
      <c r="U74" t="str">
        <f t="shared" si="1"/>
        <v>UNVERIFIED - USING FALLBACK</v>
      </c>
      <c r="V74" s="109">
        <f>IF($I74&lt;&gt;"",$I74,admin!$B$15)</f>
        <v>72</v>
      </c>
    </row>
    <row r="75" spans="1:22" x14ac:dyDescent="0.3">
      <c r="A75" t="s">
        <v>4393</v>
      </c>
      <c r="B75" t="s">
        <v>670</v>
      </c>
      <c r="D75" t="s">
        <v>4370</v>
      </c>
      <c r="G75" t="s">
        <v>4467</v>
      </c>
      <c r="H75" t="s">
        <v>4467</v>
      </c>
      <c r="J75" t="s">
        <v>4388</v>
      </c>
      <c r="K75" t="s">
        <v>4389</v>
      </c>
      <c r="L75" t="s">
        <v>5279</v>
      </c>
      <c r="M75" t="s">
        <v>5279</v>
      </c>
      <c r="O75" s="6"/>
      <c r="S75" s="6"/>
      <c r="U75" t="str">
        <f t="shared" si="1"/>
        <v>UNVERIFIED - USING FALLBACK</v>
      </c>
      <c r="V75" s="109">
        <f>IF($I75&lt;&gt;"",$I75,admin!$B$15)</f>
        <v>72</v>
      </c>
    </row>
    <row r="76" spans="1:22" x14ac:dyDescent="0.3">
      <c r="A76" t="s">
        <v>4394</v>
      </c>
      <c r="B76" t="s">
        <v>678</v>
      </c>
      <c r="D76" t="s">
        <v>4351</v>
      </c>
      <c r="G76" t="s">
        <v>4467</v>
      </c>
      <c r="H76" t="s">
        <v>4467</v>
      </c>
      <c r="J76" t="s">
        <v>4392</v>
      </c>
      <c r="K76" t="s">
        <v>4389</v>
      </c>
      <c r="L76" t="s">
        <v>5279</v>
      </c>
      <c r="M76" t="s">
        <v>5279</v>
      </c>
      <c r="O76" s="6"/>
      <c r="S76" s="6"/>
      <c r="U76" t="str">
        <f t="shared" si="1"/>
        <v>UNVERIFIED - USING FALLBACK</v>
      </c>
      <c r="V76" s="109">
        <f>IF($I76&lt;&gt;"",$I76,admin!$B$15)</f>
        <v>72</v>
      </c>
    </row>
    <row r="77" spans="1:22" x14ac:dyDescent="0.3">
      <c r="A77" t="s">
        <v>4395</v>
      </c>
      <c r="B77" t="s">
        <v>689</v>
      </c>
      <c r="D77" t="s">
        <v>208</v>
      </c>
      <c r="G77" t="s">
        <v>4467</v>
      </c>
      <c r="H77" t="s">
        <v>4467</v>
      </c>
      <c r="J77" t="s">
        <v>4388</v>
      </c>
      <c r="K77" t="s">
        <v>4389</v>
      </c>
      <c r="L77" t="s">
        <v>5279</v>
      </c>
      <c r="M77" t="s">
        <v>5279</v>
      </c>
      <c r="O77" s="6"/>
      <c r="S77" s="6"/>
      <c r="U77" t="str">
        <f t="shared" si="1"/>
        <v>UNVERIFIED - USING FALLBACK</v>
      </c>
      <c r="V77" s="109">
        <f>IF($I77&lt;&gt;"",$I77,admin!$B$15)</f>
        <v>72</v>
      </c>
    </row>
    <row r="78" spans="1:22" x14ac:dyDescent="0.3">
      <c r="A78" t="s">
        <v>4396</v>
      </c>
      <c r="B78" t="s">
        <v>686</v>
      </c>
      <c r="D78" t="s">
        <v>4332</v>
      </c>
      <c r="G78" t="s">
        <v>4467</v>
      </c>
      <c r="H78" t="s">
        <v>4467</v>
      </c>
      <c r="J78" t="s">
        <v>4392</v>
      </c>
      <c r="K78" t="s">
        <v>4389</v>
      </c>
      <c r="L78" t="s">
        <v>5279</v>
      </c>
      <c r="M78" t="s">
        <v>5279</v>
      </c>
      <c r="O78" s="6"/>
      <c r="S78" s="6"/>
      <c r="U78" t="str">
        <f t="shared" si="1"/>
        <v>UNVERIFIED - USING FALLBACK</v>
      </c>
      <c r="V78" s="109">
        <f>IF($I78&lt;&gt;"",$I78,admin!$B$15)</f>
        <v>72</v>
      </c>
    </row>
    <row r="79" spans="1:22" x14ac:dyDescent="0.3">
      <c r="A79" t="s">
        <v>4397</v>
      </c>
      <c r="B79" t="s">
        <v>695</v>
      </c>
      <c r="D79" t="s">
        <v>4355</v>
      </c>
      <c r="G79" t="s">
        <v>4467</v>
      </c>
      <c r="H79" t="s">
        <v>4467</v>
      </c>
      <c r="J79" t="s">
        <v>4388</v>
      </c>
      <c r="K79" t="s">
        <v>4389</v>
      </c>
      <c r="L79" t="s">
        <v>5279</v>
      </c>
      <c r="M79" t="s">
        <v>5279</v>
      </c>
      <c r="O79" s="6"/>
      <c r="S79" s="6"/>
      <c r="U79" t="str">
        <f t="shared" si="1"/>
        <v>UNVERIFIED - USING FALLBACK</v>
      </c>
      <c r="V79" s="109">
        <f>IF($I79&lt;&gt;"",$I79,admin!$B$15)</f>
        <v>72</v>
      </c>
    </row>
    <row r="80" spans="1:22" x14ac:dyDescent="0.3">
      <c r="A80" t="s">
        <v>4398</v>
      </c>
      <c r="B80" t="s">
        <v>681</v>
      </c>
      <c r="D80" t="s">
        <v>4363</v>
      </c>
      <c r="G80" t="s">
        <v>4467</v>
      </c>
      <c r="H80" t="s">
        <v>4467</v>
      </c>
      <c r="J80" t="s">
        <v>4388</v>
      </c>
      <c r="K80" t="s">
        <v>4389</v>
      </c>
      <c r="L80" t="s">
        <v>5279</v>
      </c>
      <c r="M80" t="s">
        <v>5279</v>
      </c>
      <c r="O80" s="6"/>
      <c r="S80" s="6"/>
      <c r="U80" t="str">
        <f t="shared" si="1"/>
        <v>UNVERIFIED - USING FALLBACK</v>
      </c>
      <c r="V80" s="109">
        <f>IF($I80&lt;&gt;"",$I80,admin!$B$15)</f>
        <v>72</v>
      </c>
    </row>
    <row r="81" spans="1:22" x14ac:dyDescent="0.3">
      <c r="A81" t="s">
        <v>4399</v>
      </c>
      <c r="B81" t="s">
        <v>724</v>
      </c>
      <c r="D81" t="s">
        <v>4378</v>
      </c>
      <c r="G81" t="s">
        <v>4467</v>
      </c>
      <c r="H81" t="s">
        <v>4467</v>
      </c>
      <c r="J81" t="s">
        <v>4388</v>
      </c>
      <c r="K81" t="s">
        <v>4389</v>
      </c>
      <c r="L81" t="s">
        <v>5279</v>
      </c>
      <c r="M81" t="s">
        <v>5279</v>
      </c>
      <c r="O81" s="6"/>
      <c r="S81" s="6"/>
      <c r="U81" t="str">
        <f t="shared" si="1"/>
        <v>UNVERIFIED - USING FALLBACK</v>
      </c>
      <c r="V81" s="109">
        <f>IF($I81&lt;&gt;"",$I81,admin!$B$15)</f>
        <v>72</v>
      </c>
    </row>
    <row r="82" spans="1:22" x14ac:dyDescent="0.3">
      <c r="A82" t="s">
        <v>4400</v>
      </c>
      <c r="B82" t="s">
        <v>719</v>
      </c>
      <c r="D82" t="s">
        <v>4336</v>
      </c>
      <c r="G82" t="s">
        <v>4467</v>
      </c>
      <c r="H82" t="s">
        <v>4467</v>
      </c>
      <c r="J82" t="s">
        <v>4392</v>
      </c>
      <c r="K82" t="s">
        <v>4389</v>
      </c>
      <c r="L82" t="s">
        <v>5279</v>
      </c>
      <c r="M82" t="s">
        <v>5279</v>
      </c>
      <c r="O82" s="6"/>
      <c r="S82" s="6"/>
      <c r="U82" t="str">
        <f t="shared" si="1"/>
        <v>UNVERIFIED - USING FALLBACK</v>
      </c>
      <c r="V82" s="109">
        <f>IF($I82&lt;&gt;"",$I82,admin!$B$15)</f>
        <v>72</v>
      </c>
    </row>
    <row r="83" spans="1:22" x14ac:dyDescent="0.3">
      <c r="A83" t="s">
        <v>4401</v>
      </c>
      <c r="B83" t="s">
        <v>742</v>
      </c>
      <c r="D83" t="s">
        <v>4368</v>
      </c>
      <c r="G83" t="s">
        <v>4467</v>
      </c>
      <c r="H83" t="s">
        <v>4467</v>
      </c>
      <c r="J83" t="s">
        <v>4388</v>
      </c>
      <c r="K83" t="s">
        <v>4389</v>
      </c>
      <c r="L83" t="s">
        <v>5279</v>
      </c>
      <c r="M83" t="s">
        <v>5279</v>
      </c>
      <c r="O83" s="6"/>
      <c r="S83" s="6"/>
      <c r="U83" t="str">
        <f t="shared" si="1"/>
        <v>UNVERIFIED - USING FALLBACK</v>
      </c>
      <c r="V83" s="109">
        <f>IF($I83&lt;&gt;"",$I83,admin!$B$15)</f>
        <v>72</v>
      </c>
    </row>
    <row r="84" spans="1:22" x14ac:dyDescent="0.3">
      <c r="A84" t="s">
        <v>4402</v>
      </c>
      <c r="B84" t="s">
        <v>756</v>
      </c>
      <c r="D84" t="s">
        <v>4331</v>
      </c>
      <c r="G84" t="s">
        <v>4467</v>
      </c>
      <c r="H84" t="s">
        <v>4467</v>
      </c>
      <c r="J84" t="s">
        <v>4392</v>
      </c>
      <c r="K84" t="s">
        <v>4389</v>
      </c>
      <c r="L84" t="s">
        <v>5279</v>
      </c>
      <c r="M84" t="s">
        <v>5279</v>
      </c>
      <c r="O84" s="6"/>
      <c r="S84" s="6"/>
      <c r="U84" t="str">
        <f t="shared" si="1"/>
        <v>UNVERIFIED - USING FALLBACK</v>
      </c>
      <c r="V84" s="109">
        <f>IF($I84&lt;&gt;"",$I84,admin!$B$15)</f>
        <v>72</v>
      </c>
    </row>
    <row r="85" spans="1:22" x14ac:dyDescent="0.3">
      <c r="A85" t="s">
        <v>4403</v>
      </c>
      <c r="B85" t="s">
        <v>4404</v>
      </c>
      <c r="D85" t="s">
        <v>4341</v>
      </c>
      <c r="G85" t="s">
        <v>4467</v>
      </c>
      <c r="H85" t="s">
        <v>4467</v>
      </c>
      <c r="J85" t="s">
        <v>2781</v>
      </c>
      <c r="K85" t="s">
        <v>4389</v>
      </c>
      <c r="L85" t="s">
        <v>5279</v>
      </c>
      <c r="M85" t="s">
        <v>5279</v>
      </c>
      <c r="O85" s="6"/>
      <c r="S85" s="6"/>
      <c r="U85" t="str">
        <f t="shared" si="1"/>
        <v>UNVERIFIED - USING FALLBACK</v>
      </c>
      <c r="V85" s="109">
        <f>IF($I85&lt;&gt;"",$I85,admin!$B$15)</f>
        <v>72</v>
      </c>
    </row>
    <row r="86" spans="1:22" x14ac:dyDescent="0.3">
      <c r="A86" t="s">
        <v>4405</v>
      </c>
      <c r="B86" t="s">
        <v>772</v>
      </c>
      <c r="D86" t="s">
        <v>4339</v>
      </c>
      <c r="G86" t="s">
        <v>4467</v>
      </c>
      <c r="H86" t="s">
        <v>4467</v>
      </c>
      <c r="J86" t="s">
        <v>4388</v>
      </c>
      <c r="K86" t="s">
        <v>4389</v>
      </c>
      <c r="L86" t="s">
        <v>5279</v>
      </c>
      <c r="M86" t="s">
        <v>5279</v>
      </c>
      <c r="O86" s="6"/>
      <c r="S86" s="6"/>
      <c r="U86" t="str">
        <f t="shared" si="1"/>
        <v>UNVERIFIED - USING FALLBACK</v>
      </c>
      <c r="V86" s="109">
        <f>IF($I86&lt;&gt;"",$I86,admin!$B$15)</f>
        <v>72</v>
      </c>
    </row>
    <row r="87" spans="1:22" x14ac:dyDescent="0.3">
      <c r="A87" t="s">
        <v>4406</v>
      </c>
      <c r="B87" t="s">
        <v>4407</v>
      </c>
      <c r="D87" t="s">
        <v>4373</v>
      </c>
      <c r="G87" t="s">
        <v>4467</v>
      </c>
      <c r="H87" t="s">
        <v>4467</v>
      </c>
      <c r="J87" t="s">
        <v>4388</v>
      </c>
      <c r="K87" t="s">
        <v>4389</v>
      </c>
      <c r="L87" t="s">
        <v>5279</v>
      </c>
      <c r="M87" t="s">
        <v>5279</v>
      </c>
      <c r="O87" s="6"/>
      <c r="S87" s="6"/>
      <c r="U87" t="str">
        <f t="shared" si="1"/>
        <v>UNVERIFIED - USING FALLBACK</v>
      </c>
      <c r="V87" s="109">
        <f>IF($I87&lt;&gt;"",$I87,admin!$B$15)</f>
        <v>72</v>
      </c>
    </row>
    <row r="88" spans="1:22" x14ac:dyDescent="0.3">
      <c r="A88" t="s">
        <v>4408</v>
      </c>
      <c r="B88" t="s">
        <v>778</v>
      </c>
      <c r="D88" t="s">
        <v>4371</v>
      </c>
      <c r="G88" t="s">
        <v>4467</v>
      </c>
      <c r="H88" t="s">
        <v>4467</v>
      </c>
      <c r="J88" t="s">
        <v>4388</v>
      </c>
      <c r="K88" t="s">
        <v>4389</v>
      </c>
      <c r="L88" t="s">
        <v>5279</v>
      </c>
      <c r="M88" t="s">
        <v>5279</v>
      </c>
      <c r="O88" s="6"/>
      <c r="S88" s="6"/>
      <c r="U88" t="str">
        <f t="shared" si="1"/>
        <v>UNVERIFIED - USING FALLBACK</v>
      </c>
      <c r="V88" s="109">
        <f>IF($I88&lt;&gt;"",$I88,admin!$B$15)</f>
        <v>72</v>
      </c>
    </row>
    <row r="89" spans="1:22" x14ac:dyDescent="0.3">
      <c r="A89" t="s">
        <v>4409</v>
      </c>
      <c r="B89" t="s">
        <v>783</v>
      </c>
      <c r="D89" t="s">
        <v>4380</v>
      </c>
      <c r="G89" t="s">
        <v>4467</v>
      </c>
      <c r="H89" t="s">
        <v>4467</v>
      </c>
      <c r="J89" t="s">
        <v>4388</v>
      </c>
      <c r="K89" t="s">
        <v>4389</v>
      </c>
      <c r="L89" t="s">
        <v>5279</v>
      </c>
      <c r="M89" t="s">
        <v>5279</v>
      </c>
      <c r="O89" s="6"/>
      <c r="S89" s="6"/>
      <c r="U89" t="str">
        <f t="shared" si="1"/>
        <v>UNVERIFIED - USING FALLBACK</v>
      </c>
      <c r="V89" s="109">
        <f>IF($I89&lt;&gt;"",$I89,admin!$B$15)</f>
        <v>72</v>
      </c>
    </row>
    <row r="90" spans="1:22" x14ac:dyDescent="0.3">
      <c r="A90" t="s">
        <v>4410</v>
      </c>
      <c r="B90" t="s">
        <v>802</v>
      </c>
      <c r="D90" t="s">
        <v>4344</v>
      </c>
      <c r="G90" t="s">
        <v>4467</v>
      </c>
      <c r="H90" t="s">
        <v>4467</v>
      </c>
      <c r="J90" t="s">
        <v>4388</v>
      </c>
      <c r="K90" t="s">
        <v>4389</v>
      </c>
      <c r="L90" t="s">
        <v>5279</v>
      </c>
      <c r="M90" t="s">
        <v>5279</v>
      </c>
      <c r="O90" s="6"/>
      <c r="S90" s="6"/>
      <c r="U90" t="str">
        <f t="shared" si="1"/>
        <v>UNVERIFIED - USING FALLBACK</v>
      </c>
      <c r="V90" s="109">
        <f>IF($I90&lt;&gt;"",$I90,admin!$B$15)</f>
        <v>72</v>
      </c>
    </row>
    <row r="91" spans="1:22" x14ac:dyDescent="0.3">
      <c r="A91" t="s">
        <v>4411</v>
      </c>
      <c r="B91" t="s">
        <v>795</v>
      </c>
      <c r="D91" t="s">
        <v>4383</v>
      </c>
      <c r="G91" t="s">
        <v>4467</v>
      </c>
      <c r="H91" t="s">
        <v>4467</v>
      </c>
      <c r="J91" t="s">
        <v>4388</v>
      </c>
      <c r="K91" t="s">
        <v>4389</v>
      </c>
      <c r="L91" t="s">
        <v>5279</v>
      </c>
      <c r="M91" t="s">
        <v>5279</v>
      </c>
      <c r="O91" s="6"/>
      <c r="S91" s="6"/>
      <c r="U91" t="str">
        <f t="shared" si="1"/>
        <v>UNVERIFIED - USING FALLBACK</v>
      </c>
      <c r="V91" s="109">
        <f>IF($I91&lt;&gt;"",$I91,admin!$B$15)</f>
        <v>72</v>
      </c>
    </row>
    <row r="92" spans="1:22" x14ac:dyDescent="0.3">
      <c r="A92" t="s">
        <v>4412</v>
      </c>
      <c r="B92" t="s">
        <v>807</v>
      </c>
      <c r="D92" t="s">
        <v>4385</v>
      </c>
      <c r="G92" t="s">
        <v>4467</v>
      </c>
      <c r="H92" t="s">
        <v>4467</v>
      </c>
      <c r="J92" t="s">
        <v>4388</v>
      </c>
      <c r="K92" t="s">
        <v>4389</v>
      </c>
      <c r="L92" t="s">
        <v>5279</v>
      </c>
      <c r="M92" t="s">
        <v>5279</v>
      </c>
      <c r="O92" s="6"/>
      <c r="S92" s="6"/>
      <c r="U92" t="str">
        <f t="shared" si="1"/>
        <v>UNVERIFIED - USING FALLBACK</v>
      </c>
      <c r="V92" s="109">
        <f>IF($I92&lt;&gt;"",$I92,admin!$B$15)</f>
        <v>72</v>
      </c>
    </row>
    <row r="93" spans="1:22" x14ac:dyDescent="0.3">
      <c r="A93" t="s">
        <v>4413</v>
      </c>
      <c r="B93" t="s">
        <v>820</v>
      </c>
      <c r="D93" t="s">
        <v>4357</v>
      </c>
      <c r="G93" t="s">
        <v>4467</v>
      </c>
      <c r="H93" t="s">
        <v>4467</v>
      </c>
      <c r="J93" t="s">
        <v>4388</v>
      </c>
      <c r="K93" t="s">
        <v>4389</v>
      </c>
      <c r="L93" t="s">
        <v>5279</v>
      </c>
      <c r="M93" t="s">
        <v>5279</v>
      </c>
      <c r="O93" s="6"/>
      <c r="S93" s="6"/>
      <c r="U93" t="str">
        <f t="shared" si="1"/>
        <v>UNVERIFIED - USING FALLBACK</v>
      </c>
      <c r="V93" s="109">
        <f>IF($I93&lt;&gt;"",$I93,admin!$B$15)</f>
        <v>72</v>
      </c>
    </row>
    <row r="94" spans="1:22" x14ac:dyDescent="0.3">
      <c r="A94" t="s">
        <v>4414</v>
      </c>
      <c r="B94" t="s">
        <v>826</v>
      </c>
      <c r="D94" t="s">
        <v>4375</v>
      </c>
      <c r="G94" t="s">
        <v>4467</v>
      </c>
      <c r="H94" t="s">
        <v>4467</v>
      </c>
      <c r="J94" t="s">
        <v>4388</v>
      </c>
      <c r="K94" t="s">
        <v>4389</v>
      </c>
      <c r="L94" t="s">
        <v>5279</v>
      </c>
      <c r="M94" t="s">
        <v>5279</v>
      </c>
      <c r="O94" s="6"/>
      <c r="S94" s="6"/>
      <c r="U94" t="str">
        <f t="shared" si="1"/>
        <v>UNVERIFIED - USING FALLBACK</v>
      </c>
      <c r="V94" s="109">
        <f>IF($I94&lt;&gt;"",$I94,admin!$B$15)</f>
        <v>72</v>
      </c>
    </row>
    <row r="95" spans="1:22" x14ac:dyDescent="0.3">
      <c r="A95" t="s">
        <v>4415</v>
      </c>
      <c r="B95" t="s">
        <v>831</v>
      </c>
      <c r="D95" t="s">
        <v>396</v>
      </c>
      <c r="G95" t="s">
        <v>4467</v>
      </c>
      <c r="H95" t="s">
        <v>4467</v>
      </c>
      <c r="J95" t="s">
        <v>4392</v>
      </c>
      <c r="K95" t="s">
        <v>4389</v>
      </c>
      <c r="L95" t="s">
        <v>5279</v>
      </c>
      <c r="M95" t="s">
        <v>5279</v>
      </c>
      <c r="O95" s="6"/>
      <c r="S95" s="6"/>
      <c r="U95" t="str">
        <f t="shared" si="1"/>
        <v>UNVERIFIED - USING FALLBACK</v>
      </c>
      <c r="V95" s="109">
        <f>IF($I95&lt;&gt;"",$I95,admin!$B$15)</f>
        <v>72</v>
      </c>
    </row>
    <row r="96" spans="1:22" x14ac:dyDescent="0.3">
      <c r="A96" t="s">
        <v>4416</v>
      </c>
      <c r="B96" t="s">
        <v>851</v>
      </c>
      <c r="D96" t="s">
        <v>4340</v>
      </c>
      <c r="G96" t="s">
        <v>4467</v>
      </c>
      <c r="H96" t="s">
        <v>4467</v>
      </c>
      <c r="J96" t="s">
        <v>4388</v>
      </c>
      <c r="K96" t="s">
        <v>4389</v>
      </c>
      <c r="L96" t="s">
        <v>5279</v>
      </c>
      <c r="M96" t="s">
        <v>5279</v>
      </c>
      <c r="O96" s="6"/>
      <c r="S96" s="6"/>
      <c r="U96" t="str">
        <f t="shared" si="1"/>
        <v>UNVERIFIED - USING FALLBACK</v>
      </c>
      <c r="V96" s="109">
        <f>IF($I96&lt;&gt;"",$I96,admin!$B$15)</f>
        <v>72</v>
      </c>
    </row>
    <row r="97" spans="1:22" x14ac:dyDescent="0.3">
      <c r="A97" t="s">
        <v>4417</v>
      </c>
      <c r="B97" t="s">
        <v>840</v>
      </c>
      <c r="D97" t="s">
        <v>4387</v>
      </c>
      <c r="G97" t="s">
        <v>4467</v>
      </c>
      <c r="H97" t="s">
        <v>4467</v>
      </c>
      <c r="J97" t="s">
        <v>4418</v>
      </c>
      <c r="K97" t="s">
        <v>4389</v>
      </c>
      <c r="L97" t="s">
        <v>5279</v>
      </c>
      <c r="M97" t="s">
        <v>5279</v>
      </c>
      <c r="O97" s="6"/>
      <c r="S97" s="6"/>
      <c r="U97" t="str">
        <f t="shared" si="1"/>
        <v>UNVERIFIED - USING FALLBACK</v>
      </c>
      <c r="V97" s="109">
        <f>IF($I97&lt;&gt;"",$I97,admin!$B$15)</f>
        <v>72</v>
      </c>
    </row>
    <row r="98" spans="1:22" x14ac:dyDescent="0.3">
      <c r="A98" t="s">
        <v>4419</v>
      </c>
      <c r="B98" t="s">
        <v>866</v>
      </c>
      <c r="D98" t="s">
        <v>4361</v>
      </c>
      <c r="G98" t="s">
        <v>4467</v>
      </c>
      <c r="H98" t="s">
        <v>4467</v>
      </c>
      <c r="J98" t="s">
        <v>4388</v>
      </c>
      <c r="K98" t="s">
        <v>4389</v>
      </c>
      <c r="L98" t="s">
        <v>5279</v>
      </c>
      <c r="M98" t="s">
        <v>5279</v>
      </c>
      <c r="O98" s="6"/>
      <c r="S98" s="6"/>
      <c r="U98" t="str">
        <f t="shared" si="1"/>
        <v>UNVERIFIED - USING FALLBACK</v>
      </c>
      <c r="V98" s="109">
        <f>IF($I98&lt;&gt;"",$I98,admin!$B$15)</f>
        <v>72</v>
      </c>
    </row>
    <row r="99" spans="1:22" x14ac:dyDescent="0.3">
      <c r="A99" t="s">
        <v>4420</v>
      </c>
      <c r="B99" t="s">
        <v>872</v>
      </c>
      <c r="D99" t="s">
        <v>4369</v>
      </c>
      <c r="G99" t="s">
        <v>4467</v>
      </c>
      <c r="H99" t="s">
        <v>4467</v>
      </c>
      <c r="J99" t="s">
        <v>4388</v>
      </c>
      <c r="K99" t="s">
        <v>4389</v>
      </c>
      <c r="L99" t="s">
        <v>5279</v>
      </c>
      <c r="M99" t="s">
        <v>5279</v>
      </c>
      <c r="O99" s="6"/>
      <c r="S99" s="6"/>
      <c r="U99" t="str">
        <f t="shared" si="1"/>
        <v>UNVERIFIED - USING FALLBACK</v>
      </c>
      <c r="V99" s="109">
        <f>IF($I99&lt;&gt;"",$I99,admin!$B$15)</f>
        <v>72</v>
      </c>
    </row>
    <row r="100" spans="1:22" x14ac:dyDescent="0.3">
      <c r="A100" t="s">
        <v>4421</v>
      </c>
      <c r="B100" t="s">
        <v>875</v>
      </c>
      <c r="D100" t="s">
        <v>4320</v>
      </c>
      <c r="G100" t="s">
        <v>4467</v>
      </c>
      <c r="H100" t="s">
        <v>4467</v>
      </c>
      <c r="J100" t="s">
        <v>4392</v>
      </c>
      <c r="K100" t="s">
        <v>4389</v>
      </c>
      <c r="L100" t="s">
        <v>5279</v>
      </c>
      <c r="M100" t="s">
        <v>5279</v>
      </c>
      <c r="O100" s="6"/>
      <c r="S100" s="6"/>
      <c r="U100" t="str">
        <f t="shared" si="1"/>
        <v>UNVERIFIED - USING FALLBACK</v>
      </c>
      <c r="V100" s="109">
        <f>IF($I100&lt;&gt;"",$I100,admin!$B$15)</f>
        <v>72</v>
      </c>
    </row>
    <row r="101" spans="1:22" x14ac:dyDescent="0.3">
      <c r="A101" t="s">
        <v>4422</v>
      </c>
      <c r="B101" t="s">
        <v>886</v>
      </c>
      <c r="D101" t="s">
        <v>4326</v>
      </c>
      <c r="G101" t="s">
        <v>4467</v>
      </c>
      <c r="H101" t="s">
        <v>4467</v>
      </c>
      <c r="J101" t="s">
        <v>4392</v>
      </c>
      <c r="K101" t="s">
        <v>4389</v>
      </c>
      <c r="L101" t="s">
        <v>5279</v>
      </c>
      <c r="M101" t="s">
        <v>5279</v>
      </c>
      <c r="O101" s="6"/>
      <c r="S101" s="6"/>
      <c r="U101" t="str">
        <f t="shared" si="1"/>
        <v>UNVERIFIED - USING FALLBACK</v>
      </c>
      <c r="V101" s="109">
        <f>IF($I101&lt;&gt;"",$I101,admin!$B$15)</f>
        <v>72</v>
      </c>
    </row>
    <row r="102" spans="1:22" x14ac:dyDescent="0.3">
      <c r="A102" t="s">
        <v>4423</v>
      </c>
      <c r="B102" t="s">
        <v>878</v>
      </c>
      <c r="D102" t="s">
        <v>4377</v>
      </c>
      <c r="G102" t="s">
        <v>4467</v>
      </c>
      <c r="H102" t="s">
        <v>4467</v>
      </c>
      <c r="J102" t="s">
        <v>4388</v>
      </c>
      <c r="K102" t="s">
        <v>4389</v>
      </c>
      <c r="L102" t="s">
        <v>5279</v>
      </c>
      <c r="M102" t="s">
        <v>5279</v>
      </c>
      <c r="O102" s="6"/>
      <c r="S102" s="6"/>
      <c r="U102" t="str">
        <f t="shared" si="1"/>
        <v>UNVERIFIED - USING FALLBACK</v>
      </c>
      <c r="V102" s="109">
        <f>IF($I102&lt;&gt;"",$I102,admin!$B$15)</f>
        <v>72</v>
      </c>
    </row>
    <row r="103" spans="1:22" x14ac:dyDescent="0.3">
      <c r="A103" t="s">
        <v>4424</v>
      </c>
      <c r="B103" t="s">
        <v>892</v>
      </c>
      <c r="D103" t="s">
        <v>4334</v>
      </c>
      <c r="G103" t="s">
        <v>4467</v>
      </c>
      <c r="H103" t="s">
        <v>4467</v>
      </c>
      <c r="J103" t="s">
        <v>2781</v>
      </c>
      <c r="K103" t="s">
        <v>4389</v>
      </c>
      <c r="L103" t="s">
        <v>5279</v>
      </c>
      <c r="M103" t="s">
        <v>5279</v>
      </c>
      <c r="O103" s="6"/>
      <c r="S103" s="6"/>
      <c r="U103" t="str">
        <f t="shared" si="1"/>
        <v>UNVERIFIED - USING FALLBACK</v>
      </c>
      <c r="V103" s="109">
        <f>IF($I103&lt;&gt;"",$I103,admin!$B$15)</f>
        <v>72</v>
      </c>
    </row>
    <row r="104" spans="1:22" x14ac:dyDescent="0.3">
      <c r="A104" t="s">
        <v>4425</v>
      </c>
      <c r="B104" t="s">
        <v>895</v>
      </c>
      <c r="D104" t="s">
        <v>4386</v>
      </c>
      <c r="G104" t="s">
        <v>4467</v>
      </c>
      <c r="H104" t="s">
        <v>4467</v>
      </c>
      <c r="J104" t="s">
        <v>4388</v>
      </c>
      <c r="K104" t="s">
        <v>4389</v>
      </c>
      <c r="L104" t="s">
        <v>5279</v>
      </c>
      <c r="M104" t="s">
        <v>5279</v>
      </c>
      <c r="O104" s="6"/>
      <c r="S104" s="6"/>
      <c r="U104" t="str">
        <f t="shared" si="1"/>
        <v>UNVERIFIED - USING FALLBACK</v>
      </c>
      <c r="V104" s="109">
        <f>IF($I104&lt;&gt;"",$I104,admin!$B$15)</f>
        <v>72</v>
      </c>
    </row>
    <row r="105" spans="1:22" x14ac:dyDescent="0.3">
      <c r="A105" t="s">
        <v>4426</v>
      </c>
      <c r="B105" t="s">
        <v>898</v>
      </c>
      <c r="D105" t="s">
        <v>4347</v>
      </c>
      <c r="G105" t="s">
        <v>4467</v>
      </c>
      <c r="H105" t="s">
        <v>4467</v>
      </c>
      <c r="J105" t="s">
        <v>4388</v>
      </c>
      <c r="K105" t="s">
        <v>4389</v>
      </c>
      <c r="L105" t="s">
        <v>5279</v>
      </c>
      <c r="M105" t="s">
        <v>5279</v>
      </c>
      <c r="O105" s="6"/>
      <c r="S105" s="6"/>
      <c r="U105" t="str">
        <f t="shared" si="1"/>
        <v>UNVERIFIED - USING FALLBACK</v>
      </c>
      <c r="V105" s="109">
        <f>IF($I105&lt;&gt;"",$I105,admin!$B$15)</f>
        <v>72</v>
      </c>
    </row>
    <row r="106" spans="1:22" x14ac:dyDescent="0.3">
      <c r="A106" t="s">
        <v>4427</v>
      </c>
      <c r="B106" t="s">
        <v>1741</v>
      </c>
      <c r="D106" t="s">
        <v>4353</v>
      </c>
      <c r="G106" t="s">
        <v>4467</v>
      </c>
      <c r="H106" t="s">
        <v>4467</v>
      </c>
      <c r="J106" t="s">
        <v>4392</v>
      </c>
      <c r="K106" t="s">
        <v>4389</v>
      </c>
      <c r="L106" t="s">
        <v>5279</v>
      </c>
      <c r="M106" t="s">
        <v>5279</v>
      </c>
      <c r="O106" s="6"/>
      <c r="S106" s="6"/>
      <c r="U106" t="str">
        <f t="shared" si="1"/>
        <v>UNVERIFIED - USING FALLBACK</v>
      </c>
      <c r="V106" s="109">
        <f>IF($I106&lt;&gt;"",$I106,admin!$B$15)</f>
        <v>72</v>
      </c>
    </row>
    <row r="107" spans="1:22" x14ac:dyDescent="0.3">
      <c r="A107" t="s">
        <v>4428</v>
      </c>
      <c r="B107" t="s">
        <v>911</v>
      </c>
      <c r="D107" t="s">
        <v>4352</v>
      </c>
      <c r="G107" t="s">
        <v>4467</v>
      </c>
      <c r="H107" t="s">
        <v>4467</v>
      </c>
      <c r="J107" t="s">
        <v>4392</v>
      </c>
      <c r="K107" t="s">
        <v>4389</v>
      </c>
      <c r="L107" t="s">
        <v>5279</v>
      </c>
      <c r="M107" t="s">
        <v>5279</v>
      </c>
      <c r="O107" s="6"/>
      <c r="S107" s="6"/>
      <c r="U107" t="str">
        <f t="shared" si="1"/>
        <v>UNVERIFIED - USING FALLBACK</v>
      </c>
      <c r="V107" s="109">
        <f>IF($I107&lt;&gt;"",$I107,admin!$B$15)</f>
        <v>72</v>
      </c>
    </row>
    <row r="108" spans="1:22" x14ac:dyDescent="0.3">
      <c r="A108" t="s">
        <v>4429</v>
      </c>
      <c r="B108" t="s">
        <v>914</v>
      </c>
      <c r="D108" t="s">
        <v>4329</v>
      </c>
      <c r="G108" t="s">
        <v>4467</v>
      </c>
      <c r="H108" t="s">
        <v>4467</v>
      </c>
      <c r="J108" t="s">
        <v>4392</v>
      </c>
      <c r="K108" t="s">
        <v>4389</v>
      </c>
      <c r="L108" t="s">
        <v>5279</v>
      </c>
      <c r="M108" t="s">
        <v>5279</v>
      </c>
      <c r="O108" s="6"/>
      <c r="S108" s="6"/>
      <c r="U108" t="str">
        <f t="shared" si="1"/>
        <v>UNVERIFIED - USING FALLBACK</v>
      </c>
      <c r="V108" s="109">
        <f>IF($I108&lt;&gt;"",$I108,admin!$B$15)</f>
        <v>72</v>
      </c>
    </row>
    <row r="109" spans="1:22" x14ac:dyDescent="0.3">
      <c r="A109" t="s">
        <v>4430</v>
      </c>
      <c r="B109" t="s">
        <v>1744</v>
      </c>
      <c r="D109" t="s">
        <v>4330</v>
      </c>
      <c r="G109" t="s">
        <v>4467</v>
      </c>
      <c r="H109" t="s">
        <v>4467</v>
      </c>
      <c r="J109" t="s">
        <v>4392</v>
      </c>
      <c r="K109" t="s">
        <v>4389</v>
      </c>
      <c r="L109" t="s">
        <v>5279</v>
      </c>
      <c r="M109" t="s">
        <v>5279</v>
      </c>
      <c r="O109" s="6"/>
      <c r="S109" s="6"/>
      <c r="U109" t="str">
        <f t="shared" si="1"/>
        <v>UNVERIFIED - USING FALLBACK</v>
      </c>
      <c r="V109" s="109">
        <f>IF($I109&lt;&gt;"",$I109,admin!$B$15)</f>
        <v>72</v>
      </c>
    </row>
    <row r="110" spans="1:22" x14ac:dyDescent="0.3">
      <c r="A110" t="s">
        <v>4431</v>
      </c>
      <c r="B110" t="s">
        <v>1751</v>
      </c>
      <c r="D110" t="s">
        <v>4324</v>
      </c>
      <c r="G110" t="s">
        <v>4467</v>
      </c>
      <c r="H110" t="s">
        <v>4467</v>
      </c>
      <c r="J110" t="s">
        <v>4392</v>
      </c>
      <c r="K110" t="s">
        <v>4389</v>
      </c>
      <c r="L110" t="s">
        <v>5279</v>
      </c>
      <c r="M110" t="s">
        <v>5279</v>
      </c>
      <c r="O110" s="6"/>
      <c r="S110" s="6"/>
      <c r="U110" t="str">
        <f t="shared" si="1"/>
        <v>UNVERIFIED - USING FALLBACK</v>
      </c>
      <c r="V110" s="109">
        <f>IF($I110&lt;&gt;"",$I110,admin!$B$15)</f>
        <v>72</v>
      </c>
    </row>
    <row r="111" spans="1:22" x14ac:dyDescent="0.3">
      <c r="A111" t="s">
        <v>4432</v>
      </c>
      <c r="B111" t="s">
        <v>1756</v>
      </c>
      <c r="D111" t="s">
        <v>4379</v>
      </c>
      <c r="G111" t="s">
        <v>4467</v>
      </c>
      <c r="H111" t="s">
        <v>4467</v>
      </c>
      <c r="J111" t="s">
        <v>4388</v>
      </c>
      <c r="K111" t="s">
        <v>4389</v>
      </c>
      <c r="L111" t="s">
        <v>5279</v>
      </c>
      <c r="M111" t="s">
        <v>5279</v>
      </c>
      <c r="O111" s="6"/>
      <c r="S111" s="6"/>
      <c r="U111" t="str">
        <f t="shared" si="1"/>
        <v>UNVERIFIED - USING FALLBACK</v>
      </c>
      <c r="V111" s="109">
        <f>IF($I111&lt;&gt;"",$I111,admin!$B$15)</f>
        <v>72</v>
      </c>
    </row>
    <row r="112" spans="1:22" x14ac:dyDescent="0.3">
      <c r="A112" t="s">
        <v>4433</v>
      </c>
      <c r="B112" t="s">
        <v>1759</v>
      </c>
      <c r="D112" t="s">
        <v>1236</v>
      </c>
      <c r="G112" t="s">
        <v>4467</v>
      </c>
      <c r="H112" t="s">
        <v>4467</v>
      </c>
      <c r="J112" t="s">
        <v>4388</v>
      </c>
      <c r="K112" t="s">
        <v>4389</v>
      </c>
      <c r="L112" t="s">
        <v>5279</v>
      </c>
      <c r="M112" t="s">
        <v>5279</v>
      </c>
      <c r="O112" s="6"/>
      <c r="S112" s="6"/>
      <c r="U112" t="str">
        <f t="shared" si="1"/>
        <v>UNVERIFIED - USING FALLBACK</v>
      </c>
      <c r="V112" s="109">
        <f>IF($I112&lt;&gt;"",$I112,admin!$B$15)</f>
        <v>72</v>
      </c>
    </row>
    <row r="113" spans="1:22" x14ac:dyDescent="0.3">
      <c r="A113" t="s">
        <v>4434</v>
      </c>
      <c r="B113" t="s">
        <v>1760</v>
      </c>
      <c r="D113" t="s">
        <v>4382</v>
      </c>
      <c r="G113" t="s">
        <v>4467</v>
      </c>
      <c r="H113" t="s">
        <v>4467</v>
      </c>
      <c r="J113" t="s">
        <v>4388</v>
      </c>
      <c r="K113" t="s">
        <v>4389</v>
      </c>
      <c r="L113" t="s">
        <v>5279</v>
      </c>
      <c r="M113" t="s">
        <v>5279</v>
      </c>
      <c r="O113" s="6"/>
      <c r="S113" s="6"/>
      <c r="U113" t="str">
        <f t="shared" si="1"/>
        <v>UNVERIFIED - USING FALLBACK</v>
      </c>
      <c r="V113" s="109">
        <f>IF($I113&lt;&gt;"",$I113,admin!$B$15)</f>
        <v>72</v>
      </c>
    </row>
    <row r="114" spans="1:22" x14ac:dyDescent="0.3">
      <c r="A114" t="s">
        <v>4435</v>
      </c>
      <c r="B114" t="s">
        <v>1769</v>
      </c>
      <c r="D114" t="s">
        <v>4367</v>
      </c>
      <c r="G114" t="s">
        <v>4467</v>
      </c>
      <c r="H114" t="s">
        <v>4467</v>
      </c>
      <c r="J114" t="s">
        <v>4388</v>
      </c>
      <c r="K114" t="s">
        <v>4389</v>
      </c>
      <c r="L114" t="s">
        <v>5279</v>
      </c>
      <c r="M114" t="s">
        <v>5279</v>
      </c>
      <c r="O114" s="6"/>
      <c r="S114" s="6"/>
      <c r="U114" t="str">
        <f t="shared" si="1"/>
        <v>UNVERIFIED - USING FALLBACK</v>
      </c>
      <c r="V114" s="109">
        <f>IF($I114&lt;&gt;"",$I114,admin!$B$15)</f>
        <v>72</v>
      </c>
    </row>
    <row r="115" spans="1:22" x14ac:dyDescent="0.3">
      <c r="A115" t="s">
        <v>4436</v>
      </c>
      <c r="B115" t="s">
        <v>1804</v>
      </c>
      <c r="D115" t="s">
        <v>4321</v>
      </c>
      <c r="G115" t="s">
        <v>4467</v>
      </c>
      <c r="H115" t="s">
        <v>4467</v>
      </c>
      <c r="J115" t="s">
        <v>4392</v>
      </c>
      <c r="K115" t="s">
        <v>4389</v>
      </c>
      <c r="L115" t="s">
        <v>5279</v>
      </c>
      <c r="M115" t="s">
        <v>5279</v>
      </c>
      <c r="O115" s="6"/>
      <c r="S115" s="6"/>
      <c r="U115" t="str">
        <f t="shared" si="1"/>
        <v>UNVERIFIED - USING FALLBACK</v>
      </c>
      <c r="V115" s="109">
        <f>IF($I115&lt;&gt;"",$I115,admin!$B$15)</f>
        <v>72</v>
      </c>
    </row>
    <row r="116" spans="1:22" x14ac:dyDescent="0.3">
      <c r="A116" t="s">
        <v>4437</v>
      </c>
      <c r="B116" t="s">
        <v>1778</v>
      </c>
      <c r="D116" t="s">
        <v>4354</v>
      </c>
      <c r="G116" t="s">
        <v>4467</v>
      </c>
      <c r="H116" t="s">
        <v>4467</v>
      </c>
      <c r="J116" t="s">
        <v>4388</v>
      </c>
      <c r="K116" t="s">
        <v>4389</v>
      </c>
      <c r="L116" t="s">
        <v>5279</v>
      </c>
      <c r="M116" t="s">
        <v>5279</v>
      </c>
      <c r="O116" s="6"/>
      <c r="S116" s="6"/>
      <c r="U116" t="str">
        <f t="shared" si="1"/>
        <v>UNVERIFIED - USING FALLBACK</v>
      </c>
      <c r="V116" s="109">
        <f>IF($I116&lt;&gt;"",$I116,admin!$B$15)</f>
        <v>72</v>
      </c>
    </row>
    <row r="117" spans="1:22" x14ac:dyDescent="0.3">
      <c r="A117" t="s">
        <v>4438</v>
      </c>
      <c r="B117" t="s">
        <v>1800</v>
      </c>
      <c r="D117" t="s">
        <v>4342</v>
      </c>
      <c r="G117" t="s">
        <v>4467</v>
      </c>
      <c r="H117" t="s">
        <v>4467</v>
      </c>
      <c r="J117" t="s">
        <v>4388</v>
      </c>
      <c r="K117" t="s">
        <v>4389</v>
      </c>
      <c r="L117" t="s">
        <v>5279</v>
      </c>
      <c r="M117" t="s">
        <v>5279</v>
      </c>
      <c r="O117" s="6"/>
      <c r="S117" s="6"/>
      <c r="U117" t="str">
        <f t="shared" si="1"/>
        <v>UNVERIFIED - USING FALLBACK</v>
      </c>
      <c r="V117" s="109">
        <f>IF($I117&lt;&gt;"",$I117,admin!$B$15)</f>
        <v>72</v>
      </c>
    </row>
    <row r="118" spans="1:22" x14ac:dyDescent="0.3">
      <c r="A118" t="s">
        <v>4439</v>
      </c>
      <c r="B118" t="s">
        <v>1784</v>
      </c>
      <c r="D118" t="s">
        <v>4328</v>
      </c>
      <c r="G118" t="s">
        <v>4467</v>
      </c>
      <c r="H118" t="s">
        <v>4467</v>
      </c>
      <c r="J118" t="s">
        <v>4392</v>
      </c>
      <c r="K118" t="s">
        <v>4389</v>
      </c>
      <c r="L118" t="s">
        <v>5279</v>
      </c>
      <c r="M118" t="s">
        <v>5279</v>
      </c>
      <c r="O118" s="6"/>
      <c r="S118" s="6"/>
      <c r="U118" t="str">
        <f t="shared" si="1"/>
        <v>UNVERIFIED - USING FALLBACK</v>
      </c>
      <c r="V118" s="109">
        <f>IF($I118&lt;&gt;"",$I118,admin!$B$15)</f>
        <v>72</v>
      </c>
    </row>
    <row r="119" spans="1:22" x14ac:dyDescent="0.3">
      <c r="A119" t="s">
        <v>4440</v>
      </c>
      <c r="B119" t="s">
        <v>1771</v>
      </c>
      <c r="D119" t="s">
        <v>4359</v>
      </c>
      <c r="G119" t="s">
        <v>4467</v>
      </c>
      <c r="H119" t="s">
        <v>4467</v>
      </c>
      <c r="J119" t="s">
        <v>4388</v>
      </c>
      <c r="K119" t="s">
        <v>4389</v>
      </c>
      <c r="L119" t="s">
        <v>5279</v>
      </c>
      <c r="M119" t="s">
        <v>5279</v>
      </c>
      <c r="O119" s="6"/>
      <c r="S119" s="6"/>
      <c r="U119" t="str">
        <f t="shared" si="1"/>
        <v>UNVERIFIED - USING FALLBACK</v>
      </c>
      <c r="V119" s="109">
        <f>IF($I119&lt;&gt;"",$I119,admin!$B$15)</f>
        <v>72</v>
      </c>
    </row>
    <row r="120" spans="1:22" x14ac:dyDescent="0.3">
      <c r="A120" t="s">
        <v>4441</v>
      </c>
      <c r="B120" t="s">
        <v>1787</v>
      </c>
      <c r="D120" t="s">
        <v>4358</v>
      </c>
      <c r="G120" t="s">
        <v>4467</v>
      </c>
      <c r="H120" t="s">
        <v>4467</v>
      </c>
      <c r="J120" t="s">
        <v>4392</v>
      </c>
      <c r="K120" t="s">
        <v>4389</v>
      </c>
      <c r="L120" t="s">
        <v>5279</v>
      </c>
      <c r="M120" t="s">
        <v>5279</v>
      </c>
      <c r="O120" s="6"/>
      <c r="S120" s="6"/>
      <c r="U120" t="str">
        <f t="shared" si="1"/>
        <v>UNVERIFIED - USING FALLBACK</v>
      </c>
      <c r="V120" s="109">
        <f>IF($I120&lt;&gt;"",$I120,admin!$B$15)</f>
        <v>72</v>
      </c>
    </row>
    <row r="121" spans="1:22" x14ac:dyDescent="0.3">
      <c r="A121" t="s">
        <v>4442</v>
      </c>
      <c r="B121" t="s">
        <v>1812</v>
      </c>
      <c r="D121" t="s">
        <v>4322</v>
      </c>
      <c r="G121" t="s">
        <v>4467</v>
      </c>
      <c r="H121" t="s">
        <v>4467</v>
      </c>
      <c r="J121" t="s">
        <v>4392</v>
      </c>
      <c r="K121" t="s">
        <v>4389</v>
      </c>
      <c r="L121" t="s">
        <v>5279</v>
      </c>
      <c r="M121" t="s">
        <v>5279</v>
      </c>
      <c r="O121" s="6"/>
      <c r="S121" s="6"/>
      <c r="U121" t="str">
        <f t="shared" si="1"/>
        <v>UNVERIFIED - USING FALLBACK</v>
      </c>
      <c r="V121" s="109">
        <f>IF($I121&lt;&gt;"",$I121,admin!$B$15)</f>
        <v>72</v>
      </c>
    </row>
    <row r="122" spans="1:22" x14ac:dyDescent="0.3">
      <c r="A122" t="s">
        <v>4443</v>
      </c>
      <c r="B122" t="s">
        <v>1827</v>
      </c>
      <c r="D122" t="s">
        <v>4376</v>
      </c>
      <c r="G122" t="s">
        <v>4467</v>
      </c>
      <c r="H122" t="s">
        <v>4467</v>
      </c>
      <c r="J122" t="s">
        <v>4388</v>
      </c>
      <c r="K122" t="s">
        <v>4389</v>
      </c>
      <c r="L122" t="s">
        <v>5279</v>
      </c>
      <c r="M122" t="s">
        <v>5279</v>
      </c>
      <c r="O122" s="6"/>
      <c r="S122" s="6"/>
      <c r="U122" t="str">
        <f t="shared" si="1"/>
        <v>UNVERIFIED - USING FALLBACK</v>
      </c>
      <c r="V122" s="109">
        <f>IF($I122&lt;&gt;"",$I122,admin!$B$15)</f>
        <v>72</v>
      </c>
    </row>
    <row r="123" spans="1:22" x14ac:dyDescent="0.3">
      <c r="A123" t="s">
        <v>4444</v>
      </c>
      <c r="B123" t="s">
        <v>1830</v>
      </c>
      <c r="D123" t="s">
        <v>4384</v>
      </c>
      <c r="G123" t="s">
        <v>4467</v>
      </c>
      <c r="H123" t="s">
        <v>4467</v>
      </c>
      <c r="J123" t="s">
        <v>4388</v>
      </c>
      <c r="K123" t="s">
        <v>4389</v>
      </c>
      <c r="L123" t="s">
        <v>5279</v>
      </c>
      <c r="M123" t="s">
        <v>5279</v>
      </c>
      <c r="O123" s="6"/>
      <c r="S123" s="6"/>
      <c r="U123" t="str">
        <f t="shared" si="1"/>
        <v>UNVERIFIED - USING FALLBACK</v>
      </c>
      <c r="V123" s="109">
        <f>IF($I123&lt;&gt;"",$I123,admin!$B$15)</f>
        <v>72</v>
      </c>
    </row>
    <row r="124" spans="1:22" x14ac:dyDescent="0.3">
      <c r="A124" t="s">
        <v>4445</v>
      </c>
      <c r="B124" t="s">
        <v>1833</v>
      </c>
      <c r="D124" t="s">
        <v>4335</v>
      </c>
      <c r="G124" t="s">
        <v>4467</v>
      </c>
      <c r="H124" t="s">
        <v>4467</v>
      </c>
      <c r="J124" t="s">
        <v>4392</v>
      </c>
      <c r="K124" t="s">
        <v>4389</v>
      </c>
      <c r="L124" t="s">
        <v>5279</v>
      </c>
      <c r="M124" t="s">
        <v>5279</v>
      </c>
      <c r="O124" s="6"/>
      <c r="S124" s="6"/>
      <c r="U124" t="str">
        <f t="shared" si="1"/>
        <v>UNVERIFIED - USING FALLBACK</v>
      </c>
      <c r="V124" s="109">
        <f>IF($I124&lt;&gt;"",$I124,admin!$B$15)</f>
        <v>72</v>
      </c>
    </row>
    <row r="125" spans="1:22" x14ac:dyDescent="0.3">
      <c r="A125" t="s">
        <v>4446</v>
      </c>
      <c r="B125" t="s">
        <v>1854</v>
      </c>
      <c r="D125" t="s">
        <v>4333</v>
      </c>
      <c r="G125" t="s">
        <v>4467</v>
      </c>
      <c r="H125" t="s">
        <v>4467</v>
      </c>
      <c r="J125" t="s">
        <v>4392</v>
      </c>
      <c r="K125" t="s">
        <v>4389</v>
      </c>
      <c r="L125" t="s">
        <v>5279</v>
      </c>
      <c r="M125" t="s">
        <v>5279</v>
      </c>
      <c r="O125" s="6"/>
      <c r="S125" s="6"/>
      <c r="U125" t="str">
        <f t="shared" si="1"/>
        <v>UNVERIFIED - USING FALLBACK</v>
      </c>
      <c r="V125" s="109">
        <f>IF($I125&lt;&gt;"",$I125,admin!$B$15)</f>
        <v>72</v>
      </c>
    </row>
    <row r="126" spans="1:22" x14ac:dyDescent="0.3">
      <c r="A126" t="s">
        <v>4447</v>
      </c>
      <c r="B126" t="s">
        <v>1857</v>
      </c>
      <c r="D126" t="s">
        <v>4374</v>
      </c>
      <c r="G126" t="s">
        <v>4467</v>
      </c>
      <c r="H126" t="s">
        <v>4467</v>
      </c>
      <c r="J126" t="s">
        <v>4388</v>
      </c>
      <c r="K126" t="s">
        <v>4389</v>
      </c>
      <c r="L126" t="s">
        <v>5279</v>
      </c>
      <c r="M126" t="s">
        <v>5279</v>
      </c>
      <c r="O126" s="6"/>
      <c r="S126" s="6"/>
      <c r="U126" t="str">
        <f t="shared" si="1"/>
        <v>UNVERIFIED - USING FALLBACK</v>
      </c>
      <c r="V126" s="109">
        <f>IF($I126&lt;&gt;"",$I126,admin!$B$15)</f>
        <v>72</v>
      </c>
    </row>
    <row r="127" spans="1:22" x14ac:dyDescent="0.3">
      <c r="A127" t="s">
        <v>4448</v>
      </c>
      <c r="B127" t="s">
        <v>1862</v>
      </c>
      <c r="D127" t="s">
        <v>4346</v>
      </c>
      <c r="G127" t="s">
        <v>4467</v>
      </c>
      <c r="H127" t="s">
        <v>4467</v>
      </c>
      <c r="J127" t="s">
        <v>4388</v>
      </c>
      <c r="K127" t="s">
        <v>4389</v>
      </c>
      <c r="L127" t="s">
        <v>5279</v>
      </c>
      <c r="M127" t="s">
        <v>5279</v>
      </c>
      <c r="O127" s="6"/>
      <c r="S127" s="6"/>
      <c r="U127" t="str">
        <f t="shared" si="1"/>
        <v>UNVERIFIED - USING FALLBACK</v>
      </c>
      <c r="V127" s="109">
        <f>IF($I127&lt;&gt;"",$I127,admin!$B$15)</f>
        <v>72</v>
      </c>
    </row>
    <row r="128" spans="1:22" x14ac:dyDescent="0.3">
      <c r="A128" t="s">
        <v>4449</v>
      </c>
      <c r="B128" t="s">
        <v>4450</v>
      </c>
      <c r="D128" t="s">
        <v>4337</v>
      </c>
      <c r="G128" t="s">
        <v>4467</v>
      </c>
      <c r="H128" t="s">
        <v>4467</v>
      </c>
      <c r="J128" t="s">
        <v>2781</v>
      </c>
      <c r="K128" t="s">
        <v>4389</v>
      </c>
      <c r="L128" t="s">
        <v>5279</v>
      </c>
      <c r="M128" t="s">
        <v>5279</v>
      </c>
      <c r="O128" s="6"/>
      <c r="S128" s="6"/>
      <c r="U128" t="str">
        <f t="shared" si="1"/>
        <v>UNVERIFIED - USING FALLBACK</v>
      </c>
      <c r="V128" s="109">
        <f>IF($I128&lt;&gt;"",$I128,admin!$B$15)</f>
        <v>72</v>
      </c>
    </row>
    <row r="129" spans="1:22" x14ac:dyDescent="0.3">
      <c r="A129" t="s">
        <v>4451</v>
      </c>
      <c r="B129" t="s">
        <v>1875</v>
      </c>
      <c r="D129" t="s">
        <v>4364</v>
      </c>
      <c r="G129" t="s">
        <v>4467</v>
      </c>
      <c r="H129" t="s">
        <v>4467</v>
      </c>
      <c r="J129" t="s">
        <v>4388</v>
      </c>
      <c r="K129" t="s">
        <v>4389</v>
      </c>
      <c r="L129" t="s">
        <v>5279</v>
      </c>
      <c r="M129" t="s">
        <v>5279</v>
      </c>
      <c r="O129" s="6"/>
      <c r="S129" s="6"/>
      <c r="U129" t="str">
        <f t="shared" si="1"/>
        <v>UNVERIFIED - USING FALLBACK</v>
      </c>
      <c r="V129" s="109">
        <f>IF($I129&lt;&gt;"",$I129,admin!$B$15)</f>
        <v>72</v>
      </c>
    </row>
    <row r="130" spans="1:22" x14ac:dyDescent="0.3">
      <c r="A130" t="s">
        <v>4452</v>
      </c>
      <c r="B130" t="s">
        <v>1881</v>
      </c>
      <c r="D130" t="s">
        <v>4356</v>
      </c>
      <c r="G130" t="s">
        <v>4467</v>
      </c>
      <c r="H130" t="s">
        <v>4467</v>
      </c>
      <c r="J130" t="s">
        <v>4388</v>
      </c>
      <c r="K130" t="s">
        <v>4389</v>
      </c>
      <c r="L130" t="s">
        <v>5279</v>
      </c>
      <c r="M130" t="s">
        <v>5279</v>
      </c>
      <c r="O130" s="6"/>
      <c r="S130" s="6"/>
      <c r="U130" t="str">
        <f t="shared" si="1"/>
        <v>UNVERIFIED - USING FALLBACK</v>
      </c>
      <c r="V130" s="109">
        <f>IF($I130&lt;&gt;"",$I130,admin!$B$15)</f>
        <v>72</v>
      </c>
    </row>
    <row r="131" spans="1:22" x14ac:dyDescent="0.3">
      <c r="A131" t="s">
        <v>4453</v>
      </c>
      <c r="B131" t="s">
        <v>4454</v>
      </c>
      <c r="D131" t="s">
        <v>4325</v>
      </c>
      <c r="G131" t="s">
        <v>4467</v>
      </c>
      <c r="H131" t="s">
        <v>4467</v>
      </c>
      <c r="J131" t="s">
        <v>2547</v>
      </c>
      <c r="K131" t="s">
        <v>4389</v>
      </c>
      <c r="L131" t="s">
        <v>5279</v>
      </c>
      <c r="M131" t="s">
        <v>5279</v>
      </c>
      <c r="O131" s="6"/>
      <c r="S131" s="6"/>
      <c r="U131" t="str">
        <f t="shared" ref="U131:U143" si="2">IF($I131="","UNVERIFIED - USING FALLBACK",IF(OR($Q131="",$S131=""),"UNVERIFIED - NO SOURCE",IF(OR($O131="",$P131=""),"LEAD TIME OK / FLAGS UNVERIFIED","VERIFIED")))</f>
        <v>UNVERIFIED - USING FALLBACK</v>
      </c>
      <c r="V131" s="109">
        <f>IF($I131&lt;&gt;"",$I131,admin!$B$15)</f>
        <v>72</v>
      </c>
    </row>
    <row r="132" spans="1:22" x14ac:dyDescent="0.3">
      <c r="A132" t="s">
        <v>4455</v>
      </c>
      <c r="B132" t="s">
        <v>1878</v>
      </c>
      <c r="D132" t="s">
        <v>4362</v>
      </c>
      <c r="G132" t="s">
        <v>4467</v>
      </c>
      <c r="H132" t="s">
        <v>4467</v>
      </c>
      <c r="J132" t="s">
        <v>4388</v>
      </c>
      <c r="K132" t="s">
        <v>4389</v>
      </c>
      <c r="L132" t="s">
        <v>5279</v>
      </c>
      <c r="M132" t="s">
        <v>5279</v>
      </c>
      <c r="O132" s="6"/>
      <c r="S132" s="6"/>
      <c r="U132" t="str">
        <f t="shared" si="2"/>
        <v>UNVERIFIED - USING FALLBACK</v>
      </c>
      <c r="V132" s="109">
        <f>IF($I132&lt;&gt;"",$I132,admin!$B$15)</f>
        <v>72</v>
      </c>
    </row>
    <row r="133" spans="1:22" x14ac:dyDescent="0.3">
      <c r="A133" t="s">
        <v>4456</v>
      </c>
      <c r="B133" t="s">
        <v>1902</v>
      </c>
      <c r="D133" t="s">
        <v>4372</v>
      </c>
      <c r="G133" t="s">
        <v>4467</v>
      </c>
      <c r="H133" t="s">
        <v>4467</v>
      </c>
      <c r="J133" t="s">
        <v>4388</v>
      </c>
      <c r="K133" t="s">
        <v>4389</v>
      </c>
      <c r="L133" t="s">
        <v>5279</v>
      </c>
      <c r="M133" t="s">
        <v>5279</v>
      </c>
      <c r="O133" s="6"/>
      <c r="S133" s="6"/>
      <c r="U133" t="str">
        <f t="shared" si="2"/>
        <v>UNVERIFIED - USING FALLBACK</v>
      </c>
      <c r="V133" s="109">
        <f>IF($I133&lt;&gt;"",$I133,admin!$B$15)</f>
        <v>72</v>
      </c>
    </row>
    <row r="134" spans="1:22" x14ac:dyDescent="0.3">
      <c r="A134" t="s">
        <v>4457</v>
      </c>
      <c r="B134" t="s">
        <v>1900</v>
      </c>
      <c r="D134" t="s">
        <v>4366</v>
      </c>
      <c r="G134" t="s">
        <v>4467</v>
      </c>
      <c r="H134" t="s">
        <v>4467</v>
      </c>
      <c r="J134" t="s">
        <v>4388</v>
      </c>
      <c r="K134" t="s">
        <v>4389</v>
      </c>
      <c r="L134" t="s">
        <v>5279</v>
      </c>
      <c r="M134" t="s">
        <v>5279</v>
      </c>
      <c r="O134" s="6"/>
      <c r="S134" s="6"/>
      <c r="U134" t="str">
        <f t="shared" si="2"/>
        <v>UNVERIFIED - USING FALLBACK</v>
      </c>
      <c r="V134" s="109">
        <f>IF($I134&lt;&gt;"",$I134,admin!$B$15)</f>
        <v>72</v>
      </c>
    </row>
    <row r="135" spans="1:22" x14ac:dyDescent="0.3">
      <c r="A135" t="s">
        <v>4458</v>
      </c>
      <c r="B135" t="s">
        <v>1896</v>
      </c>
      <c r="D135" t="s">
        <v>4381</v>
      </c>
      <c r="G135" t="s">
        <v>4467</v>
      </c>
      <c r="H135" t="s">
        <v>4467</v>
      </c>
      <c r="J135" t="s">
        <v>4388</v>
      </c>
      <c r="K135" t="s">
        <v>4389</v>
      </c>
      <c r="L135" t="s">
        <v>5279</v>
      </c>
      <c r="M135" t="s">
        <v>5279</v>
      </c>
      <c r="O135" s="6"/>
      <c r="S135" s="6"/>
      <c r="U135" t="str">
        <f t="shared" si="2"/>
        <v>UNVERIFIED - USING FALLBACK</v>
      </c>
      <c r="V135" s="109">
        <f>IF($I135&lt;&gt;"",$I135,admin!$B$15)</f>
        <v>72</v>
      </c>
    </row>
    <row r="136" spans="1:22" x14ac:dyDescent="0.3">
      <c r="A136" t="s">
        <v>4459</v>
      </c>
      <c r="B136" t="s">
        <v>1920</v>
      </c>
      <c r="D136" t="s">
        <v>4338</v>
      </c>
      <c r="G136" t="s">
        <v>4467</v>
      </c>
      <c r="H136" t="s">
        <v>4467</v>
      </c>
      <c r="J136" t="s">
        <v>2781</v>
      </c>
      <c r="K136" t="s">
        <v>4389</v>
      </c>
      <c r="L136" t="s">
        <v>5279</v>
      </c>
      <c r="M136" t="s">
        <v>5279</v>
      </c>
      <c r="O136" s="6"/>
      <c r="S136" s="6"/>
      <c r="U136" t="str">
        <f t="shared" si="2"/>
        <v>UNVERIFIED - USING FALLBACK</v>
      </c>
      <c r="V136" s="109">
        <f>IF($I136&lt;&gt;"",$I136,admin!$B$15)</f>
        <v>72</v>
      </c>
    </row>
    <row r="137" spans="1:22" x14ac:dyDescent="0.3">
      <c r="A137" t="s">
        <v>4460</v>
      </c>
      <c r="B137" t="s">
        <v>1932</v>
      </c>
      <c r="D137" t="s">
        <v>4323</v>
      </c>
      <c r="G137" t="s">
        <v>4467</v>
      </c>
      <c r="H137" t="s">
        <v>4467</v>
      </c>
      <c r="J137" t="s">
        <v>4392</v>
      </c>
      <c r="K137" t="s">
        <v>4389</v>
      </c>
      <c r="L137" t="s">
        <v>5279</v>
      </c>
      <c r="M137" t="s">
        <v>5279</v>
      </c>
      <c r="O137" s="6"/>
      <c r="S137" s="6"/>
      <c r="U137" t="str">
        <f t="shared" si="2"/>
        <v>UNVERIFIED - USING FALLBACK</v>
      </c>
      <c r="V137" s="109">
        <f>IF($I137&lt;&gt;"",$I137,admin!$B$15)</f>
        <v>72</v>
      </c>
    </row>
    <row r="138" spans="1:22" x14ac:dyDescent="0.3">
      <c r="A138" t="s">
        <v>4461</v>
      </c>
      <c r="B138" t="s">
        <v>1934</v>
      </c>
      <c r="D138" t="s">
        <v>4349</v>
      </c>
      <c r="G138" t="s">
        <v>4467</v>
      </c>
      <c r="H138" t="s">
        <v>4467</v>
      </c>
      <c r="J138" t="s">
        <v>4392</v>
      </c>
      <c r="K138" t="s">
        <v>4389</v>
      </c>
      <c r="L138" t="s">
        <v>5279</v>
      </c>
      <c r="M138" t="s">
        <v>5279</v>
      </c>
      <c r="O138" s="6"/>
      <c r="S138" s="6"/>
      <c r="U138" t="str">
        <f t="shared" si="2"/>
        <v>UNVERIFIED - USING FALLBACK</v>
      </c>
      <c r="V138" s="109">
        <f>IF($I138&lt;&gt;"",$I138,admin!$B$15)</f>
        <v>72</v>
      </c>
    </row>
    <row r="139" spans="1:22" x14ac:dyDescent="0.3">
      <c r="A139" t="s">
        <v>4462</v>
      </c>
      <c r="B139" t="s">
        <v>1940</v>
      </c>
      <c r="D139" t="s">
        <v>4343</v>
      </c>
      <c r="G139" t="s">
        <v>4467</v>
      </c>
      <c r="H139" t="s">
        <v>4467</v>
      </c>
      <c r="J139" t="s">
        <v>4392</v>
      </c>
      <c r="K139" t="s">
        <v>4389</v>
      </c>
      <c r="L139" t="s">
        <v>5279</v>
      </c>
      <c r="M139" t="s">
        <v>5279</v>
      </c>
      <c r="O139" s="6"/>
      <c r="S139" s="6"/>
      <c r="U139" t="str">
        <f t="shared" si="2"/>
        <v>UNVERIFIED - USING FALLBACK</v>
      </c>
      <c r="V139" s="109">
        <f>IF($I139&lt;&gt;"",$I139,admin!$B$15)</f>
        <v>72</v>
      </c>
    </row>
    <row r="140" spans="1:22" x14ac:dyDescent="0.3">
      <c r="A140" t="s">
        <v>4463</v>
      </c>
      <c r="B140" t="s">
        <v>1949</v>
      </c>
      <c r="D140" t="s">
        <v>4345</v>
      </c>
      <c r="G140" t="s">
        <v>4467</v>
      </c>
      <c r="H140" t="s">
        <v>4467</v>
      </c>
      <c r="J140" t="s">
        <v>2781</v>
      </c>
      <c r="K140" t="s">
        <v>4389</v>
      </c>
      <c r="L140" t="s">
        <v>5279</v>
      </c>
      <c r="M140" t="s">
        <v>5279</v>
      </c>
      <c r="O140" s="6"/>
      <c r="S140" s="6"/>
      <c r="U140" t="str">
        <f t="shared" si="2"/>
        <v>UNVERIFIED - USING FALLBACK</v>
      </c>
      <c r="V140" s="109">
        <f>IF($I140&lt;&gt;"",$I140,admin!$B$15)</f>
        <v>72</v>
      </c>
    </row>
    <row r="141" spans="1:22" x14ac:dyDescent="0.3">
      <c r="A141" t="s">
        <v>4464</v>
      </c>
      <c r="B141" t="s">
        <v>1960</v>
      </c>
      <c r="D141" t="s">
        <v>4365</v>
      </c>
      <c r="G141" t="s">
        <v>4467</v>
      </c>
      <c r="H141" t="s">
        <v>4467</v>
      </c>
      <c r="J141" t="s">
        <v>4388</v>
      </c>
      <c r="K141" t="s">
        <v>4389</v>
      </c>
      <c r="L141" t="s">
        <v>5279</v>
      </c>
      <c r="M141" t="s">
        <v>5279</v>
      </c>
      <c r="O141" s="6"/>
      <c r="S141" s="6"/>
      <c r="U141" t="str">
        <f t="shared" si="2"/>
        <v>UNVERIFIED - USING FALLBACK</v>
      </c>
      <c r="V141" s="109">
        <f>IF($I141&lt;&gt;"",$I141,admin!$B$15)</f>
        <v>72</v>
      </c>
    </row>
    <row r="142" spans="1:22" x14ac:dyDescent="0.3">
      <c r="A142" t="s">
        <v>4465</v>
      </c>
      <c r="B142" t="s">
        <v>1970</v>
      </c>
      <c r="D142" t="s">
        <v>4348</v>
      </c>
      <c r="G142" t="s">
        <v>4467</v>
      </c>
      <c r="H142" t="s">
        <v>4467</v>
      </c>
      <c r="J142" t="s">
        <v>4392</v>
      </c>
      <c r="K142" t="s">
        <v>4389</v>
      </c>
      <c r="L142" t="s">
        <v>5279</v>
      </c>
      <c r="M142" t="s">
        <v>5279</v>
      </c>
      <c r="O142" s="6"/>
      <c r="S142" s="6"/>
      <c r="U142" t="str">
        <f t="shared" si="2"/>
        <v>UNVERIFIED - USING FALLBACK</v>
      </c>
      <c r="V142" s="109">
        <f>IF($I142&lt;&gt;"",$I142,admin!$B$15)</f>
        <v>72</v>
      </c>
    </row>
    <row r="143" spans="1:22" x14ac:dyDescent="0.3">
      <c r="A143" t="s">
        <v>4466</v>
      </c>
      <c r="B143" t="s">
        <v>1982</v>
      </c>
      <c r="D143" t="s">
        <v>4327</v>
      </c>
      <c r="G143" t="s">
        <v>4467</v>
      </c>
      <c r="H143" t="s">
        <v>4467</v>
      </c>
      <c r="J143" t="s">
        <v>4392</v>
      </c>
      <c r="K143" t="s">
        <v>4389</v>
      </c>
      <c r="L143" t="s">
        <v>5279</v>
      </c>
      <c r="M143" t="s">
        <v>5279</v>
      </c>
      <c r="O143" s="6"/>
      <c r="S143" s="6"/>
      <c r="U143" t="str">
        <f t="shared" si="2"/>
        <v>UNVERIFIED - USING FALLBACK</v>
      </c>
      <c r="V143" s="109">
        <f>IF($I143&lt;&gt;"",$I143,admin!$B$15)</f>
        <v>72</v>
      </c>
    </row>
  </sheetData>
  <dataValidations count="1">
    <dataValidation type="list" allowBlank="1" showInputMessage="1" showErrorMessage="1" sqref="L2:M143" xr:uid="{210B4BFE-3376-41F7-9BD4-25F955BB88B8}">
      <formula1>"MANDATORY,NOT MANDATORY,VERIFY"</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109E8-9324-4685-9FC2-20CC225F02A3}">
  <dimension ref="A1:AG491"/>
  <sheetViews>
    <sheetView workbookViewId="0">
      <pane ySplit="1" topLeftCell="A2" activePane="bottomLeft" state="frozen"/>
      <selection pane="bottomLeft" activeCell="C2" sqref="C2"/>
    </sheetView>
  </sheetViews>
  <sheetFormatPr defaultRowHeight="14.4" x14ac:dyDescent="0.3"/>
  <cols>
    <col min="1" max="1" width="10.5546875" bestFit="1" customWidth="1"/>
    <col min="2" max="2" width="37.33203125" bestFit="1" customWidth="1"/>
    <col min="3" max="3" width="16.44140625" bestFit="1" customWidth="1"/>
    <col min="4" max="4" width="11.21875" bestFit="1" customWidth="1"/>
    <col min="5" max="5" width="14.21875" bestFit="1" customWidth="1"/>
    <col min="6" max="6" width="13.88671875" bestFit="1" customWidth="1"/>
    <col min="7" max="7" width="12.109375" bestFit="1" customWidth="1"/>
    <col min="8" max="8" width="14.88671875" bestFit="1" customWidth="1"/>
    <col min="9" max="9" width="17" bestFit="1" customWidth="1"/>
    <col min="10" max="10" width="13.77734375" bestFit="1" customWidth="1"/>
    <col min="11" max="11" width="20.33203125" bestFit="1" customWidth="1"/>
    <col min="12" max="12" width="20.44140625" bestFit="1" customWidth="1"/>
    <col min="13" max="13" width="20.77734375" bestFit="1" customWidth="1"/>
    <col min="14" max="14" width="9.5546875" bestFit="1" customWidth="1"/>
    <col min="15" max="15" width="11.77734375" bestFit="1" customWidth="1"/>
    <col min="16" max="16" width="10" bestFit="1" customWidth="1"/>
    <col min="17" max="17" width="15" bestFit="1" customWidth="1"/>
    <col min="18" max="18" width="6" bestFit="1" customWidth="1"/>
    <col min="19" max="19" width="14.77734375" bestFit="1" customWidth="1"/>
    <col min="20" max="20" width="6.77734375" bestFit="1" customWidth="1"/>
    <col min="21" max="21" width="15.21875" bestFit="1" customWidth="1"/>
    <col min="22" max="22" width="63.77734375" bestFit="1" customWidth="1"/>
    <col min="23" max="24" width="25.88671875" customWidth="1"/>
    <col min="25" max="32" width="31.44140625" customWidth="1"/>
  </cols>
  <sheetData>
    <row r="1" spans="1:33" x14ac:dyDescent="0.3">
      <c r="A1" s="22" t="s">
        <v>3807</v>
      </c>
      <c r="B1" s="22" t="s">
        <v>3808</v>
      </c>
      <c r="C1" s="22" t="s">
        <v>3809</v>
      </c>
      <c r="D1" s="22" t="s">
        <v>3810</v>
      </c>
      <c r="E1" s="22" t="s">
        <v>3811</v>
      </c>
      <c r="F1" s="22" t="s">
        <v>3812</v>
      </c>
      <c r="G1" s="22" t="s">
        <v>3813</v>
      </c>
      <c r="H1" s="22" t="s">
        <v>3814</v>
      </c>
      <c r="I1" s="22" t="s">
        <v>3815</v>
      </c>
      <c r="J1" s="22" t="s">
        <v>3816</v>
      </c>
      <c r="K1" s="22" t="s">
        <v>3817</v>
      </c>
      <c r="L1" s="22" t="s">
        <v>3818</v>
      </c>
      <c r="M1" s="22" t="s">
        <v>3819</v>
      </c>
      <c r="N1" s="22" t="s">
        <v>3820</v>
      </c>
      <c r="O1" s="22" t="s">
        <v>3821</v>
      </c>
      <c r="P1" s="22" t="s">
        <v>3822</v>
      </c>
      <c r="Q1" s="22" t="s">
        <v>3823</v>
      </c>
      <c r="R1" s="22" t="s">
        <v>3824</v>
      </c>
      <c r="S1" s="22" t="s">
        <v>3825</v>
      </c>
      <c r="T1" s="22" t="s">
        <v>3826</v>
      </c>
      <c r="U1" s="22" t="s">
        <v>3827</v>
      </c>
      <c r="V1" s="22" t="s">
        <v>2300</v>
      </c>
      <c r="W1" s="25" t="s">
        <v>4635</v>
      </c>
      <c r="X1" s="25" t="s">
        <v>4636</v>
      </c>
      <c r="Y1" s="67" t="s">
        <v>5095</v>
      </c>
      <c r="Z1" s="67" t="s">
        <v>5096</v>
      </c>
      <c r="AA1" s="67" t="s">
        <v>5097</v>
      </c>
      <c r="AB1" s="67" t="s">
        <v>2296</v>
      </c>
      <c r="AC1" s="67" t="s">
        <v>2297</v>
      </c>
      <c r="AD1" s="67" t="s">
        <v>5098</v>
      </c>
      <c r="AE1" s="67" t="s">
        <v>5099</v>
      </c>
      <c r="AF1" s="67" t="s">
        <v>5100</v>
      </c>
      <c r="AG1" s="67" t="s">
        <v>8529</v>
      </c>
    </row>
    <row r="2" spans="1:33" x14ac:dyDescent="0.3">
      <c r="A2" t="s">
        <v>3828</v>
      </c>
      <c r="B2" t="s">
        <v>2870</v>
      </c>
      <c r="C2" t="s">
        <v>3829</v>
      </c>
      <c r="G2" t="s">
        <v>2690</v>
      </c>
      <c r="H2" t="s">
        <v>5</v>
      </c>
      <c r="T2" t="s">
        <v>3830</v>
      </c>
      <c r="U2" t="s">
        <v>2869</v>
      </c>
      <c r="V2" t="s">
        <v>3831</v>
      </c>
      <c r="W2">
        <f>IF($A2="","",COUNTIF(Aircraft!$N:$N,$A2))</f>
        <v>0</v>
      </c>
      <c r="X2" t="str">
        <f>IF($A2="","",IF($B2="","NAME REQUIRED",IF($W2=0,"NO AIRCRAFT LINKED","OK")))</f>
        <v>NO AIRCRAFT LINKED</v>
      </c>
      <c r="Y2" t="str">
        <f>IF($A2="","","EMAIL (SMTP)")</f>
        <v>EMAIL (SMTP)</v>
      </c>
      <c r="Z2" t="str">
        <f>IF($A2="","",IF($N2&lt;&gt;"",$N2,IF($L2&lt;&gt;"",$L2,"")))</f>
        <v/>
      </c>
      <c r="AA2" t="str">
        <f>IF($A2="","",IF($O2&lt;&gt;"",$O2,""))</f>
        <v/>
      </c>
      <c r="AD2" t="str">
        <f>IF($A2="","","PLAIN TEXT UPPERCASE")</f>
        <v>PLAIN TEXT UPPERCASE</v>
      </c>
      <c r="AE2" t="str">
        <f>IF($A2="","","JTL TRIP SUPPORT")</f>
        <v>JTL TRIP SUPPORT</v>
      </c>
      <c r="AF2" t="str">
        <f>IF($A2="","",IF($Y2="EMAIL (SMTP)",IF($Z2="","NO SENDING ADDRESS - ADD messaging_to_emails","OK"),IF(AND($AB2="",$AC2=""),"CHANNEL SET BUT NO SITA/AFTN ADDRESS","OK")))</f>
        <v>NO SENDING ADDRESS - ADD messaging_to_emails</v>
      </c>
      <c r="AG2" t="str">
        <f>IF($A2="","",IF(TRIM($B2)="","BLOCKED - OPERATOR NAME REQUIRED",IF(UPPER($T2)="INACTIVE","BLOCKED - INACTIVE","ASSIGNABLE")))</f>
        <v>ASSIGNABLE</v>
      </c>
    </row>
    <row r="3" spans="1:33" x14ac:dyDescent="0.3">
      <c r="A3" t="s">
        <v>3870</v>
      </c>
      <c r="T3" t="s">
        <v>3830</v>
      </c>
      <c r="V3" t="s">
        <v>4624</v>
      </c>
      <c r="W3">
        <f>IF($A3="","",COUNTIF(Aircraft!$N:$N,$A3))</f>
        <v>1</v>
      </c>
      <c r="X3" t="str">
        <f t="shared" ref="X3:X66" si="0">IF($A3="","",IF($B3="","NAME REQUIRED",IF($W3=0,"NO AIRCRAFT LINKED","OK")))</f>
        <v>NAME REQUIRED</v>
      </c>
      <c r="Y3" t="str">
        <f t="shared" ref="Y3:Y66" si="1">IF($A3="","","EMAIL (SMTP)")</f>
        <v>EMAIL (SMTP)</v>
      </c>
      <c r="Z3" t="str">
        <f t="shared" ref="Z3:Z66" si="2">IF($A3="","",IF($N3&lt;&gt;"",$N3,IF($L3&lt;&gt;"",$L3,"")))</f>
        <v/>
      </c>
      <c r="AA3" t="str">
        <f t="shared" ref="AA3:AA66" si="3">IF($A3="","",IF($O3&lt;&gt;"",$O3,""))</f>
        <v/>
      </c>
      <c r="AD3" t="str">
        <f t="shared" ref="AD3:AD66" si="4">IF($A3="","","PLAIN TEXT UPPERCASE")</f>
        <v>PLAIN TEXT UPPERCASE</v>
      </c>
      <c r="AE3" t="str">
        <f t="shared" ref="AE3:AE66" si="5">IF($A3="","","JTL TRIP SUPPORT")</f>
        <v>JTL TRIP SUPPORT</v>
      </c>
      <c r="AF3" t="str">
        <f t="shared" ref="AF3:AF66" si="6">IF($A3="","",IF($Y3="EMAIL (SMTP)",IF($Z3="","NO SENDING ADDRESS - ADD messaging_to_emails","OK"),IF(AND($AB3="",$AC3=""),"CHANNEL SET BUT NO SITA/AFTN ADDRESS","OK")))</f>
        <v>NO SENDING ADDRESS - ADD messaging_to_emails</v>
      </c>
      <c r="AG3" t="str">
        <f t="shared" ref="AG3:AG66" si="7">IF($A3="","",IF(TRIM($B3)="","BLOCKED - OPERATOR NAME REQUIRED",IF(UPPER($T3)="INACTIVE","BLOCKED - INACTIVE","ASSIGNABLE")))</f>
        <v>BLOCKED - OPERATOR NAME REQUIRED</v>
      </c>
    </row>
    <row r="4" spans="1:33" x14ac:dyDescent="0.3">
      <c r="A4" t="s">
        <v>3876</v>
      </c>
      <c r="T4" t="s">
        <v>3830</v>
      </c>
      <c r="V4" t="s">
        <v>4624</v>
      </c>
      <c r="W4">
        <f>IF($A4="","",COUNTIF(Aircraft!$N:$N,$A4))</f>
        <v>5</v>
      </c>
      <c r="X4" t="str">
        <f t="shared" si="0"/>
        <v>NAME REQUIRED</v>
      </c>
      <c r="Y4" t="str">
        <f t="shared" si="1"/>
        <v>EMAIL (SMTP)</v>
      </c>
      <c r="Z4" t="str">
        <f t="shared" si="2"/>
        <v/>
      </c>
      <c r="AA4" t="str">
        <f t="shared" si="3"/>
        <v/>
      </c>
      <c r="AD4" t="str">
        <f t="shared" si="4"/>
        <v>PLAIN TEXT UPPERCASE</v>
      </c>
      <c r="AE4" t="str">
        <f t="shared" si="5"/>
        <v>JTL TRIP SUPPORT</v>
      </c>
      <c r="AF4" t="str">
        <f t="shared" si="6"/>
        <v>NO SENDING ADDRESS - ADD messaging_to_emails</v>
      </c>
      <c r="AG4" t="str">
        <f t="shared" si="7"/>
        <v>BLOCKED - OPERATOR NAME REQUIRED</v>
      </c>
    </row>
    <row r="5" spans="1:33" x14ac:dyDescent="0.3">
      <c r="A5" t="s">
        <v>3865</v>
      </c>
      <c r="T5" t="s">
        <v>3830</v>
      </c>
      <c r="V5" t="s">
        <v>4624</v>
      </c>
      <c r="W5">
        <f>IF($A5="","",COUNTIF(Aircraft!$N:$N,$A5))</f>
        <v>2</v>
      </c>
      <c r="X5" t="str">
        <f t="shared" si="0"/>
        <v>NAME REQUIRED</v>
      </c>
      <c r="Y5" t="str">
        <f t="shared" si="1"/>
        <v>EMAIL (SMTP)</v>
      </c>
      <c r="Z5" t="str">
        <f t="shared" si="2"/>
        <v/>
      </c>
      <c r="AA5" t="str">
        <f t="shared" si="3"/>
        <v/>
      </c>
      <c r="AD5" t="str">
        <f t="shared" si="4"/>
        <v>PLAIN TEXT UPPERCASE</v>
      </c>
      <c r="AE5" t="str">
        <f t="shared" si="5"/>
        <v>JTL TRIP SUPPORT</v>
      </c>
      <c r="AF5" t="str">
        <f t="shared" si="6"/>
        <v>NO SENDING ADDRESS - ADD messaging_to_emails</v>
      </c>
      <c r="AG5" t="str">
        <f t="shared" si="7"/>
        <v>BLOCKED - OPERATOR NAME REQUIRED</v>
      </c>
    </row>
    <row r="6" spans="1:33" x14ac:dyDescent="0.3">
      <c r="A6" t="s">
        <v>3857</v>
      </c>
      <c r="T6" t="s">
        <v>3830</v>
      </c>
      <c r="V6" t="s">
        <v>4624</v>
      </c>
      <c r="W6">
        <f>IF($A6="","",COUNTIF(Aircraft!$N:$N,$A6))</f>
        <v>4</v>
      </c>
      <c r="X6" t="str">
        <f t="shared" si="0"/>
        <v>NAME REQUIRED</v>
      </c>
      <c r="Y6" t="str">
        <f t="shared" si="1"/>
        <v>EMAIL (SMTP)</v>
      </c>
      <c r="Z6" t="str">
        <f t="shared" si="2"/>
        <v/>
      </c>
      <c r="AA6" t="str">
        <f t="shared" si="3"/>
        <v/>
      </c>
      <c r="AD6" t="str">
        <f t="shared" si="4"/>
        <v>PLAIN TEXT UPPERCASE</v>
      </c>
      <c r="AE6" t="str">
        <f t="shared" si="5"/>
        <v>JTL TRIP SUPPORT</v>
      </c>
      <c r="AF6" t="str">
        <f t="shared" si="6"/>
        <v>NO SENDING ADDRESS - ADD messaging_to_emails</v>
      </c>
      <c r="AG6" t="str">
        <f t="shared" si="7"/>
        <v>BLOCKED - OPERATOR NAME REQUIRED</v>
      </c>
    </row>
    <row r="7" spans="1:33" x14ac:dyDescent="0.3">
      <c r="A7" t="s">
        <v>3944</v>
      </c>
      <c r="T7" t="s">
        <v>3830</v>
      </c>
      <c r="V7" t="s">
        <v>4624</v>
      </c>
      <c r="W7">
        <f>IF($A7="","",COUNTIF(Aircraft!$N:$N,$A7))</f>
        <v>5</v>
      </c>
      <c r="X7" t="str">
        <f t="shared" si="0"/>
        <v>NAME REQUIRED</v>
      </c>
      <c r="Y7" t="str">
        <f t="shared" si="1"/>
        <v>EMAIL (SMTP)</v>
      </c>
      <c r="Z7" t="str">
        <f t="shared" si="2"/>
        <v/>
      </c>
      <c r="AA7" t="str">
        <f t="shared" si="3"/>
        <v/>
      </c>
      <c r="AD7" t="str">
        <f t="shared" si="4"/>
        <v>PLAIN TEXT UPPERCASE</v>
      </c>
      <c r="AE7" t="str">
        <f t="shared" si="5"/>
        <v>JTL TRIP SUPPORT</v>
      </c>
      <c r="AF7" t="str">
        <f t="shared" si="6"/>
        <v>NO SENDING ADDRESS - ADD messaging_to_emails</v>
      </c>
      <c r="AG7" t="str">
        <f t="shared" si="7"/>
        <v>BLOCKED - OPERATOR NAME REQUIRED</v>
      </c>
    </row>
    <row r="8" spans="1:33" x14ac:dyDescent="0.3">
      <c r="A8" t="s">
        <v>3931</v>
      </c>
      <c r="T8" t="s">
        <v>3830</v>
      </c>
      <c r="V8" t="s">
        <v>4624</v>
      </c>
      <c r="W8">
        <f>IF($A8="","",COUNTIF(Aircraft!$N:$N,$A8))</f>
        <v>2</v>
      </c>
      <c r="X8" t="str">
        <f t="shared" si="0"/>
        <v>NAME REQUIRED</v>
      </c>
      <c r="Y8" t="str">
        <f t="shared" si="1"/>
        <v>EMAIL (SMTP)</v>
      </c>
      <c r="Z8" t="str">
        <f t="shared" si="2"/>
        <v/>
      </c>
      <c r="AA8" t="str">
        <f t="shared" si="3"/>
        <v/>
      </c>
      <c r="AD8" t="str">
        <f t="shared" si="4"/>
        <v>PLAIN TEXT UPPERCASE</v>
      </c>
      <c r="AE8" t="str">
        <f t="shared" si="5"/>
        <v>JTL TRIP SUPPORT</v>
      </c>
      <c r="AF8" t="str">
        <f t="shared" si="6"/>
        <v>NO SENDING ADDRESS - ADD messaging_to_emails</v>
      </c>
      <c r="AG8" t="str">
        <f t="shared" si="7"/>
        <v>BLOCKED - OPERATOR NAME REQUIRED</v>
      </c>
    </row>
    <row r="9" spans="1:33" x14ac:dyDescent="0.3">
      <c r="A9" t="s">
        <v>3935</v>
      </c>
      <c r="T9" t="s">
        <v>3830</v>
      </c>
      <c r="V9" t="s">
        <v>4624</v>
      </c>
      <c r="W9">
        <f>IF($A9="","",COUNTIF(Aircraft!$N:$N,$A9))</f>
        <v>4</v>
      </c>
      <c r="X9" t="str">
        <f t="shared" si="0"/>
        <v>NAME REQUIRED</v>
      </c>
      <c r="Y9" t="str">
        <f t="shared" si="1"/>
        <v>EMAIL (SMTP)</v>
      </c>
      <c r="Z9" t="str">
        <f t="shared" si="2"/>
        <v/>
      </c>
      <c r="AA9" t="str">
        <f t="shared" si="3"/>
        <v/>
      </c>
      <c r="AD9" t="str">
        <f t="shared" si="4"/>
        <v>PLAIN TEXT UPPERCASE</v>
      </c>
      <c r="AE9" t="str">
        <f t="shared" si="5"/>
        <v>JTL TRIP SUPPORT</v>
      </c>
      <c r="AF9" t="str">
        <f t="shared" si="6"/>
        <v>NO SENDING ADDRESS - ADD messaging_to_emails</v>
      </c>
      <c r="AG9" t="str">
        <f t="shared" si="7"/>
        <v>BLOCKED - OPERATOR NAME REQUIRED</v>
      </c>
    </row>
    <row r="10" spans="1:33" x14ac:dyDescent="0.3">
      <c r="A10" t="s">
        <v>4010</v>
      </c>
      <c r="T10" t="s">
        <v>3830</v>
      </c>
      <c r="V10" t="s">
        <v>4624</v>
      </c>
      <c r="W10">
        <f>IF($A10="","",COUNTIF(Aircraft!$N:$N,$A10))</f>
        <v>8</v>
      </c>
      <c r="X10" t="str">
        <f t="shared" si="0"/>
        <v>NAME REQUIRED</v>
      </c>
      <c r="Y10" t="str">
        <f t="shared" si="1"/>
        <v>EMAIL (SMTP)</v>
      </c>
      <c r="Z10" t="str">
        <f t="shared" si="2"/>
        <v/>
      </c>
      <c r="AA10" t="str">
        <f t="shared" si="3"/>
        <v/>
      </c>
      <c r="AD10" t="str">
        <f t="shared" si="4"/>
        <v>PLAIN TEXT UPPERCASE</v>
      </c>
      <c r="AE10" t="str">
        <f t="shared" si="5"/>
        <v>JTL TRIP SUPPORT</v>
      </c>
      <c r="AF10" t="str">
        <f t="shared" si="6"/>
        <v>NO SENDING ADDRESS - ADD messaging_to_emails</v>
      </c>
      <c r="AG10" t="str">
        <f t="shared" si="7"/>
        <v>BLOCKED - OPERATOR NAME REQUIRED</v>
      </c>
    </row>
    <row r="11" spans="1:33" x14ac:dyDescent="0.3">
      <c r="A11" t="s">
        <v>3927</v>
      </c>
      <c r="T11" t="s">
        <v>3830</v>
      </c>
      <c r="V11" t="s">
        <v>4624</v>
      </c>
      <c r="W11">
        <f>IF($A11="","",COUNTIF(Aircraft!$N:$N,$A11))</f>
        <v>3</v>
      </c>
      <c r="X11" t="str">
        <f t="shared" si="0"/>
        <v>NAME REQUIRED</v>
      </c>
      <c r="Y11" t="str">
        <f t="shared" si="1"/>
        <v>EMAIL (SMTP)</v>
      </c>
      <c r="Z11" t="str">
        <f t="shared" si="2"/>
        <v/>
      </c>
      <c r="AA11" t="str">
        <f t="shared" si="3"/>
        <v/>
      </c>
      <c r="AD11" t="str">
        <f t="shared" si="4"/>
        <v>PLAIN TEXT UPPERCASE</v>
      </c>
      <c r="AE11" t="str">
        <f t="shared" si="5"/>
        <v>JTL TRIP SUPPORT</v>
      </c>
      <c r="AF11" t="str">
        <f t="shared" si="6"/>
        <v>NO SENDING ADDRESS - ADD messaging_to_emails</v>
      </c>
      <c r="AG11" t="str">
        <f t="shared" si="7"/>
        <v>BLOCKED - OPERATOR NAME REQUIRED</v>
      </c>
    </row>
    <row r="12" spans="1:33" x14ac:dyDescent="0.3">
      <c r="A12" t="s">
        <v>3971</v>
      </c>
      <c r="T12" t="s">
        <v>3830</v>
      </c>
      <c r="V12" t="s">
        <v>4624</v>
      </c>
      <c r="W12">
        <f>IF($A12="","",COUNTIF(Aircraft!$N:$N,$A12))</f>
        <v>5</v>
      </c>
      <c r="X12" t="str">
        <f t="shared" si="0"/>
        <v>NAME REQUIRED</v>
      </c>
      <c r="Y12" t="str">
        <f t="shared" si="1"/>
        <v>EMAIL (SMTP)</v>
      </c>
      <c r="Z12" t="str">
        <f t="shared" si="2"/>
        <v/>
      </c>
      <c r="AA12" t="str">
        <f t="shared" si="3"/>
        <v/>
      </c>
      <c r="AD12" t="str">
        <f t="shared" si="4"/>
        <v>PLAIN TEXT UPPERCASE</v>
      </c>
      <c r="AE12" t="str">
        <f t="shared" si="5"/>
        <v>JTL TRIP SUPPORT</v>
      </c>
      <c r="AF12" t="str">
        <f t="shared" si="6"/>
        <v>NO SENDING ADDRESS - ADD messaging_to_emails</v>
      </c>
      <c r="AG12" t="str">
        <f t="shared" si="7"/>
        <v>BLOCKED - OPERATOR NAME REQUIRED</v>
      </c>
    </row>
    <row r="13" spans="1:33" x14ac:dyDescent="0.3">
      <c r="A13" t="s">
        <v>4134</v>
      </c>
      <c r="T13" t="s">
        <v>3830</v>
      </c>
      <c r="V13" t="s">
        <v>4624</v>
      </c>
      <c r="W13">
        <f>IF($A13="","",COUNTIF(Aircraft!$N:$N,$A13))</f>
        <v>5</v>
      </c>
      <c r="X13" t="str">
        <f t="shared" si="0"/>
        <v>NAME REQUIRED</v>
      </c>
      <c r="Y13" t="str">
        <f t="shared" si="1"/>
        <v>EMAIL (SMTP)</v>
      </c>
      <c r="Z13" t="str">
        <f t="shared" si="2"/>
        <v/>
      </c>
      <c r="AA13" t="str">
        <f t="shared" si="3"/>
        <v/>
      </c>
      <c r="AD13" t="str">
        <f t="shared" si="4"/>
        <v>PLAIN TEXT UPPERCASE</v>
      </c>
      <c r="AE13" t="str">
        <f t="shared" si="5"/>
        <v>JTL TRIP SUPPORT</v>
      </c>
      <c r="AF13" t="str">
        <f t="shared" si="6"/>
        <v>NO SENDING ADDRESS - ADD messaging_to_emails</v>
      </c>
      <c r="AG13" t="str">
        <f t="shared" si="7"/>
        <v>BLOCKED - OPERATOR NAME REQUIRED</v>
      </c>
    </row>
    <row r="14" spans="1:33" x14ac:dyDescent="0.3">
      <c r="A14" t="s">
        <v>4129</v>
      </c>
      <c r="T14" t="s">
        <v>3830</v>
      </c>
      <c r="V14" t="s">
        <v>4624</v>
      </c>
      <c r="W14">
        <f>IF($A14="","",COUNTIF(Aircraft!$N:$N,$A14))</f>
        <v>2</v>
      </c>
      <c r="X14" t="str">
        <f t="shared" si="0"/>
        <v>NAME REQUIRED</v>
      </c>
      <c r="Y14" t="str">
        <f t="shared" si="1"/>
        <v>EMAIL (SMTP)</v>
      </c>
      <c r="Z14" t="str">
        <f t="shared" si="2"/>
        <v/>
      </c>
      <c r="AA14" t="str">
        <f t="shared" si="3"/>
        <v/>
      </c>
      <c r="AD14" t="str">
        <f t="shared" si="4"/>
        <v>PLAIN TEXT UPPERCASE</v>
      </c>
      <c r="AE14" t="str">
        <f t="shared" si="5"/>
        <v>JTL TRIP SUPPORT</v>
      </c>
      <c r="AF14" t="str">
        <f t="shared" si="6"/>
        <v>NO SENDING ADDRESS - ADD messaging_to_emails</v>
      </c>
      <c r="AG14" t="str">
        <f t="shared" si="7"/>
        <v>BLOCKED - OPERATOR NAME REQUIRED</v>
      </c>
    </row>
    <row r="15" spans="1:33" x14ac:dyDescent="0.3">
      <c r="A15" t="s">
        <v>4132</v>
      </c>
      <c r="T15" t="s">
        <v>3830</v>
      </c>
      <c r="V15" t="s">
        <v>4624</v>
      </c>
      <c r="W15">
        <f>IF($A15="","",COUNTIF(Aircraft!$N:$N,$A15))</f>
        <v>4</v>
      </c>
      <c r="X15" t="str">
        <f t="shared" si="0"/>
        <v>NAME REQUIRED</v>
      </c>
      <c r="Y15" t="str">
        <f t="shared" si="1"/>
        <v>EMAIL (SMTP)</v>
      </c>
      <c r="Z15" t="str">
        <f t="shared" si="2"/>
        <v/>
      </c>
      <c r="AA15" t="str">
        <f t="shared" si="3"/>
        <v/>
      </c>
      <c r="AD15" t="str">
        <f t="shared" si="4"/>
        <v>PLAIN TEXT UPPERCASE</v>
      </c>
      <c r="AE15" t="str">
        <f t="shared" si="5"/>
        <v>JTL TRIP SUPPORT</v>
      </c>
      <c r="AF15" t="str">
        <f t="shared" si="6"/>
        <v>NO SENDING ADDRESS - ADD messaging_to_emails</v>
      </c>
      <c r="AG15" t="str">
        <f t="shared" si="7"/>
        <v>BLOCKED - OPERATOR NAME REQUIRED</v>
      </c>
    </row>
    <row r="16" spans="1:33" x14ac:dyDescent="0.3">
      <c r="A16" t="s">
        <v>4138</v>
      </c>
      <c r="T16" t="s">
        <v>3830</v>
      </c>
      <c r="V16" t="s">
        <v>4624</v>
      </c>
      <c r="W16">
        <f>IF($A16="","",COUNTIF(Aircraft!$N:$N,$A16))</f>
        <v>1</v>
      </c>
      <c r="X16" t="str">
        <f t="shared" si="0"/>
        <v>NAME REQUIRED</v>
      </c>
      <c r="Y16" t="str">
        <f t="shared" si="1"/>
        <v>EMAIL (SMTP)</v>
      </c>
      <c r="Z16" t="str">
        <f t="shared" si="2"/>
        <v/>
      </c>
      <c r="AA16" t="str">
        <f t="shared" si="3"/>
        <v/>
      </c>
      <c r="AD16" t="str">
        <f t="shared" si="4"/>
        <v>PLAIN TEXT UPPERCASE</v>
      </c>
      <c r="AE16" t="str">
        <f t="shared" si="5"/>
        <v>JTL TRIP SUPPORT</v>
      </c>
      <c r="AF16" t="str">
        <f t="shared" si="6"/>
        <v>NO SENDING ADDRESS - ADD messaging_to_emails</v>
      </c>
      <c r="AG16" t="str">
        <f t="shared" si="7"/>
        <v>BLOCKED - OPERATOR NAME REQUIRED</v>
      </c>
    </row>
    <row r="17" spans="1:33" x14ac:dyDescent="0.3">
      <c r="A17" t="s">
        <v>3920</v>
      </c>
      <c r="T17" t="s">
        <v>3830</v>
      </c>
      <c r="V17" t="s">
        <v>4624</v>
      </c>
      <c r="W17">
        <f>IF($A17="","",COUNTIF(Aircraft!$N:$N,$A17))</f>
        <v>3</v>
      </c>
      <c r="X17" t="str">
        <f t="shared" si="0"/>
        <v>NAME REQUIRED</v>
      </c>
      <c r="Y17" t="str">
        <f t="shared" si="1"/>
        <v>EMAIL (SMTP)</v>
      </c>
      <c r="Z17" t="str">
        <f t="shared" si="2"/>
        <v/>
      </c>
      <c r="AA17" t="str">
        <f t="shared" si="3"/>
        <v/>
      </c>
      <c r="AD17" t="str">
        <f t="shared" si="4"/>
        <v>PLAIN TEXT UPPERCASE</v>
      </c>
      <c r="AE17" t="str">
        <f t="shared" si="5"/>
        <v>JTL TRIP SUPPORT</v>
      </c>
      <c r="AF17" t="str">
        <f t="shared" si="6"/>
        <v>NO SENDING ADDRESS - ADD messaging_to_emails</v>
      </c>
      <c r="AG17" t="str">
        <f t="shared" si="7"/>
        <v>BLOCKED - OPERATOR NAME REQUIRED</v>
      </c>
    </row>
    <row r="18" spans="1:33" x14ac:dyDescent="0.3">
      <c r="A18" t="s">
        <v>3913</v>
      </c>
      <c r="T18" t="s">
        <v>3830</v>
      </c>
      <c r="V18" t="s">
        <v>4624</v>
      </c>
      <c r="W18">
        <f>IF($A18="","",COUNTIF(Aircraft!$N:$N,$A18))</f>
        <v>2</v>
      </c>
      <c r="X18" t="str">
        <f t="shared" si="0"/>
        <v>NAME REQUIRED</v>
      </c>
      <c r="Y18" t="str">
        <f t="shared" si="1"/>
        <v>EMAIL (SMTP)</v>
      </c>
      <c r="Z18" t="str">
        <f t="shared" si="2"/>
        <v/>
      </c>
      <c r="AA18" t="str">
        <f t="shared" si="3"/>
        <v/>
      </c>
      <c r="AD18" t="str">
        <f t="shared" si="4"/>
        <v>PLAIN TEXT UPPERCASE</v>
      </c>
      <c r="AE18" t="str">
        <f t="shared" si="5"/>
        <v>JTL TRIP SUPPORT</v>
      </c>
      <c r="AF18" t="str">
        <f t="shared" si="6"/>
        <v>NO SENDING ADDRESS - ADD messaging_to_emails</v>
      </c>
      <c r="AG18" t="str">
        <f t="shared" si="7"/>
        <v>BLOCKED - OPERATOR NAME REQUIRED</v>
      </c>
    </row>
    <row r="19" spans="1:33" x14ac:dyDescent="0.3">
      <c r="A19" t="s">
        <v>3965</v>
      </c>
      <c r="T19" t="s">
        <v>3830</v>
      </c>
      <c r="V19" t="s">
        <v>4624</v>
      </c>
      <c r="W19">
        <f>IF($A19="","",COUNTIF(Aircraft!$N:$N,$A19))</f>
        <v>3</v>
      </c>
      <c r="X19" t="str">
        <f t="shared" si="0"/>
        <v>NAME REQUIRED</v>
      </c>
      <c r="Y19" t="str">
        <f t="shared" si="1"/>
        <v>EMAIL (SMTP)</v>
      </c>
      <c r="Z19" t="str">
        <f t="shared" si="2"/>
        <v/>
      </c>
      <c r="AA19" t="str">
        <f t="shared" si="3"/>
        <v/>
      </c>
      <c r="AD19" t="str">
        <f t="shared" si="4"/>
        <v>PLAIN TEXT UPPERCASE</v>
      </c>
      <c r="AE19" t="str">
        <f t="shared" si="5"/>
        <v>JTL TRIP SUPPORT</v>
      </c>
      <c r="AF19" t="str">
        <f t="shared" si="6"/>
        <v>NO SENDING ADDRESS - ADD messaging_to_emails</v>
      </c>
      <c r="AG19" t="str">
        <f t="shared" si="7"/>
        <v>BLOCKED - OPERATOR NAME REQUIRED</v>
      </c>
    </row>
    <row r="20" spans="1:33" x14ac:dyDescent="0.3">
      <c r="A20" t="s">
        <v>4001</v>
      </c>
      <c r="T20" t="s">
        <v>3830</v>
      </c>
      <c r="V20" t="s">
        <v>4624</v>
      </c>
      <c r="W20">
        <f>IF($A20="","",COUNTIF(Aircraft!$N:$N,$A20))</f>
        <v>3</v>
      </c>
      <c r="X20" t="str">
        <f t="shared" si="0"/>
        <v>NAME REQUIRED</v>
      </c>
      <c r="Y20" t="str">
        <f t="shared" si="1"/>
        <v>EMAIL (SMTP)</v>
      </c>
      <c r="Z20" t="str">
        <f t="shared" si="2"/>
        <v/>
      </c>
      <c r="AA20" t="str">
        <f t="shared" si="3"/>
        <v/>
      </c>
      <c r="AD20" t="str">
        <f t="shared" si="4"/>
        <v>PLAIN TEXT UPPERCASE</v>
      </c>
      <c r="AE20" t="str">
        <f t="shared" si="5"/>
        <v>JTL TRIP SUPPORT</v>
      </c>
      <c r="AF20" t="str">
        <f t="shared" si="6"/>
        <v>NO SENDING ADDRESS - ADD messaging_to_emails</v>
      </c>
      <c r="AG20" t="str">
        <f t="shared" si="7"/>
        <v>BLOCKED - OPERATOR NAME REQUIRED</v>
      </c>
    </row>
    <row r="21" spans="1:33" x14ac:dyDescent="0.3">
      <c r="A21" t="s">
        <v>4003</v>
      </c>
      <c r="T21" t="s">
        <v>3830</v>
      </c>
      <c r="V21" t="s">
        <v>4624</v>
      </c>
      <c r="W21">
        <f>IF($A21="","",COUNTIF(Aircraft!$N:$N,$A21))</f>
        <v>1</v>
      </c>
      <c r="X21" t="str">
        <f t="shared" si="0"/>
        <v>NAME REQUIRED</v>
      </c>
      <c r="Y21" t="str">
        <f t="shared" si="1"/>
        <v>EMAIL (SMTP)</v>
      </c>
      <c r="Z21" t="str">
        <f t="shared" si="2"/>
        <v/>
      </c>
      <c r="AA21" t="str">
        <f t="shared" si="3"/>
        <v/>
      </c>
      <c r="AD21" t="str">
        <f t="shared" si="4"/>
        <v>PLAIN TEXT UPPERCASE</v>
      </c>
      <c r="AE21" t="str">
        <f t="shared" si="5"/>
        <v>JTL TRIP SUPPORT</v>
      </c>
      <c r="AF21" t="str">
        <f t="shared" si="6"/>
        <v>NO SENDING ADDRESS - ADD messaging_to_emails</v>
      </c>
      <c r="AG21" t="str">
        <f t="shared" si="7"/>
        <v>BLOCKED - OPERATOR NAME REQUIRED</v>
      </c>
    </row>
    <row r="22" spans="1:33" x14ac:dyDescent="0.3">
      <c r="A22" t="s">
        <v>4123</v>
      </c>
      <c r="T22" t="s">
        <v>3830</v>
      </c>
      <c r="V22" t="s">
        <v>4624</v>
      </c>
      <c r="W22">
        <f>IF($A22="","",COUNTIF(Aircraft!$N:$N,$A22))</f>
        <v>5</v>
      </c>
      <c r="X22" t="str">
        <f t="shared" si="0"/>
        <v>NAME REQUIRED</v>
      </c>
      <c r="Y22" t="str">
        <f t="shared" si="1"/>
        <v>EMAIL (SMTP)</v>
      </c>
      <c r="Z22" t="str">
        <f t="shared" si="2"/>
        <v/>
      </c>
      <c r="AA22" t="str">
        <f t="shared" si="3"/>
        <v/>
      </c>
      <c r="AD22" t="str">
        <f t="shared" si="4"/>
        <v>PLAIN TEXT UPPERCASE</v>
      </c>
      <c r="AE22" t="str">
        <f t="shared" si="5"/>
        <v>JTL TRIP SUPPORT</v>
      </c>
      <c r="AF22" t="str">
        <f t="shared" si="6"/>
        <v>NO SENDING ADDRESS - ADD messaging_to_emails</v>
      </c>
      <c r="AG22" t="str">
        <f t="shared" si="7"/>
        <v>BLOCKED - OPERATOR NAME REQUIRED</v>
      </c>
    </row>
    <row r="23" spans="1:33" x14ac:dyDescent="0.3">
      <c r="A23" t="s">
        <v>4071</v>
      </c>
      <c r="T23" t="s">
        <v>3830</v>
      </c>
      <c r="V23" t="s">
        <v>4624</v>
      </c>
      <c r="W23">
        <f>IF($A23="","",COUNTIF(Aircraft!$N:$N,$A23))</f>
        <v>2</v>
      </c>
      <c r="X23" t="str">
        <f t="shared" si="0"/>
        <v>NAME REQUIRED</v>
      </c>
      <c r="Y23" t="str">
        <f t="shared" si="1"/>
        <v>EMAIL (SMTP)</v>
      </c>
      <c r="Z23" t="str">
        <f t="shared" si="2"/>
        <v/>
      </c>
      <c r="AA23" t="str">
        <f t="shared" si="3"/>
        <v/>
      </c>
      <c r="AD23" t="str">
        <f t="shared" si="4"/>
        <v>PLAIN TEXT UPPERCASE</v>
      </c>
      <c r="AE23" t="str">
        <f t="shared" si="5"/>
        <v>JTL TRIP SUPPORT</v>
      </c>
      <c r="AF23" t="str">
        <f t="shared" si="6"/>
        <v>NO SENDING ADDRESS - ADD messaging_to_emails</v>
      </c>
      <c r="AG23" t="str">
        <f t="shared" si="7"/>
        <v>BLOCKED - OPERATOR NAME REQUIRED</v>
      </c>
    </row>
    <row r="24" spans="1:33" x14ac:dyDescent="0.3">
      <c r="A24" t="s">
        <v>4075</v>
      </c>
      <c r="T24" t="s">
        <v>3830</v>
      </c>
      <c r="V24" t="s">
        <v>4624</v>
      </c>
      <c r="W24">
        <f>IF($A24="","",COUNTIF(Aircraft!$N:$N,$A24))</f>
        <v>2</v>
      </c>
      <c r="X24" t="str">
        <f t="shared" si="0"/>
        <v>NAME REQUIRED</v>
      </c>
      <c r="Y24" t="str">
        <f t="shared" si="1"/>
        <v>EMAIL (SMTP)</v>
      </c>
      <c r="Z24" t="str">
        <f t="shared" si="2"/>
        <v/>
      </c>
      <c r="AA24" t="str">
        <f t="shared" si="3"/>
        <v/>
      </c>
      <c r="AD24" t="str">
        <f t="shared" si="4"/>
        <v>PLAIN TEXT UPPERCASE</v>
      </c>
      <c r="AE24" t="str">
        <f t="shared" si="5"/>
        <v>JTL TRIP SUPPORT</v>
      </c>
      <c r="AF24" t="str">
        <f t="shared" si="6"/>
        <v>NO SENDING ADDRESS - ADD messaging_to_emails</v>
      </c>
      <c r="AG24" t="str">
        <f t="shared" si="7"/>
        <v>BLOCKED - OPERATOR NAME REQUIRED</v>
      </c>
    </row>
    <row r="25" spans="1:33" x14ac:dyDescent="0.3">
      <c r="A25" t="s">
        <v>4113</v>
      </c>
      <c r="T25" t="s">
        <v>3830</v>
      </c>
      <c r="V25" t="s">
        <v>4624</v>
      </c>
      <c r="W25">
        <f>IF($A25="","",COUNTIF(Aircraft!$N:$N,$A25))</f>
        <v>1</v>
      </c>
      <c r="X25" t="str">
        <f t="shared" si="0"/>
        <v>NAME REQUIRED</v>
      </c>
      <c r="Y25" t="str">
        <f t="shared" si="1"/>
        <v>EMAIL (SMTP)</v>
      </c>
      <c r="Z25" t="str">
        <f t="shared" si="2"/>
        <v/>
      </c>
      <c r="AA25" t="str">
        <f t="shared" si="3"/>
        <v/>
      </c>
      <c r="AD25" t="str">
        <f t="shared" si="4"/>
        <v>PLAIN TEXT UPPERCASE</v>
      </c>
      <c r="AE25" t="str">
        <f t="shared" si="5"/>
        <v>JTL TRIP SUPPORT</v>
      </c>
      <c r="AF25" t="str">
        <f t="shared" si="6"/>
        <v>NO SENDING ADDRESS - ADD messaging_to_emails</v>
      </c>
      <c r="AG25" t="str">
        <f t="shared" si="7"/>
        <v>BLOCKED - OPERATOR NAME REQUIRED</v>
      </c>
    </row>
    <row r="26" spans="1:33" x14ac:dyDescent="0.3">
      <c r="A26" t="s">
        <v>4102</v>
      </c>
      <c r="T26" t="s">
        <v>3830</v>
      </c>
      <c r="V26" t="s">
        <v>4624</v>
      </c>
      <c r="W26">
        <f>IF($A26="","",COUNTIF(Aircraft!$N:$N,$A26))</f>
        <v>1</v>
      </c>
      <c r="X26" t="str">
        <f t="shared" si="0"/>
        <v>NAME REQUIRED</v>
      </c>
      <c r="Y26" t="str">
        <f t="shared" si="1"/>
        <v>EMAIL (SMTP)</v>
      </c>
      <c r="Z26" t="str">
        <f t="shared" si="2"/>
        <v/>
      </c>
      <c r="AA26" t="str">
        <f t="shared" si="3"/>
        <v/>
      </c>
      <c r="AD26" t="str">
        <f t="shared" si="4"/>
        <v>PLAIN TEXT UPPERCASE</v>
      </c>
      <c r="AE26" t="str">
        <f t="shared" si="5"/>
        <v>JTL TRIP SUPPORT</v>
      </c>
      <c r="AF26" t="str">
        <f t="shared" si="6"/>
        <v>NO SENDING ADDRESS - ADD messaging_to_emails</v>
      </c>
      <c r="AG26" t="str">
        <f t="shared" si="7"/>
        <v>BLOCKED - OPERATOR NAME REQUIRED</v>
      </c>
    </row>
    <row r="27" spans="1:33" x14ac:dyDescent="0.3">
      <c r="A27" t="s">
        <v>4058</v>
      </c>
      <c r="T27" t="s">
        <v>3830</v>
      </c>
      <c r="V27" t="s">
        <v>4624</v>
      </c>
      <c r="W27">
        <f>IF($A27="","",COUNTIF(Aircraft!$N:$N,$A27))</f>
        <v>2</v>
      </c>
      <c r="X27" t="str">
        <f t="shared" si="0"/>
        <v>NAME REQUIRED</v>
      </c>
      <c r="Y27" t="str">
        <f t="shared" si="1"/>
        <v>EMAIL (SMTP)</v>
      </c>
      <c r="Z27" t="str">
        <f t="shared" si="2"/>
        <v/>
      </c>
      <c r="AA27" t="str">
        <f t="shared" si="3"/>
        <v/>
      </c>
      <c r="AD27" t="str">
        <f t="shared" si="4"/>
        <v>PLAIN TEXT UPPERCASE</v>
      </c>
      <c r="AE27" t="str">
        <f t="shared" si="5"/>
        <v>JTL TRIP SUPPORT</v>
      </c>
      <c r="AF27" t="str">
        <f t="shared" si="6"/>
        <v>NO SENDING ADDRESS - ADD messaging_to_emails</v>
      </c>
      <c r="AG27" t="str">
        <f t="shared" si="7"/>
        <v>BLOCKED - OPERATOR NAME REQUIRED</v>
      </c>
    </row>
    <row r="28" spans="1:33" x14ac:dyDescent="0.3">
      <c r="A28" t="s">
        <v>4048</v>
      </c>
      <c r="T28" t="s">
        <v>3830</v>
      </c>
      <c r="V28" t="s">
        <v>4624</v>
      </c>
      <c r="W28">
        <f>IF($A28="","",COUNTIF(Aircraft!$N:$N,$A28))</f>
        <v>3</v>
      </c>
      <c r="X28" t="str">
        <f t="shared" si="0"/>
        <v>NAME REQUIRED</v>
      </c>
      <c r="Y28" t="str">
        <f t="shared" si="1"/>
        <v>EMAIL (SMTP)</v>
      </c>
      <c r="Z28" t="str">
        <f t="shared" si="2"/>
        <v/>
      </c>
      <c r="AA28" t="str">
        <f t="shared" si="3"/>
        <v/>
      </c>
      <c r="AD28" t="str">
        <f t="shared" si="4"/>
        <v>PLAIN TEXT UPPERCASE</v>
      </c>
      <c r="AE28" t="str">
        <f t="shared" si="5"/>
        <v>JTL TRIP SUPPORT</v>
      </c>
      <c r="AF28" t="str">
        <f t="shared" si="6"/>
        <v>NO SENDING ADDRESS - ADD messaging_to_emails</v>
      </c>
      <c r="AG28" t="str">
        <f t="shared" si="7"/>
        <v>BLOCKED - OPERATOR NAME REQUIRED</v>
      </c>
    </row>
    <row r="29" spans="1:33" x14ac:dyDescent="0.3">
      <c r="A29" t="s">
        <v>4092</v>
      </c>
      <c r="T29" t="s">
        <v>3830</v>
      </c>
      <c r="V29" t="s">
        <v>4624</v>
      </c>
      <c r="W29">
        <f>IF($A29="","",COUNTIF(Aircraft!$N:$N,$A29))</f>
        <v>4</v>
      </c>
      <c r="X29" t="str">
        <f t="shared" si="0"/>
        <v>NAME REQUIRED</v>
      </c>
      <c r="Y29" t="str">
        <f t="shared" si="1"/>
        <v>EMAIL (SMTP)</v>
      </c>
      <c r="Z29" t="str">
        <f t="shared" si="2"/>
        <v/>
      </c>
      <c r="AA29" t="str">
        <f t="shared" si="3"/>
        <v/>
      </c>
      <c r="AD29" t="str">
        <f t="shared" si="4"/>
        <v>PLAIN TEXT UPPERCASE</v>
      </c>
      <c r="AE29" t="str">
        <f t="shared" si="5"/>
        <v>JTL TRIP SUPPORT</v>
      </c>
      <c r="AF29" t="str">
        <f t="shared" si="6"/>
        <v>NO SENDING ADDRESS - ADD messaging_to_emails</v>
      </c>
      <c r="AG29" t="str">
        <f t="shared" si="7"/>
        <v>BLOCKED - OPERATOR NAME REQUIRED</v>
      </c>
    </row>
    <row r="30" spans="1:33" x14ac:dyDescent="0.3">
      <c r="A30" t="s">
        <v>4079</v>
      </c>
      <c r="T30" t="s">
        <v>3830</v>
      </c>
      <c r="V30" t="s">
        <v>4624</v>
      </c>
      <c r="W30">
        <f>IF($A30="","",COUNTIF(Aircraft!$N:$N,$A30))</f>
        <v>2</v>
      </c>
      <c r="X30" t="str">
        <f t="shared" si="0"/>
        <v>NAME REQUIRED</v>
      </c>
      <c r="Y30" t="str">
        <f t="shared" si="1"/>
        <v>EMAIL (SMTP)</v>
      </c>
      <c r="Z30" t="str">
        <f t="shared" si="2"/>
        <v/>
      </c>
      <c r="AA30" t="str">
        <f t="shared" si="3"/>
        <v/>
      </c>
      <c r="AD30" t="str">
        <f t="shared" si="4"/>
        <v>PLAIN TEXT UPPERCASE</v>
      </c>
      <c r="AE30" t="str">
        <f t="shared" si="5"/>
        <v>JTL TRIP SUPPORT</v>
      </c>
      <c r="AF30" t="str">
        <f t="shared" si="6"/>
        <v>NO SENDING ADDRESS - ADD messaging_to_emails</v>
      </c>
      <c r="AG30" t="str">
        <f t="shared" si="7"/>
        <v>BLOCKED - OPERATOR NAME REQUIRED</v>
      </c>
    </row>
    <row r="31" spans="1:33" x14ac:dyDescent="0.3">
      <c r="A31" t="s">
        <v>4064</v>
      </c>
      <c r="T31" t="s">
        <v>3830</v>
      </c>
      <c r="V31" t="s">
        <v>4624</v>
      </c>
      <c r="W31">
        <f>IF($A31="","",COUNTIF(Aircraft!$N:$N,$A31))</f>
        <v>1</v>
      </c>
      <c r="X31" t="str">
        <f t="shared" si="0"/>
        <v>NAME REQUIRED</v>
      </c>
      <c r="Y31" t="str">
        <f t="shared" si="1"/>
        <v>EMAIL (SMTP)</v>
      </c>
      <c r="Z31" t="str">
        <f t="shared" si="2"/>
        <v/>
      </c>
      <c r="AA31" t="str">
        <f t="shared" si="3"/>
        <v/>
      </c>
      <c r="AD31" t="str">
        <f t="shared" si="4"/>
        <v>PLAIN TEXT UPPERCASE</v>
      </c>
      <c r="AE31" t="str">
        <f t="shared" si="5"/>
        <v>JTL TRIP SUPPORT</v>
      </c>
      <c r="AF31" t="str">
        <f t="shared" si="6"/>
        <v>NO SENDING ADDRESS - ADD messaging_to_emails</v>
      </c>
      <c r="AG31" t="str">
        <f t="shared" si="7"/>
        <v>BLOCKED - OPERATOR NAME REQUIRED</v>
      </c>
    </row>
    <row r="32" spans="1:33" x14ac:dyDescent="0.3">
      <c r="A32" t="s">
        <v>4086</v>
      </c>
      <c r="T32" t="s">
        <v>3830</v>
      </c>
      <c r="V32" t="s">
        <v>4624</v>
      </c>
      <c r="W32">
        <f>IF($A32="","",COUNTIF(Aircraft!$N:$N,$A32))</f>
        <v>2</v>
      </c>
      <c r="X32" t="str">
        <f t="shared" si="0"/>
        <v>NAME REQUIRED</v>
      </c>
      <c r="Y32" t="str">
        <f t="shared" si="1"/>
        <v>EMAIL (SMTP)</v>
      </c>
      <c r="Z32" t="str">
        <f t="shared" si="2"/>
        <v/>
      </c>
      <c r="AA32" t="str">
        <f t="shared" si="3"/>
        <v/>
      </c>
      <c r="AD32" t="str">
        <f t="shared" si="4"/>
        <v>PLAIN TEXT UPPERCASE</v>
      </c>
      <c r="AE32" t="str">
        <f t="shared" si="5"/>
        <v>JTL TRIP SUPPORT</v>
      </c>
      <c r="AF32" t="str">
        <f t="shared" si="6"/>
        <v>NO SENDING ADDRESS - ADD messaging_to_emails</v>
      </c>
      <c r="AG32" t="str">
        <f t="shared" si="7"/>
        <v>BLOCKED - OPERATOR NAME REQUIRED</v>
      </c>
    </row>
    <row r="33" spans="1:33" x14ac:dyDescent="0.3">
      <c r="A33" t="s">
        <v>4025</v>
      </c>
      <c r="T33" t="s">
        <v>3830</v>
      </c>
      <c r="V33" t="s">
        <v>4624</v>
      </c>
      <c r="W33">
        <f>IF($A33="","",COUNTIF(Aircraft!$N:$N,$A33))</f>
        <v>1</v>
      </c>
      <c r="X33" t="str">
        <f t="shared" si="0"/>
        <v>NAME REQUIRED</v>
      </c>
      <c r="Y33" t="str">
        <f t="shared" si="1"/>
        <v>EMAIL (SMTP)</v>
      </c>
      <c r="Z33" t="str">
        <f t="shared" si="2"/>
        <v/>
      </c>
      <c r="AA33" t="str">
        <f t="shared" si="3"/>
        <v/>
      </c>
      <c r="AD33" t="str">
        <f t="shared" si="4"/>
        <v>PLAIN TEXT UPPERCASE</v>
      </c>
      <c r="AE33" t="str">
        <f t="shared" si="5"/>
        <v>JTL TRIP SUPPORT</v>
      </c>
      <c r="AF33" t="str">
        <f t="shared" si="6"/>
        <v>NO SENDING ADDRESS - ADD messaging_to_emails</v>
      </c>
      <c r="AG33" t="str">
        <f t="shared" si="7"/>
        <v>BLOCKED - OPERATOR NAME REQUIRED</v>
      </c>
    </row>
    <row r="34" spans="1:33" x14ac:dyDescent="0.3">
      <c r="A34" t="s">
        <v>4039</v>
      </c>
      <c r="T34" t="s">
        <v>3830</v>
      </c>
      <c r="V34" t="s">
        <v>4624</v>
      </c>
      <c r="W34">
        <f>IF($A34="","",COUNTIF(Aircraft!$N:$N,$A34))</f>
        <v>1</v>
      </c>
      <c r="X34" t="str">
        <f t="shared" si="0"/>
        <v>NAME REQUIRED</v>
      </c>
      <c r="Y34" t="str">
        <f t="shared" si="1"/>
        <v>EMAIL (SMTP)</v>
      </c>
      <c r="Z34" t="str">
        <f t="shared" si="2"/>
        <v/>
      </c>
      <c r="AA34" t="str">
        <f t="shared" si="3"/>
        <v/>
      </c>
      <c r="AD34" t="str">
        <f t="shared" si="4"/>
        <v>PLAIN TEXT UPPERCASE</v>
      </c>
      <c r="AE34" t="str">
        <f t="shared" si="5"/>
        <v>JTL TRIP SUPPORT</v>
      </c>
      <c r="AF34" t="str">
        <f t="shared" si="6"/>
        <v>NO SENDING ADDRESS - ADD messaging_to_emails</v>
      </c>
      <c r="AG34" t="str">
        <f t="shared" si="7"/>
        <v>BLOCKED - OPERATOR NAME REQUIRED</v>
      </c>
    </row>
    <row r="35" spans="1:33" x14ac:dyDescent="0.3">
      <c r="A35" t="s">
        <v>4033</v>
      </c>
      <c r="T35" t="s">
        <v>3830</v>
      </c>
      <c r="V35" t="s">
        <v>4624</v>
      </c>
      <c r="W35">
        <f>IF($A35="","",COUNTIF(Aircraft!$N:$N,$A35))</f>
        <v>1</v>
      </c>
      <c r="X35" t="str">
        <f t="shared" si="0"/>
        <v>NAME REQUIRED</v>
      </c>
      <c r="Y35" t="str">
        <f t="shared" si="1"/>
        <v>EMAIL (SMTP)</v>
      </c>
      <c r="Z35" t="str">
        <f t="shared" si="2"/>
        <v/>
      </c>
      <c r="AA35" t="str">
        <f t="shared" si="3"/>
        <v/>
      </c>
      <c r="AD35" t="str">
        <f t="shared" si="4"/>
        <v>PLAIN TEXT UPPERCASE</v>
      </c>
      <c r="AE35" t="str">
        <f t="shared" si="5"/>
        <v>JTL TRIP SUPPORT</v>
      </c>
      <c r="AF35" t="str">
        <f t="shared" si="6"/>
        <v>NO SENDING ADDRESS - ADD messaging_to_emails</v>
      </c>
      <c r="AG35" t="str">
        <f t="shared" si="7"/>
        <v>BLOCKED - OPERATOR NAME REQUIRED</v>
      </c>
    </row>
    <row r="36" spans="1:33" x14ac:dyDescent="0.3">
      <c r="A36" t="s">
        <v>4027</v>
      </c>
      <c r="T36" t="s">
        <v>3830</v>
      </c>
      <c r="V36" t="s">
        <v>4624</v>
      </c>
      <c r="W36">
        <f>IF($A36="","",COUNTIF(Aircraft!$N:$N,$A36))</f>
        <v>1</v>
      </c>
      <c r="X36" t="str">
        <f t="shared" si="0"/>
        <v>NAME REQUIRED</v>
      </c>
      <c r="Y36" t="str">
        <f t="shared" si="1"/>
        <v>EMAIL (SMTP)</v>
      </c>
      <c r="Z36" t="str">
        <f t="shared" si="2"/>
        <v/>
      </c>
      <c r="AA36" t="str">
        <f t="shared" si="3"/>
        <v/>
      </c>
      <c r="AD36" t="str">
        <f t="shared" si="4"/>
        <v>PLAIN TEXT UPPERCASE</v>
      </c>
      <c r="AE36" t="str">
        <f t="shared" si="5"/>
        <v>JTL TRIP SUPPORT</v>
      </c>
      <c r="AF36" t="str">
        <f t="shared" si="6"/>
        <v>NO SENDING ADDRESS - ADD messaging_to_emails</v>
      </c>
      <c r="AG36" t="str">
        <f t="shared" si="7"/>
        <v>BLOCKED - OPERATOR NAME REQUIRED</v>
      </c>
    </row>
    <row r="37" spans="1:33" x14ac:dyDescent="0.3">
      <c r="A37" t="s">
        <v>4042</v>
      </c>
      <c r="T37" t="s">
        <v>3830</v>
      </c>
      <c r="V37" t="s">
        <v>4624</v>
      </c>
      <c r="W37">
        <f>IF($A37="","",COUNTIF(Aircraft!$N:$N,$A37))</f>
        <v>1</v>
      </c>
      <c r="X37" t="str">
        <f t="shared" si="0"/>
        <v>NAME REQUIRED</v>
      </c>
      <c r="Y37" t="str">
        <f t="shared" si="1"/>
        <v>EMAIL (SMTP)</v>
      </c>
      <c r="Z37" t="str">
        <f t="shared" si="2"/>
        <v/>
      </c>
      <c r="AA37" t="str">
        <f t="shared" si="3"/>
        <v/>
      </c>
      <c r="AD37" t="str">
        <f t="shared" si="4"/>
        <v>PLAIN TEXT UPPERCASE</v>
      </c>
      <c r="AE37" t="str">
        <f t="shared" si="5"/>
        <v>JTL TRIP SUPPORT</v>
      </c>
      <c r="AF37" t="str">
        <f t="shared" si="6"/>
        <v>NO SENDING ADDRESS - ADD messaging_to_emails</v>
      </c>
      <c r="AG37" t="str">
        <f t="shared" si="7"/>
        <v>BLOCKED - OPERATOR NAME REQUIRED</v>
      </c>
    </row>
    <row r="38" spans="1:33" x14ac:dyDescent="0.3">
      <c r="A38" t="s">
        <v>4035</v>
      </c>
      <c r="T38" t="s">
        <v>3830</v>
      </c>
      <c r="V38" t="s">
        <v>4624</v>
      </c>
      <c r="W38">
        <f>IF($A38="","",COUNTIF(Aircraft!$N:$N,$A38))</f>
        <v>1</v>
      </c>
      <c r="X38" t="str">
        <f t="shared" si="0"/>
        <v>NAME REQUIRED</v>
      </c>
      <c r="Y38" t="str">
        <f t="shared" si="1"/>
        <v>EMAIL (SMTP)</v>
      </c>
      <c r="Z38" t="str">
        <f t="shared" si="2"/>
        <v/>
      </c>
      <c r="AA38" t="str">
        <f t="shared" si="3"/>
        <v/>
      </c>
      <c r="AD38" t="str">
        <f t="shared" si="4"/>
        <v>PLAIN TEXT UPPERCASE</v>
      </c>
      <c r="AE38" t="str">
        <f t="shared" si="5"/>
        <v>JTL TRIP SUPPORT</v>
      </c>
      <c r="AF38" t="str">
        <f t="shared" si="6"/>
        <v>NO SENDING ADDRESS - ADD messaging_to_emails</v>
      </c>
      <c r="AG38" t="str">
        <f t="shared" si="7"/>
        <v>BLOCKED - OPERATOR NAME REQUIRED</v>
      </c>
    </row>
    <row r="39" spans="1:33" x14ac:dyDescent="0.3">
      <c r="A39" t="s">
        <v>3987</v>
      </c>
      <c r="T39" t="s">
        <v>3830</v>
      </c>
      <c r="V39" t="s">
        <v>4624</v>
      </c>
      <c r="W39">
        <f>IF($A39="","",COUNTIF(Aircraft!$N:$N,$A39))</f>
        <v>3</v>
      </c>
      <c r="X39" t="str">
        <f t="shared" si="0"/>
        <v>NAME REQUIRED</v>
      </c>
      <c r="Y39" t="str">
        <f t="shared" si="1"/>
        <v>EMAIL (SMTP)</v>
      </c>
      <c r="Z39" t="str">
        <f t="shared" si="2"/>
        <v/>
      </c>
      <c r="AA39" t="str">
        <f t="shared" si="3"/>
        <v/>
      </c>
      <c r="AD39" t="str">
        <f t="shared" si="4"/>
        <v>PLAIN TEXT UPPERCASE</v>
      </c>
      <c r="AE39" t="str">
        <f t="shared" si="5"/>
        <v>JTL TRIP SUPPORT</v>
      </c>
      <c r="AF39" t="str">
        <f t="shared" si="6"/>
        <v>NO SENDING ADDRESS - ADD messaging_to_emails</v>
      </c>
      <c r="AG39" t="str">
        <f t="shared" si="7"/>
        <v>BLOCKED - OPERATOR NAME REQUIRED</v>
      </c>
    </row>
    <row r="40" spans="1:33" x14ac:dyDescent="0.3">
      <c r="A40" t="s">
        <v>3995</v>
      </c>
      <c r="T40" t="s">
        <v>3830</v>
      </c>
      <c r="V40" t="s">
        <v>4624</v>
      </c>
      <c r="W40">
        <f>IF($A40="","",COUNTIF(Aircraft!$N:$N,$A40))</f>
        <v>1</v>
      </c>
      <c r="X40" t="str">
        <f t="shared" si="0"/>
        <v>NAME REQUIRED</v>
      </c>
      <c r="Y40" t="str">
        <f t="shared" si="1"/>
        <v>EMAIL (SMTP)</v>
      </c>
      <c r="Z40" t="str">
        <f t="shared" si="2"/>
        <v/>
      </c>
      <c r="AA40" t="str">
        <f t="shared" si="3"/>
        <v/>
      </c>
      <c r="AD40" t="str">
        <f t="shared" si="4"/>
        <v>PLAIN TEXT UPPERCASE</v>
      </c>
      <c r="AE40" t="str">
        <f t="shared" si="5"/>
        <v>JTL TRIP SUPPORT</v>
      </c>
      <c r="AF40" t="str">
        <f t="shared" si="6"/>
        <v>NO SENDING ADDRESS - ADD messaging_to_emails</v>
      </c>
      <c r="AG40" t="str">
        <f t="shared" si="7"/>
        <v>BLOCKED - OPERATOR NAME REQUIRED</v>
      </c>
    </row>
    <row r="41" spans="1:33" x14ac:dyDescent="0.3">
      <c r="A41" t="s">
        <v>3999</v>
      </c>
      <c r="T41" t="s">
        <v>3830</v>
      </c>
      <c r="V41" t="s">
        <v>4624</v>
      </c>
      <c r="W41">
        <f>IF($A41="","",COUNTIF(Aircraft!$N:$N,$A41))</f>
        <v>1</v>
      </c>
      <c r="X41" t="str">
        <f t="shared" si="0"/>
        <v>NAME REQUIRED</v>
      </c>
      <c r="Y41" t="str">
        <f t="shared" si="1"/>
        <v>EMAIL (SMTP)</v>
      </c>
      <c r="Z41" t="str">
        <f t="shared" si="2"/>
        <v/>
      </c>
      <c r="AA41" t="str">
        <f t="shared" si="3"/>
        <v/>
      </c>
      <c r="AD41" t="str">
        <f t="shared" si="4"/>
        <v>PLAIN TEXT UPPERCASE</v>
      </c>
      <c r="AE41" t="str">
        <f t="shared" si="5"/>
        <v>JTL TRIP SUPPORT</v>
      </c>
      <c r="AF41" t="str">
        <f t="shared" si="6"/>
        <v>NO SENDING ADDRESS - ADD messaging_to_emails</v>
      </c>
      <c r="AG41" t="str">
        <f t="shared" si="7"/>
        <v>BLOCKED - OPERATOR NAME REQUIRED</v>
      </c>
    </row>
    <row r="42" spans="1:33" x14ac:dyDescent="0.3">
      <c r="A42" t="s">
        <v>3983</v>
      </c>
      <c r="T42" t="s">
        <v>3830</v>
      </c>
      <c r="V42" t="s">
        <v>4624</v>
      </c>
      <c r="W42">
        <f>IF($A42="","",COUNTIF(Aircraft!$N:$N,$A42))</f>
        <v>1</v>
      </c>
      <c r="X42" t="str">
        <f t="shared" si="0"/>
        <v>NAME REQUIRED</v>
      </c>
      <c r="Y42" t="str">
        <f t="shared" si="1"/>
        <v>EMAIL (SMTP)</v>
      </c>
      <c r="Z42" t="str">
        <f t="shared" si="2"/>
        <v/>
      </c>
      <c r="AA42" t="str">
        <f t="shared" si="3"/>
        <v/>
      </c>
      <c r="AD42" t="str">
        <f t="shared" si="4"/>
        <v>PLAIN TEXT UPPERCASE</v>
      </c>
      <c r="AE42" t="str">
        <f t="shared" si="5"/>
        <v>JTL TRIP SUPPORT</v>
      </c>
      <c r="AF42" t="str">
        <f t="shared" si="6"/>
        <v>NO SENDING ADDRESS - ADD messaging_to_emails</v>
      </c>
      <c r="AG42" t="str">
        <f t="shared" si="7"/>
        <v>BLOCKED - OPERATOR NAME REQUIRED</v>
      </c>
    </row>
    <row r="43" spans="1:33" x14ac:dyDescent="0.3">
      <c r="A43" t="s">
        <v>3939</v>
      </c>
      <c r="T43" t="s">
        <v>3830</v>
      </c>
      <c r="V43" t="s">
        <v>4624</v>
      </c>
      <c r="W43">
        <f>IF($A43="","",COUNTIF(Aircraft!$N:$N,$A43))</f>
        <v>1</v>
      </c>
      <c r="X43" t="str">
        <f t="shared" si="0"/>
        <v>NAME REQUIRED</v>
      </c>
      <c r="Y43" t="str">
        <f t="shared" si="1"/>
        <v>EMAIL (SMTP)</v>
      </c>
      <c r="Z43" t="str">
        <f t="shared" si="2"/>
        <v/>
      </c>
      <c r="AA43" t="str">
        <f t="shared" si="3"/>
        <v/>
      </c>
      <c r="AD43" t="str">
        <f t="shared" si="4"/>
        <v>PLAIN TEXT UPPERCASE</v>
      </c>
      <c r="AE43" t="str">
        <f t="shared" si="5"/>
        <v>JTL TRIP SUPPORT</v>
      </c>
      <c r="AF43" t="str">
        <f t="shared" si="6"/>
        <v>NO SENDING ADDRESS - ADD messaging_to_emails</v>
      </c>
      <c r="AG43" t="str">
        <f t="shared" si="7"/>
        <v>BLOCKED - OPERATOR NAME REQUIRED</v>
      </c>
    </row>
    <row r="44" spans="1:33" x14ac:dyDescent="0.3">
      <c r="A44" t="s">
        <v>4015</v>
      </c>
      <c r="T44" t="s">
        <v>3830</v>
      </c>
      <c r="V44" t="s">
        <v>4624</v>
      </c>
      <c r="W44">
        <f>IF($A44="","",COUNTIF(Aircraft!$N:$N,$A44))</f>
        <v>1</v>
      </c>
      <c r="X44" t="str">
        <f t="shared" si="0"/>
        <v>NAME REQUIRED</v>
      </c>
      <c r="Y44" t="str">
        <f t="shared" si="1"/>
        <v>EMAIL (SMTP)</v>
      </c>
      <c r="Z44" t="str">
        <f t="shared" si="2"/>
        <v/>
      </c>
      <c r="AA44" t="str">
        <f t="shared" si="3"/>
        <v/>
      </c>
      <c r="AD44" t="str">
        <f t="shared" si="4"/>
        <v>PLAIN TEXT UPPERCASE</v>
      </c>
      <c r="AE44" t="str">
        <f t="shared" si="5"/>
        <v>JTL TRIP SUPPORT</v>
      </c>
      <c r="AF44" t="str">
        <f t="shared" si="6"/>
        <v>NO SENDING ADDRESS - ADD messaging_to_emails</v>
      </c>
      <c r="AG44" t="str">
        <f t="shared" si="7"/>
        <v>BLOCKED - OPERATOR NAME REQUIRED</v>
      </c>
    </row>
    <row r="45" spans="1:33" x14ac:dyDescent="0.3">
      <c r="A45" t="s">
        <v>4136</v>
      </c>
      <c r="T45" t="s">
        <v>3830</v>
      </c>
      <c r="V45" t="s">
        <v>4624</v>
      </c>
      <c r="W45">
        <f>IF($A45="","",COUNTIF(Aircraft!$N:$N,$A45))</f>
        <v>1</v>
      </c>
      <c r="X45" t="str">
        <f t="shared" si="0"/>
        <v>NAME REQUIRED</v>
      </c>
      <c r="Y45" t="str">
        <f t="shared" si="1"/>
        <v>EMAIL (SMTP)</v>
      </c>
      <c r="Z45" t="str">
        <f t="shared" si="2"/>
        <v/>
      </c>
      <c r="AA45" t="str">
        <f t="shared" si="3"/>
        <v/>
      </c>
      <c r="AD45" t="str">
        <f t="shared" si="4"/>
        <v>PLAIN TEXT UPPERCASE</v>
      </c>
      <c r="AE45" t="str">
        <f t="shared" si="5"/>
        <v>JTL TRIP SUPPORT</v>
      </c>
      <c r="AF45" t="str">
        <f t="shared" si="6"/>
        <v>NO SENDING ADDRESS - ADD messaging_to_emails</v>
      </c>
      <c r="AG45" t="str">
        <f t="shared" si="7"/>
        <v>BLOCKED - OPERATOR NAME REQUIRED</v>
      </c>
    </row>
    <row r="46" spans="1:33" x14ac:dyDescent="0.3">
      <c r="A46" t="s">
        <v>3909</v>
      </c>
      <c r="T46" t="s">
        <v>3830</v>
      </c>
      <c r="V46" t="s">
        <v>4624</v>
      </c>
      <c r="W46">
        <f>IF($A46="","",COUNTIF(Aircraft!$N:$N,$A46))</f>
        <v>1</v>
      </c>
      <c r="X46" t="str">
        <f t="shared" si="0"/>
        <v>NAME REQUIRED</v>
      </c>
      <c r="Y46" t="str">
        <f t="shared" si="1"/>
        <v>EMAIL (SMTP)</v>
      </c>
      <c r="Z46" t="str">
        <f t="shared" si="2"/>
        <v/>
      </c>
      <c r="AA46" t="str">
        <f t="shared" si="3"/>
        <v/>
      </c>
      <c r="AD46" t="str">
        <f t="shared" si="4"/>
        <v>PLAIN TEXT UPPERCASE</v>
      </c>
      <c r="AE46" t="str">
        <f t="shared" si="5"/>
        <v>JTL TRIP SUPPORT</v>
      </c>
      <c r="AF46" t="str">
        <f t="shared" si="6"/>
        <v>NO SENDING ADDRESS - ADD messaging_to_emails</v>
      </c>
      <c r="AG46" t="str">
        <f t="shared" si="7"/>
        <v>BLOCKED - OPERATOR NAME REQUIRED</v>
      </c>
    </row>
    <row r="47" spans="1:33" x14ac:dyDescent="0.3">
      <c r="A47" t="s">
        <v>6277</v>
      </c>
      <c r="B47" t="s">
        <v>6278</v>
      </c>
      <c r="T47" t="s">
        <v>3830</v>
      </c>
      <c r="V47" t="s">
        <v>6279</v>
      </c>
      <c r="W47">
        <f>IF($A47="","",COUNTIF(Aircraft!$N:$N,$A47))</f>
        <v>2</v>
      </c>
      <c r="X47" t="str">
        <f t="shared" si="0"/>
        <v>OK</v>
      </c>
      <c r="Y47" t="str">
        <f t="shared" si="1"/>
        <v>EMAIL (SMTP)</v>
      </c>
      <c r="Z47" t="str">
        <f t="shared" si="2"/>
        <v/>
      </c>
      <c r="AA47" t="str">
        <f t="shared" si="3"/>
        <v/>
      </c>
      <c r="AD47" t="str">
        <f t="shared" si="4"/>
        <v>PLAIN TEXT UPPERCASE</v>
      </c>
      <c r="AE47" t="str">
        <f t="shared" si="5"/>
        <v>JTL TRIP SUPPORT</v>
      </c>
      <c r="AF47" t="str">
        <f t="shared" si="6"/>
        <v>NO SENDING ADDRESS - ADD messaging_to_emails</v>
      </c>
      <c r="AG47" t="str">
        <f t="shared" si="7"/>
        <v>ASSIGNABLE</v>
      </c>
    </row>
    <row r="48" spans="1:33" x14ac:dyDescent="0.3">
      <c r="A48" t="s">
        <v>6280</v>
      </c>
      <c r="B48" t="s">
        <v>6281</v>
      </c>
      <c r="T48" t="s">
        <v>3830</v>
      </c>
      <c r="V48" t="s">
        <v>6279</v>
      </c>
      <c r="W48">
        <f>IF($A48="","",COUNTIF(Aircraft!$N:$N,$A48))</f>
        <v>1</v>
      </c>
      <c r="X48" t="str">
        <f t="shared" si="0"/>
        <v>OK</v>
      </c>
      <c r="Y48" t="str">
        <f t="shared" si="1"/>
        <v>EMAIL (SMTP)</v>
      </c>
      <c r="Z48" t="str">
        <f t="shared" si="2"/>
        <v/>
      </c>
      <c r="AA48" t="str">
        <f t="shared" si="3"/>
        <v/>
      </c>
      <c r="AD48" t="str">
        <f t="shared" si="4"/>
        <v>PLAIN TEXT UPPERCASE</v>
      </c>
      <c r="AE48" t="str">
        <f t="shared" si="5"/>
        <v>JTL TRIP SUPPORT</v>
      </c>
      <c r="AF48" t="str">
        <f t="shared" si="6"/>
        <v>NO SENDING ADDRESS - ADD messaging_to_emails</v>
      </c>
      <c r="AG48" t="str">
        <f t="shared" si="7"/>
        <v>ASSIGNABLE</v>
      </c>
    </row>
    <row r="49" spans="1:33" x14ac:dyDescent="0.3">
      <c r="A49" t="s">
        <v>6282</v>
      </c>
      <c r="B49" t="s">
        <v>6283</v>
      </c>
      <c r="T49" t="s">
        <v>3830</v>
      </c>
      <c r="V49" t="s">
        <v>6279</v>
      </c>
      <c r="W49">
        <f>IF($A49="","",COUNTIF(Aircraft!$N:$N,$A49))</f>
        <v>1</v>
      </c>
      <c r="X49" t="str">
        <f t="shared" si="0"/>
        <v>OK</v>
      </c>
      <c r="Y49" t="str">
        <f t="shared" si="1"/>
        <v>EMAIL (SMTP)</v>
      </c>
      <c r="Z49" t="str">
        <f t="shared" si="2"/>
        <v/>
      </c>
      <c r="AA49" t="str">
        <f t="shared" si="3"/>
        <v/>
      </c>
      <c r="AD49" t="str">
        <f t="shared" si="4"/>
        <v>PLAIN TEXT UPPERCASE</v>
      </c>
      <c r="AE49" t="str">
        <f t="shared" si="5"/>
        <v>JTL TRIP SUPPORT</v>
      </c>
      <c r="AF49" t="str">
        <f t="shared" si="6"/>
        <v>NO SENDING ADDRESS - ADD messaging_to_emails</v>
      </c>
      <c r="AG49" t="str">
        <f t="shared" si="7"/>
        <v>ASSIGNABLE</v>
      </c>
    </row>
    <row r="50" spans="1:33" x14ac:dyDescent="0.3">
      <c r="A50" t="s">
        <v>6284</v>
      </c>
      <c r="B50" t="s">
        <v>6285</v>
      </c>
      <c r="T50" t="s">
        <v>3830</v>
      </c>
      <c r="V50" t="s">
        <v>6279</v>
      </c>
      <c r="W50">
        <f>IF($A50="","",COUNTIF(Aircraft!$N:$N,$A50))</f>
        <v>4</v>
      </c>
      <c r="X50" t="str">
        <f t="shared" si="0"/>
        <v>OK</v>
      </c>
      <c r="Y50" t="str">
        <f t="shared" si="1"/>
        <v>EMAIL (SMTP)</v>
      </c>
      <c r="Z50" t="str">
        <f t="shared" si="2"/>
        <v/>
      </c>
      <c r="AA50" t="str">
        <f t="shared" si="3"/>
        <v/>
      </c>
      <c r="AD50" t="str">
        <f t="shared" si="4"/>
        <v>PLAIN TEXT UPPERCASE</v>
      </c>
      <c r="AE50" t="str">
        <f t="shared" si="5"/>
        <v>JTL TRIP SUPPORT</v>
      </c>
      <c r="AF50" t="str">
        <f t="shared" si="6"/>
        <v>NO SENDING ADDRESS - ADD messaging_to_emails</v>
      </c>
      <c r="AG50" t="str">
        <f t="shared" si="7"/>
        <v>ASSIGNABLE</v>
      </c>
    </row>
    <row r="51" spans="1:33" x14ac:dyDescent="0.3">
      <c r="A51" t="s">
        <v>6286</v>
      </c>
      <c r="B51" t="s">
        <v>6287</v>
      </c>
      <c r="T51" t="s">
        <v>3830</v>
      </c>
      <c r="V51" t="s">
        <v>6279</v>
      </c>
      <c r="W51">
        <f>IF($A51="","",COUNTIF(Aircraft!$N:$N,$A51))</f>
        <v>2</v>
      </c>
      <c r="X51" t="str">
        <f t="shared" si="0"/>
        <v>OK</v>
      </c>
      <c r="Y51" t="str">
        <f t="shared" si="1"/>
        <v>EMAIL (SMTP)</v>
      </c>
      <c r="Z51" t="str">
        <f t="shared" si="2"/>
        <v/>
      </c>
      <c r="AA51" t="str">
        <f t="shared" si="3"/>
        <v/>
      </c>
      <c r="AD51" t="str">
        <f t="shared" si="4"/>
        <v>PLAIN TEXT UPPERCASE</v>
      </c>
      <c r="AE51" t="str">
        <f t="shared" si="5"/>
        <v>JTL TRIP SUPPORT</v>
      </c>
      <c r="AF51" t="str">
        <f t="shared" si="6"/>
        <v>NO SENDING ADDRESS - ADD messaging_to_emails</v>
      </c>
      <c r="AG51" t="str">
        <f t="shared" si="7"/>
        <v>ASSIGNABLE</v>
      </c>
    </row>
    <row r="52" spans="1:33" x14ac:dyDescent="0.3">
      <c r="A52" t="s">
        <v>6288</v>
      </c>
      <c r="B52" t="s">
        <v>6289</v>
      </c>
      <c r="T52" t="s">
        <v>3830</v>
      </c>
      <c r="V52" t="s">
        <v>6279</v>
      </c>
      <c r="W52">
        <f>IF($A52="","",COUNTIF(Aircraft!$N:$N,$A52))</f>
        <v>2</v>
      </c>
      <c r="X52" t="str">
        <f t="shared" si="0"/>
        <v>OK</v>
      </c>
      <c r="Y52" t="str">
        <f t="shared" si="1"/>
        <v>EMAIL (SMTP)</v>
      </c>
      <c r="Z52" t="str">
        <f t="shared" si="2"/>
        <v/>
      </c>
      <c r="AA52" t="str">
        <f t="shared" si="3"/>
        <v/>
      </c>
      <c r="AD52" t="str">
        <f t="shared" si="4"/>
        <v>PLAIN TEXT UPPERCASE</v>
      </c>
      <c r="AE52" t="str">
        <f t="shared" si="5"/>
        <v>JTL TRIP SUPPORT</v>
      </c>
      <c r="AF52" t="str">
        <f t="shared" si="6"/>
        <v>NO SENDING ADDRESS - ADD messaging_to_emails</v>
      </c>
      <c r="AG52" t="str">
        <f t="shared" si="7"/>
        <v>ASSIGNABLE</v>
      </c>
    </row>
    <row r="53" spans="1:33" x14ac:dyDescent="0.3">
      <c r="A53" t="s">
        <v>6290</v>
      </c>
      <c r="B53" t="s">
        <v>6291</v>
      </c>
      <c r="T53" t="s">
        <v>3830</v>
      </c>
      <c r="V53" t="s">
        <v>6279</v>
      </c>
      <c r="W53">
        <f>IF($A53="","",COUNTIF(Aircraft!$N:$N,$A53))</f>
        <v>1</v>
      </c>
      <c r="X53" t="str">
        <f t="shared" si="0"/>
        <v>OK</v>
      </c>
      <c r="Y53" t="str">
        <f t="shared" si="1"/>
        <v>EMAIL (SMTP)</v>
      </c>
      <c r="Z53" t="str">
        <f t="shared" si="2"/>
        <v/>
      </c>
      <c r="AA53" t="str">
        <f t="shared" si="3"/>
        <v/>
      </c>
      <c r="AD53" t="str">
        <f t="shared" si="4"/>
        <v>PLAIN TEXT UPPERCASE</v>
      </c>
      <c r="AE53" t="str">
        <f t="shared" si="5"/>
        <v>JTL TRIP SUPPORT</v>
      </c>
      <c r="AF53" t="str">
        <f t="shared" si="6"/>
        <v>NO SENDING ADDRESS - ADD messaging_to_emails</v>
      </c>
      <c r="AG53" t="str">
        <f t="shared" si="7"/>
        <v>ASSIGNABLE</v>
      </c>
    </row>
    <row r="54" spans="1:33" x14ac:dyDescent="0.3">
      <c r="A54" t="s">
        <v>6292</v>
      </c>
      <c r="B54" t="s">
        <v>6293</v>
      </c>
      <c r="T54" t="s">
        <v>3830</v>
      </c>
      <c r="V54" t="s">
        <v>6279</v>
      </c>
      <c r="W54">
        <f>IF($A54="","",COUNTIF(Aircraft!$N:$N,$A54))</f>
        <v>1</v>
      </c>
      <c r="X54" t="str">
        <f t="shared" si="0"/>
        <v>OK</v>
      </c>
      <c r="Y54" t="str">
        <f t="shared" si="1"/>
        <v>EMAIL (SMTP)</v>
      </c>
      <c r="Z54" t="str">
        <f t="shared" si="2"/>
        <v/>
      </c>
      <c r="AA54" t="str">
        <f t="shared" si="3"/>
        <v/>
      </c>
      <c r="AD54" t="str">
        <f t="shared" si="4"/>
        <v>PLAIN TEXT UPPERCASE</v>
      </c>
      <c r="AE54" t="str">
        <f t="shared" si="5"/>
        <v>JTL TRIP SUPPORT</v>
      </c>
      <c r="AF54" t="str">
        <f t="shared" si="6"/>
        <v>NO SENDING ADDRESS - ADD messaging_to_emails</v>
      </c>
      <c r="AG54" t="str">
        <f t="shared" si="7"/>
        <v>ASSIGNABLE</v>
      </c>
    </row>
    <row r="55" spans="1:33" x14ac:dyDescent="0.3">
      <c r="A55" t="s">
        <v>6294</v>
      </c>
      <c r="B55" t="s">
        <v>6295</v>
      </c>
      <c r="T55" t="s">
        <v>3830</v>
      </c>
      <c r="V55" t="s">
        <v>6279</v>
      </c>
      <c r="W55">
        <f>IF($A55="","",COUNTIF(Aircraft!$N:$N,$A55))</f>
        <v>1</v>
      </c>
      <c r="X55" t="str">
        <f t="shared" si="0"/>
        <v>OK</v>
      </c>
      <c r="Y55" t="str">
        <f t="shared" si="1"/>
        <v>EMAIL (SMTP)</v>
      </c>
      <c r="Z55" t="str">
        <f t="shared" si="2"/>
        <v/>
      </c>
      <c r="AA55" t="str">
        <f t="shared" si="3"/>
        <v/>
      </c>
      <c r="AD55" t="str">
        <f t="shared" si="4"/>
        <v>PLAIN TEXT UPPERCASE</v>
      </c>
      <c r="AE55" t="str">
        <f t="shared" si="5"/>
        <v>JTL TRIP SUPPORT</v>
      </c>
      <c r="AF55" t="str">
        <f t="shared" si="6"/>
        <v>NO SENDING ADDRESS - ADD messaging_to_emails</v>
      </c>
      <c r="AG55" t="str">
        <f t="shared" si="7"/>
        <v>ASSIGNABLE</v>
      </c>
    </row>
    <row r="56" spans="1:33" x14ac:dyDescent="0.3">
      <c r="A56" t="s">
        <v>6296</v>
      </c>
      <c r="B56" t="s">
        <v>6297</v>
      </c>
      <c r="T56" t="s">
        <v>3830</v>
      </c>
      <c r="V56" t="s">
        <v>6279</v>
      </c>
      <c r="W56">
        <f>IF($A56="","",COUNTIF(Aircraft!$N:$N,$A56))</f>
        <v>2</v>
      </c>
      <c r="X56" t="str">
        <f t="shared" si="0"/>
        <v>OK</v>
      </c>
      <c r="Y56" t="str">
        <f t="shared" si="1"/>
        <v>EMAIL (SMTP)</v>
      </c>
      <c r="Z56" t="str">
        <f t="shared" si="2"/>
        <v/>
      </c>
      <c r="AA56" t="str">
        <f t="shared" si="3"/>
        <v/>
      </c>
      <c r="AD56" t="str">
        <f t="shared" si="4"/>
        <v>PLAIN TEXT UPPERCASE</v>
      </c>
      <c r="AE56" t="str">
        <f t="shared" si="5"/>
        <v>JTL TRIP SUPPORT</v>
      </c>
      <c r="AF56" t="str">
        <f t="shared" si="6"/>
        <v>NO SENDING ADDRESS - ADD messaging_to_emails</v>
      </c>
      <c r="AG56" t="str">
        <f t="shared" si="7"/>
        <v>ASSIGNABLE</v>
      </c>
    </row>
    <row r="57" spans="1:33" x14ac:dyDescent="0.3">
      <c r="A57" t="s">
        <v>6298</v>
      </c>
      <c r="B57" t="s">
        <v>6299</v>
      </c>
      <c r="T57" t="s">
        <v>3830</v>
      </c>
      <c r="V57" t="s">
        <v>6279</v>
      </c>
      <c r="W57">
        <f>IF($A57="","",COUNTIF(Aircraft!$N:$N,$A57))</f>
        <v>3</v>
      </c>
      <c r="X57" t="str">
        <f t="shared" si="0"/>
        <v>OK</v>
      </c>
      <c r="Y57" t="str">
        <f t="shared" si="1"/>
        <v>EMAIL (SMTP)</v>
      </c>
      <c r="Z57" t="str">
        <f t="shared" si="2"/>
        <v/>
      </c>
      <c r="AA57" t="str">
        <f t="shared" si="3"/>
        <v/>
      </c>
      <c r="AD57" t="str">
        <f t="shared" si="4"/>
        <v>PLAIN TEXT UPPERCASE</v>
      </c>
      <c r="AE57" t="str">
        <f t="shared" si="5"/>
        <v>JTL TRIP SUPPORT</v>
      </c>
      <c r="AF57" t="str">
        <f t="shared" si="6"/>
        <v>NO SENDING ADDRESS - ADD messaging_to_emails</v>
      </c>
      <c r="AG57" t="str">
        <f t="shared" si="7"/>
        <v>ASSIGNABLE</v>
      </c>
    </row>
    <row r="58" spans="1:33" x14ac:dyDescent="0.3">
      <c r="A58" t="s">
        <v>6300</v>
      </c>
      <c r="B58" t="s">
        <v>6301</v>
      </c>
      <c r="T58" t="s">
        <v>3830</v>
      </c>
      <c r="V58" t="s">
        <v>6279</v>
      </c>
      <c r="W58">
        <f>IF($A58="","",COUNTIF(Aircraft!$N:$N,$A58))</f>
        <v>2</v>
      </c>
      <c r="X58" t="str">
        <f t="shared" si="0"/>
        <v>OK</v>
      </c>
      <c r="Y58" t="str">
        <f t="shared" si="1"/>
        <v>EMAIL (SMTP)</v>
      </c>
      <c r="Z58" t="str">
        <f t="shared" si="2"/>
        <v/>
      </c>
      <c r="AA58" t="str">
        <f t="shared" si="3"/>
        <v/>
      </c>
      <c r="AD58" t="str">
        <f t="shared" si="4"/>
        <v>PLAIN TEXT UPPERCASE</v>
      </c>
      <c r="AE58" t="str">
        <f t="shared" si="5"/>
        <v>JTL TRIP SUPPORT</v>
      </c>
      <c r="AF58" t="str">
        <f t="shared" si="6"/>
        <v>NO SENDING ADDRESS - ADD messaging_to_emails</v>
      </c>
      <c r="AG58" t="str">
        <f t="shared" si="7"/>
        <v>ASSIGNABLE</v>
      </c>
    </row>
    <row r="59" spans="1:33" x14ac:dyDescent="0.3">
      <c r="A59" t="s">
        <v>6302</v>
      </c>
      <c r="B59" t="s">
        <v>6303</v>
      </c>
      <c r="T59" t="s">
        <v>3830</v>
      </c>
      <c r="V59" t="s">
        <v>6279</v>
      </c>
      <c r="W59">
        <f>IF($A59="","",COUNTIF(Aircraft!$N:$N,$A59))</f>
        <v>2</v>
      </c>
      <c r="X59" t="str">
        <f t="shared" si="0"/>
        <v>OK</v>
      </c>
      <c r="Y59" t="str">
        <f t="shared" si="1"/>
        <v>EMAIL (SMTP)</v>
      </c>
      <c r="Z59" t="str">
        <f t="shared" si="2"/>
        <v/>
      </c>
      <c r="AA59" t="str">
        <f t="shared" si="3"/>
        <v/>
      </c>
      <c r="AD59" t="str">
        <f t="shared" si="4"/>
        <v>PLAIN TEXT UPPERCASE</v>
      </c>
      <c r="AE59" t="str">
        <f t="shared" si="5"/>
        <v>JTL TRIP SUPPORT</v>
      </c>
      <c r="AF59" t="str">
        <f t="shared" si="6"/>
        <v>NO SENDING ADDRESS - ADD messaging_to_emails</v>
      </c>
      <c r="AG59" t="str">
        <f t="shared" si="7"/>
        <v>ASSIGNABLE</v>
      </c>
    </row>
    <row r="60" spans="1:33" x14ac:dyDescent="0.3">
      <c r="A60" t="s">
        <v>6304</v>
      </c>
      <c r="B60" t="s">
        <v>6305</v>
      </c>
      <c r="T60" t="s">
        <v>3830</v>
      </c>
      <c r="V60" t="s">
        <v>6279</v>
      </c>
      <c r="W60">
        <f>IF($A60="","",COUNTIF(Aircraft!$N:$N,$A60))</f>
        <v>1</v>
      </c>
      <c r="X60" t="str">
        <f t="shared" si="0"/>
        <v>OK</v>
      </c>
      <c r="Y60" t="str">
        <f t="shared" si="1"/>
        <v>EMAIL (SMTP)</v>
      </c>
      <c r="Z60" t="str">
        <f t="shared" si="2"/>
        <v/>
      </c>
      <c r="AA60" t="str">
        <f t="shared" si="3"/>
        <v/>
      </c>
      <c r="AD60" t="str">
        <f t="shared" si="4"/>
        <v>PLAIN TEXT UPPERCASE</v>
      </c>
      <c r="AE60" t="str">
        <f t="shared" si="5"/>
        <v>JTL TRIP SUPPORT</v>
      </c>
      <c r="AF60" t="str">
        <f t="shared" si="6"/>
        <v>NO SENDING ADDRESS - ADD messaging_to_emails</v>
      </c>
      <c r="AG60" t="str">
        <f t="shared" si="7"/>
        <v>ASSIGNABLE</v>
      </c>
    </row>
    <row r="61" spans="1:33" x14ac:dyDescent="0.3">
      <c r="A61" t="s">
        <v>6306</v>
      </c>
      <c r="B61" t="s">
        <v>6307</v>
      </c>
      <c r="T61" t="s">
        <v>3830</v>
      </c>
      <c r="V61" t="s">
        <v>6279</v>
      </c>
      <c r="W61">
        <f>IF($A61="","",COUNTIF(Aircraft!$N:$N,$A61))</f>
        <v>4</v>
      </c>
      <c r="X61" t="str">
        <f t="shared" si="0"/>
        <v>OK</v>
      </c>
      <c r="Y61" t="str">
        <f t="shared" si="1"/>
        <v>EMAIL (SMTP)</v>
      </c>
      <c r="Z61" t="str">
        <f t="shared" si="2"/>
        <v/>
      </c>
      <c r="AA61" t="str">
        <f t="shared" si="3"/>
        <v/>
      </c>
      <c r="AD61" t="str">
        <f t="shared" si="4"/>
        <v>PLAIN TEXT UPPERCASE</v>
      </c>
      <c r="AE61" t="str">
        <f t="shared" si="5"/>
        <v>JTL TRIP SUPPORT</v>
      </c>
      <c r="AF61" t="str">
        <f t="shared" si="6"/>
        <v>NO SENDING ADDRESS - ADD messaging_to_emails</v>
      </c>
      <c r="AG61" t="str">
        <f t="shared" si="7"/>
        <v>ASSIGNABLE</v>
      </c>
    </row>
    <row r="62" spans="1:33" x14ac:dyDescent="0.3">
      <c r="A62" t="s">
        <v>6308</v>
      </c>
      <c r="B62" t="s">
        <v>6309</v>
      </c>
      <c r="T62" t="s">
        <v>3830</v>
      </c>
      <c r="V62" t="s">
        <v>6279</v>
      </c>
      <c r="W62">
        <f>IF($A62="","",COUNTIF(Aircraft!$N:$N,$A62))</f>
        <v>1</v>
      </c>
      <c r="X62" t="str">
        <f t="shared" si="0"/>
        <v>OK</v>
      </c>
      <c r="Y62" t="str">
        <f t="shared" si="1"/>
        <v>EMAIL (SMTP)</v>
      </c>
      <c r="Z62" t="str">
        <f t="shared" si="2"/>
        <v/>
      </c>
      <c r="AA62" t="str">
        <f t="shared" si="3"/>
        <v/>
      </c>
      <c r="AD62" t="str">
        <f t="shared" si="4"/>
        <v>PLAIN TEXT UPPERCASE</v>
      </c>
      <c r="AE62" t="str">
        <f t="shared" si="5"/>
        <v>JTL TRIP SUPPORT</v>
      </c>
      <c r="AF62" t="str">
        <f t="shared" si="6"/>
        <v>NO SENDING ADDRESS - ADD messaging_to_emails</v>
      </c>
      <c r="AG62" t="str">
        <f t="shared" si="7"/>
        <v>ASSIGNABLE</v>
      </c>
    </row>
    <row r="63" spans="1:33" x14ac:dyDescent="0.3">
      <c r="A63" t="s">
        <v>6310</v>
      </c>
      <c r="B63" t="s">
        <v>6311</v>
      </c>
      <c r="T63" t="s">
        <v>3830</v>
      </c>
      <c r="V63" t="s">
        <v>6279</v>
      </c>
      <c r="W63">
        <f>IF($A63="","",COUNTIF(Aircraft!$N:$N,$A63))</f>
        <v>4</v>
      </c>
      <c r="X63" t="str">
        <f t="shared" si="0"/>
        <v>OK</v>
      </c>
      <c r="Y63" t="str">
        <f t="shared" si="1"/>
        <v>EMAIL (SMTP)</v>
      </c>
      <c r="Z63" t="str">
        <f t="shared" si="2"/>
        <v/>
      </c>
      <c r="AA63" t="str">
        <f t="shared" si="3"/>
        <v/>
      </c>
      <c r="AD63" t="str">
        <f t="shared" si="4"/>
        <v>PLAIN TEXT UPPERCASE</v>
      </c>
      <c r="AE63" t="str">
        <f t="shared" si="5"/>
        <v>JTL TRIP SUPPORT</v>
      </c>
      <c r="AF63" t="str">
        <f t="shared" si="6"/>
        <v>NO SENDING ADDRESS - ADD messaging_to_emails</v>
      </c>
      <c r="AG63" t="str">
        <f t="shared" si="7"/>
        <v>ASSIGNABLE</v>
      </c>
    </row>
    <row r="64" spans="1:33" x14ac:dyDescent="0.3">
      <c r="A64" t="s">
        <v>6312</v>
      </c>
      <c r="B64" t="s">
        <v>6313</v>
      </c>
      <c r="T64" t="s">
        <v>3830</v>
      </c>
      <c r="V64" t="s">
        <v>6279</v>
      </c>
      <c r="W64">
        <f>IF($A64="","",COUNTIF(Aircraft!$N:$N,$A64))</f>
        <v>4</v>
      </c>
      <c r="X64" t="str">
        <f t="shared" si="0"/>
        <v>OK</v>
      </c>
      <c r="Y64" t="str">
        <f t="shared" si="1"/>
        <v>EMAIL (SMTP)</v>
      </c>
      <c r="Z64" t="str">
        <f t="shared" si="2"/>
        <v/>
      </c>
      <c r="AA64" t="str">
        <f t="shared" si="3"/>
        <v/>
      </c>
      <c r="AD64" t="str">
        <f t="shared" si="4"/>
        <v>PLAIN TEXT UPPERCASE</v>
      </c>
      <c r="AE64" t="str">
        <f t="shared" si="5"/>
        <v>JTL TRIP SUPPORT</v>
      </c>
      <c r="AF64" t="str">
        <f t="shared" si="6"/>
        <v>NO SENDING ADDRESS - ADD messaging_to_emails</v>
      </c>
      <c r="AG64" t="str">
        <f t="shared" si="7"/>
        <v>ASSIGNABLE</v>
      </c>
    </row>
    <row r="65" spans="1:33" x14ac:dyDescent="0.3">
      <c r="A65" t="s">
        <v>6314</v>
      </c>
      <c r="B65" t="s">
        <v>6315</v>
      </c>
      <c r="T65" t="s">
        <v>3830</v>
      </c>
      <c r="V65" t="s">
        <v>6279</v>
      </c>
      <c r="W65">
        <f>IF($A65="","",COUNTIF(Aircraft!$N:$N,$A65))</f>
        <v>1</v>
      </c>
      <c r="X65" t="str">
        <f t="shared" si="0"/>
        <v>OK</v>
      </c>
      <c r="Y65" t="str">
        <f t="shared" si="1"/>
        <v>EMAIL (SMTP)</v>
      </c>
      <c r="Z65" t="str">
        <f t="shared" si="2"/>
        <v/>
      </c>
      <c r="AA65" t="str">
        <f t="shared" si="3"/>
        <v/>
      </c>
      <c r="AD65" t="str">
        <f t="shared" si="4"/>
        <v>PLAIN TEXT UPPERCASE</v>
      </c>
      <c r="AE65" t="str">
        <f t="shared" si="5"/>
        <v>JTL TRIP SUPPORT</v>
      </c>
      <c r="AF65" t="str">
        <f t="shared" si="6"/>
        <v>NO SENDING ADDRESS - ADD messaging_to_emails</v>
      </c>
      <c r="AG65" t="str">
        <f t="shared" si="7"/>
        <v>ASSIGNABLE</v>
      </c>
    </row>
    <row r="66" spans="1:33" x14ac:dyDescent="0.3">
      <c r="A66" t="s">
        <v>6316</v>
      </c>
      <c r="B66" t="s">
        <v>6317</v>
      </c>
      <c r="T66" t="s">
        <v>3830</v>
      </c>
      <c r="V66" t="s">
        <v>6279</v>
      </c>
      <c r="W66">
        <f>IF($A66="","",COUNTIF(Aircraft!$N:$N,$A66))</f>
        <v>1</v>
      </c>
      <c r="X66" t="str">
        <f t="shared" si="0"/>
        <v>OK</v>
      </c>
      <c r="Y66" t="str">
        <f t="shared" si="1"/>
        <v>EMAIL (SMTP)</v>
      </c>
      <c r="Z66" t="str">
        <f t="shared" si="2"/>
        <v/>
      </c>
      <c r="AA66" t="str">
        <f t="shared" si="3"/>
        <v/>
      </c>
      <c r="AD66" t="str">
        <f t="shared" si="4"/>
        <v>PLAIN TEXT UPPERCASE</v>
      </c>
      <c r="AE66" t="str">
        <f t="shared" si="5"/>
        <v>JTL TRIP SUPPORT</v>
      </c>
      <c r="AF66" t="str">
        <f t="shared" si="6"/>
        <v>NO SENDING ADDRESS - ADD messaging_to_emails</v>
      </c>
      <c r="AG66" t="str">
        <f t="shared" si="7"/>
        <v>ASSIGNABLE</v>
      </c>
    </row>
    <row r="67" spans="1:33" x14ac:dyDescent="0.3">
      <c r="A67" t="s">
        <v>6318</v>
      </c>
      <c r="B67" t="s">
        <v>6319</v>
      </c>
      <c r="T67" t="s">
        <v>3830</v>
      </c>
      <c r="V67" t="s">
        <v>6279</v>
      </c>
      <c r="W67">
        <f>IF($A67="","",COUNTIF(Aircraft!$N:$N,$A67))</f>
        <v>1</v>
      </c>
      <c r="X67" t="str">
        <f t="shared" ref="X67:X130" si="8">IF($A67="","",IF($B67="","NAME REQUIRED",IF($W67=0,"NO AIRCRAFT LINKED","OK")))</f>
        <v>OK</v>
      </c>
      <c r="Y67" t="str">
        <f t="shared" ref="Y67:Y130" si="9">IF($A67="","","EMAIL (SMTP)")</f>
        <v>EMAIL (SMTP)</v>
      </c>
      <c r="Z67" t="str">
        <f t="shared" ref="Z67:Z130" si="10">IF($A67="","",IF($N67&lt;&gt;"",$N67,IF($L67&lt;&gt;"",$L67,"")))</f>
        <v/>
      </c>
      <c r="AA67" t="str">
        <f t="shared" ref="AA67:AA130" si="11">IF($A67="","",IF($O67&lt;&gt;"",$O67,""))</f>
        <v/>
      </c>
      <c r="AD67" t="str">
        <f t="shared" ref="AD67:AD130" si="12">IF($A67="","","PLAIN TEXT UPPERCASE")</f>
        <v>PLAIN TEXT UPPERCASE</v>
      </c>
      <c r="AE67" t="str">
        <f t="shared" ref="AE67:AE130" si="13">IF($A67="","","JTL TRIP SUPPORT")</f>
        <v>JTL TRIP SUPPORT</v>
      </c>
      <c r="AF67" t="str">
        <f t="shared" ref="AF67:AF130" si="14">IF($A67="","",IF($Y67="EMAIL (SMTP)",IF($Z67="","NO SENDING ADDRESS - ADD messaging_to_emails","OK"),IF(AND($AB67="",$AC67=""),"CHANNEL SET BUT NO SITA/AFTN ADDRESS","OK")))</f>
        <v>NO SENDING ADDRESS - ADD messaging_to_emails</v>
      </c>
      <c r="AG67" t="str">
        <f t="shared" ref="AG67:AG130" si="15">IF($A67="","",IF(TRIM($B67)="","BLOCKED - OPERATOR NAME REQUIRED",IF(UPPER($T67)="INACTIVE","BLOCKED - INACTIVE","ASSIGNABLE")))</f>
        <v>ASSIGNABLE</v>
      </c>
    </row>
    <row r="68" spans="1:33" x14ac:dyDescent="0.3">
      <c r="A68" t="s">
        <v>6320</v>
      </c>
      <c r="B68" t="s">
        <v>6321</v>
      </c>
      <c r="T68" t="s">
        <v>3830</v>
      </c>
      <c r="V68" t="s">
        <v>6279</v>
      </c>
      <c r="W68">
        <f>IF($A68="","",COUNTIF(Aircraft!$N:$N,$A68))</f>
        <v>1</v>
      </c>
      <c r="X68" t="str">
        <f t="shared" si="8"/>
        <v>OK</v>
      </c>
      <c r="Y68" t="str">
        <f t="shared" si="9"/>
        <v>EMAIL (SMTP)</v>
      </c>
      <c r="Z68" t="str">
        <f t="shared" si="10"/>
        <v/>
      </c>
      <c r="AA68" t="str">
        <f t="shared" si="11"/>
        <v/>
      </c>
      <c r="AD68" t="str">
        <f t="shared" si="12"/>
        <v>PLAIN TEXT UPPERCASE</v>
      </c>
      <c r="AE68" t="str">
        <f t="shared" si="13"/>
        <v>JTL TRIP SUPPORT</v>
      </c>
      <c r="AF68" t="str">
        <f t="shared" si="14"/>
        <v>NO SENDING ADDRESS - ADD messaging_to_emails</v>
      </c>
      <c r="AG68" t="str">
        <f t="shared" si="15"/>
        <v>ASSIGNABLE</v>
      </c>
    </row>
    <row r="69" spans="1:33" x14ac:dyDescent="0.3">
      <c r="A69" t="s">
        <v>6322</v>
      </c>
      <c r="B69" t="s">
        <v>6323</v>
      </c>
      <c r="T69" t="s">
        <v>3830</v>
      </c>
      <c r="V69" t="s">
        <v>6279</v>
      </c>
      <c r="W69">
        <f>IF($A69="","",COUNTIF(Aircraft!$N:$N,$A69))</f>
        <v>4</v>
      </c>
      <c r="X69" t="str">
        <f t="shared" si="8"/>
        <v>OK</v>
      </c>
      <c r="Y69" t="str">
        <f t="shared" si="9"/>
        <v>EMAIL (SMTP)</v>
      </c>
      <c r="Z69" t="str">
        <f t="shared" si="10"/>
        <v/>
      </c>
      <c r="AA69" t="str">
        <f t="shared" si="11"/>
        <v/>
      </c>
      <c r="AD69" t="str">
        <f t="shared" si="12"/>
        <v>PLAIN TEXT UPPERCASE</v>
      </c>
      <c r="AE69" t="str">
        <f t="shared" si="13"/>
        <v>JTL TRIP SUPPORT</v>
      </c>
      <c r="AF69" t="str">
        <f t="shared" si="14"/>
        <v>NO SENDING ADDRESS - ADD messaging_to_emails</v>
      </c>
      <c r="AG69" t="str">
        <f t="shared" si="15"/>
        <v>ASSIGNABLE</v>
      </c>
    </row>
    <row r="70" spans="1:33" x14ac:dyDescent="0.3">
      <c r="A70" t="s">
        <v>6324</v>
      </c>
      <c r="B70" t="s">
        <v>6325</v>
      </c>
      <c r="T70" t="s">
        <v>3830</v>
      </c>
      <c r="V70" t="s">
        <v>6279</v>
      </c>
      <c r="W70">
        <f>IF($A70="","",COUNTIF(Aircraft!$N:$N,$A70))</f>
        <v>1</v>
      </c>
      <c r="X70" t="str">
        <f t="shared" si="8"/>
        <v>OK</v>
      </c>
      <c r="Y70" t="str">
        <f t="shared" si="9"/>
        <v>EMAIL (SMTP)</v>
      </c>
      <c r="Z70" t="str">
        <f t="shared" si="10"/>
        <v/>
      </c>
      <c r="AA70" t="str">
        <f t="shared" si="11"/>
        <v/>
      </c>
      <c r="AD70" t="str">
        <f t="shared" si="12"/>
        <v>PLAIN TEXT UPPERCASE</v>
      </c>
      <c r="AE70" t="str">
        <f t="shared" si="13"/>
        <v>JTL TRIP SUPPORT</v>
      </c>
      <c r="AF70" t="str">
        <f t="shared" si="14"/>
        <v>NO SENDING ADDRESS - ADD messaging_to_emails</v>
      </c>
      <c r="AG70" t="str">
        <f t="shared" si="15"/>
        <v>ASSIGNABLE</v>
      </c>
    </row>
    <row r="71" spans="1:33" x14ac:dyDescent="0.3">
      <c r="A71" t="s">
        <v>6326</v>
      </c>
      <c r="B71" t="s">
        <v>6327</v>
      </c>
      <c r="T71" t="s">
        <v>3830</v>
      </c>
      <c r="V71" t="s">
        <v>6279</v>
      </c>
      <c r="W71">
        <f>IF($A71="","",COUNTIF(Aircraft!$N:$N,$A71))</f>
        <v>1</v>
      </c>
      <c r="X71" t="str">
        <f t="shared" si="8"/>
        <v>OK</v>
      </c>
      <c r="Y71" t="str">
        <f t="shared" si="9"/>
        <v>EMAIL (SMTP)</v>
      </c>
      <c r="Z71" t="str">
        <f t="shared" si="10"/>
        <v/>
      </c>
      <c r="AA71" t="str">
        <f t="shared" si="11"/>
        <v/>
      </c>
      <c r="AD71" t="str">
        <f t="shared" si="12"/>
        <v>PLAIN TEXT UPPERCASE</v>
      </c>
      <c r="AE71" t="str">
        <f t="shared" si="13"/>
        <v>JTL TRIP SUPPORT</v>
      </c>
      <c r="AF71" t="str">
        <f t="shared" si="14"/>
        <v>NO SENDING ADDRESS - ADD messaging_to_emails</v>
      </c>
      <c r="AG71" t="str">
        <f t="shared" si="15"/>
        <v>ASSIGNABLE</v>
      </c>
    </row>
    <row r="72" spans="1:33" x14ac:dyDescent="0.3">
      <c r="A72" t="s">
        <v>6328</v>
      </c>
      <c r="B72" t="s">
        <v>6329</v>
      </c>
      <c r="T72" t="s">
        <v>3830</v>
      </c>
      <c r="V72" t="s">
        <v>6279</v>
      </c>
      <c r="W72">
        <f>IF($A72="","",COUNTIF(Aircraft!$N:$N,$A72))</f>
        <v>1</v>
      </c>
      <c r="X72" t="str">
        <f t="shared" si="8"/>
        <v>OK</v>
      </c>
      <c r="Y72" t="str">
        <f t="shared" si="9"/>
        <v>EMAIL (SMTP)</v>
      </c>
      <c r="Z72" t="str">
        <f t="shared" si="10"/>
        <v/>
      </c>
      <c r="AA72" t="str">
        <f t="shared" si="11"/>
        <v/>
      </c>
      <c r="AD72" t="str">
        <f t="shared" si="12"/>
        <v>PLAIN TEXT UPPERCASE</v>
      </c>
      <c r="AE72" t="str">
        <f t="shared" si="13"/>
        <v>JTL TRIP SUPPORT</v>
      </c>
      <c r="AF72" t="str">
        <f t="shared" si="14"/>
        <v>NO SENDING ADDRESS - ADD messaging_to_emails</v>
      </c>
      <c r="AG72" t="str">
        <f t="shared" si="15"/>
        <v>ASSIGNABLE</v>
      </c>
    </row>
    <row r="73" spans="1:33" x14ac:dyDescent="0.3">
      <c r="A73" t="s">
        <v>6330</v>
      </c>
      <c r="B73" t="s">
        <v>6331</v>
      </c>
      <c r="T73" t="s">
        <v>3830</v>
      </c>
      <c r="V73" t="s">
        <v>6279</v>
      </c>
      <c r="W73">
        <f>IF($A73="","",COUNTIF(Aircraft!$N:$N,$A73))</f>
        <v>1</v>
      </c>
      <c r="X73" t="str">
        <f t="shared" si="8"/>
        <v>OK</v>
      </c>
      <c r="Y73" t="str">
        <f t="shared" si="9"/>
        <v>EMAIL (SMTP)</v>
      </c>
      <c r="Z73" t="str">
        <f t="shared" si="10"/>
        <v/>
      </c>
      <c r="AA73" t="str">
        <f t="shared" si="11"/>
        <v/>
      </c>
      <c r="AD73" t="str">
        <f t="shared" si="12"/>
        <v>PLAIN TEXT UPPERCASE</v>
      </c>
      <c r="AE73" t="str">
        <f t="shared" si="13"/>
        <v>JTL TRIP SUPPORT</v>
      </c>
      <c r="AF73" t="str">
        <f t="shared" si="14"/>
        <v>NO SENDING ADDRESS - ADD messaging_to_emails</v>
      </c>
      <c r="AG73" t="str">
        <f t="shared" si="15"/>
        <v>ASSIGNABLE</v>
      </c>
    </row>
    <row r="74" spans="1:33" x14ac:dyDescent="0.3">
      <c r="A74" t="s">
        <v>6332</v>
      </c>
      <c r="B74" t="s">
        <v>6333</v>
      </c>
      <c r="T74" t="s">
        <v>3830</v>
      </c>
      <c r="V74" t="s">
        <v>6279</v>
      </c>
      <c r="W74">
        <f>IF($A74="","",COUNTIF(Aircraft!$N:$N,$A74))</f>
        <v>1</v>
      </c>
      <c r="X74" t="str">
        <f t="shared" si="8"/>
        <v>OK</v>
      </c>
      <c r="Y74" t="str">
        <f t="shared" si="9"/>
        <v>EMAIL (SMTP)</v>
      </c>
      <c r="Z74" t="str">
        <f t="shared" si="10"/>
        <v/>
      </c>
      <c r="AA74" t="str">
        <f t="shared" si="11"/>
        <v/>
      </c>
      <c r="AD74" t="str">
        <f t="shared" si="12"/>
        <v>PLAIN TEXT UPPERCASE</v>
      </c>
      <c r="AE74" t="str">
        <f t="shared" si="13"/>
        <v>JTL TRIP SUPPORT</v>
      </c>
      <c r="AF74" t="str">
        <f t="shared" si="14"/>
        <v>NO SENDING ADDRESS - ADD messaging_to_emails</v>
      </c>
      <c r="AG74" t="str">
        <f t="shared" si="15"/>
        <v>ASSIGNABLE</v>
      </c>
    </row>
    <row r="75" spans="1:33" x14ac:dyDescent="0.3">
      <c r="A75" t="s">
        <v>6334</v>
      </c>
      <c r="B75" t="s">
        <v>6335</v>
      </c>
      <c r="T75" t="s">
        <v>3830</v>
      </c>
      <c r="V75" t="s">
        <v>6279</v>
      </c>
      <c r="W75">
        <f>IF($A75="","",COUNTIF(Aircraft!$N:$N,$A75))</f>
        <v>1</v>
      </c>
      <c r="X75" t="str">
        <f t="shared" si="8"/>
        <v>OK</v>
      </c>
      <c r="Y75" t="str">
        <f t="shared" si="9"/>
        <v>EMAIL (SMTP)</v>
      </c>
      <c r="Z75" t="str">
        <f t="shared" si="10"/>
        <v/>
      </c>
      <c r="AA75" t="str">
        <f t="shared" si="11"/>
        <v/>
      </c>
      <c r="AD75" t="str">
        <f t="shared" si="12"/>
        <v>PLAIN TEXT UPPERCASE</v>
      </c>
      <c r="AE75" t="str">
        <f t="shared" si="13"/>
        <v>JTL TRIP SUPPORT</v>
      </c>
      <c r="AF75" t="str">
        <f t="shared" si="14"/>
        <v>NO SENDING ADDRESS - ADD messaging_to_emails</v>
      </c>
      <c r="AG75" t="str">
        <f t="shared" si="15"/>
        <v>ASSIGNABLE</v>
      </c>
    </row>
    <row r="76" spans="1:33" x14ac:dyDescent="0.3">
      <c r="A76" t="s">
        <v>6336</v>
      </c>
      <c r="B76" t="s">
        <v>6337</v>
      </c>
      <c r="T76" t="s">
        <v>3830</v>
      </c>
      <c r="V76" t="s">
        <v>6279</v>
      </c>
      <c r="W76">
        <f>IF($A76="","",COUNTIF(Aircraft!$N:$N,$A76))</f>
        <v>1</v>
      </c>
      <c r="X76" t="str">
        <f t="shared" si="8"/>
        <v>OK</v>
      </c>
      <c r="Y76" t="str">
        <f t="shared" si="9"/>
        <v>EMAIL (SMTP)</v>
      </c>
      <c r="Z76" t="str">
        <f t="shared" si="10"/>
        <v/>
      </c>
      <c r="AA76" t="str">
        <f t="shared" si="11"/>
        <v/>
      </c>
      <c r="AD76" t="str">
        <f t="shared" si="12"/>
        <v>PLAIN TEXT UPPERCASE</v>
      </c>
      <c r="AE76" t="str">
        <f t="shared" si="13"/>
        <v>JTL TRIP SUPPORT</v>
      </c>
      <c r="AF76" t="str">
        <f t="shared" si="14"/>
        <v>NO SENDING ADDRESS - ADD messaging_to_emails</v>
      </c>
      <c r="AG76" t="str">
        <f t="shared" si="15"/>
        <v>ASSIGNABLE</v>
      </c>
    </row>
    <row r="77" spans="1:33" x14ac:dyDescent="0.3">
      <c r="A77" t="s">
        <v>6338</v>
      </c>
      <c r="B77" t="s">
        <v>6339</v>
      </c>
      <c r="T77" t="s">
        <v>3830</v>
      </c>
      <c r="V77" t="s">
        <v>6279</v>
      </c>
      <c r="W77">
        <f>IF($A77="","",COUNTIF(Aircraft!$N:$N,$A77))</f>
        <v>1</v>
      </c>
      <c r="X77" t="str">
        <f t="shared" si="8"/>
        <v>OK</v>
      </c>
      <c r="Y77" t="str">
        <f t="shared" si="9"/>
        <v>EMAIL (SMTP)</v>
      </c>
      <c r="Z77" t="str">
        <f t="shared" si="10"/>
        <v/>
      </c>
      <c r="AA77" t="str">
        <f t="shared" si="11"/>
        <v/>
      </c>
      <c r="AD77" t="str">
        <f t="shared" si="12"/>
        <v>PLAIN TEXT UPPERCASE</v>
      </c>
      <c r="AE77" t="str">
        <f t="shared" si="13"/>
        <v>JTL TRIP SUPPORT</v>
      </c>
      <c r="AF77" t="str">
        <f t="shared" si="14"/>
        <v>NO SENDING ADDRESS - ADD messaging_to_emails</v>
      </c>
      <c r="AG77" t="str">
        <f t="shared" si="15"/>
        <v>ASSIGNABLE</v>
      </c>
    </row>
    <row r="78" spans="1:33" x14ac:dyDescent="0.3">
      <c r="A78" t="s">
        <v>6340</v>
      </c>
      <c r="B78" t="s">
        <v>6341</v>
      </c>
      <c r="T78" t="s">
        <v>3830</v>
      </c>
      <c r="V78" t="s">
        <v>6279</v>
      </c>
      <c r="W78">
        <f>IF($A78="","",COUNTIF(Aircraft!$N:$N,$A78))</f>
        <v>1</v>
      </c>
      <c r="X78" t="str">
        <f t="shared" si="8"/>
        <v>OK</v>
      </c>
      <c r="Y78" t="str">
        <f t="shared" si="9"/>
        <v>EMAIL (SMTP)</v>
      </c>
      <c r="Z78" t="str">
        <f t="shared" si="10"/>
        <v/>
      </c>
      <c r="AA78" t="str">
        <f t="shared" si="11"/>
        <v/>
      </c>
      <c r="AD78" t="str">
        <f t="shared" si="12"/>
        <v>PLAIN TEXT UPPERCASE</v>
      </c>
      <c r="AE78" t="str">
        <f t="shared" si="13"/>
        <v>JTL TRIP SUPPORT</v>
      </c>
      <c r="AF78" t="str">
        <f t="shared" si="14"/>
        <v>NO SENDING ADDRESS - ADD messaging_to_emails</v>
      </c>
      <c r="AG78" t="str">
        <f t="shared" si="15"/>
        <v>ASSIGNABLE</v>
      </c>
    </row>
    <row r="79" spans="1:33" x14ac:dyDescent="0.3">
      <c r="A79" t="s">
        <v>6342</v>
      </c>
      <c r="B79" t="s">
        <v>6343</v>
      </c>
      <c r="T79" t="s">
        <v>3830</v>
      </c>
      <c r="V79" t="s">
        <v>6279</v>
      </c>
      <c r="W79">
        <f>IF($A79="","",COUNTIF(Aircraft!$N:$N,$A79))</f>
        <v>2</v>
      </c>
      <c r="X79" t="str">
        <f t="shared" si="8"/>
        <v>OK</v>
      </c>
      <c r="Y79" t="str">
        <f t="shared" si="9"/>
        <v>EMAIL (SMTP)</v>
      </c>
      <c r="Z79" t="str">
        <f t="shared" si="10"/>
        <v/>
      </c>
      <c r="AA79" t="str">
        <f t="shared" si="11"/>
        <v/>
      </c>
      <c r="AD79" t="str">
        <f t="shared" si="12"/>
        <v>PLAIN TEXT UPPERCASE</v>
      </c>
      <c r="AE79" t="str">
        <f t="shared" si="13"/>
        <v>JTL TRIP SUPPORT</v>
      </c>
      <c r="AF79" t="str">
        <f t="shared" si="14"/>
        <v>NO SENDING ADDRESS - ADD messaging_to_emails</v>
      </c>
      <c r="AG79" t="str">
        <f t="shared" si="15"/>
        <v>ASSIGNABLE</v>
      </c>
    </row>
    <row r="80" spans="1:33" x14ac:dyDescent="0.3">
      <c r="A80" t="s">
        <v>6344</v>
      </c>
      <c r="B80" t="s">
        <v>6345</v>
      </c>
      <c r="T80" t="s">
        <v>3830</v>
      </c>
      <c r="V80" t="s">
        <v>6279</v>
      </c>
      <c r="W80">
        <f>IF($A80="","",COUNTIF(Aircraft!$N:$N,$A80))</f>
        <v>1</v>
      </c>
      <c r="X80" t="str">
        <f t="shared" si="8"/>
        <v>OK</v>
      </c>
      <c r="Y80" t="str">
        <f t="shared" si="9"/>
        <v>EMAIL (SMTP)</v>
      </c>
      <c r="Z80" t="str">
        <f t="shared" si="10"/>
        <v/>
      </c>
      <c r="AA80" t="str">
        <f t="shared" si="11"/>
        <v/>
      </c>
      <c r="AD80" t="str">
        <f t="shared" si="12"/>
        <v>PLAIN TEXT UPPERCASE</v>
      </c>
      <c r="AE80" t="str">
        <f t="shared" si="13"/>
        <v>JTL TRIP SUPPORT</v>
      </c>
      <c r="AF80" t="str">
        <f t="shared" si="14"/>
        <v>NO SENDING ADDRESS - ADD messaging_to_emails</v>
      </c>
      <c r="AG80" t="str">
        <f t="shared" si="15"/>
        <v>ASSIGNABLE</v>
      </c>
    </row>
    <row r="81" spans="1:33" x14ac:dyDescent="0.3">
      <c r="A81" t="s">
        <v>6346</v>
      </c>
      <c r="B81" t="s">
        <v>6347</v>
      </c>
      <c r="T81" t="s">
        <v>3830</v>
      </c>
      <c r="V81" t="s">
        <v>6279</v>
      </c>
      <c r="W81">
        <f>IF($A81="","",COUNTIF(Aircraft!$N:$N,$A81))</f>
        <v>4</v>
      </c>
      <c r="X81" t="str">
        <f t="shared" si="8"/>
        <v>OK</v>
      </c>
      <c r="Y81" t="str">
        <f t="shared" si="9"/>
        <v>EMAIL (SMTP)</v>
      </c>
      <c r="Z81" t="str">
        <f t="shared" si="10"/>
        <v/>
      </c>
      <c r="AA81" t="str">
        <f t="shared" si="11"/>
        <v/>
      </c>
      <c r="AD81" t="str">
        <f t="shared" si="12"/>
        <v>PLAIN TEXT UPPERCASE</v>
      </c>
      <c r="AE81" t="str">
        <f t="shared" si="13"/>
        <v>JTL TRIP SUPPORT</v>
      </c>
      <c r="AF81" t="str">
        <f t="shared" si="14"/>
        <v>NO SENDING ADDRESS - ADD messaging_to_emails</v>
      </c>
      <c r="AG81" t="str">
        <f t="shared" si="15"/>
        <v>ASSIGNABLE</v>
      </c>
    </row>
    <row r="82" spans="1:33" x14ac:dyDescent="0.3">
      <c r="A82" t="s">
        <v>6348</v>
      </c>
      <c r="B82" t="s">
        <v>6349</v>
      </c>
      <c r="T82" t="s">
        <v>3830</v>
      </c>
      <c r="V82" t="s">
        <v>6279</v>
      </c>
      <c r="W82">
        <f>IF($A82="","",COUNTIF(Aircraft!$N:$N,$A82))</f>
        <v>31</v>
      </c>
      <c r="X82" t="str">
        <f t="shared" si="8"/>
        <v>OK</v>
      </c>
      <c r="Y82" t="str">
        <f t="shared" si="9"/>
        <v>EMAIL (SMTP)</v>
      </c>
      <c r="Z82" t="str">
        <f t="shared" si="10"/>
        <v/>
      </c>
      <c r="AA82" t="str">
        <f t="shared" si="11"/>
        <v/>
      </c>
      <c r="AD82" t="str">
        <f t="shared" si="12"/>
        <v>PLAIN TEXT UPPERCASE</v>
      </c>
      <c r="AE82" t="str">
        <f t="shared" si="13"/>
        <v>JTL TRIP SUPPORT</v>
      </c>
      <c r="AF82" t="str">
        <f t="shared" si="14"/>
        <v>NO SENDING ADDRESS - ADD messaging_to_emails</v>
      </c>
      <c r="AG82" t="str">
        <f t="shared" si="15"/>
        <v>ASSIGNABLE</v>
      </c>
    </row>
    <row r="83" spans="1:33" x14ac:dyDescent="0.3">
      <c r="A83" t="s">
        <v>6350</v>
      </c>
      <c r="B83" t="s">
        <v>6351</v>
      </c>
      <c r="T83" t="s">
        <v>3830</v>
      </c>
      <c r="V83" t="s">
        <v>6279</v>
      </c>
      <c r="W83">
        <f>IF($A83="","",COUNTIF(Aircraft!$N:$N,$A83))</f>
        <v>52</v>
      </c>
      <c r="X83" t="str">
        <f t="shared" si="8"/>
        <v>OK</v>
      </c>
      <c r="Y83" t="str">
        <f t="shared" si="9"/>
        <v>EMAIL (SMTP)</v>
      </c>
      <c r="Z83" t="str">
        <f t="shared" si="10"/>
        <v/>
      </c>
      <c r="AA83" t="str">
        <f t="shared" si="11"/>
        <v/>
      </c>
      <c r="AD83" t="str">
        <f t="shared" si="12"/>
        <v>PLAIN TEXT UPPERCASE</v>
      </c>
      <c r="AE83" t="str">
        <f t="shared" si="13"/>
        <v>JTL TRIP SUPPORT</v>
      </c>
      <c r="AF83" t="str">
        <f t="shared" si="14"/>
        <v>NO SENDING ADDRESS - ADD messaging_to_emails</v>
      </c>
      <c r="AG83" t="str">
        <f t="shared" si="15"/>
        <v>ASSIGNABLE</v>
      </c>
    </row>
    <row r="84" spans="1:33" x14ac:dyDescent="0.3">
      <c r="A84" t="s">
        <v>6352</v>
      </c>
      <c r="B84" t="s">
        <v>6353</v>
      </c>
      <c r="T84" t="s">
        <v>3830</v>
      </c>
      <c r="V84" t="s">
        <v>6279</v>
      </c>
      <c r="W84">
        <f>IF($A84="","",COUNTIF(Aircraft!$N:$N,$A84))</f>
        <v>1</v>
      </c>
      <c r="X84" t="str">
        <f t="shared" si="8"/>
        <v>OK</v>
      </c>
      <c r="Y84" t="str">
        <f t="shared" si="9"/>
        <v>EMAIL (SMTP)</v>
      </c>
      <c r="Z84" t="str">
        <f t="shared" si="10"/>
        <v/>
      </c>
      <c r="AA84" t="str">
        <f t="shared" si="11"/>
        <v/>
      </c>
      <c r="AD84" t="str">
        <f t="shared" si="12"/>
        <v>PLAIN TEXT UPPERCASE</v>
      </c>
      <c r="AE84" t="str">
        <f t="shared" si="13"/>
        <v>JTL TRIP SUPPORT</v>
      </c>
      <c r="AF84" t="str">
        <f t="shared" si="14"/>
        <v>NO SENDING ADDRESS - ADD messaging_to_emails</v>
      </c>
      <c r="AG84" t="str">
        <f t="shared" si="15"/>
        <v>ASSIGNABLE</v>
      </c>
    </row>
    <row r="85" spans="1:33" x14ac:dyDescent="0.3">
      <c r="A85" t="s">
        <v>6354</v>
      </c>
      <c r="B85" t="s">
        <v>6355</v>
      </c>
      <c r="T85" t="s">
        <v>3830</v>
      </c>
      <c r="V85" t="s">
        <v>6279</v>
      </c>
      <c r="W85">
        <f>IF($A85="","",COUNTIF(Aircraft!$N:$N,$A85))</f>
        <v>1</v>
      </c>
      <c r="X85" t="str">
        <f t="shared" si="8"/>
        <v>OK</v>
      </c>
      <c r="Y85" t="str">
        <f t="shared" si="9"/>
        <v>EMAIL (SMTP)</v>
      </c>
      <c r="Z85" t="str">
        <f t="shared" si="10"/>
        <v/>
      </c>
      <c r="AA85" t="str">
        <f t="shared" si="11"/>
        <v/>
      </c>
      <c r="AD85" t="str">
        <f t="shared" si="12"/>
        <v>PLAIN TEXT UPPERCASE</v>
      </c>
      <c r="AE85" t="str">
        <f t="shared" si="13"/>
        <v>JTL TRIP SUPPORT</v>
      </c>
      <c r="AF85" t="str">
        <f t="shared" si="14"/>
        <v>NO SENDING ADDRESS - ADD messaging_to_emails</v>
      </c>
      <c r="AG85" t="str">
        <f t="shared" si="15"/>
        <v>ASSIGNABLE</v>
      </c>
    </row>
    <row r="86" spans="1:33" x14ac:dyDescent="0.3">
      <c r="A86" t="s">
        <v>6356</v>
      </c>
      <c r="B86" t="s">
        <v>6357</v>
      </c>
      <c r="T86" t="s">
        <v>3830</v>
      </c>
      <c r="V86" t="s">
        <v>6279</v>
      </c>
      <c r="W86">
        <f>IF($A86="","",COUNTIF(Aircraft!$N:$N,$A86))</f>
        <v>1</v>
      </c>
      <c r="X86" t="str">
        <f t="shared" si="8"/>
        <v>OK</v>
      </c>
      <c r="Y86" t="str">
        <f t="shared" si="9"/>
        <v>EMAIL (SMTP)</v>
      </c>
      <c r="Z86" t="str">
        <f t="shared" si="10"/>
        <v/>
      </c>
      <c r="AA86" t="str">
        <f t="shared" si="11"/>
        <v/>
      </c>
      <c r="AD86" t="str">
        <f t="shared" si="12"/>
        <v>PLAIN TEXT UPPERCASE</v>
      </c>
      <c r="AE86" t="str">
        <f t="shared" si="13"/>
        <v>JTL TRIP SUPPORT</v>
      </c>
      <c r="AF86" t="str">
        <f t="shared" si="14"/>
        <v>NO SENDING ADDRESS - ADD messaging_to_emails</v>
      </c>
      <c r="AG86" t="str">
        <f t="shared" si="15"/>
        <v>ASSIGNABLE</v>
      </c>
    </row>
    <row r="87" spans="1:33" x14ac:dyDescent="0.3">
      <c r="A87" t="s">
        <v>6358</v>
      </c>
      <c r="B87" t="s">
        <v>6359</v>
      </c>
      <c r="T87" t="s">
        <v>3830</v>
      </c>
      <c r="V87" t="s">
        <v>6279</v>
      </c>
      <c r="W87">
        <f>IF($A87="","",COUNTIF(Aircraft!$N:$N,$A87))</f>
        <v>12</v>
      </c>
      <c r="X87" t="str">
        <f t="shared" si="8"/>
        <v>OK</v>
      </c>
      <c r="Y87" t="str">
        <f t="shared" si="9"/>
        <v>EMAIL (SMTP)</v>
      </c>
      <c r="Z87" t="str">
        <f t="shared" si="10"/>
        <v/>
      </c>
      <c r="AA87" t="str">
        <f t="shared" si="11"/>
        <v/>
      </c>
      <c r="AD87" t="str">
        <f t="shared" si="12"/>
        <v>PLAIN TEXT UPPERCASE</v>
      </c>
      <c r="AE87" t="str">
        <f t="shared" si="13"/>
        <v>JTL TRIP SUPPORT</v>
      </c>
      <c r="AF87" t="str">
        <f t="shared" si="14"/>
        <v>NO SENDING ADDRESS - ADD messaging_to_emails</v>
      </c>
      <c r="AG87" t="str">
        <f t="shared" si="15"/>
        <v>ASSIGNABLE</v>
      </c>
    </row>
    <row r="88" spans="1:33" x14ac:dyDescent="0.3">
      <c r="A88" t="s">
        <v>6360</v>
      </c>
      <c r="B88" t="s">
        <v>6361</v>
      </c>
      <c r="T88" t="s">
        <v>3830</v>
      </c>
      <c r="V88" t="s">
        <v>6279</v>
      </c>
      <c r="W88">
        <f>IF($A88="","",COUNTIF(Aircraft!$N:$N,$A88))</f>
        <v>1</v>
      </c>
      <c r="X88" t="str">
        <f t="shared" si="8"/>
        <v>OK</v>
      </c>
      <c r="Y88" t="str">
        <f t="shared" si="9"/>
        <v>EMAIL (SMTP)</v>
      </c>
      <c r="Z88" t="str">
        <f t="shared" si="10"/>
        <v/>
      </c>
      <c r="AA88" t="str">
        <f t="shared" si="11"/>
        <v/>
      </c>
      <c r="AD88" t="str">
        <f t="shared" si="12"/>
        <v>PLAIN TEXT UPPERCASE</v>
      </c>
      <c r="AE88" t="str">
        <f t="shared" si="13"/>
        <v>JTL TRIP SUPPORT</v>
      </c>
      <c r="AF88" t="str">
        <f t="shared" si="14"/>
        <v>NO SENDING ADDRESS - ADD messaging_to_emails</v>
      </c>
      <c r="AG88" t="str">
        <f t="shared" si="15"/>
        <v>ASSIGNABLE</v>
      </c>
    </row>
    <row r="89" spans="1:33" x14ac:dyDescent="0.3">
      <c r="A89" t="s">
        <v>6362</v>
      </c>
      <c r="B89" t="s">
        <v>6363</v>
      </c>
      <c r="T89" t="s">
        <v>3830</v>
      </c>
      <c r="V89" t="s">
        <v>6279</v>
      </c>
      <c r="W89">
        <f>IF($A89="","",COUNTIF(Aircraft!$N:$N,$A89))</f>
        <v>7</v>
      </c>
      <c r="X89" t="str">
        <f t="shared" si="8"/>
        <v>OK</v>
      </c>
      <c r="Y89" t="str">
        <f t="shared" si="9"/>
        <v>EMAIL (SMTP)</v>
      </c>
      <c r="Z89" t="str">
        <f t="shared" si="10"/>
        <v/>
      </c>
      <c r="AA89" t="str">
        <f t="shared" si="11"/>
        <v/>
      </c>
      <c r="AD89" t="str">
        <f t="shared" si="12"/>
        <v>PLAIN TEXT UPPERCASE</v>
      </c>
      <c r="AE89" t="str">
        <f t="shared" si="13"/>
        <v>JTL TRIP SUPPORT</v>
      </c>
      <c r="AF89" t="str">
        <f t="shared" si="14"/>
        <v>NO SENDING ADDRESS - ADD messaging_to_emails</v>
      </c>
      <c r="AG89" t="str">
        <f t="shared" si="15"/>
        <v>ASSIGNABLE</v>
      </c>
    </row>
    <row r="90" spans="1:33" x14ac:dyDescent="0.3">
      <c r="A90" t="s">
        <v>6364</v>
      </c>
      <c r="B90" t="s">
        <v>6365</v>
      </c>
      <c r="T90" t="s">
        <v>3830</v>
      </c>
      <c r="V90" t="s">
        <v>6279</v>
      </c>
      <c r="W90">
        <f>IF($A90="","",COUNTIF(Aircraft!$N:$N,$A90))</f>
        <v>1</v>
      </c>
      <c r="X90" t="str">
        <f t="shared" si="8"/>
        <v>OK</v>
      </c>
      <c r="Y90" t="str">
        <f t="shared" si="9"/>
        <v>EMAIL (SMTP)</v>
      </c>
      <c r="Z90" t="str">
        <f t="shared" si="10"/>
        <v/>
      </c>
      <c r="AA90" t="str">
        <f t="shared" si="11"/>
        <v/>
      </c>
      <c r="AD90" t="str">
        <f t="shared" si="12"/>
        <v>PLAIN TEXT UPPERCASE</v>
      </c>
      <c r="AE90" t="str">
        <f t="shared" si="13"/>
        <v>JTL TRIP SUPPORT</v>
      </c>
      <c r="AF90" t="str">
        <f t="shared" si="14"/>
        <v>NO SENDING ADDRESS - ADD messaging_to_emails</v>
      </c>
      <c r="AG90" t="str">
        <f t="shared" si="15"/>
        <v>ASSIGNABLE</v>
      </c>
    </row>
    <row r="91" spans="1:33" x14ac:dyDescent="0.3">
      <c r="A91" t="s">
        <v>6366</v>
      </c>
      <c r="B91" t="s">
        <v>6367</v>
      </c>
      <c r="T91" t="s">
        <v>3830</v>
      </c>
      <c r="V91" t="s">
        <v>6279</v>
      </c>
      <c r="W91">
        <f>IF($A91="","",COUNTIF(Aircraft!$N:$N,$A91))</f>
        <v>2</v>
      </c>
      <c r="X91" t="str">
        <f t="shared" si="8"/>
        <v>OK</v>
      </c>
      <c r="Y91" t="str">
        <f t="shared" si="9"/>
        <v>EMAIL (SMTP)</v>
      </c>
      <c r="Z91" t="str">
        <f t="shared" si="10"/>
        <v/>
      </c>
      <c r="AA91" t="str">
        <f t="shared" si="11"/>
        <v/>
      </c>
      <c r="AD91" t="str">
        <f t="shared" si="12"/>
        <v>PLAIN TEXT UPPERCASE</v>
      </c>
      <c r="AE91" t="str">
        <f t="shared" si="13"/>
        <v>JTL TRIP SUPPORT</v>
      </c>
      <c r="AF91" t="str">
        <f t="shared" si="14"/>
        <v>NO SENDING ADDRESS - ADD messaging_to_emails</v>
      </c>
      <c r="AG91" t="str">
        <f t="shared" si="15"/>
        <v>ASSIGNABLE</v>
      </c>
    </row>
    <row r="92" spans="1:33" x14ac:dyDescent="0.3">
      <c r="A92" t="s">
        <v>6368</v>
      </c>
      <c r="B92" t="s">
        <v>6369</v>
      </c>
      <c r="T92" t="s">
        <v>3830</v>
      </c>
      <c r="V92" t="s">
        <v>6279</v>
      </c>
      <c r="W92">
        <f>IF($A92="","",COUNTIF(Aircraft!$N:$N,$A92))</f>
        <v>1</v>
      </c>
      <c r="X92" t="str">
        <f t="shared" si="8"/>
        <v>OK</v>
      </c>
      <c r="Y92" t="str">
        <f t="shared" si="9"/>
        <v>EMAIL (SMTP)</v>
      </c>
      <c r="Z92" t="str">
        <f t="shared" si="10"/>
        <v/>
      </c>
      <c r="AA92" t="str">
        <f t="shared" si="11"/>
        <v/>
      </c>
      <c r="AD92" t="str">
        <f t="shared" si="12"/>
        <v>PLAIN TEXT UPPERCASE</v>
      </c>
      <c r="AE92" t="str">
        <f t="shared" si="13"/>
        <v>JTL TRIP SUPPORT</v>
      </c>
      <c r="AF92" t="str">
        <f t="shared" si="14"/>
        <v>NO SENDING ADDRESS - ADD messaging_to_emails</v>
      </c>
      <c r="AG92" t="str">
        <f t="shared" si="15"/>
        <v>ASSIGNABLE</v>
      </c>
    </row>
    <row r="93" spans="1:33" x14ac:dyDescent="0.3">
      <c r="A93" t="s">
        <v>6370</v>
      </c>
      <c r="B93" t="s">
        <v>6371</v>
      </c>
      <c r="T93" t="s">
        <v>3830</v>
      </c>
      <c r="V93" t="s">
        <v>6279</v>
      </c>
      <c r="W93">
        <f>IF($A93="","",COUNTIF(Aircraft!$N:$N,$A93))</f>
        <v>5</v>
      </c>
      <c r="X93" t="str">
        <f t="shared" si="8"/>
        <v>OK</v>
      </c>
      <c r="Y93" t="str">
        <f t="shared" si="9"/>
        <v>EMAIL (SMTP)</v>
      </c>
      <c r="Z93" t="str">
        <f t="shared" si="10"/>
        <v/>
      </c>
      <c r="AA93" t="str">
        <f t="shared" si="11"/>
        <v/>
      </c>
      <c r="AD93" t="str">
        <f t="shared" si="12"/>
        <v>PLAIN TEXT UPPERCASE</v>
      </c>
      <c r="AE93" t="str">
        <f t="shared" si="13"/>
        <v>JTL TRIP SUPPORT</v>
      </c>
      <c r="AF93" t="str">
        <f t="shared" si="14"/>
        <v>NO SENDING ADDRESS - ADD messaging_to_emails</v>
      </c>
      <c r="AG93" t="str">
        <f t="shared" si="15"/>
        <v>ASSIGNABLE</v>
      </c>
    </row>
    <row r="94" spans="1:33" x14ac:dyDescent="0.3">
      <c r="A94" t="s">
        <v>6372</v>
      </c>
      <c r="B94" t="s">
        <v>6373</v>
      </c>
      <c r="T94" t="s">
        <v>3830</v>
      </c>
      <c r="V94" t="s">
        <v>6279</v>
      </c>
      <c r="W94">
        <f>IF($A94="","",COUNTIF(Aircraft!$N:$N,$A94))</f>
        <v>3</v>
      </c>
      <c r="X94" t="str">
        <f t="shared" si="8"/>
        <v>OK</v>
      </c>
      <c r="Y94" t="str">
        <f t="shared" si="9"/>
        <v>EMAIL (SMTP)</v>
      </c>
      <c r="Z94" t="str">
        <f t="shared" si="10"/>
        <v/>
      </c>
      <c r="AA94" t="str">
        <f t="shared" si="11"/>
        <v/>
      </c>
      <c r="AD94" t="str">
        <f t="shared" si="12"/>
        <v>PLAIN TEXT UPPERCASE</v>
      </c>
      <c r="AE94" t="str">
        <f t="shared" si="13"/>
        <v>JTL TRIP SUPPORT</v>
      </c>
      <c r="AF94" t="str">
        <f t="shared" si="14"/>
        <v>NO SENDING ADDRESS - ADD messaging_to_emails</v>
      </c>
      <c r="AG94" t="str">
        <f t="shared" si="15"/>
        <v>ASSIGNABLE</v>
      </c>
    </row>
    <row r="95" spans="1:33" x14ac:dyDescent="0.3">
      <c r="A95" t="s">
        <v>6374</v>
      </c>
      <c r="B95" t="s">
        <v>6375</v>
      </c>
      <c r="T95" t="s">
        <v>3830</v>
      </c>
      <c r="V95" t="s">
        <v>6279</v>
      </c>
      <c r="W95">
        <f>IF($A95="","",COUNTIF(Aircraft!$N:$N,$A95))</f>
        <v>1</v>
      </c>
      <c r="X95" t="str">
        <f t="shared" si="8"/>
        <v>OK</v>
      </c>
      <c r="Y95" t="str">
        <f t="shared" si="9"/>
        <v>EMAIL (SMTP)</v>
      </c>
      <c r="Z95" t="str">
        <f t="shared" si="10"/>
        <v/>
      </c>
      <c r="AA95" t="str">
        <f t="shared" si="11"/>
        <v/>
      </c>
      <c r="AD95" t="str">
        <f t="shared" si="12"/>
        <v>PLAIN TEXT UPPERCASE</v>
      </c>
      <c r="AE95" t="str">
        <f t="shared" si="13"/>
        <v>JTL TRIP SUPPORT</v>
      </c>
      <c r="AF95" t="str">
        <f t="shared" si="14"/>
        <v>NO SENDING ADDRESS - ADD messaging_to_emails</v>
      </c>
      <c r="AG95" t="str">
        <f t="shared" si="15"/>
        <v>ASSIGNABLE</v>
      </c>
    </row>
    <row r="96" spans="1:33" x14ac:dyDescent="0.3">
      <c r="A96" t="s">
        <v>6376</v>
      </c>
      <c r="B96" t="s">
        <v>6377</v>
      </c>
      <c r="T96" t="s">
        <v>3830</v>
      </c>
      <c r="V96" t="s">
        <v>6279</v>
      </c>
      <c r="W96">
        <f>IF($A96="","",COUNTIF(Aircraft!$N:$N,$A96))</f>
        <v>1</v>
      </c>
      <c r="X96" t="str">
        <f t="shared" si="8"/>
        <v>OK</v>
      </c>
      <c r="Y96" t="str">
        <f t="shared" si="9"/>
        <v>EMAIL (SMTP)</v>
      </c>
      <c r="Z96" t="str">
        <f t="shared" si="10"/>
        <v/>
      </c>
      <c r="AA96" t="str">
        <f t="shared" si="11"/>
        <v/>
      </c>
      <c r="AD96" t="str">
        <f t="shared" si="12"/>
        <v>PLAIN TEXT UPPERCASE</v>
      </c>
      <c r="AE96" t="str">
        <f t="shared" si="13"/>
        <v>JTL TRIP SUPPORT</v>
      </c>
      <c r="AF96" t="str">
        <f t="shared" si="14"/>
        <v>NO SENDING ADDRESS - ADD messaging_to_emails</v>
      </c>
      <c r="AG96" t="str">
        <f t="shared" si="15"/>
        <v>ASSIGNABLE</v>
      </c>
    </row>
    <row r="97" spans="1:33" x14ac:dyDescent="0.3">
      <c r="A97" t="s">
        <v>6378</v>
      </c>
      <c r="B97" t="s">
        <v>6379</v>
      </c>
      <c r="T97" t="s">
        <v>3830</v>
      </c>
      <c r="V97" t="s">
        <v>6279</v>
      </c>
      <c r="W97">
        <f>IF($A97="","",COUNTIF(Aircraft!$N:$N,$A97))</f>
        <v>1</v>
      </c>
      <c r="X97" t="str">
        <f t="shared" si="8"/>
        <v>OK</v>
      </c>
      <c r="Y97" t="str">
        <f t="shared" si="9"/>
        <v>EMAIL (SMTP)</v>
      </c>
      <c r="Z97" t="str">
        <f t="shared" si="10"/>
        <v/>
      </c>
      <c r="AA97" t="str">
        <f t="shared" si="11"/>
        <v/>
      </c>
      <c r="AD97" t="str">
        <f t="shared" si="12"/>
        <v>PLAIN TEXT UPPERCASE</v>
      </c>
      <c r="AE97" t="str">
        <f t="shared" si="13"/>
        <v>JTL TRIP SUPPORT</v>
      </c>
      <c r="AF97" t="str">
        <f t="shared" si="14"/>
        <v>NO SENDING ADDRESS - ADD messaging_to_emails</v>
      </c>
      <c r="AG97" t="str">
        <f t="shared" si="15"/>
        <v>ASSIGNABLE</v>
      </c>
    </row>
    <row r="98" spans="1:33" x14ac:dyDescent="0.3">
      <c r="A98" t="s">
        <v>6380</v>
      </c>
      <c r="B98" t="s">
        <v>6381</v>
      </c>
      <c r="T98" t="s">
        <v>3830</v>
      </c>
      <c r="V98" t="s">
        <v>6279</v>
      </c>
      <c r="W98">
        <f>IF($A98="","",COUNTIF(Aircraft!$N:$N,$A98))</f>
        <v>1</v>
      </c>
      <c r="X98" t="str">
        <f t="shared" si="8"/>
        <v>OK</v>
      </c>
      <c r="Y98" t="str">
        <f t="shared" si="9"/>
        <v>EMAIL (SMTP)</v>
      </c>
      <c r="Z98" t="str">
        <f t="shared" si="10"/>
        <v/>
      </c>
      <c r="AA98" t="str">
        <f t="shared" si="11"/>
        <v/>
      </c>
      <c r="AD98" t="str">
        <f t="shared" si="12"/>
        <v>PLAIN TEXT UPPERCASE</v>
      </c>
      <c r="AE98" t="str">
        <f t="shared" si="13"/>
        <v>JTL TRIP SUPPORT</v>
      </c>
      <c r="AF98" t="str">
        <f t="shared" si="14"/>
        <v>NO SENDING ADDRESS - ADD messaging_to_emails</v>
      </c>
      <c r="AG98" t="str">
        <f t="shared" si="15"/>
        <v>ASSIGNABLE</v>
      </c>
    </row>
    <row r="99" spans="1:33" x14ac:dyDescent="0.3">
      <c r="A99" t="s">
        <v>6382</v>
      </c>
      <c r="B99" t="s">
        <v>6383</v>
      </c>
      <c r="T99" t="s">
        <v>3830</v>
      </c>
      <c r="V99" t="s">
        <v>6279</v>
      </c>
      <c r="W99">
        <f>IF($A99="","",COUNTIF(Aircraft!$N:$N,$A99))</f>
        <v>1</v>
      </c>
      <c r="X99" t="str">
        <f t="shared" si="8"/>
        <v>OK</v>
      </c>
      <c r="Y99" t="str">
        <f t="shared" si="9"/>
        <v>EMAIL (SMTP)</v>
      </c>
      <c r="Z99" t="str">
        <f t="shared" si="10"/>
        <v/>
      </c>
      <c r="AA99" t="str">
        <f t="shared" si="11"/>
        <v/>
      </c>
      <c r="AD99" t="str">
        <f t="shared" si="12"/>
        <v>PLAIN TEXT UPPERCASE</v>
      </c>
      <c r="AE99" t="str">
        <f t="shared" si="13"/>
        <v>JTL TRIP SUPPORT</v>
      </c>
      <c r="AF99" t="str">
        <f t="shared" si="14"/>
        <v>NO SENDING ADDRESS - ADD messaging_to_emails</v>
      </c>
      <c r="AG99" t="str">
        <f t="shared" si="15"/>
        <v>ASSIGNABLE</v>
      </c>
    </row>
    <row r="100" spans="1:33" x14ac:dyDescent="0.3">
      <c r="A100" t="s">
        <v>6384</v>
      </c>
      <c r="B100" t="s">
        <v>6385</v>
      </c>
      <c r="T100" t="s">
        <v>3830</v>
      </c>
      <c r="V100" t="s">
        <v>6279</v>
      </c>
      <c r="W100">
        <f>IF($A100="","",COUNTIF(Aircraft!$N:$N,$A100))</f>
        <v>2</v>
      </c>
      <c r="X100" t="str">
        <f t="shared" si="8"/>
        <v>OK</v>
      </c>
      <c r="Y100" t="str">
        <f t="shared" si="9"/>
        <v>EMAIL (SMTP)</v>
      </c>
      <c r="Z100" t="str">
        <f t="shared" si="10"/>
        <v/>
      </c>
      <c r="AA100" t="str">
        <f t="shared" si="11"/>
        <v/>
      </c>
      <c r="AD100" t="str">
        <f t="shared" si="12"/>
        <v>PLAIN TEXT UPPERCASE</v>
      </c>
      <c r="AE100" t="str">
        <f t="shared" si="13"/>
        <v>JTL TRIP SUPPORT</v>
      </c>
      <c r="AF100" t="str">
        <f t="shared" si="14"/>
        <v>NO SENDING ADDRESS - ADD messaging_to_emails</v>
      </c>
      <c r="AG100" t="str">
        <f t="shared" si="15"/>
        <v>ASSIGNABLE</v>
      </c>
    </row>
    <row r="101" spans="1:33" x14ac:dyDescent="0.3">
      <c r="A101" t="s">
        <v>6386</v>
      </c>
      <c r="B101" t="s">
        <v>6387</v>
      </c>
      <c r="T101" t="s">
        <v>3830</v>
      </c>
      <c r="V101" t="s">
        <v>6279</v>
      </c>
      <c r="W101">
        <f>IF($A101="","",COUNTIF(Aircraft!$N:$N,$A101))</f>
        <v>6</v>
      </c>
      <c r="X101" t="str">
        <f t="shared" si="8"/>
        <v>OK</v>
      </c>
      <c r="Y101" t="str">
        <f t="shared" si="9"/>
        <v>EMAIL (SMTP)</v>
      </c>
      <c r="Z101" t="str">
        <f t="shared" si="10"/>
        <v/>
      </c>
      <c r="AA101" t="str">
        <f t="shared" si="11"/>
        <v/>
      </c>
      <c r="AD101" t="str">
        <f t="shared" si="12"/>
        <v>PLAIN TEXT UPPERCASE</v>
      </c>
      <c r="AE101" t="str">
        <f t="shared" si="13"/>
        <v>JTL TRIP SUPPORT</v>
      </c>
      <c r="AF101" t="str">
        <f t="shared" si="14"/>
        <v>NO SENDING ADDRESS - ADD messaging_to_emails</v>
      </c>
      <c r="AG101" t="str">
        <f t="shared" si="15"/>
        <v>ASSIGNABLE</v>
      </c>
    </row>
    <row r="102" spans="1:33" x14ac:dyDescent="0.3">
      <c r="A102" t="s">
        <v>6388</v>
      </c>
      <c r="B102" t="s">
        <v>6389</v>
      </c>
      <c r="T102" t="s">
        <v>3830</v>
      </c>
      <c r="V102" t="s">
        <v>6279</v>
      </c>
      <c r="W102">
        <f>IF($A102="","",COUNTIF(Aircraft!$N:$N,$A102))</f>
        <v>2</v>
      </c>
      <c r="X102" t="str">
        <f t="shared" si="8"/>
        <v>OK</v>
      </c>
      <c r="Y102" t="str">
        <f t="shared" si="9"/>
        <v>EMAIL (SMTP)</v>
      </c>
      <c r="Z102" t="str">
        <f t="shared" si="10"/>
        <v/>
      </c>
      <c r="AA102" t="str">
        <f t="shared" si="11"/>
        <v/>
      </c>
      <c r="AD102" t="str">
        <f t="shared" si="12"/>
        <v>PLAIN TEXT UPPERCASE</v>
      </c>
      <c r="AE102" t="str">
        <f t="shared" si="13"/>
        <v>JTL TRIP SUPPORT</v>
      </c>
      <c r="AF102" t="str">
        <f t="shared" si="14"/>
        <v>NO SENDING ADDRESS - ADD messaging_to_emails</v>
      </c>
      <c r="AG102" t="str">
        <f t="shared" si="15"/>
        <v>ASSIGNABLE</v>
      </c>
    </row>
    <row r="103" spans="1:33" x14ac:dyDescent="0.3">
      <c r="A103" t="s">
        <v>6390</v>
      </c>
      <c r="B103" t="s">
        <v>6391</v>
      </c>
      <c r="T103" t="s">
        <v>3830</v>
      </c>
      <c r="V103" t="s">
        <v>6279</v>
      </c>
      <c r="W103">
        <f>IF($A103="","",COUNTIF(Aircraft!$N:$N,$A103))</f>
        <v>1</v>
      </c>
      <c r="X103" t="str">
        <f t="shared" si="8"/>
        <v>OK</v>
      </c>
      <c r="Y103" t="str">
        <f t="shared" si="9"/>
        <v>EMAIL (SMTP)</v>
      </c>
      <c r="Z103" t="str">
        <f t="shared" si="10"/>
        <v/>
      </c>
      <c r="AA103" t="str">
        <f t="shared" si="11"/>
        <v/>
      </c>
      <c r="AD103" t="str">
        <f t="shared" si="12"/>
        <v>PLAIN TEXT UPPERCASE</v>
      </c>
      <c r="AE103" t="str">
        <f t="shared" si="13"/>
        <v>JTL TRIP SUPPORT</v>
      </c>
      <c r="AF103" t="str">
        <f t="shared" si="14"/>
        <v>NO SENDING ADDRESS - ADD messaging_to_emails</v>
      </c>
      <c r="AG103" t="str">
        <f t="shared" si="15"/>
        <v>ASSIGNABLE</v>
      </c>
    </row>
    <row r="104" spans="1:33" x14ac:dyDescent="0.3">
      <c r="A104" t="s">
        <v>6392</v>
      </c>
      <c r="B104" t="s">
        <v>6393</v>
      </c>
      <c r="T104" t="s">
        <v>3830</v>
      </c>
      <c r="V104" t="s">
        <v>6279</v>
      </c>
      <c r="W104">
        <f>IF($A104="","",COUNTIF(Aircraft!$N:$N,$A104))</f>
        <v>1</v>
      </c>
      <c r="X104" t="str">
        <f t="shared" si="8"/>
        <v>OK</v>
      </c>
      <c r="Y104" t="str">
        <f t="shared" si="9"/>
        <v>EMAIL (SMTP)</v>
      </c>
      <c r="Z104" t="str">
        <f t="shared" si="10"/>
        <v/>
      </c>
      <c r="AA104" t="str">
        <f t="shared" si="11"/>
        <v/>
      </c>
      <c r="AD104" t="str">
        <f t="shared" si="12"/>
        <v>PLAIN TEXT UPPERCASE</v>
      </c>
      <c r="AE104" t="str">
        <f t="shared" si="13"/>
        <v>JTL TRIP SUPPORT</v>
      </c>
      <c r="AF104" t="str">
        <f t="shared" si="14"/>
        <v>NO SENDING ADDRESS - ADD messaging_to_emails</v>
      </c>
      <c r="AG104" t="str">
        <f t="shared" si="15"/>
        <v>ASSIGNABLE</v>
      </c>
    </row>
    <row r="105" spans="1:33" x14ac:dyDescent="0.3">
      <c r="A105" t="s">
        <v>6394</v>
      </c>
      <c r="B105" t="s">
        <v>6395</v>
      </c>
      <c r="T105" t="s">
        <v>3830</v>
      </c>
      <c r="V105" t="s">
        <v>6279</v>
      </c>
      <c r="W105">
        <f>IF($A105="","",COUNTIF(Aircraft!$N:$N,$A105))</f>
        <v>2</v>
      </c>
      <c r="X105" t="str">
        <f t="shared" si="8"/>
        <v>OK</v>
      </c>
      <c r="Y105" t="str">
        <f t="shared" si="9"/>
        <v>EMAIL (SMTP)</v>
      </c>
      <c r="Z105" t="str">
        <f t="shared" si="10"/>
        <v/>
      </c>
      <c r="AA105" t="str">
        <f t="shared" si="11"/>
        <v/>
      </c>
      <c r="AD105" t="str">
        <f t="shared" si="12"/>
        <v>PLAIN TEXT UPPERCASE</v>
      </c>
      <c r="AE105" t="str">
        <f t="shared" si="13"/>
        <v>JTL TRIP SUPPORT</v>
      </c>
      <c r="AF105" t="str">
        <f t="shared" si="14"/>
        <v>NO SENDING ADDRESS - ADD messaging_to_emails</v>
      </c>
      <c r="AG105" t="str">
        <f t="shared" si="15"/>
        <v>ASSIGNABLE</v>
      </c>
    </row>
    <row r="106" spans="1:33" x14ac:dyDescent="0.3">
      <c r="A106" t="s">
        <v>6396</v>
      </c>
      <c r="B106" t="s">
        <v>6397</v>
      </c>
      <c r="T106" t="s">
        <v>3830</v>
      </c>
      <c r="V106" t="s">
        <v>6279</v>
      </c>
      <c r="W106">
        <f>IF($A106="","",COUNTIF(Aircraft!$N:$N,$A106))</f>
        <v>2</v>
      </c>
      <c r="X106" t="str">
        <f t="shared" si="8"/>
        <v>OK</v>
      </c>
      <c r="Y106" t="str">
        <f t="shared" si="9"/>
        <v>EMAIL (SMTP)</v>
      </c>
      <c r="Z106" t="str">
        <f t="shared" si="10"/>
        <v/>
      </c>
      <c r="AA106" t="str">
        <f t="shared" si="11"/>
        <v/>
      </c>
      <c r="AD106" t="str">
        <f t="shared" si="12"/>
        <v>PLAIN TEXT UPPERCASE</v>
      </c>
      <c r="AE106" t="str">
        <f t="shared" si="13"/>
        <v>JTL TRIP SUPPORT</v>
      </c>
      <c r="AF106" t="str">
        <f t="shared" si="14"/>
        <v>NO SENDING ADDRESS - ADD messaging_to_emails</v>
      </c>
      <c r="AG106" t="str">
        <f t="shared" si="15"/>
        <v>ASSIGNABLE</v>
      </c>
    </row>
    <row r="107" spans="1:33" x14ac:dyDescent="0.3">
      <c r="A107" t="s">
        <v>6398</v>
      </c>
      <c r="B107" t="s">
        <v>6399</v>
      </c>
      <c r="T107" t="s">
        <v>3830</v>
      </c>
      <c r="V107" t="s">
        <v>6279</v>
      </c>
      <c r="W107">
        <f>IF($A107="","",COUNTIF(Aircraft!$N:$N,$A107))</f>
        <v>1</v>
      </c>
      <c r="X107" t="str">
        <f t="shared" si="8"/>
        <v>OK</v>
      </c>
      <c r="Y107" t="str">
        <f t="shared" si="9"/>
        <v>EMAIL (SMTP)</v>
      </c>
      <c r="Z107" t="str">
        <f t="shared" si="10"/>
        <v/>
      </c>
      <c r="AA107" t="str">
        <f t="shared" si="11"/>
        <v/>
      </c>
      <c r="AD107" t="str">
        <f t="shared" si="12"/>
        <v>PLAIN TEXT UPPERCASE</v>
      </c>
      <c r="AE107" t="str">
        <f t="shared" si="13"/>
        <v>JTL TRIP SUPPORT</v>
      </c>
      <c r="AF107" t="str">
        <f t="shared" si="14"/>
        <v>NO SENDING ADDRESS - ADD messaging_to_emails</v>
      </c>
      <c r="AG107" t="str">
        <f t="shared" si="15"/>
        <v>ASSIGNABLE</v>
      </c>
    </row>
    <row r="108" spans="1:33" x14ac:dyDescent="0.3">
      <c r="A108" t="s">
        <v>6400</v>
      </c>
      <c r="B108" t="s">
        <v>6401</v>
      </c>
      <c r="T108" t="s">
        <v>3830</v>
      </c>
      <c r="V108" t="s">
        <v>6279</v>
      </c>
      <c r="W108">
        <f>IF($A108="","",COUNTIF(Aircraft!$N:$N,$A108))</f>
        <v>1</v>
      </c>
      <c r="X108" t="str">
        <f t="shared" si="8"/>
        <v>OK</v>
      </c>
      <c r="Y108" t="str">
        <f t="shared" si="9"/>
        <v>EMAIL (SMTP)</v>
      </c>
      <c r="Z108" t="str">
        <f t="shared" si="10"/>
        <v/>
      </c>
      <c r="AA108" t="str">
        <f t="shared" si="11"/>
        <v/>
      </c>
      <c r="AD108" t="str">
        <f t="shared" si="12"/>
        <v>PLAIN TEXT UPPERCASE</v>
      </c>
      <c r="AE108" t="str">
        <f t="shared" si="13"/>
        <v>JTL TRIP SUPPORT</v>
      </c>
      <c r="AF108" t="str">
        <f t="shared" si="14"/>
        <v>NO SENDING ADDRESS - ADD messaging_to_emails</v>
      </c>
      <c r="AG108" t="str">
        <f t="shared" si="15"/>
        <v>ASSIGNABLE</v>
      </c>
    </row>
    <row r="109" spans="1:33" x14ac:dyDescent="0.3">
      <c r="A109" t="s">
        <v>6402</v>
      </c>
      <c r="B109" t="s">
        <v>6403</v>
      </c>
      <c r="T109" t="s">
        <v>3830</v>
      </c>
      <c r="V109" t="s">
        <v>6279</v>
      </c>
      <c r="W109">
        <f>IF($A109="","",COUNTIF(Aircraft!$N:$N,$A109))</f>
        <v>1</v>
      </c>
      <c r="X109" t="str">
        <f t="shared" si="8"/>
        <v>OK</v>
      </c>
      <c r="Y109" t="str">
        <f t="shared" si="9"/>
        <v>EMAIL (SMTP)</v>
      </c>
      <c r="Z109" t="str">
        <f t="shared" si="10"/>
        <v/>
      </c>
      <c r="AA109" t="str">
        <f t="shared" si="11"/>
        <v/>
      </c>
      <c r="AD109" t="str">
        <f t="shared" si="12"/>
        <v>PLAIN TEXT UPPERCASE</v>
      </c>
      <c r="AE109" t="str">
        <f t="shared" si="13"/>
        <v>JTL TRIP SUPPORT</v>
      </c>
      <c r="AF109" t="str">
        <f t="shared" si="14"/>
        <v>NO SENDING ADDRESS - ADD messaging_to_emails</v>
      </c>
      <c r="AG109" t="str">
        <f t="shared" si="15"/>
        <v>ASSIGNABLE</v>
      </c>
    </row>
    <row r="110" spans="1:33" x14ac:dyDescent="0.3">
      <c r="A110" t="s">
        <v>6404</v>
      </c>
      <c r="B110" t="s">
        <v>6405</v>
      </c>
      <c r="T110" t="s">
        <v>3830</v>
      </c>
      <c r="V110" t="s">
        <v>6279</v>
      </c>
      <c r="W110">
        <f>IF($A110="","",COUNTIF(Aircraft!$N:$N,$A110))</f>
        <v>1</v>
      </c>
      <c r="X110" t="str">
        <f t="shared" si="8"/>
        <v>OK</v>
      </c>
      <c r="Y110" t="str">
        <f t="shared" si="9"/>
        <v>EMAIL (SMTP)</v>
      </c>
      <c r="Z110" t="str">
        <f t="shared" si="10"/>
        <v/>
      </c>
      <c r="AA110" t="str">
        <f t="shared" si="11"/>
        <v/>
      </c>
      <c r="AD110" t="str">
        <f t="shared" si="12"/>
        <v>PLAIN TEXT UPPERCASE</v>
      </c>
      <c r="AE110" t="str">
        <f t="shared" si="13"/>
        <v>JTL TRIP SUPPORT</v>
      </c>
      <c r="AF110" t="str">
        <f t="shared" si="14"/>
        <v>NO SENDING ADDRESS - ADD messaging_to_emails</v>
      </c>
      <c r="AG110" t="str">
        <f t="shared" si="15"/>
        <v>ASSIGNABLE</v>
      </c>
    </row>
    <row r="111" spans="1:33" x14ac:dyDescent="0.3">
      <c r="A111" t="s">
        <v>6406</v>
      </c>
      <c r="B111" t="s">
        <v>6407</v>
      </c>
      <c r="T111" t="s">
        <v>3830</v>
      </c>
      <c r="V111" t="s">
        <v>6279</v>
      </c>
      <c r="W111">
        <f>IF($A111="","",COUNTIF(Aircraft!$N:$N,$A111))</f>
        <v>1</v>
      </c>
      <c r="X111" t="str">
        <f t="shared" si="8"/>
        <v>OK</v>
      </c>
      <c r="Y111" t="str">
        <f t="shared" si="9"/>
        <v>EMAIL (SMTP)</v>
      </c>
      <c r="Z111" t="str">
        <f t="shared" si="10"/>
        <v/>
      </c>
      <c r="AA111" t="str">
        <f t="shared" si="11"/>
        <v/>
      </c>
      <c r="AD111" t="str">
        <f t="shared" si="12"/>
        <v>PLAIN TEXT UPPERCASE</v>
      </c>
      <c r="AE111" t="str">
        <f t="shared" si="13"/>
        <v>JTL TRIP SUPPORT</v>
      </c>
      <c r="AF111" t="str">
        <f t="shared" si="14"/>
        <v>NO SENDING ADDRESS - ADD messaging_to_emails</v>
      </c>
      <c r="AG111" t="str">
        <f t="shared" si="15"/>
        <v>ASSIGNABLE</v>
      </c>
    </row>
    <row r="112" spans="1:33" x14ac:dyDescent="0.3">
      <c r="A112" t="s">
        <v>6408</v>
      </c>
      <c r="B112" t="s">
        <v>6409</v>
      </c>
      <c r="T112" t="s">
        <v>3830</v>
      </c>
      <c r="V112" t="s">
        <v>6279</v>
      </c>
      <c r="W112">
        <f>IF($A112="","",COUNTIF(Aircraft!$N:$N,$A112))</f>
        <v>1</v>
      </c>
      <c r="X112" t="str">
        <f t="shared" si="8"/>
        <v>OK</v>
      </c>
      <c r="Y112" t="str">
        <f t="shared" si="9"/>
        <v>EMAIL (SMTP)</v>
      </c>
      <c r="Z112" t="str">
        <f t="shared" si="10"/>
        <v/>
      </c>
      <c r="AA112" t="str">
        <f t="shared" si="11"/>
        <v/>
      </c>
      <c r="AD112" t="str">
        <f t="shared" si="12"/>
        <v>PLAIN TEXT UPPERCASE</v>
      </c>
      <c r="AE112" t="str">
        <f t="shared" si="13"/>
        <v>JTL TRIP SUPPORT</v>
      </c>
      <c r="AF112" t="str">
        <f t="shared" si="14"/>
        <v>NO SENDING ADDRESS - ADD messaging_to_emails</v>
      </c>
      <c r="AG112" t="str">
        <f t="shared" si="15"/>
        <v>ASSIGNABLE</v>
      </c>
    </row>
    <row r="113" spans="1:33" x14ac:dyDescent="0.3">
      <c r="A113" t="s">
        <v>6410</v>
      </c>
      <c r="B113" t="s">
        <v>6411</v>
      </c>
      <c r="T113" t="s">
        <v>3830</v>
      </c>
      <c r="V113" t="s">
        <v>6279</v>
      </c>
      <c r="W113">
        <f>IF($A113="","",COUNTIF(Aircraft!$N:$N,$A113))</f>
        <v>1</v>
      </c>
      <c r="X113" t="str">
        <f t="shared" si="8"/>
        <v>OK</v>
      </c>
      <c r="Y113" t="str">
        <f t="shared" si="9"/>
        <v>EMAIL (SMTP)</v>
      </c>
      <c r="Z113" t="str">
        <f t="shared" si="10"/>
        <v/>
      </c>
      <c r="AA113" t="str">
        <f t="shared" si="11"/>
        <v/>
      </c>
      <c r="AD113" t="str">
        <f t="shared" si="12"/>
        <v>PLAIN TEXT UPPERCASE</v>
      </c>
      <c r="AE113" t="str">
        <f t="shared" si="13"/>
        <v>JTL TRIP SUPPORT</v>
      </c>
      <c r="AF113" t="str">
        <f t="shared" si="14"/>
        <v>NO SENDING ADDRESS - ADD messaging_to_emails</v>
      </c>
      <c r="AG113" t="str">
        <f t="shared" si="15"/>
        <v>ASSIGNABLE</v>
      </c>
    </row>
    <row r="114" spans="1:33" x14ac:dyDescent="0.3">
      <c r="A114" t="s">
        <v>6412</v>
      </c>
      <c r="B114" t="s">
        <v>6413</v>
      </c>
      <c r="T114" t="s">
        <v>3830</v>
      </c>
      <c r="V114" t="s">
        <v>6279</v>
      </c>
      <c r="W114">
        <f>IF($A114="","",COUNTIF(Aircraft!$N:$N,$A114))</f>
        <v>1</v>
      </c>
      <c r="X114" t="str">
        <f t="shared" si="8"/>
        <v>OK</v>
      </c>
      <c r="Y114" t="str">
        <f t="shared" si="9"/>
        <v>EMAIL (SMTP)</v>
      </c>
      <c r="Z114" t="str">
        <f t="shared" si="10"/>
        <v/>
      </c>
      <c r="AA114" t="str">
        <f t="shared" si="11"/>
        <v/>
      </c>
      <c r="AD114" t="str">
        <f t="shared" si="12"/>
        <v>PLAIN TEXT UPPERCASE</v>
      </c>
      <c r="AE114" t="str">
        <f t="shared" si="13"/>
        <v>JTL TRIP SUPPORT</v>
      </c>
      <c r="AF114" t="str">
        <f t="shared" si="14"/>
        <v>NO SENDING ADDRESS - ADD messaging_to_emails</v>
      </c>
      <c r="AG114" t="str">
        <f t="shared" si="15"/>
        <v>ASSIGNABLE</v>
      </c>
    </row>
    <row r="115" spans="1:33" x14ac:dyDescent="0.3">
      <c r="A115" t="s">
        <v>6414</v>
      </c>
      <c r="B115" t="s">
        <v>6415</v>
      </c>
      <c r="T115" t="s">
        <v>3830</v>
      </c>
      <c r="V115" t="s">
        <v>6279</v>
      </c>
      <c r="W115">
        <f>IF($A115="","",COUNTIF(Aircraft!$N:$N,$A115))</f>
        <v>2</v>
      </c>
      <c r="X115" t="str">
        <f t="shared" si="8"/>
        <v>OK</v>
      </c>
      <c r="Y115" t="str">
        <f t="shared" si="9"/>
        <v>EMAIL (SMTP)</v>
      </c>
      <c r="Z115" t="str">
        <f t="shared" si="10"/>
        <v/>
      </c>
      <c r="AA115" t="str">
        <f t="shared" si="11"/>
        <v/>
      </c>
      <c r="AD115" t="str">
        <f t="shared" si="12"/>
        <v>PLAIN TEXT UPPERCASE</v>
      </c>
      <c r="AE115" t="str">
        <f t="shared" si="13"/>
        <v>JTL TRIP SUPPORT</v>
      </c>
      <c r="AF115" t="str">
        <f t="shared" si="14"/>
        <v>NO SENDING ADDRESS - ADD messaging_to_emails</v>
      </c>
      <c r="AG115" t="str">
        <f t="shared" si="15"/>
        <v>ASSIGNABLE</v>
      </c>
    </row>
    <row r="116" spans="1:33" x14ac:dyDescent="0.3">
      <c r="A116" t="s">
        <v>6416</v>
      </c>
      <c r="B116" t="s">
        <v>6417</v>
      </c>
      <c r="T116" t="s">
        <v>3830</v>
      </c>
      <c r="V116" t="s">
        <v>6279</v>
      </c>
      <c r="W116">
        <f>IF($A116="","",COUNTIF(Aircraft!$N:$N,$A116))</f>
        <v>1</v>
      </c>
      <c r="X116" t="str">
        <f t="shared" si="8"/>
        <v>OK</v>
      </c>
      <c r="Y116" t="str">
        <f t="shared" si="9"/>
        <v>EMAIL (SMTP)</v>
      </c>
      <c r="Z116" t="str">
        <f t="shared" si="10"/>
        <v/>
      </c>
      <c r="AA116" t="str">
        <f t="shared" si="11"/>
        <v/>
      </c>
      <c r="AD116" t="str">
        <f t="shared" si="12"/>
        <v>PLAIN TEXT UPPERCASE</v>
      </c>
      <c r="AE116" t="str">
        <f t="shared" si="13"/>
        <v>JTL TRIP SUPPORT</v>
      </c>
      <c r="AF116" t="str">
        <f t="shared" si="14"/>
        <v>NO SENDING ADDRESS - ADD messaging_to_emails</v>
      </c>
      <c r="AG116" t="str">
        <f t="shared" si="15"/>
        <v>ASSIGNABLE</v>
      </c>
    </row>
    <row r="117" spans="1:33" x14ac:dyDescent="0.3">
      <c r="A117" t="s">
        <v>6418</v>
      </c>
      <c r="B117" t="s">
        <v>6419</v>
      </c>
      <c r="T117" t="s">
        <v>3830</v>
      </c>
      <c r="V117" t="s">
        <v>6279</v>
      </c>
      <c r="W117">
        <f>IF($A117="","",COUNTIF(Aircraft!$N:$N,$A117))</f>
        <v>1</v>
      </c>
      <c r="X117" t="str">
        <f t="shared" si="8"/>
        <v>OK</v>
      </c>
      <c r="Y117" t="str">
        <f t="shared" si="9"/>
        <v>EMAIL (SMTP)</v>
      </c>
      <c r="Z117" t="str">
        <f t="shared" si="10"/>
        <v/>
      </c>
      <c r="AA117" t="str">
        <f t="shared" si="11"/>
        <v/>
      </c>
      <c r="AD117" t="str">
        <f t="shared" si="12"/>
        <v>PLAIN TEXT UPPERCASE</v>
      </c>
      <c r="AE117" t="str">
        <f t="shared" si="13"/>
        <v>JTL TRIP SUPPORT</v>
      </c>
      <c r="AF117" t="str">
        <f t="shared" si="14"/>
        <v>NO SENDING ADDRESS - ADD messaging_to_emails</v>
      </c>
      <c r="AG117" t="str">
        <f t="shared" si="15"/>
        <v>ASSIGNABLE</v>
      </c>
    </row>
    <row r="118" spans="1:33" x14ac:dyDescent="0.3">
      <c r="A118" t="s">
        <v>6420</v>
      </c>
      <c r="B118" t="s">
        <v>6421</v>
      </c>
      <c r="T118" t="s">
        <v>3830</v>
      </c>
      <c r="V118" t="s">
        <v>6279</v>
      </c>
      <c r="W118">
        <f>IF($A118="","",COUNTIF(Aircraft!$N:$N,$A118))</f>
        <v>1</v>
      </c>
      <c r="X118" t="str">
        <f t="shared" si="8"/>
        <v>OK</v>
      </c>
      <c r="Y118" t="str">
        <f t="shared" si="9"/>
        <v>EMAIL (SMTP)</v>
      </c>
      <c r="Z118" t="str">
        <f t="shared" si="10"/>
        <v/>
      </c>
      <c r="AA118" t="str">
        <f t="shared" si="11"/>
        <v/>
      </c>
      <c r="AD118" t="str">
        <f t="shared" si="12"/>
        <v>PLAIN TEXT UPPERCASE</v>
      </c>
      <c r="AE118" t="str">
        <f t="shared" si="13"/>
        <v>JTL TRIP SUPPORT</v>
      </c>
      <c r="AF118" t="str">
        <f t="shared" si="14"/>
        <v>NO SENDING ADDRESS - ADD messaging_to_emails</v>
      </c>
      <c r="AG118" t="str">
        <f t="shared" si="15"/>
        <v>ASSIGNABLE</v>
      </c>
    </row>
    <row r="119" spans="1:33" x14ac:dyDescent="0.3">
      <c r="A119" t="s">
        <v>6422</v>
      </c>
      <c r="B119" t="s">
        <v>6423</v>
      </c>
      <c r="T119" t="s">
        <v>3830</v>
      </c>
      <c r="V119" t="s">
        <v>6279</v>
      </c>
      <c r="W119">
        <f>IF($A119="","",COUNTIF(Aircraft!$N:$N,$A119))</f>
        <v>1</v>
      </c>
      <c r="X119" t="str">
        <f t="shared" si="8"/>
        <v>OK</v>
      </c>
      <c r="Y119" t="str">
        <f t="shared" si="9"/>
        <v>EMAIL (SMTP)</v>
      </c>
      <c r="Z119" t="str">
        <f t="shared" si="10"/>
        <v/>
      </c>
      <c r="AA119" t="str">
        <f t="shared" si="11"/>
        <v/>
      </c>
      <c r="AD119" t="str">
        <f t="shared" si="12"/>
        <v>PLAIN TEXT UPPERCASE</v>
      </c>
      <c r="AE119" t="str">
        <f t="shared" si="13"/>
        <v>JTL TRIP SUPPORT</v>
      </c>
      <c r="AF119" t="str">
        <f t="shared" si="14"/>
        <v>NO SENDING ADDRESS - ADD messaging_to_emails</v>
      </c>
      <c r="AG119" t="str">
        <f t="shared" si="15"/>
        <v>ASSIGNABLE</v>
      </c>
    </row>
    <row r="120" spans="1:33" x14ac:dyDescent="0.3">
      <c r="A120" t="s">
        <v>6424</v>
      </c>
      <c r="B120" t="s">
        <v>6425</v>
      </c>
      <c r="T120" t="s">
        <v>3830</v>
      </c>
      <c r="V120" t="s">
        <v>6279</v>
      </c>
      <c r="W120">
        <f>IF($A120="","",COUNTIF(Aircraft!$N:$N,$A120))</f>
        <v>5</v>
      </c>
      <c r="X120" t="str">
        <f t="shared" si="8"/>
        <v>OK</v>
      </c>
      <c r="Y120" t="str">
        <f t="shared" si="9"/>
        <v>EMAIL (SMTP)</v>
      </c>
      <c r="Z120" t="str">
        <f t="shared" si="10"/>
        <v/>
      </c>
      <c r="AA120" t="str">
        <f t="shared" si="11"/>
        <v/>
      </c>
      <c r="AD120" t="str">
        <f t="shared" si="12"/>
        <v>PLAIN TEXT UPPERCASE</v>
      </c>
      <c r="AE120" t="str">
        <f t="shared" si="13"/>
        <v>JTL TRIP SUPPORT</v>
      </c>
      <c r="AF120" t="str">
        <f t="shared" si="14"/>
        <v>NO SENDING ADDRESS - ADD messaging_to_emails</v>
      </c>
      <c r="AG120" t="str">
        <f t="shared" si="15"/>
        <v>ASSIGNABLE</v>
      </c>
    </row>
    <row r="121" spans="1:33" x14ac:dyDescent="0.3">
      <c r="A121" t="s">
        <v>6426</v>
      </c>
      <c r="B121" t="s">
        <v>6427</v>
      </c>
      <c r="T121" t="s">
        <v>3830</v>
      </c>
      <c r="V121" t="s">
        <v>6279</v>
      </c>
      <c r="W121">
        <f>IF($A121="","",COUNTIF(Aircraft!$N:$N,$A121))</f>
        <v>1</v>
      </c>
      <c r="X121" t="str">
        <f t="shared" si="8"/>
        <v>OK</v>
      </c>
      <c r="Y121" t="str">
        <f t="shared" si="9"/>
        <v>EMAIL (SMTP)</v>
      </c>
      <c r="Z121" t="str">
        <f t="shared" si="10"/>
        <v/>
      </c>
      <c r="AA121" t="str">
        <f t="shared" si="11"/>
        <v/>
      </c>
      <c r="AD121" t="str">
        <f t="shared" si="12"/>
        <v>PLAIN TEXT UPPERCASE</v>
      </c>
      <c r="AE121" t="str">
        <f t="shared" si="13"/>
        <v>JTL TRIP SUPPORT</v>
      </c>
      <c r="AF121" t="str">
        <f t="shared" si="14"/>
        <v>NO SENDING ADDRESS - ADD messaging_to_emails</v>
      </c>
      <c r="AG121" t="str">
        <f t="shared" si="15"/>
        <v>ASSIGNABLE</v>
      </c>
    </row>
    <row r="122" spans="1:33" x14ac:dyDescent="0.3">
      <c r="A122" t="s">
        <v>6428</v>
      </c>
      <c r="B122" t="s">
        <v>6429</v>
      </c>
      <c r="T122" t="s">
        <v>3830</v>
      </c>
      <c r="V122" t="s">
        <v>6279</v>
      </c>
      <c r="W122">
        <f>IF($A122="","",COUNTIF(Aircraft!$N:$N,$A122))</f>
        <v>2</v>
      </c>
      <c r="X122" t="str">
        <f t="shared" si="8"/>
        <v>OK</v>
      </c>
      <c r="Y122" t="str">
        <f t="shared" si="9"/>
        <v>EMAIL (SMTP)</v>
      </c>
      <c r="Z122" t="str">
        <f t="shared" si="10"/>
        <v/>
      </c>
      <c r="AA122" t="str">
        <f t="shared" si="11"/>
        <v/>
      </c>
      <c r="AD122" t="str">
        <f t="shared" si="12"/>
        <v>PLAIN TEXT UPPERCASE</v>
      </c>
      <c r="AE122" t="str">
        <f t="shared" si="13"/>
        <v>JTL TRIP SUPPORT</v>
      </c>
      <c r="AF122" t="str">
        <f t="shared" si="14"/>
        <v>NO SENDING ADDRESS - ADD messaging_to_emails</v>
      </c>
      <c r="AG122" t="str">
        <f t="shared" si="15"/>
        <v>ASSIGNABLE</v>
      </c>
    </row>
    <row r="123" spans="1:33" x14ac:dyDescent="0.3">
      <c r="A123" t="s">
        <v>6430</v>
      </c>
      <c r="B123" t="s">
        <v>6431</v>
      </c>
      <c r="T123" t="s">
        <v>3830</v>
      </c>
      <c r="V123" t="s">
        <v>6279</v>
      </c>
      <c r="W123">
        <f>IF($A123="","",COUNTIF(Aircraft!$N:$N,$A123))</f>
        <v>2</v>
      </c>
      <c r="X123" t="str">
        <f t="shared" si="8"/>
        <v>OK</v>
      </c>
      <c r="Y123" t="str">
        <f t="shared" si="9"/>
        <v>EMAIL (SMTP)</v>
      </c>
      <c r="Z123" t="str">
        <f t="shared" si="10"/>
        <v/>
      </c>
      <c r="AA123" t="str">
        <f t="shared" si="11"/>
        <v/>
      </c>
      <c r="AD123" t="str">
        <f t="shared" si="12"/>
        <v>PLAIN TEXT UPPERCASE</v>
      </c>
      <c r="AE123" t="str">
        <f t="shared" si="13"/>
        <v>JTL TRIP SUPPORT</v>
      </c>
      <c r="AF123" t="str">
        <f t="shared" si="14"/>
        <v>NO SENDING ADDRESS - ADD messaging_to_emails</v>
      </c>
      <c r="AG123" t="str">
        <f t="shared" si="15"/>
        <v>ASSIGNABLE</v>
      </c>
    </row>
    <row r="124" spans="1:33" x14ac:dyDescent="0.3">
      <c r="A124" t="s">
        <v>6432</v>
      </c>
      <c r="B124" t="s">
        <v>6433</v>
      </c>
      <c r="T124" t="s">
        <v>3830</v>
      </c>
      <c r="V124" t="s">
        <v>6279</v>
      </c>
      <c r="W124">
        <f>IF($A124="","",COUNTIF(Aircraft!$N:$N,$A124))</f>
        <v>2</v>
      </c>
      <c r="X124" t="str">
        <f t="shared" si="8"/>
        <v>OK</v>
      </c>
      <c r="Y124" t="str">
        <f t="shared" si="9"/>
        <v>EMAIL (SMTP)</v>
      </c>
      <c r="Z124" t="str">
        <f t="shared" si="10"/>
        <v/>
      </c>
      <c r="AA124" t="str">
        <f t="shared" si="11"/>
        <v/>
      </c>
      <c r="AD124" t="str">
        <f t="shared" si="12"/>
        <v>PLAIN TEXT UPPERCASE</v>
      </c>
      <c r="AE124" t="str">
        <f t="shared" si="13"/>
        <v>JTL TRIP SUPPORT</v>
      </c>
      <c r="AF124" t="str">
        <f t="shared" si="14"/>
        <v>NO SENDING ADDRESS - ADD messaging_to_emails</v>
      </c>
      <c r="AG124" t="str">
        <f t="shared" si="15"/>
        <v>ASSIGNABLE</v>
      </c>
    </row>
    <row r="125" spans="1:33" x14ac:dyDescent="0.3">
      <c r="A125" t="s">
        <v>6434</v>
      </c>
      <c r="B125" t="s">
        <v>6435</v>
      </c>
      <c r="T125" t="s">
        <v>3830</v>
      </c>
      <c r="V125" t="s">
        <v>6279</v>
      </c>
      <c r="W125">
        <f>IF($A125="","",COUNTIF(Aircraft!$N:$N,$A125))</f>
        <v>1</v>
      </c>
      <c r="X125" t="str">
        <f t="shared" si="8"/>
        <v>OK</v>
      </c>
      <c r="Y125" t="str">
        <f t="shared" si="9"/>
        <v>EMAIL (SMTP)</v>
      </c>
      <c r="Z125" t="str">
        <f t="shared" si="10"/>
        <v/>
      </c>
      <c r="AA125" t="str">
        <f t="shared" si="11"/>
        <v/>
      </c>
      <c r="AD125" t="str">
        <f t="shared" si="12"/>
        <v>PLAIN TEXT UPPERCASE</v>
      </c>
      <c r="AE125" t="str">
        <f t="shared" si="13"/>
        <v>JTL TRIP SUPPORT</v>
      </c>
      <c r="AF125" t="str">
        <f t="shared" si="14"/>
        <v>NO SENDING ADDRESS - ADD messaging_to_emails</v>
      </c>
      <c r="AG125" t="str">
        <f t="shared" si="15"/>
        <v>ASSIGNABLE</v>
      </c>
    </row>
    <row r="126" spans="1:33" x14ac:dyDescent="0.3">
      <c r="A126" t="s">
        <v>6436</v>
      </c>
      <c r="B126" t="s">
        <v>6437</v>
      </c>
      <c r="T126" t="s">
        <v>3830</v>
      </c>
      <c r="V126" t="s">
        <v>6279</v>
      </c>
      <c r="W126">
        <f>IF($A126="","",COUNTIF(Aircraft!$N:$N,$A126))</f>
        <v>2</v>
      </c>
      <c r="X126" t="str">
        <f t="shared" si="8"/>
        <v>OK</v>
      </c>
      <c r="Y126" t="str">
        <f t="shared" si="9"/>
        <v>EMAIL (SMTP)</v>
      </c>
      <c r="Z126" t="str">
        <f t="shared" si="10"/>
        <v/>
      </c>
      <c r="AA126" t="str">
        <f t="shared" si="11"/>
        <v/>
      </c>
      <c r="AD126" t="str">
        <f t="shared" si="12"/>
        <v>PLAIN TEXT UPPERCASE</v>
      </c>
      <c r="AE126" t="str">
        <f t="shared" si="13"/>
        <v>JTL TRIP SUPPORT</v>
      </c>
      <c r="AF126" t="str">
        <f t="shared" si="14"/>
        <v>NO SENDING ADDRESS - ADD messaging_to_emails</v>
      </c>
      <c r="AG126" t="str">
        <f t="shared" si="15"/>
        <v>ASSIGNABLE</v>
      </c>
    </row>
    <row r="127" spans="1:33" x14ac:dyDescent="0.3">
      <c r="A127" t="s">
        <v>6438</v>
      </c>
      <c r="B127" t="s">
        <v>6439</v>
      </c>
      <c r="T127" t="s">
        <v>3830</v>
      </c>
      <c r="V127" t="s">
        <v>6279</v>
      </c>
      <c r="W127">
        <f>IF($A127="","",COUNTIF(Aircraft!$N:$N,$A127))</f>
        <v>1</v>
      </c>
      <c r="X127" t="str">
        <f t="shared" si="8"/>
        <v>OK</v>
      </c>
      <c r="Y127" t="str">
        <f t="shared" si="9"/>
        <v>EMAIL (SMTP)</v>
      </c>
      <c r="Z127" t="str">
        <f t="shared" si="10"/>
        <v/>
      </c>
      <c r="AA127" t="str">
        <f t="shared" si="11"/>
        <v/>
      </c>
      <c r="AD127" t="str">
        <f t="shared" si="12"/>
        <v>PLAIN TEXT UPPERCASE</v>
      </c>
      <c r="AE127" t="str">
        <f t="shared" si="13"/>
        <v>JTL TRIP SUPPORT</v>
      </c>
      <c r="AF127" t="str">
        <f t="shared" si="14"/>
        <v>NO SENDING ADDRESS - ADD messaging_to_emails</v>
      </c>
      <c r="AG127" t="str">
        <f t="shared" si="15"/>
        <v>ASSIGNABLE</v>
      </c>
    </row>
    <row r="128" spans="1:33" x14ac:dyDescent="0.3">
      <c r="A128" t="s">
        <v>6440</v>
      </c>
      <c r="B128" t="s">
        <v>6441</v>
      </c>
      <c r="T128" t="s">
        <v>3830</v>
      </c>
      <c r="V128" t="s">
        <v>6279</v>
      </c>
      <c r="W128">
        <f>IF($A128="","",COUNTIF(Aircraft!$N:$N,$A128))</f>
        <v>1</v>
      </c>
      <c r="X128" t="str">
        <f t="shared" si="8"/>
        <v>OK</v>
      </c>
      <c r="Y128" t="str">
        <f t="shared" si="9"/>
        <v>EMAIL (SMTP)</v>
      </c>
      <c r="Z128" t="str">
        <f t="shared" si="10"/>
        <v/>
      </c>
      <c r="AA128" t="str">
        <f t="shared" si="11"/>
        <v/>
      </c>
      <c r="AD128" t="str">
        <f t="shared" si="12"/>
        <v>PLAIN TEXT UPPERCASE</v>
      </c>
      <c r="AE128" t="str">
        <f t="shared" si="13"/>
        <v>JTL TRIP SUPPORT</v>
      </c>
      <c r="AF128" t="str">
        <f t="shared" si="14"/>
        <v>NO SENDING ADDRESS - ADD messaging_to_emails</v>
      </c>
      <c r="AG128" t="str">
        <f t="shared" si="15"/>
        <v>ASSIGNABLE</v>
      </c>
    </row>
    <row r="129" spans="1:33" x14ac:dyDescent="0.3">
      <c r="A129" t="s">
        <v>6442</v>
      </c>
      <c r="B129" t="s">
        <v>6443</v>
      </c>
      <c r="T129" t="s">
        <v>3830</v>
      </c>
      <c r="V129" t="s">
        <v>6279</v>
      </c>
      <c r="W129">
        <f>IF($A129="","",COUNTIF(Aircraft!$N:$N,$A129))</f>
        <v>1</v>
      </c>
      <c r="X129" t="str">
        <f t="shared" si="8"/>
        <v>OK</v>
      </c>
      <c r="Y129" t="str">
        <f t="shared" si="9"/>
        <v>EMAIL (SMTP)</v>
      </c>
      <c r="Z129" t="str">
        <f t="shared" si="10"/>
        <v/>
      </c>
      <c r="AA129" t="str">
        <f t="shared" si="11"/>
        <v/>
      </c>
      <c r="AD129" t="str">
        <f t="shared" si="12"/>
        <v>PLAIN TEXT UPPERCASE</v>
      </c>
      <c r="AE129" t="str">
        <f t="shared" si="13"/>
        <v>JTL TRIP SUPPORT</v>
      </c>
      <c r="AF129" t="str">
        <f t="shared" si="14"/>
        <v>NO SENDING ADDRESS - ADD messaging_to_emails</v>
      </c>
      <c r="AG129" t="str">
        <f t="shared" si="15"/>
        <v>ASSIGNABLE</v>
      </c>
    </row>
    <row r="130" spans="1:33" x14ac:dyDescent="0.3">
      <c r="A130" t="s">
        <v>6444</v>
      </c>
      <c r="B130" t="s">
        <v>6445</v>
      </c>
      <c r="T130" t="s">
        <v>3830</v>
      </c>
      <c r="V130" t="s">
        <v>6279</v>
      </c>
      <c r="W130">
        <f>IF($A130="","",COUNTIF(Aircraft!$N:$N,$A130))</f>
        <v>1</v>
      </c>
      <c r="X130" t="str">
        <f t="shared" si="8"/>
        <v>OK</v>
      </c>
      <c r="Y130" t="str">
        <f t="shared" si="9"/>
        <v>EMAIL (SMTP)</v>
      </c>
      <c r="Z130" t="str">
        <f t="shared" si="10"/>
        <v/>
      </c>
      <c r="AA130" t="str">
        <f t="shared" si="11"/>
        <v/>
      </c>
      <c r="AD130" t="str">
        <f t="shared" si="12"/>
        <v>PLAIN TEXT UPPERCASE</v>
      </c>
      <c r="AE130" t="str">
        <f t="shared" si="13"/>
        <v>JTL TRIP SUPPORT</v>
      </c>
      <c r="AF130" t="str">
        <f t="shared" si="14"/>
        <v>NO SENDING ADDRESS - ADD messaging_to_emails</v>
      </c>
      <c r="AG130" t="str">
        <f t="shared" si="15"/>
        <v>ASSIGNABLE</v>
      </c>
    </row>
    <row r="131" spans="1:33" x14ac:dyDescent="0.3">
      <c r="A131" t="s">
        <v>6446</v>
      </c>
      <c r="B131" t="s">
        <v>6447</v>
      </c>
      <c r="T131" t="s">
        <v>3830</v>
      </c>
      <c r="V131" t="s">
        <v>6279</v>
      </c>
      <c r="W131">
        <f>IF($A131="","",COUNTIF(Aircraft!$N:$N,$A131))</f>
        <v>7</v>
      </c>
      <c r="X131" t="str">
        <f t="shared" ref="X131:X194" si="16">IF($A131="","",IF($B131="","NAME REQUIRED",IF($W131=0,"NO AIRCRAFT LINKED","OK")))</f>
        <v>OK</v>
      </c>
      <c r="Y131" t="str">
        <f t="shared" ref="Y131:Y194" si="17">IF($A131="","","EMAIL (SMTP)")</f>
        <v>EMAIL (SMTP)</v>
      </c>
      <c r="Z131" t="str">
        <f t="shared" ref="Z131:Z194" si="18">IF($A131="","",IF($N131&lt;&gt;"",$N131,IF($L131&lt;&gt;"",$L131,"")))</f>
        <v/>
      </c>
      <c r="AA131" t="str">
        <f t="shared" ref="AA131:AA194" si="19">IF($A131="","",IF($O131&lt;&gt;"",$O131,""))</f>
        <v/>
      </c>
      <c r="AD131" t="str">
        <f t="shared" ref="AD131:AD194" si="20">IF($A131="","","PLAIN TEXT UPPERCASE")</f>
        <v>PLAIN TEXT UPPERCASE</v>
      </c>
      <c r="AE131" t="str">
        <f t="shared" ref="AE131:AE194" si="21">IF($A131="","","JTL TRIP SUPPORT")</f>
        <v>JTL TRIP SUPPORT</v>
      </c>
      <c r="AF131" t="str">
        <f t="shared" ref="AF131:AF194" si="22">IF($A131="","",IF($Y131="EMAIL (SMTP)",IF($Z131="","NO SENDING ADDRESS - ADD messaging_to_emails","OK"),IF(AND($AB131="",$AC131=""),"CHANNEL SET BUT NO SITA/AFTN ADDRESS","OK")))</f>
        <v>NO SENDING ADDRESS - ADD messaging_to_emails</v>
      </c>
      <c r="AG131" t="str">
        <f t="shared" ref="AG131:AG194" si="23">IF($A131="","",IF(TRIM($B131)="","BLOCKED - OPERATOR NAME REQUIRED",IF(UPPER($T131)="INACTIVE","BLOCKED - INACTIVE","ASSIGNABLE")))</f>
        <v>ASSIGNABLE</v>
      </c>
    </row>
    <row r="132" spans="1:33" x14ac:dyDescent="0.3">
      <c r="A132" t="s">
        <v>6448</v>
      </c>
      <c r="B132" t="s">
        <v>6449</v>
      </c>
      <c r="T132" t="s">
        <v>3830</v>
      </c>
      <c r="V132" t="s">
        <v>6279</v>
      </c>
      <c r="W132">
        <f>IF($A132="","",COUNTIF(Aircraft!$N:$N,$A132))</f>
        <v>1</v>
      </c>
      <c r="X132" t="str">
        <f t="shared" si="16"/>
        <v>OK</v>
      </c>
      <c r="Y132" t="str">
        <f t="shared" si="17"/>
        <v>EMAIL (SMTP)</v>
      </c>
      <c r="Z132" t="str">
        <f t="shared" si="18"/>
        <v/>
      </c>
      <c r="AA132" t="str">
        <f t="shared" si="19"/>
        <v/>
      </c>
      <c r="AD132" t="str">
        <f t="shared" si="20"/>
        <v>PLAIN TEXT UPPERCASE</v>
      </c>
      <c r="AE132" t="str">
        <f t="shared" si="21"/>
        <v>JTL TRIP SUPPORT</v>
      </c>
      <c r="AF132" t="str">
        <f t="shared" si="22"/>
        <v>NO SENDING ADDRESS - ADD messaging_to_emails</v>
      </c>
      <c r="AG132" t="str">
        <f t="shared" si="23"/>
        <v>ASSIGNABLE</v>
      </c>
    </row>
    <row r="133" spans="1:33" x14ac:dyDescent="0.3">
      <c r="A133" t="s">
        <v>6450</v>
      </c>
      <c r="B133" t="s">
        <v>6451</v>
      </c>
      <c r="T133" t="s">
        <v>3830</v>
      </c>
      <c r="V133" t="s">
        <v>6279</v>
      </c>
      <c r="W133">
        <f>IF($A133="","",COUNTIF(Aircraft!$N:$N,$A133))</f>
        <v>1</v>
      </c>
      <c r="X133" t="str">
        <f t="shared" si="16"/>
        <v>OK</v>
      </c>
      <c r="Y133" t="str">
        <f t="shared" si="17"/>
        <v>EMAIL (SMTP)</v>
      </c>
      <c r="Z133" t="str">
        <f t="shared" si="18"/>
        <v/>
      </c>
      <c r="AA133" t="str">
        <f t="shared" si="19"/>
        <v/>
      </c>
      <c r="AD133" t="str">
        <f t="shared" si="20"/>
        <v>PLAIN TEXT UPPERCASE</v>
      </c>
      <c r="AE133" t="str">
        <f t="shared" si="21"/>
        <v>JTL TRIP SUPPORT</v>
      </c>
      <c r="AF133" t="str">
        <f t="shared" si="22"/>
        <v>NO SENDING ADDRESS - ADD messaging_to_emails</v>
      </c>
      <c r="AG133" t="str">
        <f t="shared" si="23"/>
        <v>ASSIGNABLE</v>
      </c>
    </row>
    <row r="134" spans="1:33" x14ac:dyDescent="0.3">
      <c r="A134" t="s">
        <v>6452</v>
      </c>
      <c r="B134" t="s">
        <v>6453</v>
      </c>
      <c r="T134" t="s">
        <v>3830</v>
      </c>
      <c r="V134" t="s">
        <v>6279</v>
      </c>
      <c r="W134">
        <f>IF($A134="","",COUNTIF(Aircraft!$N:$N,$A134))</f>
        <v>1</v>
      </c>
      <c r="X134" t="str">
        <f t="shared" si="16"/>
        <v>OK</v>
      </c>
      <c r="Y134" t="str">
        <f t="shared" si="17"/>
        <v>EMAIL (SMTP)</v>
      </c>
      <c r="Z134" t="str">
        <f t="shared" si="18"/>
        <v/>
      </c>
      <c r="AA134" t="str">
        <f t="shared" si="19"/>
        <v/>
      </c>
      <c r="AD134" t="str">
        <f t="shared" si="20"/>
        <v>PLAIN TEXT UPPERCASE</v>
      </c>
      <c r="AE134" t="str">
        <f t="shared" si="21"/>
        <v>JTL TRIP SUPPORT</v>
      </c>
      <c r="AF134" t="str">
        <f t="shared" si="22"/>
        <v>NO SENDING ADDRESS - ADD messaging_to_emails</v>
      </c>
      <c r="AG134" t="str">
        <f t="shared" si="23"/>
        <v>ASSIGNABLE</v>
      </c>
    </row>
    <row r="135" spans="1:33" x14ac:dyDescent="0.3">
      <c r="A135" t="s">
        <v>6454</v>
      </c>
      <c r="B135" t="s">
        <v>6455</v>
      </c>
      <c r="T135" t="s">
        <v>3830</v>
      </c>
      <c r="V135" t="s">
        <v>6279</v>
      </c>
      <c r="W135">
        <f>IF($A135="","",COUNTIF(Aircraft!$N:$N,$A135))</f>
        <v>1</v>
      </c>
      <c r="X135" t="str">
        <f t="shared" si="16"/>
        <v>OK</v>
      </c>
      <c r="Y135" t="str">
        <f t="shared" si="17"/>
        <v>EMAIL (SMTP)</v>
      </c>
      <c r="Z135" t="str">
        <f t="shared" si="18"/>
        <v/>
      </c>
      <c r="AA135" t="str">
        <f t="shared" si="19"/>
        <v/>
      </c>
      <c r="AD135" t="str">
        <f t="shared" si="20"/>
        <v>PLAIN TEXT UPPERCASE</v>
      </c>
      <c r="AE135" t="str">
        <f t="shared" si="21"/>
        <v>JTL TRIP SUPPORT</v>
      </c>
      <c r="AF135" t="str">
        <f t="shared" si="22"/>
        <v>NO SENDING ADDRESS - ADD messaging_to_emails</v>
      </c>
      <c r="AG135" t="str">
        <f t="shared" si="23"/>
        <v>ASSIGNABLE</v>
      </c>
    </row>
    <row r="136" spans="1:33" x14ac:dyDescent="0.3">
      <c r="A136" t="s">
        <v>6456</v>
      </c>
      <c r="B136" t="s">
        <v>6457</v>
      </c>
      <c r="T136" t="s">
        <v>3830</v>
      </c>
      <c r="V136" t="s">
        <v>6279</v>
      </c>
      <c r="W136">
        <f>IF($A136="","",COUNTIF(Aircraft!$N:$N,$A136))</f>
        <v>1</v>
      </c>
      <c r="X136" t="str">
        <f t="shared" si="16"/>
        <v>OK</v>
      </c>
      <c r="Y136" t="str">
        <f t="shared" si="17"/>
        <v>EMAIL (SMTP)</v>
      </c>
      <c r="Z136" t="str">
        <f t="shared" si="18"/>
        <v/>
      </c>
      <c r="AA136" t="str">
        <f t="shared" si="19"/>
        <v/>
      </c>
      <c r="AD136" t="str">
        <f t="shared" si="20"/>
        <v>PLAIN TEXT UPPERCASE</v>
      </c>
      <c r="AE136" t="str">
        <f t="shared" si="21"/>
        <v>JTL TRIP SUPPORT</v>
      </c>
      <c r="AF136" t="str">
        <f t="shared" si="22"/>
        <v>NO SENDING ADDRESS - ADD messaging_to_emails</v>
      </c>
      <c r="AG136" t="str">
        <f t="shared" si="23"/>
        <v>ASSIGNABLE</v>
      </c>
    </row>
    <row r="137" spans="1:33" x14ac:dyDescent="0.3">
      <c r="A137" t="s">
        <v>6458</v>
      </c>
      <c r="B137" t="s">
        <v>6459</v>
      </c>
      <c r="T137" t="s">
        <v>3830</v>
      </c>
      <c r="V137" t="s">
        <v>6279</v>
      </c>
      <c r="W137">
        <f>IF($A137="","",COUNTIF(Aircraft!$N:$N,$A137))</f>
        <v>2</v>
      </c>
      <c r="X137" t="str">
        <f t="shared" si="16"/>
        <v>OK</v>
      </c>
      <c r="Y137" t="str">
        <f t="shared" si="17"/>
        <v>EMAIL (SMTP)</v>
      </c>
      <c r="Z137" t="str">
        <f t="shared" si="18"/>
        <v/>
      </c>
      <c r="AA137" t="str">
        <f t="shared" si="19"/>
        <v/>
      </c>
      <c r="AD137" t="str">
        <f t="shared" si="20"/>
        <v>PLAIN TEXT UPPERCASE</v>
      </c>
      <c r="AE137" t="str">
        <f t="shared" si="21"/>
        <v>JTL TRIP SUPPORT</v>
      </c>
      <c r="AF137" t="str">
        <f t="shared" si="22"/>
        <v>NO SENDING ADDRESS - ADD messaging_to_emails</v>
      </c>
      <c r="AG137" t="str">
        <f t="shared" si="23"/>
        <v>ASSIGNABLE</v>
      </c>
    </row>
    <row r="138" spans="1:33" x14ac:dyDescent="0.3">
      <c r="A138" t="s">
        <v>6460</v>
      </c>
      <c r="B138" t="s">
        <v>6461</v>
      </c>
      <c r="T138" t="s">
        <v>3830</v>
      </c>
      <c r="V138" t="s">
        <v>6279</v>
      </c>
      <c r="W138">
        <f>IF($A138="","",COUNTIF(Aircraft!$N:$N,$A138))</f>
        <v>2</v>
      </c>
      <c r="X138" t="str">
        <f t="shared" si="16"/>
        <v>OK</v>
      </c>
      <c r="Y138" t="str">
        <f t="shared" si="17"/>
        <v>EMAIL (SMTP)</v>
      </c>
      <c r="Z138" t="str">
        <f t="shared" si="18"/>
        <v/>
      </c>
      <c r="AA138" t="str">
        <f t="shared" si="19"/>
        <v/>
      </c>
      <c r="AD138" t="str">
        <f t="shared" si="20"/>
        <v>PLAIN TEXT UPPERCASE</v>
      </c>
      <c r="AE138" t="str">
        <f t="shared" si="21"/>
        <v>JTL TRIP SUPPORT</v>
      </c>
      <c r="AF138" t="str">
        <f t="shared" si="22"/>
        <v>NO SENDING ADDRESS - ADD messaging_to_emails</v>
      </c>
      <c r="AG138" t="str">
        <f t="shared" si="23"/>
        <v>ASSIGNABLE</v>
      </c>
    </row>
    <row r="139" spans="1:33" x14ac:dyDescent="0.3">
      <c r="A139" t="s">
        <v>6462</v>
      </c>
      <c r="B139" t="s">
        <v>6463</v>
      </c>
      <c r="T139" t="s">
        <v>3830</v>
      </c>
      <c r="V139" t="s">
        <v>6279</v>
      </c>
      <c r="W139">
        <f>IF($A139="","",COUNTIF(Aircraft!$N:$N,$A139))</f>
        <v>1</v>
      </c>
      <c r="X139" t="str">
        <f t="shared" si="16"/>
        <v>OK</v>
      </c>
      <c r="Y139" t="str">
        <f t="shared" si="17"/>
        <v>EMAIL (SMTP)</v>
      </c>
      <c r="Z139" t="str">
        <f t="shared" si="18"/>
        <v/>
      </c>
      <c r="AA139" t="str">
        <f t="shared" si="19"/>
        <v/>
      </c>
      <c r="AD139" t="str">
        <f t="shared" si="20"/>
        <v>PLAIN TEXT UPPERCASE</v>
      </c>
      <c r="AE139" t="str">
        <f t="shared" si="21"/>
        <v>JTL TRIP SUPPORT</v>
      </c>
      <c r="AF139" t="str">
        <f t="shared" si="22"/>
        <v>NO SENDING ADDRESS - ADD messaging_to_emails</v>
      </c>
      <c r="AG139" t="str">
        <f t="shared" si="23"/>
        <v>ASSIGNABLE</v>
      </c>
    </row>
    <row r="140" spans="1:33" x14ac:dyDescent="0.3">
      <c r="A140" t="s">
        <v>6464</v>
      </c>
      <c r="B140" t="s">
        <v>6465</v>
      </c>
      <c r="T140" t="s">
        <v>3830</v>
      </c>
      <c r="V140" t="s">
        <v>6279</v>
      </c>
      <c r="W140">
        <f>IF($A140="","",COUNTIF(Aircraft!$N:$N,$A140))</f>
        <v>1</v>
      </c>
      <c r="X140" t="str">
        <f t="shared" si="16"/>
        <v>OK</v>
      </c>
      <c r="Y140" t="str">
        <f t="shared" si="17"/>
        <v>EMAIL (SMTP)</v>
      </c>
      <c r="Z140" t="str">
        <f t="shared" si="18"/>
        <v/>
      </c>
      <c r="AA140" t="str">
        <f t="shared" si="19"/>
        <v/>
      </c>
      <c r="AD140" t="str">
        <f t="shared" si="20"/>
        <v>PLAIN TEXT UPPERCASE</v>
      </c>
      <c r="AE140" t="str">
        <f t="shared" si="21"/>
        <v>JTL TRIP SUPPORT</v>
      </c>
      <c r="AF140" t="str">
        <f t="shared" si="22"/>
        <v>NO SENDING ADDRESS - ADD messaging_to_emails</v>
      </c>
      <c r="AG140" t="str">
        <f t="shared" si="23"/>
        <v>ASSIGNABLE</v>
      </c>
    </row>
    <row r="141" spans="1:33" x14ac:dyDescent="0.3">
      <c r="A141" t="s">
        <v>6466</v>
      </c>
      <c r="B141" t="s">
        <v>6467</v>
      </c>
      <c r="T141" t="s">
        <v>3830</v>
      </c>
      <c r="V141" t="s">
        <v>6279</v>
      </c>
      <c r="W141">
        <f>IF($A141="","",COUNTIF(Aircraft!$N:$N,$A141))</f>
        <v>1</v>
      </c>
      <c r="X141" t="str">
        <f t="shared" si="16"/>
        <v>OK</v>
      </c>
      <c r="Y141" t="str">
        <f t="shared" si="17"/>
        <v>EMAIL (SMTP)</v>
      </c>
      <c r="Z141" t="str">
        <f t="shared" si="18"/>
        <v/>
      </c>
      <c r="AA141" t="str">
        <f t="shared" si="19"/>
        <v/>
      </c>
      <c r="AD141" t="str">
        <f t="shared" si="20"/>
        <v>PLAIN TEXT UPPERCASE</v>
      </c>
      <c r="AE141" t="str">
        <f t="shared" si="21"/>
        <v>JTL TRIP SUPPORT</v>
      </c>
      <c r="AF141" t="str">
        <f t="shared" si="22"/>
        <v>NO SENDING ADDRESS - ADD messaging_to_emails</v>
      </c>
      <c r="AG141" t="str">
        <f t="shared" si="23"/>
        <v>ASSIGNABLE</v>
      </c>
    </row>
    <row r="142" spans="1:33" x14ac:dyDescent="0.3">
      <c r="A142" t="s">
        <v>6468</v>
      </c>
      <c r="B142" t="s">
        <v>6469</v>
      </c>
      <c r="T142" t="s">
        <v>3830</v>
      </c>
      <c r="V142" t="s">
        <v>6279</v>
      </c>
      <c r="W142">
        <f>IF($A142="","",COUNTIF(Aircraft!$N:$N,$A142))</f>
        <v>1</v>
      </c>
      <c r="X142" t="str">
        <f t="shared" si="16"/>
        <v>OK</v>
      </c>
      <c r="Y142" t="str">
        <f t="shared" si="17"/>
        <v>EMAIL (SMTP)</v>
      </c>
      <c r="Z142" t="str">
        <f t="shared" si="18"/>
        <v/>
      </c>
      <c r="AA142" t="str">
        <f t="shared" si="19"/>
        <v/>
      </c>
      <c r="AD142" t="str">
        <f t="shared" si="20"/>
        <v>PLAIN TEXT UPPERCASE</v>
      </c>
      <c r="AE142" t="str">
        <f t="shared" si="21"/>
        <v>JTL TRIP SUPPORT</v>
      </c>
      <c r="AF142" t="str">
        <f t="shared" si="22"/>
        <v>NO SENDING ADDRESS - ADD messaging_to_emails</v>
      </c>
      <c r="AG142" t="str">
        <f t="shared" si="23"/>
        <v>ASSIGNABLE</v>
      </c>
    </row>
    <row r="143" spans="1:33" x14ac:dyDescent="0.3">
      <c r="A143" t="s">
        <v>6470</v>
      </c>
      <c r="B143" t="s">
        <v>6471</v>
      </c>
      <c r="T143" t="s">
        <v>3830</v>
      </c>
      <c r="V143" t="s">
        <v>6279</v>
      </c>
      <c r="W143">
        <f>IF($A143="","",COUNTIF(Aircraft!$N:$N,$A143))</f>
        <v>1</v>
      </c>
      <c r="X143" t="str">
        <f t="shared" si="16"/>
        <v>OK</v>
      </c>
      <c r="Y143" t="str">
        <f t="shared" si="17"/>
        <v>EMAIL (SMTP)</v>
      </c>
      <c r="Z143" t="str">
        <f t="shared" si="18"/>
        <v/>
      </c>
      <c r="AA143" t="str">
        <f t="shared" si="19"/>
        <v/>
      </c>
      <c r="AD143" t="str">
        <f t="shared" si="20"/>
        <v>PLAIN TEXT UPPERCASE</v>
      </c>
      <c r="AE143" t="str">
        <f t="shared" si="21"/>
        <v>JTL TRIP SUPPORT</v>
      </c>
      <c r="AF143" t="str">
        <f t="shared" si="22"/>
        <v>NO SENDING ADDRESS - ADD messaging_to_emails</v>
      </c>
      <c r="AG143" t="str">
        <f t="shared" si="23"/>
        <v>ASSIGNABLE</v>
      </c>
    </row>
    <row r="144" spans="1:33" x14ac:dyDescent="0.3">
      <c r="A144" t="s">
        <v>6472</v>
      </c>
      <c r="B144" t="s">
        <v>6473</v>
      </c>
      <c r="T144" t="s">
        <v>3830</v>
      </c>
      <c r="V144" t="s">
        <v>6279</v>
      </c>
      <c r="W144">
        <f>IF($A144="","",COUNTIF(Aircraft!$N:$N,$A144))</f>
        <v>1</v>
      </c>
      <c r="X144" t="str">
        <f t="shared" si="16"/>
        <v>OK</v>
      </c>
      <c r="Y144" t="str">
        <f t="shared" si="17"/>
        <v>EMAIL (SMTP)</v>
      </c>
      <c r="Z144" t="str">
        <f t="shared" si="18"/>
        <v/>
      </c>
      <c r="AA144" t="str">
        <f t="shared" si="19"/>
        <v/>
      </c>
      <c r="AD144" t="str">
        <f t="shared" si="20"/>
        <v>PLAIN TEXT UPPERCASE</v>
      </c>
      <c r="AE144" t="str">
        <f t="shared" si="21"/>
        <v>JTL TRIP SUPPORT</v>
      </c>
      <c r="AF144" t="str">
        <f t="shared" si="22"/>
        <v>NO SENDING ADDRESS - ADD messaging_to_emails</v>
      </c>
      <c r="AG144" t="str">
        <f t="shared" si="23"/>
        <v>ASSIGNABLE</v>
      </c>
    </row>
    <row r="145" spans="1:33" x14ac:dyDescent="0.3">
      <c r="A145" t="s">
        <v>6474</v>
      </c>
      <c r="B145" t="s">
        <v>6475</v>
      </c>
      <c r="T145" t="s">
        <v>3830</v>
      </c>
      <c r="V145" t="s">
        <v>6279</v>
      </c>
      <c r="W145">
        <f>IF($A145="","",COUNTIF(Aircraft!$N:$N,$A145))</f>
        <v>1</v>
      </c>
      <c r="X145" t="str">
        <f t="shared" si="16"/>
        <v>OK</v>
      </c>
      <c r="Y145" t="str">
        <f t="shared" si="17"/>
        <v>EMAIL (SMTP)</v>
      </c>
      <c r="Z145" t="str">
        <f t="shared" si="18"/>
        <v/>
      </c>
      <c r="AA145" t="str">
        <f t="shared" si="19"/>
        <v/>
      </c>
      <c r="AD145" t="str">
        <f t="shared" si="20"/>
        <v>PLAIN TEXT UPPERCASE</v>
      </c>
      <c r="AE145" t="str">
        <f t="shared" si="21"/>
        <v>JTL TRIP SUPPORT</v>
      </c>
      <c r="AF145" t="str">
        <f t="shared" si="22"/>
        <v>NO SENDING ADDRESS - ADD messaging_to_emails</v>
      </c>
      <c r="AG145" t="str">
        <f t="shared" si="23"/>
        <v>ASSIGNABLE</v>
      </c>
    </row>
    <row r="146" spans="1:33" x14ac:dyDescent="0.3">
      <c r="A146" t="s">
        <v>6476</v>
      </c>
      <c r="B146" t="s">
        <v>6477</v>
      </c>
      <c r="T146" t="s">
        <v>3830</v>
      </c>
      <c r="V146" t="s">
        <v>6279</v>
      </c>
      <c r="W146">
        <f>IF($A146="","",COUNTIF(Aircraft!$N:$N,$A146))</f>
        <v>1</v>
      </c>
      <c r="X146" t="str">
        <f t="shared" si="16"/>
        <v>OK</v>
      </c>
      <c r="Y146" t="str">
        <f t="shared" si="17"/>
        <v>EMAIL (SMTP)</v>
      </c>
      <c r="Z146" t="str">
        <f t="shared" si="18"/>
        <v/>
      </c>
      <c r="AA146" t="str">
        <f t="shared" si="19"/>
        <v/>
      </c>
      <c r="AD146" t="str">
        <f t="shared" si="20"/>
        <v>PLAIN TEXT UPPERCASE</v>
      </c>
      <c r="AE146" t="str">
        <f t="shared" si="21"/>
        <v>JTL TRIP SUPPORT</v>
      </c>
      <c r="AF146" t="str">
        <f t="shared" si="22"/>
        <v>NO SENDING ADDRESS - ADD messaging_to_emails</v>
      </c>
      <c r="AG146" t="str">
        <f t="shared" si="23"/>
        <v>ASSIGNABLE</v>
      </c>
    </row>
    <row r="147" spans="1:33" x14ac:dyDescent="0.3">
      <c r="A147" t="s">
        <v>6478</v>
      </c>
      <c r="B147" t="s">
        <v>6479</v>
      </c>
      <c r="T147" t="s">
        <v>3830</v>
      </c>
      <c r="V147" t="s">
        <v>6279</v>
      </c>
      <c r="W147">
        <f>IF($A147="","",COUNTIF(Aircraft!$N:$N,$A147))</f>
        <v>1</v>
      </c>
      <c r="X147" t="str">
        <f t="shared" si="16"/>
        <v>OK</v>
      </c>
      <c r="Y147" t="str">
        <f t="shared" si="17"/>
        <v>EMAIL (SMTP)</v>
      </c>
      <c r="Z147" t="str">
        <f t="shared" si="18"/>
        <v/>
      </c>
      <c r="AA147" t="str">
        <f t="shared" si="19"/>
        <v/>
      </c>
      <c r="AD147" t="str">
        <f t="shared" si="20"/>
        <v>PLAIN TEXT UPPERCASE</v>
      </c>
      <c r="AE147" t="str">
        <f t="shared" si="21"/>
        <v>JTL TRIP SUPPORT</v>
      </c>
      <c r="AF147" t="str">
        <f t="shared" si="22"/>
        <v>NO SENDING ADDRESS - ADD messaging_to_emails</v>
      </c>
      <c r="AG147" t="str">
        <f t="shared" si="23"/>
        <v>ASSIGNABLE</v>
      </c>
    </row>
    <row r="148" spans="1:33" x14ac:dyDescent="0.3">
      <c r="A148" t="s">
        <v>6480</v>
      </c>
      <c r="B148" t="s">
        <v>6481</v>
      </c>
      <c r="T148" t="s">
        <v>3830</v>
      </c>
      <c r="V148" t="s">
        <v>6279</v>
      </c>
      <c r="W148">
        <f>IF($A148="","",COUNTIF(Aircraft!$N:$N,$A148))</f>
        <v>1</v>
      </c>
      <c r="X148" t="str">
        <f t="shared" si="16"/>
        <v>OK</v>
      </c>
      <c r="Y148" t="str">
        <f t="shared" si="17"/>
        <v>EMAIL (SMTP)</v>
      </c>
      <c r="Z148" t="str">
        <f t="shared" si="18"/>
        <v/>
      </c>
      <c r="AA148" t="str">
        <f t="shared" si="19"/>
        <v/>
      </c>
      <c r="AD148" t="str">
        <f t="shared" si="20"/>
        <v>PLAIN TEXT UPPERCASE</v>
      </c>
      <c r="AE148" t="str">
        <f t="shared" si="21"/>
        <v>JTL TRIP SUPPORT</v>
      </c>
      <c r="AF148" t="str">
        <f t="shared" si="22"/>
        <v>NO SENDING ADDRESS - ADD messaging_to_emails</v>
      </c>
      <c r="AG148" t="str">
        <f t="shared" si="23"/>
        <v>ASSIGNABLE</v>
      </c>
    </row>
    <row r="149" spans="1:33" x14ac:dyDescent="0.3">
      <c r="A149" t="s">
        <v>6482</v>
      </c>
      <c r="B149" t="s">
        <v>6483</v>
      </c>
      <c r="T149" t="s">
        <v>3830</v>
      </c>
      <c r="V149" t="s">
        <v>6279</v>
      </c>
      <c r="W149">
        <f>IF($A149="","",COUNTIF(Aircraft!$N:$N,$A149))</f>
        <v>1</v>
      </c>
      <c r="X149" t="str">
        <f t="shared" si="16"/>
        <v>OK</v>
      </c>
      <c r="Y149" t="str">
        <f t="shared" si="17"/>
        <v>EMAIL (SMTP)</v>
      </c>
      <c r="Z149" t="str">
        <f t="shared" si="18"/>
        <v/>
      </c>
      <c r="AA149" t="str">
        <f t="shared" si="19"/>
        <v/>
      </c>
      <c r="AD149" t="str">
        <f t="shared" si="20"/>
        <v>PLAIN TEXT UPPERCASE</v>
      </c>
      <c r="AE149" t="str">
        <f t="shared" si="21"/>
        <v>JTL TRIP SUPPORT</v>
      </c>
      <c r="AF149" t="str">
        <f t="shared" si="22"/>
        <v>NO SENDING ADDRESS - ADD messaging_to_emails</v>
      </c>
      <c r="AG149" t="str">
        <f t="shared" si="23"/>
        <v>ASSIGNABLE</v>
      </c>
    </row>
    <row r="150" spans="1:33" x14ac:dyDescent="0.3">
      <c r="A150" t="s">
        <v>6484</v>
      </c>
      <c r="B150" t="s">
        <v>6485</v>
      </c>
      <c r="T150" t="s">
        <v>3830</v>
      </c>
      <c r="V150" t="s">
        <v>6279</v>
      </c>
      <c r="W150">
        <f>IF($A150="","",COUNTIF(Aircraft!$N:$N,$A150))</f>
        <v>2</v>
      </c>
      <c r="X150" t="str">
        <f t="shared" si="16"/>
        <v>OK</v>
      </c>
      <c r="Y150" t="str">
        <f t="shared" si="17"/>
        <v>EMAIL (SMTP)</v>
      </c>
      <c r="Z150" t="str">
        <f t="shared" si="18"/>
        <v/>
      </c>
      <c r="AA150" t="str">
        <f t="shared" si="19"/>
        <v/>
      </c>
      <c r="AD150" t="str">
        <f t="shared" si="20"/>
        <v>PLAIN TEXT UPPERCASE</v>
      </c>
      <c r="AE150" t="str">
        <f t="shared" si="21"/>
        <v>JTL TRIP SUPPORT</v>
      </c>
      <c r="AF150" t="str">
        <f t="shared" si="22"/>
        <v>NO SENDING ADDRESS - ADD messaging_to_emails</v>
      </c>
      <c r="AG150" t="str">
        <f t="shared" si="23"/>
        <v>ASSIGNABLE</v>
      </c>
    </row>
    <row r="151" spans="1:33" x14ac:dyDescent="0.3">
      <c r="A151" t="s">
        <v>6486</v>
      </c>
      <c r="B151" t="s">
        <v>6487</v>
      </c>
      <c r="T151" t="s">
        <v>3830</v>
      </c>
      <c r="V151" t="s">
        <v>6279</v>
      </c>
      <c r="W151">
        <f>IF($A151="","",COUNTIF(Aircraft!$N:$N,$A151))</f>
        <v>1</v>
      </c>
      <c r="X151" t="str">
        <f t="shared" si="16"/>
        <v>OK</v>
      </c>
      <c r="Y151" t="str">
        <f t="shared" si="17"/>
        <v>EMAIL (SMTP)</v>
      </c>
      <c r="Z151" t="str">
        <f t="shared" si="18"/>
        <v/>
      </c>
      <c r="AA151" t="str">
        <f t="shared" si="19"/>
        <v/>
      </c>
      <c r="AD151" t="str">
        <f t="shared" si="20"/>
        <v>PLAIN TEXT UPPERCASE</v>
      </c>
      <c r="AE151" t="str">
        <f t="shared" si="21"/>
        <v>JTL TRIP SUPPORT</v>
      </c>
      <c r="AF151" t="str">
        <f t="shared" si="22"/>
        <v>NO SENDING ADDRESS - ADD messaging_to_emails</v>
      </c>
      <c r="AG151" t="str">
        <f t="shared" si="23"/>
        <v>ASSIGNABLE</v>
      </c>
    </row>
    <row r="152" spans="1:33" x14ac:dyDescent="0.3">
      <c r="A152" t="s">
        <v>6488</v>
      </c>
      <c r="B152" t="s">
        <v>6489</v>
      </c>
      <c r="T152" t="s">
        <v>3830</v>
      </c>
      <c r="V152" t="s">
        <v>6279</v>
      </c>
      <c r="W152">
        <f>IF($A152="","",COUNTIF(Aircraft!$N:$N,$A152))</f>
        <v>2</v>
      </c>
      <c r="X152" t="str">
        <f t="shared" si="16"/>
        <v>OK</v>
      </c>
      <c r="Y152" t="str">
        <f t="shared" si="17"/>
        <v>EMAIL (SMTP)</v>
      </c>
      <c r="Z152" t="str">
        <f t="shared" si="18"/>
        <v/>
      </c>
      <c r="AA152" t="str">
        <f t="shared" si="19"/>
        <v/>
      </c>
      <c r="AD152" t="str">
        <f t="shared" si="20"/>
        <v>PLAIN TEXT UPPERCASE</v>
      </c>
      <c r="AE152" t="str">
        <f t="shared" si="21"/>
        <v>JTL TRIP SUPPORT</v>
      </c>
      <c r="AF152" t="str">
        <f t="shared" si="22"/>
        <v>NO SENDING ADDRESS - ADD messaging_to_emails</v>
      </c>
      <c r="AG152" t="str">
        <f t="shared" si="23"/>
        <v>ASSIGNABLE</v>
      </c>
    </row>
    <row r="153" spans="1:33" x14ac:dyDescent="0.3">
      <c r="A153" t="s">
        <v>6490</v>
      </c>
      <c r="B153" t="s">
        <v>6491</v>
      </c>
      <c r="T153" t="s">
        <v>3830</v>
      </c>
      <c r="V153" t="s">
        <v>6279</v>
      </c>
      <c r="W153">
        <f>IF($A153="","",COUNTIF(Aircraft!$N:$N,$A153))</f>
        <v>1</v>
      </c>
      <c r="X153" t="str">
        <f t="shared" si="16"/>
        <v>OK</v>
      </c>
      <c r="Y153" t="str">
        <f t="shared" si="17"/>
        <v>EMAIL (SMTP)</v>
      </c>
      <c r="Z153" t="str">
        <f t="shared" si="18"/>
        <v/>
      </c>
      <c r="AA153" t="str">
        <f t="shared" si="19"/>
        <v/>
      </c>
      <c r="AD153" t="str">
        <f t="shared" si="20"/>
        <v>PLAIN TEXT UPPERCASE</v>
      </c>
      <c r="AE153" t="str">
        <f t="shared" si="21"/>
        <v>JTL TRIP SUPPORT</v>
      </c>
      <c r="AF153" t="str">
        <f t="shared" si="22"/>
        <v>NO SENDING ADDRESS - ADD messaging_to_emails</v>
      </c>
      <c r="AG153" t="str">
        <f t="shared" si="23"/>
        <v>ASSIGNABLE</v>
      </c>
    </row>
    <row r="154" spans="1:33" x14ac:dyDescent="0.3">
      <c r="A154" t="s">
        <v>6492</v>
      </c>
      <c r="B154" t="s">
        <v>6493</v>
      </c>
      <c r="T154" t="s">
        <v>3830</v>
      </c>
      <c r="V154" t="s">
        <v>6279</v>
      </c>
      <c r="W154">
        <f>IF($A154="","",COUNTIF(Aircraft!$N:$N,$A154))</f>
        <v>1</v>
      </c>
      <c r="X154" t="str">
        <f t="shared" si="16"/>
        <v>OK</v>
      </c>
      <c r="Y154" t="str">
        <f t="shared" si="17"/>
        <v>EMAIL (SMTP)</v>
      </c>
      <c r="Z154" t="str">
        <f t="shared" si="18"/>
        <v/>
      </c>
      <c r="AA154" t="str">
        <f t="shared" si="19"/>
        <v/>
      </c>
      <c r="AD154" t="str">
        <f t="shared" si="20"/>
        <v>PLAIN TEXT UPPERCASE</v>
      </c>
      <c r="AE154" t="str">
        <f t="shared" si="21"/>
        <v>JTL TRIP SUPPORT</v>
      </c>
      <c r="AF154" t="str">
        <f t="shared" si="22"/>
        <v>NO SENDING ADDRESS - ADD messaging_to_emails</v>
      </c>
      <c r="AG154" t="str">
        <f t="shared" si="23"/>
        <v>ASSIGNABLE</v>
      </c>
    </row>
    <row r="155" spans="1:33" x14ac:dyDescent="0.3">
      <c r="A155" t="s">
        <v>6494</v>
      </c>
      <c r="B155" t="s">
        <v>6495</v>
      </c>
      <c r="T155" t="s">
        <v>3830</v>
      </c>
      <c r="V155" t="s">
        <v>6279</v>
      </c>
      <c r="W155">
        <f>IF($A155="","",COUNTIF(Aircraft!$N:$N,$A155))</f>
        <v>2</v>
      </c>
      <c r="X155" t="str">
        <f t="shared" si="16"/>
        <v>OK</v>
      </c>
      <c r="Y155" t="str">
        <f t="shared" si="17"/>
        <v>EMAIL (SMTP)</v>
      </c>
      <c r="Z155" t="str">
        <f t="shared" si="18"/>
        <v/>
      </c>
      <c r="AA155" t="str">
        <f t="shared" si="19"/>
        <v/>
      </c>
      <c r="AD155" t="str">
        <f t="shared" si="20"/>
        <v>PLAIN TEXT UPPERCASE</v>
      </c>
      <c r="AE155" t="str">
        <f t="shared" si="21"/>
        <v>JTL TRIP SUPPORT</v>
      </c>
      <c r="AF155" t="str">
        <f t="shared" si="22"/>
        <v>NO SENDING ADDRESS - ADD messaging_to_emails</v>
      </c>
      <c r="AG155" t="str">
        <f t="shared" si="23"/>
        <v>ASSIGNABLE</v>
      </c>
    </row>
    <row r="156" spans="1:33" x14ac:dyDescent="0.3">
      <c r="A156" t="s">
        <v>6496</v>
      </c>
      <c r="B156" t="s">
        <v>6497</v>
      </c>
      <c r="T156" t="s">
        <v>3830</v>
      </c>
      <c r="V156" t="s">
        <v>6279</v>
      </c>
      <c r="W156">
        <f>IF($A156="","",COUNTIF(Aircraft!$N:$N,$A156))</f>
        <v>1</v>
      </c>
      <c r="X156" t="str">
        <f t="shared" si="16"/>
        <v>OK</v>
      </c>
      <c r="Y156" t="str">
        <f t="shared" si="17"/>
        <v>EMAIL (SMTP)</v>
      </c>
      <c r="Z156" t="str">
        <f t="shared" si="18"/>
        <v/>
      </c>
      <c r="AA156" t="str">
        <f t="shared" si="19"/>
        <v/>
      </c>
      <c r="AD156" t="str">
        <f t="shared" si="20"/>
        <v>PLAIN TEXT UPPERCASE</v>
      </c>
      <c r="AE156" t="str">
        <f t="shared" si="21"/>
        <v>JTL TRIP SUPPORT</v>
      </c>
      <c r="AF156" t="str">
        <f t="shared" si="22"/>
        <v>NO SENDING ADDRESS - ADD messaging_to_emails</v>
      </c>
      <c r="AG156" t="str">
        <f t="shared" si="23"/>
        <v>ASSIGNABLE</v>
      </c>
    </row>
    <row r="157" spans="1:33" x14ac:dyDescent="0.3">
      <c r="A157" t="s">
        <v>6498</v>
      </c>
      <c r="B157" t="s">
        <v>6499</v>
      </c>
      <c r="T157" t="s">
        <v>3830</v>
      </c>
      <c r="V157" t="s">
        <v>6279</v>
      </c>
      <c r="W157">
        <f>IF($A157="","",COUNTIF(Aircraft!$N:$N,$A157))</f>
        <v>6</v>
      </c>
      <c r="X157" t="str">
        <f t="shared" si="16"/>
        <v>OK</v>
      </c>
      <c r="Y157" t="str">
        <f t="shared" si="17"/>
        <v>EMAIL (SMTP)</v>
      </c>
      <c r="Z157" t="str">
        <f t="shared" si="18"/>
        <v/>
      </c>
      <c r="AA157" t="str">
        <f t="shared" si="19"/>
        <v/>
      </c>
      <c r="AD157" t="str">
        <f t="shared" si="20"/>
        <v>PLAIN TEXT UPPERCASE</v>
      </c>
      <c r="AE157" t="str">
        <f t="shared" si="21"/>
        <v>JTL TRIP SUPPORT</v>
      </c>
      <c r="AF157" t="str">
        <f t="shared" si="22"/>
        <v>NO SENDING ADDRESS - ADD messaging_to_emails</v>
      </c>
      <c r="AG157" t="str">
        <f t="shared" si="23"/>
        <v>ASSIGNABLE</v>
      </c>
    </row>
    <row r="158" spans="1:33" x14ac:dyDescent="0.3">
      <c r="A158" t="s">
        <v>6500</v>
      </c>
      <c r="B158" t="s">
        <v>6501</v>
      </c>
      <c r="T158" t="s">
        <v>3830</v>
      </c>
      <c r="V158" t="s">
        <v>6279</v>
      </c>
      <c r="W158">
        <f>IF($A158="","",COUNTIF(Aircraft!$N:$N,$A158))</f>
        <v>1</v>
      </c>
      <c r="X158" t="str">
        <f t="shared" si="16"/>
        <v>OK</v>
      </c>
      <c r="Y158" t="str">
        <f t="shared" si="17"/>
        <v>EMAIL (SMTP)</v>
      </c>
      <c r="Z158" t="str">
        <f t="shared" si="18"/>
        <v/>
      </c>
      <c r="AA158" t="str">
        <f t="shared" si="19"/>
        <v/>
      </c>
      <c r="AD158" t="str">
        <f t="shared" si="20"/>
        <v>PLAIN TEXT UPPERCASE</v>
      </c>
      <c r="AE158" t="str">
        <f t="shared" si="21"/>
        <v>JTL TRIP SUPPORT</v>
      </c>
      <c r="AF158" t="str">
        <f t="shared" si="22"/>
        <v>NO SENDING ADDRESS - ADD messaging_to_emails</v>
      </c>
      <c r="AG158" t="str">
        <f t="shared" si="23"/>
        <v>ASSIGNABLE</v>
      </c>
    </row>
    <row r="159" spans="1:33" x14ac:dyDescent="0.3">
      <c r="A159" t="s">
        <v>6502</v>
      </c>
      <c r="B159" t="s">
        <v>6503</v>
      </c>
      <c r="T159" t="s">
        <v>3830</v>
      </c>
      <c r="V159" t="s">
        <v>6279</v>
      </c>
      <c r="W159">
        <f>IF($A159="","",COUNTIF(Aircraft!$N:$N,$A159))</f>
        <v>1</v>
      </c>
      <c r="X159" t="str">
        <f t="shared" si="16"/>
        <v>OK</v>
      </c>
      <c r="Y159" t="str">
        <f t="shared" si="17"/>
        <v>EMAIL (SMTP)</v>
      </c>
      <c r="Z159" t="str">
        <f t="shared" si="18"/>
        <v/>
      </c>
      <c r="AA159" t="str">
        <f t="shared" si="19"/>
        <v/>
      </c>
      <c r="AD159" t="str">
        <f t="shared" si="20"/>
        <v>PLAIN TEXT UPPERCASE</v>
      </c>
      <c r="AE159" t="str">
        <f t="shared" si="21"/>
        <v>JTL TRIP SUPPORT</v>
      </c>
      <c r="AF159" t="str">
        <f t="shared" si="22"/>
        <v>NO SENDING ADDRESS - ADD messaging_to_emails</v>
      </c>
      <c r="AG159" t="str">
        <f t="shared" si="23"/>
        <v>ASSIGNABLE</v>
      </c>
    </row>
    <row r="160" spans="1:33" x14ac:dyDescent="0.3">
      <c r="A160" t="s">
        <v>6504</v>
      </c>
      <c r="B160" t="s">
        <v>6505</v>
      </c>
      <c r="T160" t="s">
        <v>3830</v>
      </c>
      <c r="V160" t="s">
        <v>6279</v>
      </c>
      <c r="W160">
        <f>IF($A160="","",COUNTIF(Aircraft!$N:$N,$A160))</f>
        <v>1</v>
      </c>
      <c r="X160" t="str">
        <f t="shared" si="16"/>
        <v>OK</v>
      </c>
      <c r="Y160" t="str">
        <f t="shared" si="17"/>
        <v>EMAIL (SMTP)</v>
      </c>
      <c r="Z160" t="str">
        <f t="shared" si="18"/>
        <v/>
      </c>
      <c r="AA160" t="str">
        <f t="shared" si="19"/>
        <v/>
      </c>
      <c r="AD160" t="str">
        <f t="shared" si="20"/>
        <v>PLAIN TEXT UPPERCASE</v>
      </c>
      <c r="AE160" t="str">
        <f t="shared" si="21"/>
        <v>JTL TRIP SUPPORT</v>
      </c>
      <c r="AF160" t="str">
        <f t="shared" si="22"/>
        <v>NO SENDING ADDRESS - ADD messaging_to_emails</v>
      </c>
      <c r="AG160" t="str">
        <f t="shared" si="23"/>
        <v>ASSIGNABLE</v>
      </c>
    </row>
    <row r="161" spans="1:33" x14ac:dyDescent="0.3">
      <c r="A161" t="s">
        <v>6506</v>
      </c>
      <c r="B161" t="s">
        <v>6507</v>
      </c>
      <c r="T161" t="s">
        <v>3830</v>
      </c>
      <c r="V161" t="s">
        <v>6279</v>
      </c>
      <c r="W161">
        <f>IF($A161="","",COUNTIF(Aircraft!$N:$N,$A161))</f>
        <v>1</v>
      </c>
      <c r="X161" t="str">
        <f t="shared" si="16"/>
        <v>OK</v>
      </c>
      <c r="Y161" t="str">
        <f t="shared" si="17"/>
        <v>EMAIL (SMTP)</v>
      </c>
      <c r="Z161" t="str">
        <f t="shared" si="18"/>
        <v/>
      </c>
      <c r="AA161" t="str">
        <f t="shared" si="19"/>
        <v/>
      </c>
      <c r="AD161" t="str">
        <f t="shared" si="20"/>
        <v>PLAIN TEXT UPPERCASE</v>
      </c>
      <c r="AE161" t="str">
        <f t="shared" si="21"/>
        <v>JTL TRIP SUPPORT</v>
      </c>
      <c r="AF161" t="str">
        <f t="shared" si="22"/>
        <v>NO SENDING ADDRESS - ADD messaging_to_emails</v>
      </c>
      <c r="AG161" t="str">
        <f t="shared" si="23"/>
        <v>ASSIGNABLE</v>
      </c>
    </row>
    <row r="162" spans="1:33" x14ac:dyDescent="0.3">
      <c r="A162" t="s">
        <v>6508</v>
      </c>
      <c r="B162" t="s">
        <v>6509</v>
      </c>
      <c r="T162" t="s">
        <v>3830</v>
      </c>
      <c r="V162" t="s">
        <v>6279</v>
      </c>
      <c r="W162">
        <f>IF($A162="","",COUNTIF(Aircraft!$N:$N,$A162))</f>
        <v>1</v>
      </c>
      <c r="X162" t="str">
        <f t="shared" si="16"/>
        <v>OK</v>
      </c>
      <c r="Y162" t="str">
        <f t="shared" si="17"/>
        <v>EMAIL (SMTP)</v>
      </c>
      <c r="Z162" t="str">
        <f t="shared" si="18"/>
        <v/>
      </c>
      <c r="AA162" t="str">
        <f t="shared" si="19"/>
        <v/>
      </c>
      <c r="AD162" t="str">
        <f t="shared" si="20"/>
        <v>PLAIN TEXT UPPERCASE</v>
      </c>
      <c r="AE162" t="str">
        <f t="shared" si="21"/>
        <v>JTL TRIP SUPPORT</v>
      </c>
      <c r="AF162" t="str">
        <f t="shared" si="22"/>
        <v>NO SENDING ADDRESS - ADD messaging_to_emails</v>
      </c>
      <c r="AG162" t="str">
        <f t="shared" si="23"/>
        <v>ASSIGNABLE</v>
      </c>
    </row>
    <row r="163" spans="1:33" x14ac:dyDescent="0.3">
      <c r="A163" t="s">
        <v>6510</v>
      </c>
      <c r="B163" t="s">
        <v>6511</v>
      </c>
      <c r="T163" t="s">
        <v>3830</v>
      </c>
      <c r="V163" t="s">
        <v>6279</v>
      </c>
      <c r="W163">
        <f>IF($A163="","",COUNTIF(Aircraft!$N:$N,$A163))</f>
        <v>2</v>
      </c>
      <c r="X163" t="str">
        <f t="shared" si="16"/>
        <v>OK</v>
      </c>
      <c r="Y163" t="str">
        <f t="shared" si="17"/>
        <v>EMAIL (SMTP)</v>
      </c>
      <c r="Z163" t="str">
        <f t="shared" si="18"/>
        <v/>
      </c>
      <c r="AA163" t="str">
        <f t="shared" si="19"/>
        <v/>
      </c>
      <c r="AD163" t="str">
        <f t="shared" si="20"/>
        <v>PLAIN TEXT UPPERCASE</v>
      </c>
      <c r="AE163" t="str">
        <f t="shared" si="21"/>
        <v>JTL TRIP SUPPORT</v>
      </c>
      <c r="AF163" t="str">
        <f t="shared" si="22"/>
        <v>NO SENDING ADDRESS - ADD messaging_to_emails</v>
      </c>
      <c r="AG163" t="str">
        <f t="shared" si="23"/>
        <v>ASSIGNABLE</v>
      </c>
    </row>
    <row r="164" spans="1:33" x14ac:dyDescent="0.3">
      <c r="A164" t="s">
        <v>6512</v>
      </c>
      <c r="B164" t="s">
        <v>6513</v>
      </c>
      <c r="T164" t="s">
        <v>3830</v>
      </c>
      <c r="V164" t="s">
        <v>6279</v>
      </c>
      <c r="W164">
        <f>IF($A164="","",COUNTIF(Aircraft!$N:$N,$A164))</f>
        <v>2</v>
      </c>
      <c r="X164" t="str">
        <f t="shared" si="16"/>
        <v>OK</v>
      </c>
      <c r="Y164" t="str">
        <f t="shared" si="17"/>
        <v>EMAIL (SMTP)</v>
      </c>
      <c r="Z164" t="str">
        <f t="shared" si="18"/>
        <v/>
      </c>
      <c r="AA164" t="str">
        <f t="shared" si="19"/>
        <v/>
      </c>
      <c r="AD164" t="str">
        <f t="shared" si="20"/>
        <v>PLAIN TEXT UPPERCASE</v>
      </c>
      <c r="AE164" t="str">
        <f t="shared" si="21"/>
        <v>JTL TRIP SUPPORT</v>
      </c>
      <c r="AF164" t="str">
        <f t="shared" si="22"/>
        <v>NO SENDING ADDRESS - ADD messaging_to_emails</v>
      </c>
      <c r="AG164" t="str">
        <f t="shared" si="23"/>
        <v>ASSIGNABLE</v>
      </c>
    </row>
    <row r="165" spans="1:33" x14ac:dyDescent="0.3">
      <c r="A165" t="s">
        <v>6514</v>
      </c>
      <c r="B165" t="s">
        <v>6515</v>
      </c>
      <c r="T165" t="s">
        <v>3830</v>
      </c>
      <c r="V165" t="s">
        <v>6279</v>
      </c>
      <c r="W165">
        <f>IF($A165="","",COUNTIF(Aircraft!$N:$N,$A165))</f>
        <v>1</v>
      </c>
      <c r="X165" t="str">
        <f t="shared" si="16"/>
        <v>OK</v>
      </c>
      <c r="Y165" t="str">
        <f t="shared" si="17"/>
        <v>EMAIL (SMTP)</v>
      </c>
      <c r="Z165" t="str">
        <f t="shared" si="18"/>
        <v/>
      </c>
      <c r="AA165" t="str">
        <f t="shared" si="19"/>
        <v/>
      </c>
      <c r="AD165" t="str">
        <f t="shared" si="20"/>
        <v>PLAIN TEXT UPPERCASE</v>
      </c>
      <c r="AE165" t="str">
        <f t="shared" si="21"/>
        <v>JTL TRIP SUPPORT</v>
      </c>
      <c r="AF165" t="str">
        <f t="shared" si="22"/>
        <v>NO SENDING ADDRESS - ADD messaging_to_emails</v>
      </c>
      <c r="AG165" t="str">
        <f t="shared" si="23"/>
        <v>ASSIGNABLE</v>
      </c>
    </row>
    <row r="166" spans="1:33" x14ac:dyDescent="0.3">
      <c r="A166" t="s">
        <v>6516</v>
      </c>
      <c r="B166" t="s">
        <v>6517</v>
      </c>
      <c r="T166" t="s">
        <v>3830</v>
      </c>
      <c r="V166" t="s">
        <v>6279</v>
      </c>
      <c r="W166">
        <f>IF($A166="","",COUNTIF(Aircraft!$N:$N,$A166))</f>
        <v>1</v>
      </c>
      <c r="X166" t="str">
        <f t="shared" si="16"/>
        <v>OK</v>
      </c>
      <c r="Y166" t="str">
        <f t="shared" si="17"/>
        <v>EMAIL (SMTP)</v>
      </c>
      <c r="Z166" t="str">
        <f t="shared" si="18"/>
        <v/>
      </c>
      <c r="AA166" t="str">
        <f t="shared" si="19"/>
        <v/>
      </c>
      <c r="AD166" t="str">
        <f t="shared" si="20"/>
        <v>PLAIN TEXT UPPERCASE</v>
      </c>
      <c r="AE166" t="str">
        <f t="shared" si="21"/>
        <v>JTL TRIP SUPPORT</v>
      </c>
      <c r="AF166" t="str">
        <f t="shared" si="22"/>
        <v>NO SENDING ADDRESS - ADD messaging_to_emails</v>
      </c>
      <c r="AG166" t="str">
        <f t="shared" si="23"/>
        <v>ASSIGNABLE</v>
      </c>
    </row>
    <row r="167" spans="1:33" x14ac:dyDescent="0.3">
      <c r="A167" t="s">
        <v>6518</v>
      </c>
      <c r="B167" t="s">
        <v>6519</v>
      </c>
      <c r="T167" t="s">
        <v>3830</v>
      </c>
      <c r="V167" t="s">
        <v>6279</v>
      </c>
      <c r="W167">
        <f>IF($A167="","",COUNTIF(Aircraft!$N:$N,$A167))</f>
        <v>1</v>
      </c>
      <c r="X167" t="str">
        <f t="shared" si="16"/>
        <v>OK</v>
      </c>
      <c r="Y167" t="str">
        <f t="shared" si="17"/>
        <v>EMAIL (SMTP)</v>
      </c>
      <c r="Z167" t="str">
        <f t="shared" si="18"/>
        <v/>
      </c>
      <c r="AA167" t="str">
        <f t="shared" si="19"/>
        <v/>
      </c>
      <c r="AD167" t="str">
        <f t="shared" si="20"/>
        <v>PLAIN TEXT UPPERCASE</v>
      </c>
      <c r="AE167" t="str">
        <f t="shared" si="21"/>
        <v>JTL TRIP SUPPORT</v>
      </c>
      <c r="AF167" t="str">
        <f t="shared" si="22"/>
        <v>NO SENDING ADDRESS - ADD messaging_to_emails</v>
      </c>
      <c r="AG167" t="str">
        <f t="shared" si="23"/>
        <v>ASSIGNABLE</v>
      </c>
    </row>
    <row r="168" spans="1:33" x14ac:dyDescent="0.3">
      <c r="A168" t="s">
        <v>6520</v>
      </c>
      <c r="B168" t="s">
        <v>6521</v>
      </c>
      <c r="T168" t="s">
        <v>3830</v>
      </c>
      <c r="V168" t="s">
        <v>6279</v>
      </c>
      <c r="W168">
        <f>IF($A168="","",COUNTIF(Aircraft!$N:$N,$A168))</f>
        <v>2</v>
      </c>
      <c r="X168" t="str">
        <f t="shared" si="16"/>
        <v>OK</v>
      </c>
      <c r="Y168" t="str">
        <f t="shared" si="17"/>
        <v>EMAIL (SMTP)</v>
      </c>
      <c r="Z168" t="str">
        <f t="shared" si="18"/>
        <v/>
      </c>
      <c r="AA168" t="str">
        <f t="shared" si="19"/>
        <v/>
      </c>
      <c r="AD168" t="str">
        <f t="shared" si="20"/>
        <v>PLAIN TEXT UPPERCASE</v>
      </c>
      <c r="AE168" t="str">
        <f t="shared" si="21"/>
        <v>JTL TRIP SUPPORT</v>
      </c>
      <c r="AF168" t="str">
        <f t="shared" si="22"/>
        <v>NO SENDING ADDRESS - ADD messaging_to_emails</v>
      </c>
      <c r="AG168" t="str">
        <f t="shared" si="23"/>
        <v>ASSIGNABLE</v>
      </c>
    </row>
    <row r="169" spans="1:33" x14ac:dyDescent="0.3">
      <c r="A169" t="s">
        <v>6522</v>
      </c>
      <c r="B169" t="s">
        <v>6523</v>
      </c>
      <c r="T169" t="s">
        <v>3830</v>
      </c>
      <c r="V169" t="s">
        <v>6279</v>
      </c>
      <c r="W169">
        <f>IF($A169="","",COUNTIF(Aircraft!$N:$N,$A169))</f>
        <v>1</v>
      </c>
      <c r="X169" t="str">
        <f t="shared" si="16"/>
        <v>OK</v>
      </c>
      <c r="Y169" t="str">
        <f t="shared" si="17"/>
        <v>EMAIL (SMTP)</v>
      </c>
      <c r="Z169" t="str">
        <f t="shared" si="18"/>
        <v/>
      </c>
      <c r="AA169" t="str">
        <f t="shared" si="19"/>
        <v/>
      </c>
      <c r="AD169" t="str">
        <f t="shared" si="20"/>
        <v>PLAIN TEXT UPPERCASE</v>
      </c>
      <c r="AE169" t="str">
        <f t="shared" si="21"/>
        <v>JTL TRIP SUPPORT</v>
      </c>
      <c r="AF169" t="str">
        <f t="shared" si="22"/>
        <v>NO SENDING ADDRESS - ADD messaging_to_emails</v>
      </c>
      <c r="AG169" t="str">
        <f t="shared" si="23"/>
        <v>ASSIGNABLE</v>
      </c>
    </row>
    <row r="170" spans="1:33" x14ac:dyDescent="0.3">
      <c r="A170" t="s">
        <v>6524</v>
      </c>
      <c r="B170" t="s">
        <v>6525</v>
      </c>
      <c r="T170" t="s">
        <v>3830</v>
      </c>
      <c r="V170" t="s">
        <v>6279</v>
      </c>
      <c r="W170">
        <f>IF($A170="","",COUNTIF(Aircraft!$N:$N,$A170))</f>
        <v>1</v>
      </c>
      <c r="X170" t="str">
        <f t="shared" si="16"/>
        <v>OK</v>
      </c>
      <c r="Y170" t="str">
        <f t="shared" si="17"/>
        <v>EMAIL (SMTP)</v>
      </c>
      <c r="Z170" t="str">
        <f t="shared" si="18"/>
        <v/>
      </c>
      <c r="AA170" t="str">
        <f t="shared" si="19"/>
        <v/>
      </c>
      <c r="AD170" t="str">
        <f t="shared" si="20"/>
        <v>PLAIN TEXT UPPERCASE</v>
      </c>
      <c r="AE170" t="str">
        <f t="shared" si="21"/>
        <v>JTL TRIP SUPPORT</v>
      </c>
      <c r="AF170" t="str">
        <f t="shared" si="22"/>
        <v>NO SENDING ADDRESS - ADD messaging_to_emails</v>
      </c>
      <c r="AG170" t="str">
        <f t="shared" si="23"/>
        <v>ASSIGNABLE</v>
      </c>
    </row>
    <row r="171" spans="1:33" x14ac:dyDescent="0.3">
      <c r="A171" t="s">
        <v>6526</v>
      </c>
      <c r="B171" t="s">
        <v>6527</v>
      </c>
      <c r="T171" t="s">
        <v>3830</v>
      </c>
      <c r="V171" t="s">
        <v>6279</v>
      </c>
      <c r="W171">
        <f>IF($A171="","",COUNTIF(Aircraft!$N:$N,$A171))</f>
        <v>1</v>
      </c>
      <c r="X171" t="str">
        <f t="shared" si="16"/>
        <v>OK</v>
      </c>
      <c r="Y171" t="str">
        <f t="shared" si="17"/>
        <v>EMAIL (SMTP)</v>
      </c>
      <c r="Z171" t="str">
        <f t="shared" si="18"/>
        <v/>
      </c>
      <c r="AA171" t="str">
        <f t="shared" si="19"/>
        <v/>
      </c>
      <c r="AD171" t="str">
        <f t="shared" si="20"/>
        <v>PLAIN TEXT UPPERCASE</v>
      </c>
      <c r="AE171" t="str">
        <f t="shared" si="21"/>
        <v>JTL TRIP SUPPORT</v>
      </c>
      <c r="AF171" t="str">
        <f t="shared" si="22"/>
        <v>NO SENDING ADDRESS - ADD messaging_to_emails</v>
      </c>
      <c r="AG171" t="str">
        <f t="shared" si="23"/>
        <v>ASSIGNABLE</v>
      </c>
    </row>
    <row r="172" spans="1:33" x14ac:dyDescent="0.3">
      <c r="A172" t="s">
        <v>6528</v>
      </c>
      <c r="B172" t="s">
        <v>6529</v>
      </c>
      <c r="T172" t="s">
        <v>3830</v>
      </c>
      <c r="V172" t="s">
        <v>6279</v>
      </c>
      <c r="W172">
        <f>IF($A172="","",COUNTIF(Aircraft!$N:$N,$A172))</f>
        <v>1</v>
      </c>
      <c r="X172" t="str">
        <f t="shared" si="16"/>
        <v>OK</v>
      </c>
      <c r="Y172" t="str">
        <f t="shared" si="17"/>
        <v>EMAIL (SMTP)</v>
      </c>
      <c r="Z172" t="str">
        <f t="shared" si="18"/>
        <v/>
      </c>
      <c r="AA172" t="str">
        <f t="shared" si="19"/>
        <v/>
      </c>
      <c r="AD172" t="str">
        <f t="shared" si="20"/>
        <v>PLAIN TEXT UPPERCASE</v>
      </c>
      <c r="AE172" t="str">
        <f t="shared" si="21"/>
        <v>JTL TRIP SUPPORT</v>
      </c>
      <c r="AF172" t="str">
        <f t="shared" si="22"/>
        <v>NO SENDING ADDRESS - ADD messaging_to_emails</v>
      </c>
      <c r="AG172" t="str">
        <f t="shared" si="23"/>
        <v>ASSIGNABLE</v>
      </c>
    </row>
    <row r="173" spans="1:33" x14ac:dyDescent="0.3">
      <c r="A173" t="s">
        <v>6530</v>
      </c>
      <c r="B173" t="s">
        <v>6531</v>
      </c>
      <c r="T173" t="s">
        <v>3830</v>
      </c>
      <c r="V173" t="s">
        <v>6279</v>
      </c>
      <c r="W173">
        <f>IF($A173="","",COUNTIF(Aircraft!$N:$N,$A173))</f>
        <v>3</v>
      </c>
      <c r="X173" t="str">
        <f t="shared" si="16"/>
        <v>OK</v>
      </c>
      <c r="Y173" t="str">
        <f t="shared" si="17"/>
        <v>EMAIL (SMTP)</v>
      </c>
      <c r="Z173" t="str">
        <f t="shared" si="18"/>
        <v/>
      </c>
      <c r="AA173" t="str">
        <f t="shared" si="19"/>
        <v/>
      </c>
      <c r="AD173" t="str">
        <f t="shared" si="20"/>
        <v>PLAIN TEXT UPPERCASE</v>
      </c>
      <c r="AE173" t="str">
        <f t="shared" si="21"/>
        <v>JTL TRIP SUPPORT</v>
      </c>
      <c r="AF173" t="str">
        <f t="shared" si="22"/>
        <v>NO SENDING ADDRESS - ADD messaging_to_emails</v>
      </c>
      <c r="AG173" t="str">
        <f t="shared" si="23"/>
        <v>ASSIGNABLE</v>
      </c>
    </row>
    <row r="174" spans="1:33" x14ac:dyDescent="0.3">
      <c r="A174" t="s">
        <v>6532</v>
      </c>
      <c r="B174" t="s">
        <v>6533</v>
      </c>
      <c r="T174" t="s">
        <v>3830</v>
      </c>
      <c r="V174" t="s">
        <v>6279</v>
      </c>
      <c r="W174">
        <f>IF($A174="","",COUNTIF(Aircraft!$N:$N,$A174))</f>
        <v>1</v>
      </c>
      <c r="X174" t="str">
        <f t="shared" si="16"/>
        <v>OK</v>
      </c>
      <c r="Y174" t="str">
        <f t="shared" si="17"/>
        <v>EMAIL (SMTP)</v>
      </c>
      <c r="Z174" t="str">
        <f t="shared" si="18"/>
        <v/>
      </c>
      <c r="AA174" t="str">
        <f t="shared" si="19"/>
        <v/>
      </c>
      <c r="AD174" t="str">
        <f t="shared" si="20"/>
        <v>PLAIN TEXT UPPERCASE</v>
      </c>
      <c r="AE174" t="str">
        <f t="shared" si="21"/>
        <v>JTL TRIP SUPPORT</v>
      </c>
      <c r="AF174" t="str">
        <f t="shared" si="22"/>
        <v>NO SENDING ADDRESS - ADD messaging_to_emails</v>
      </c>
      <c r="AG174" t="str">
        <f t="shared" si="23"/>
        <v>ASSIGNABLE</v>
      </c>
    </row>
    <row r="175" spans="1:33" x14ac:dyDescent="0.3">
      <c r="A175" t="s">
        <v>6534</v>
      </c>
      <c r="B175" t="s">
        <v>6535</v>
      </c>
      <c r="T175" t="s">
        <v>3830</v>
      </c>
      <c r="V175" t="s">
        <v>6279</v>
      </c>
      <c r="W175">
        <f>IF($A175="","",COUNTIF(Aircraft!$N:$N,$A175))</f>
        <v>3</v>
      </c>
      <c r="X175" t="str">
        <f t="shared" si="16"/>
        <v>OK</v>
      </c>
      <c r="Y175" t="str">
        <f t="shared" si="17"/>
        <v>EMAIL (SMTP)</v>
      </c>
      <c r="Z175" t="str">
        <f t="shared" si="18"/>
        <v/>
      </c>
      <c r="AA175" t="str">
        <f t="shared" si="19"/>
        <v/>
      </c>
      <c r="AD175" t="str">
        <f t="shared" si="20"/>
        <v>PLAIN TEXT UPPERCASE</v>
      </c>
      <c r="AE175" t="str">
        <f t="shared" si="21"/>
        <v>JTL TRIP SUPPORT</v>
      </c>
      <c r="AF175" t="str">
        <f t="shared" si="22"/>
        <v>NO SENDING ADDRESS - ADD messaging_to_emails</v>
      </c>
      <c r="AG175" t="str">
        <f t="shared" si="23"/>
        <v>ASSIGNABLE</v>
      </c>
    </row>
    <row r="176" spans="1:33" x14ac:dyDescent="0.3">
      <c r="A176" t="s">
        <v>6536</v>
      </c>
      <c r="B176" t="s">
        <v>6537</v>
      </c>
      <c r="T176" t="s">
        <v>3830</v>
      </c>
      <c r="V176" t="s">
        <v>6279</v>
      </c>
      <c r="W176">
        <f>IF($A176="","",COUNTIF(Aircraft!$N:$N,$A176))</f>
        <v>1</v>
      </c>
      <c r="X176" t="str">
        <f t="shared" si="16"/>
        <v>OK</v>
      </c>
      <c r="Y176" t="str">
        <f t="shared" si="17"/>
        <v>EMAIL (SMTP)</v>
      </c>
      <c r="Z176" t="str">
        <f t="shared" si="18"/>
        <v/>
      </c>
      <c r="AA176" t="str">
        <f t="shared" si="19"/>
        <v/>
      </c>
      <c r="AD176" t="str">
        <f t="shared" si="20"/>
        <v>PLAIN TEXT UPPERCASE</v>
      </c>
      <c r="AE176" t="str">
        <f t="shared" si="21"/>
        <v>JTL TRIP SUPPORT</v>
      </c>
      <c r="AF176" t="str">
        <f t="shared" si="22"/>
        <v>NO SENDING ADDRESS - ADD messaging_to_emails</v>
      </c>
      <c r="AG176" t="str">
        <f t="shared" si="23"/>
        <v>ASSIGNABLE</v>
      </c>
    </row>
    <row r="177" spans="1:33" x14ac:dyDescent="0.3">
      <c r="A177" t="s">
        <v>6538</v>
      </c>
      <c r="B177" t="s">
        <v>6539</v>
      </c>
      <c r="T177" t="s">
        <v>3830</v>
      </c>
      <c r="V177" t="s">
        <v>6279</v>
      </c>
      <c r="W177">
        <f>IF($A177="","",COUNTIF(Aircraft!$N:$N,$A177))</f>
        <v>3</v>
      </c>
      <c r="X177" t="str">
        <f t="shared" si="16"/>
        <v>OK</v>
      </c>
      <c r="Y177" t="str">
        <f t="shared" si="17"/>
        <v>EMAIL (SMTP)</v>
      </c>
      <c r="Z177" t="str">
        <f t="shared" si="18"/>
        <v/>
      </c>
      <c r="AA177" t="str">
        <f t="shared" si="19"/>
        <v/>
      </c>
      <c r="AD177" t="str">
        <f t="shared" si="20"/>
        <v>PLAIN TEXT UPPERCASE</v>
      </c>
      <c r="AE177" t="str">
        <f t="shared" si="21"/>
        <v>JTL TRIP SUPPORT</v>
      </c>
      <c r="AF177" t="str">
        <f t="shared" si="22"/>
        <v>NO SENDING ADDRESS - ADD messaging_to_emails</v>
      </c>
      <c r="AG177" t="str">
        <f t="shared" si="23"/>
        <v>ASSIGNABLE</v>
      </c>
    </row>
    <row r="178" spans="1:33" x14ac:dyDescent="0.3">
      <c r="A178" t="s">
        <v>6540</v>
      </c>
      <c r="B178" t="s">
        <v>6541</v>
      </c>
      <c r="T178" t="s">
        <v>3830</v>
      </c>
      <c r="V178" t="s">
        <v>6279</v>
      </c>
      <c r="W178">
        <f>IF($A178="","",COUNTIF(Aircraft!$N:$N,$A178))</f>
        <v>1</v>
      </c>
      <c r="X178" t="str">
        <f t="shared" si="16"/>
        <v>OK</v>
      </c>
      <c r="Y178" t="str">
        <f t="shared" si="17"/>
        <v>EMAIL (SMTP)</v>
      </c>
      <c r="Z178" t="str">
        <f t="shared" si="18"/>
        <v/>
      </c>
      <c r="AA178" t="str">
        <f t="shared" si="19"/>
        <v/>
      </c>
      <c r="AD178" t="str">
        <f t="shared" si="20"/>
        <v>PLAIN TEXT UPPERCASE</v>
      </c>
      <c r="AE178" t="str">
        <f t="shared" si="21"/>
        <v>JTL TRIP SUPPORT</v>
      </c>
      <c r="AF178" t="str">
        <f t="shared" si="22"/>
        <v>NO SENDING ADDRESS - ADD messaging_to_emails</v>
      </c>
      <c r="AG178" t="str">
        <f t="shared" si="23"/>
        <v>ASSIGNABLE</v>
      </c>
    </row>
    <row r="179" spans="1:33" x14ac:dyDescent="0.3">
      <c r="A179" t="s">
        <v>6542</v>
      </c>
      <c r="B179" t="s">
        <v>6543</v>
      </c>
      <c r="T179" t="s">
        <v>3830</v>
      </c>
      <c r="V179" t="s">
        <v>6279</v>
      </c>
      <c r="W179">
        <f>IF($A179="","",COUNTIF(Aircraft!$N:$N,$A179))</f>
        <v>1</v>
      </c>
      <c r="X179" t="str">
        <f t="shared" si="16"/>
        <v>OK</v>
      </c>
      <c r="Y179" t="str">
        <f t="shared" si="17"/>
        <v>EMAIL (SMTP)</v>
      </c>
      <c r="Z179" t="str">
        <f t="shared" si="18"/>
        <v/>
      </c>
      <c r="AA179" t="str">
        <f t="shared" si="19"/>
        <v/>
      </c>
      <c r="AD179" t="str">
        <f t="shared" si="20"/>
        <v>PLAIN TEXT UPPERCASE</v>
      </c>
      <c r="AE179" t="str">
        <f t="shared" si="21"/>
        <v>JTL TRIP SUPPORT</v>
      </c>
      <c r="AF179" t="str">
        <f t="shared" si="22"/>
        <v>NO SENDING ADDRESS - ADD messaging_to_emails</v>
      </c>
      <c r="AG179" t="str">
        <f t="shared" si="23"/>
        <v>ASSIGNABLE</v>
      </c>
    </row>
    <row r="180" spans="1:33" x14ac:dyDescent="0.3">
      <c r="A180" t="s">
        <v>6544</v>
      </c>
      <c r="B180" t="s">
        <v>6545</v>
      </c>
      <c r="T180" t="s">
        <v>3830</v>
      </c>
      <c r="V180" t="s">
        <v>6279</v>
      </c>
      <c r="W180">
        <f>IF($A180="","",COUNTIF(Aircraft!$N:$N,$A180))</f>
        <v>2</v>
      </c>
      <c r="X180" t="str">
        <f t="shared" si="16"/>
        <v>OK</v>
      </c>
      <c r="Y180" t="str">
        <f t="shared" si="17"/>
        <v>EMAIL (SMTP)</v>
      </c>
      <c r="Z180" t="str">
        <f t="shared" si="18"/>
        <v/>
      </c>
      <c r="AA180" t="str">
        <f t="shared" si="19"/>
        <v/>
      </c>
      <c r="AD180" t="str">
        <f t="shared" si="20"/>
        <v>PLAIN TEXT UPPERCASE</v>
      </c>
      <c r="AE180" t="str">
        <f t="shared" si="21"/>
        <v>JTL TRIP SUPPORT</v>
      </c>
      <c r="AF180" t="str">
        <f t="shared" si="22"/>
        <v>NO SENDING ADDRESS - ADD messaging_to_emails</v>
      </c>
      <c r="AG180" t="str">
        <f t="shared" si="23"/>
        <v>ASSIGNABLE</v>
      </c>
    </row>
    <row r="181" spans="1:33" x14ac:dyDescent="0.3">
      <c r="A181" t="s">
        <v>6546</v>
      </c>
      <c r="B181" t="s">
        <v>6547</v>
      </c>
      <c r="T181" t="s">
        <v>3830</v>
      </c>
      <c r="V181" t="s">
        <v>6279</v>
      </c>
      <c r="W181">
        <f>IF($A181="","",COUNTIF(Aircraft!$N:$N,$A181))</f>
        <v>1</v>
      </c>
      <c r="X181" t="str">
        <f t="shared" si="16"/>
        <v>OK</v>
      </c>
      <c r="Y181" t="str">
        <f t="shared" si="17"/>
        <v>EMAIL (SMTP)</v>
      </c>
      <c r="Z181" t="str">
        <f t="shared" si="18"/>
        <v/>
      </c>
      <c r="AA181" t="str">
        <f t="shared" si="19"/>
        <v/>
      </c>
      <c r="AD181" t="str">
        <f t="shared" si="20"/>
        <v>PLAIN TEXT UPPERCASE</v>
      </c>
      <c r="AE181" t="str">
        <f t="shared" si="21"/>
        <v>JTL TRIP SUPPORT</v>
      </c>
      <c r="AF181" t="str">
        <f t="shared" si="22"/>
        <v>NO SENDING ADDRESS - ADD messaging_to_emails</v>
      </c>
      <c r="AG181" t="str">
        <f t="shared" si="23"/>
        <v>ASSIGNABLE</v>
      </c>
    </row>
    <row r="182" spans="1:33" x14ac:dyDescent="0.3">
      <c r="A182" t="s">
        <v>6548</v>
      </c>
      <c r="B182" t="s">
        <v>6549</v>
      </c>
      <c r="T182" t="s">
        <v>3830</v>
      </c>
      <c r="V182" t="s">
        <v>6279</v>
      </c>
      <c r="W182">
        <f>IF($A182="","",COUNTIF(Aircraft!$N:$N,$A182))</f>
        <v>3</v>
      </c>
      <c r="X182" t="str">
        <f t="shared" si="16"/>
        <v>OK</v>
      </c>
      <c r="Y182" t="str">
        <f t="shared" si="17"/>
        <v>EMAIL (SMTP)</v>
      </c>
      <c r="Z182" t="str">
        <f t="shared" si="18"/>
        <v/>
      </c>
      <c r="AA182" t="str">
        <f t="shared" si="19"/>
        <v/>
      </c>
      <c r="AD182" t="str">
        <f t="shared" si="20"/>
        <v>PLAIN TEXT UPPERCASE</v>
      </c>
      <c r="AE182" t="str">
        <f t="shared" si="21"/>
        <v>JTL TRIP SUPPORT</v>
      </c>
      <c r="AF182" t="str">
        <f t="shared" si="22"/>
        <v>NO SENDING ADDRESS - ADD messaging_to_emails</v>
      </c>
      <c r="AG182" t="str">
        <f t="shared" si="23"/>
        <v>ASSIGNABLE</v>
      </c>
    </row>
    <row r="183" spans="1:33" x14ac:dyDescent="0.3">
      <c r="A183" t="s">
        <v>6550</v>
      </c>
      <c r="B183" t="s">
        <v>6551</v>
      </c>
      <c r="T183" t="s">
        <v>3830</v>
      </c>
      <c r="V183" t="s">
        <v>6279</v>
      </c>
      <c r="W183">
        <f>IF($A183="","",COUNTIF(Aircraft!$N:$N,$A183))</f>
        <v>3</v>
      </c>
      <c r="X183" t="str">
        <f t="shared" si="16"/>
        <v>OK</v>
      </c>
      <c r="Y183" t="str">
        <f t="shared" si="17"/>
        <v>EMAIL (SMTP)</v>
      </c>
      <c r="Z183" t="str">
        <f t="shared" si="18"/>
        <v/>
      </c>
      <c r="AA183" t="str">
        <f t="shared" si="19"/>
        <v/>
      </c>
      <c r="AD183" t="str">
        <f t="shared" si="20"/>
        <v>PLAIN TEXT UPPERCASE</v>
      </c>
      <c r="AE183" t="str">
        <f t="shared" si="21"/>
        <v>JTL TRIP SUPPORT</v>
      </c>
      <c r="AF183" t="str">
        <f t="shared" si="22"/>
        <v>NO SENDING ADDRESS - ADD messaging_to_emails</v>
      </c>
      <c r="AG183" t="str">
        <f t="shared" si="23"/>
        <v>ASSIGNABLE</v>
      </c>
    </row>
    <row r="184" spans="1:33" x14ac:dyDescent="0.3">
      <c r="A184" t="s">
        <v>6552</v>
      </c>
      <c r="B184" t="s">
        <v>6553</v>
      </c>
      <c r="T184" t="s">
        <v>3830</v>
      </c>
      <c r="V184" t="s">
        <v>6279</v>
      </c>
      <c r="W184">
        <f>IF($A184="","",COUNTIF(Aircraft!$N:$N,$A184))</f>
        <v>2</v>
      </c>
      <c r="X184" t="str">
        <f t="shared" si="16"/>
        <v>OK</v>
      </c>
      <c r="Y184" t="str">
        <f t="shared" si="17"/>
        <v>EMAIL (SMTP)</v>
      </c>
      <c r="Z184" t="str">
        <f t="shared" si="18"/>
        <v/>
      </c>
      <c r="AA184" t="str">
        <f t="shared" si="19"/>
        <v/>
      </c>
      <c r="AD184" t="str">
        <f t="shared" si="20"/>
        <v>PLAIN TEXT UPPERCASE</v>
      </c>
      <c r="AE184" t="str">
        <f t="shared" si="21"/>
        <v>JTL TRIP SUPPORT</v>
      </c>
      <c r="AF184" t="str">
        <f t="shared" si="22"/>
        <v>NO SENDING ADDRESS - ADD messaging_to_emails</v>
      </c>
      <c r="AG184" t="str">
        <f t="shared" si="23"/>
        <v>ASSIGNABLE</v>
      </c>
    </row>
    <row r="185" spans="1:33" x14ac:dyDescent="0.3">
      <c r="A185" t="s">
        <v>6554</v>
      </c>
      <c r="B185" t="s">
        <v>6555</v>
      </c>
      <c r="T185" t="s">
        <v>3830</v>
      </c>
      <c r="V185" t="s">
        <v>6279</v>
      </c>
      <c r="W185">
        <f>IF($A185="","",COUNTIF(Aircraft!$N:$N,$A185))</f>
        <v>1</v>
      </c>
      <c r="X185" t="str">
        <f t="shared" si="16"/>
        <v>OK</v>
      </c>
      <c r="Y185" t="str">
        <f t="shared" si="17"/>
        <v>EMAIL (SMTP)</v>
      </c>
      <c r="Z185" t="str">
        <f t="shared" si="18"/>
        <v/>
      </c>
      <c r="AA185" t="str">
        <f t="shared" si="19"/>
        <v/>
      </c>
      <c r="AD185" t="str">
        <f t="shared" si="20"/>
        <v>PLAIN TEXT UPPERCASE</v>
      </c>
      <c r="AE185" t="str">
        <f t="shared" si="21"/>
        <v>JTL TRIP SUPPORT</v>
      </c>
      <c r="AF185" t="str">
        <f t="shared" si="22"/>
        <v>NO SENDING ADDRESS - ADD messaging_to_emails</v>
      </c>
      <c r="AG185" t="str">
        <f t="shared" si="23"/>
        <v>ASSIGNABLE</v>
      </c>
    </row>
    <row r="186" spans="1:33" x14ac:dyDescent="0.3">
      <c r="A186" t="s">
        <v>6556</v>
      </c>
      <c r="B186" t="s">
        <v>6557</v>
      </c>
      <c r="T186" t="s">
        <v>3830</v>
      </c>
      <c r="V186" t="s">
        <v>6279</v>
      </c>
      <c r="W186">
        <f>IF($A186="","",COUNTIF(Aircraft!$N:$N,$A186))</f>
        <v>1</v>
      </c>
      <c r="X186" t="str">
        <f t="shared" si="16"/>
        <v>OK</v>
      </c>
      <c r="Y186" t="str">
        <f t="shared" si="17"/>
        <v>EMAIL (SMTP)</v>
      </c>
      <c r="Z186" t="str">
        <f t="shared" si="18"/>
        <v/>
      </c>
      <c r="AA186" t="str">
        <f t="shared" si="19"/>
        <v/>
      </c>
      <c r="AD186" t="str">
        <f t="shared" si="20"/>
        <v>PLAIN TEXT UPPERCASE</v>
      </c>
      <c r="AE186" t="str">
        <f t="shared" si="21"/>
        <v>JTL TRIP SUPPORT</v>
      </c>
      <c r="AF186" t="str">
        <f t="shared" si="22"/>
        <v>NO SENDING ADDRESS - ADD messaging_to_emails</v>
      </c>
      <c r="AG186" t="str">
        <f t="shared" si="23"/>
        <v>ASSIGNABLE</v>
      </c>
    </row>
    <row r="187" spans="1:33" x14ac:dyDescent="0.3">
      <c r="A187" t="s">
        <v>6558</v>
      </c>
      <c r="B187" t="s">
        <v>6559</v>
      </c>
      <c r="T187" t="s">
        <v>3830</v>
      </c>
      <c r="V187" t="s">
        <v>6279</v>
      </c>
      <c r="W187">
        <f>IF($A187="","",COUNTIF(Aircraft!$N:$N,$A187))</f>
        <v>2</v>
      </c>
      <c r="X187" t="str">
        <f t="shared" si="16"/>
        <v>OK</v>
      </c>
      <c r="Y187" t="str">
        <f t="shared" si="17"/>
        <v>EMAIL (SMTP)</v>
      </c>
      <c r="Z187" t="str">
        <f t="shared" si="18"/>
        <v/>
      </c>
      <c r="AA187" t="str">
        <f t="shared" si="19"/>
        <v/>
      </c>
      <c r="AD187" t="str">
        <f t="shared" si="20"/>
        <v>PLAIN TEXT UPPERCASE</v>
      </c>
      <c r="AE187" t="str">
        <f t="shared" si="21"/>
        <v>JTL TRIP SUPPORT</v>
      </c>
      <c r="AF187" t="str">
        <f t="shared" si="22"/>
        <v>NO SENDING ADDRESS - ADD messaging_to_emails</v>
      </c>
      <c r="AG187" t="str">
        <f t="shared" si="23"/>
        <v>ASSIGNABLE</v>
      </c>
    </row>
    <row r="188" spans="1:33" x14ac:dyDescent="0.3">
      <c r="A188" t="s">
        <v>6560</v>
      </c>
      <c r="B188" t="s">
        <v>6561</v>
      </c>
      <c r="T188" t="s">
        <v>3830</v>
      </c>
      <c r="V188" t="s">
        <v>6279</v>
      </c>
      <c r="W188">
        <f>IF($A188="","",COUNTIF(Aircraft!$N:$N,$A188))</f>
        <v>1</v>
      </c>
      <c r="X188" t="str">
        <f t="shared" si="16"/>
        <v>OK</v>
      </c>
      <c r="Y188" t="str">
        <f t="shared" si="17"/>
        <v>EMAIL (SMTP)</v>
      </c>
      <c r="Z188" t="str">
        <f t="shared" si="18"/>
        <v/>
      </c>
      <c r="AA188" t="str">
        <f t="shared" si="19"/>
        <v/>
      </c>
      <c r="AD188" t="str">
        <f t="shared" si="20"/>
        <v>PLAIN TEXT UPPERCASE</v>
      </c>
      <c r="AE188" t="str">
        <f t="shared" si="21"/>
        <v>JTL TRIP SUPPORT</v>
      </c>
      <c r="AF188" t="str">
        <f t="shared" si="22"/>
        <v>NO SENDING ADDRESS - ADD messaging_to_emails</v>
      </c>
      <c r="AG188" t="str">
        <f t="shared" si="23"/>
        <v>ASSIGNABLE</v>
      </c>
    </row>
    <row r="189" spans="1:33" x14ac:dyDescent="0.3">
      <c r="A189" t="s">
        <v>6562</v>
      </c>
      <c r="B189" t="s">
        <v>6563</v>
      </c>
      <c r="T189" t="s">
        <v>3830</v>
      </c>
      <c r="V189" t="s">
        <v>6279</v>
      </c>
      <c r="W189">
        <f>IF($A189="","",COUNTIF(Aircraft!$N:$N,$A189))</f>
        <v>2</v>
      </c>
      <c r="X189" t="str">
        <f t="shared" si="16"/>
        <v>OK</v>
      </c>
      <c r="Y189" t="str">
        <f t="shared" si="17"/>
        <v>EMAIL (SMTP)</v>
      </c>
      <c r="Z189" t="str">
        <f t="shared" si="18"/>
        <v/>
      </c>
      <c r="AA189" t="str">
        <f t="shared" si="19"/>
        <v/>
      </c>
      <c r="AD189" t="str">
        <f t="shared" si="20"/>
        <v>PLAIN TEXT UPPERCASE</v>
      </c>
      <c r="AE189" t="str">
        <f t="shared" si="21"/>
        <v>JTL TRIP SUPPORT</v>
      </c>
      <c r="AF189" t="str">
        <f t="shared" si="22"/>
        <v>NO SENDING ADDRESS - ADD messaging_to_emails</v>
      </c>
      <c r="AG189" t="str">
        <f t="shared" si="23"/>
        <v>ASSIGNABLE</v>
      </c>
    </row>
    <row r="190" spans="1:33" x14ac:dyDescent="0.3">
      <c r="A190" t="s">
        <v>6564</v>
      </c>
      <c r="B190" t="s">
        <v>6565</v>
      </c>
      <c r="T190" t="s">
        <v>3830</v>
      </c>
      <c r="V190" t="s">
        <v>6279</v>
      </c>
      <c r="W190">
        <f>IF($A190="","",COUNTIF(Aircraft!$N:$N,$A190))</f>
        <v>1</v>
      </c>
      <c r="X190" t="str">
        <f t="shared" si="16"/>
        <v>OK</v>
      </c>
      <c r="Y190" t="str">
        <f t="shared" si="17"/>
        <v>EMAIL (SMTP)</v>
      </c>
      <c r="Z190" t="str">
        <f t="shared" si="18"/>
        <v/>
      </c>
      <c r="AA190" t="str">
        <f t="shared" si="19"/>
        <v/>
      </c>
      <c r="AD190" t="str">
        <f t="shared" si="20"/>
        <v>PLAIN TEXT UPPERCASE</v>
      </c>
      <c r="AE190" t="str">
        <f t="shared" si="21"/>
        <v>JTL TRIP SUPPORT</v>
      </c>
      <c r="AF190" t="str">
        <f t="shared" si="22"/>
        <v>NO SENDING ADDRESS - ADD messaging_to_emails</v>
      </c>
      <c r="AG190" t="str">
        <f t="shared" si="23"/>
        <v>ASSIGNABLE</v>
      </c>
    </row>
    <row r="191" spans="1:33" x14ac:dyDescent="0.3">
      <c r="A191" t="s">
        <v>6566</v>
      </c>
      <c r="B191" t="s">
        <v>6567</v>
      </c>
      <c r="T191" t="s">
        <v>3830</v>
      </c>
      <c r="V191" t="s">
        <v>6279</v>
      </c>
      <c r="W191">
        <f>IF($A191="","",COUNTIF(Aircraft!$N:$N,$A191))</f>
        <v>1</v>
      </c>
      <c r="X191" t="str">
        <f t="shared" si="16"/>
        <v>OK</v>
      </c>
      <c r="Y191" t="str">
        <f t="shared" si="17"/>
        <v>EMAIL (SMTP)</v>
      </c>
      <c r="Z191" t="str">
        <f t="shared" si="18"/>
        <v/>
      </c>
      <c r="AA191" t="str">
        <f t="shared" si="19"/>
        <v/>
      </c>
      <c r="AD191" t="str">
        <f t="shared" si="20"/>
        <v>PLAIN TEXT UPPERCASE</v>
      </c>
      <c r="AE191" t="str">
        <f t="shared" si="21"/>
        <v>JTL TRIP SUPPORT</v>
      </c>
      <c r="AF191" t="str">
        <f t="shared" si="22"/>
        <v>NO SENDING ADDRESS - ADD messaging_to_emails</v>
      </c>
      <c r="AG191" t="str">
        <f t="shared" si="23"/>
        <v>ASSIGNABLE</v>
      </c>
    </row>
    <row r="192" spans="1:33" x14ac:dyDescent="0.3">
      <c r="A192" t="s">
        <v>6568</v>
      </c>
      <c r="B192" t="s">
        <v>6569</v>
      </c>
      <c r="T192" t="s">
        <v>3830</v>
      </c>
      <c r="V192" t="s">
        <v>6279</v>
      </c>
      <c r="W192">
        <f>IF($A192="","",COUNTIF(Aircraft!$N:$N,$A192))</f>
        <v>1</v>
      </c>
      <c r="X192" t="str">
        <f t="shared" si="16"/>
        <v>OK</v>
      </c>
      <c r="Y192" t="str">
        <f t="shared" si="17"/>
        <v>EMAIL (SMTP)</v>
      </c>
      <c r="Z192" t="str">
        <f t="shared" si="18"/>
        <v/>
      </c>
      <c r="AA192" t="str">
        <f t="shared" si="19"/>
        <v/>
      </c>
      <c r="AD192" t="str">
        <f t="shared" si="20"/>
        <v>PLAIN TEXT UPPERCASE</v>
      </c>
      <c r="AE192" t="str">
        <f t="shared" si="21"/>
        <v>JTL TRIP SUPPORT</v>
      </c>
      <c r="AF192" t="str">
        <f t="shared" si="22"/>
        <v>NO SENDING ADDRESS - ADD messaging_to_emails</v>
      </c>
      <c r="AG192" t="str">
        <f t="shared" si="23"/>
        <v>ASSIGNABLE</v>
      </c>
    </row>
    <row r="193" spans="1:33" x14ac:dyDescent="0.3">
      <c r="A193" t="s">
        <v>6570</v>
      </c>
      <c r="B193" t="s">
        <v>6571</v>
      </c>
      <c r="T193" t="s">
        <v>3830</v>
      </c>
      <c r="V193" t="s">
        <v>6279</v>
      </c>
      <c r="W193">
        <f>IF($A193="","",COUNTIF(Aircraft!$N:$N,$A193))</f>
        <v>1</v>
      </c>
      <c r="X193" t="str">
        <f t="shared" si="16"/>
        <v>OK</v>
      </c>
      <c r="Y193" t="str">
        <f t="shared" si="17"/>
        <v>EMAIL (SMTP)</v>
      </c>
      <c r="Z193" t="str">
        <f t="shared" si="18"/>
        <v/>
      </c>
      <c r="AA193" t="str">
        <f t="shared" si="19"/>
        <v/>
      </c>
      <c r="AD193" t="str">
        <f t="shared" si="20"/>
        <v>PLAIN TEXT UPPERCASE</v>
      </c>
      <c r="AE193" t="str">
        <f t="shared" si="21"/>
        <v>JTL TRIP SUPPORT</v>
      </c>
      <c r="AF193" t="str">
        <f t="shared" si="22"/>
        <v>NO SENDING ADDRESS - ADD messaging_to_emails</v>
      </c>
      <c r="AG193" t="str">
        <f t="shared" si="23"/>
        <v>ASSIGNABLE</v>
      </c>
    </row>
    <row r="194" spans="1:33" x14ac:dyDescent="0.3">
      <c r="A194" t="s">
        <v>6572</v>
      </c>
      <c r="B194" t="s">
        <v>6573</v>
      </c>
      <c r="T194" t="s">
        <v>3830</v>
      </c>
      <c r="V194" t="s">
        <v>6279</v>
      </c>
      <c r="W194">
        <f>IF($A194="","",COUNTIF(Aircraft!$N:$N,$A194))</f>
        <v>1</v>
      </c>
      <c r="X194" t="str">
        <f t="shared" si="16"/>
        <v>OK</v>
      </c>
      <c r="Y194" t="str">
        <f t="shared" si="17"/>
        <v>EMAIL (SMTP)</v>
      </c>
      <c r="Z194" t="str">
        <f t="shared" si="18"/>
        <v/>
      </c>
      <c r="AA194" t="str">
        <f t="shared" si="19"/>
        <v/>
      </c>
      <c r="AD194" t="str">
        <f t="shared" si="20"/>
        <v>PLAIN TEXT UPPERCASE</v>
      </c>
      <c r="AE194" t="str">
        <f t="shared" si="21"/>
        <v>JTL TRIP SUPPORT</v>
      </c>
      <c r="AF194" t="str">
        <f t="shared" si="22"/>
        <v>NO SENDING ADDRESS - ADD messaging_to_emails</v>
      </c>
      <c r="AG194" t="str">
        <f t="shared" si="23"/>
        <v>ASSIGNABLE</v>
      </c>
    </row>
    <row r="195" spans="1:33" x14ac:dyDescent="0.3">
      <c r="A195" t="s">
        <v>6574</v>
      </c>
      <c r="B195" t="s">
        <v>6575</v>
      </c>
      <c r="T195" t="s">
        <v>3830</v>
      </c>
      <c r="V195" t="s">
        <v>6279</v>
      </c>
      <c r="W195">
        <f>IF($A195="","",COUNTIF(Aircraft!$N:$N,$A195))</f>
        <v>1</v>
      </c>
      <c r="X195" t="str">
        <f t="shared" ref="X195:X258" si="24">IF($A195="","",IF($B195="","NAME REQUIRED",IF($W195=0,"NO AIRCRAFT LINKED","OK")))</f>
        <v>OK</v>
      </c>
      <c r="Y195" t="str">
        <f t="shared" ref="Y195:Y258" si="25">IF($A195="","","EMAIL (SMTP)")</f>
        <v>EMAIL (SMTP)</v>
      </c>
      <c r="Z195" t="str">
        <f t="shared" ref="Z195:Z258" si="26">IF($A195="","",IF($N195&lt;&gt;"",$N195,IF($L195&lt;&gt;"",$L195,"")))</f>
        <v/>
      </c>
      <c r="AA195" t="str">
        <f t="shared" ref="AA195:AA258" si="27">IF($A195="","",IF($O195&lt;&gt;"",$O195,""))</f>
        <v/>
      </c>
      <c r="AD195" t="str">
        <f t="shared" ref="AD195:AD258" si="28">IF($A195="","","PLAIN TEXT UPPERCASE")</f>
        <v>PLAIN TEXT UPPERCASE</v>
      </c>
      <c r="AE195" t="str">
        <f t="shared" ref="AE195:AE258" si="29">IF($A195="","","JTL TRIP SUPPORT")</f>
        <v>JTL TRIP SUPPORT</v>
      </c>
      <c r="AF195" t="str">
        <f t="shared" ref="AF195:AF258" si="30">IF($A195="","",IF($Y195="EMAIL (SMTP)",IF($Z195="","NO SENDING ADDRESS - ADD messaging_to_emails","OK"),IF(AND($AB195="",$AC195=""),"CHANNEL SET BUT NO SITA/AFTN ADDRESS","OK")))</f>
        <v>NO SENDING ADDRESS - ADD messaging_to_emails</v>
      </c>
      <c r="AG195" t="str">
        <f t="shared" ref="AG195:AG258" si="31">IF($A195="","",IF(TRIM($B195)="","BLOCKED - OPERATOR NAME REQUIRED",IF(UPPER($T195)="INACTIVE","BLOCKED - INACTIVE","ASSIGNABLE")))</f>
        <v>ASSIGNABLE</v>
      </c>
    </row>
    <row r="196" spans="1:33" x14ac:dyDescent="0.3">
      <c r="A196" t="s">
        <v>6576</v>
      </c>
      <c r="B196" t="s">
        <v>6577</v>
      </c>
      <c r="T196" t="s">
        <v>3830</v>
      </c>
      <c r="V196" t="s">
        <v>6279</v>
      </c>
      <c r="W196">
        <f>IF($A196="","",COUNTIF(Aircraft!$N:$N,$A196))</f>
        <v>1</v>
      </c>
      <c r="X196" t="str">
        <f t="shared" si="24"/>
        <v>OK</v>
      </c>
      <c r="Y196" t="str">
        <f t="shared" si="25"/>
        <v>EMAIL (SMTP)</v>
      </c>
      <c r="Z196" t="str">
        <f t="shared" si="26"/>
        <v/>
      </c>
      <c r="AA196" t="str">
        <f t="shared" si="27"/>
        <v/>
      </c>
      <c r="AD196" t="str">
        <f t="shared" si="28"/>
        <v>PLAIN TEXT UPPERCASE</v>
      </c>
      <c r="AE196" t="str">
        <f t="shared" si="29"/>
        <v>JTL TRIP SUPPORT</v>
      </c>
      <c r="AF196" t="str">
        <f t="shared" si="30"/>
        <v>NO SENDING ADDRESS - ADD messaging_to_emails</v>
      </c>
      <c r="AG196" t="str">
        <f t="shared" si="31"/>
        <v>ASSIGNABLE</v>
      </c>
    </row>
    <row r="197" spans="1:33" x14ac:dyDescent="0.3">
      <c r="A197" t="s">
        <v>6578</v>
      </c>
      <c r="B197" t="s">
        <v>6579</v>
      </c>
      <c r="T197" t="s">
        <v>3830</v>
      </c>
      <c r="V197" t="s">
        <v>6279</v>
      </c>
      <c r="W197">
        <f>IF($A197="","",COUNTIF(Aircraft!$N:$N,$A197))</f>
        <v>1</v>
      </c>
      <c r="X197" t="str">
        <f t="shared" si="24"/>
        <v>OK</v>
      </c>
      <c r="Y197" t="str">
        <f t="shared" si="25"/>
        <v>EMAIL (SMTP)</v>
      </c>
      <c r="Z197" t="str">
        <f t="shared" si="26"/>
        <v/>
      </c>
      <c r="AA197" t="str">
        <f t="shared" si="27"/>
        <v/>
      </c>
      <c r="AD197" t="str">
        <f t="shared" si="28"/>
        <v>PLAIN TEXT UPPERCASE</v>
      </c>
      <c r="AE197" t="str">
        <f t="shared" si="29"/>
        <v>JTL TRIP SUPPORT</v>
      </c>
      <c r="AF197" t="str">
        <f t="shared" si="30"/>
        <v>NO SENDING ADDRESS - ADD messaging_to_emails</v>
      </c>
      <c r="AG197" t="str">
        <f t="shared" si="31"/>
        <v>ASSIGNABLE</v>
      </c>
    </row>
    <row r="198" spans="1:33" x14ac:dyDescent="0.3">
      <c r="A198" t="s">
        <v>6580</v>
      </c>
      <c r="B198" t="s">
        <v>6581</v>
      </c>
      <c r="T198" t="s">
        <v>3830</v>
      </c>
      <c r="V198" t="s">
        <v>6279</v>
      </c>
      <c r="W198">
        <f>IF($A198="","",COUNTIF(Aircraft!$N:$N,$A198))</f>
        <v>1</v>
      </c>
      <c r="X198" t="str">
        <f t="shared" si="24"/>
        <v>OK</v>
      </c>
      <c r="Y198" t="str">
        <f t="shared" si="25"/>
        <v>EMAIL (SMTP)</v>
      </c>
      <c r="Z198" t="str">
        <f t="shared" si="26"/>
        <v/>
      </c>
      <c r="AA198" t="str">
        <f t="shared" si="27"/>
        <v/>
      </c>
      <c r="AD198" t="str">
        <f t="shared" si="28"/>
        <v>PLAIN TEXT UPPERCASE</v>
      </c>
      <c r="AE198" t="str">
        <f t="shared" si="29"/>
        <v>JTL TRIP SUPPORT</v>
      </c>
      <c r="AF198" t="str">
        <f t="shared" si="30"/>
        <v>NO SENDING ADDRESS - ADD messaging_to_emails</v>
      </c>
      <c r="AG198" t="str">
        <f t="shared" si="31"/>
        <v>ASSIGNABLE</v>
      </c>
    </row>
    <row r="199" spans="1:33" x14ac:dyDescent="0.3">
      <c r="A199" t="s">
        <v>6582</v>
      </c>
      <c r="B199" t="s">
        <v>6583</v>
      </c>
      <c r="T199" t="s">
        <v>3830</v>
      </c>
      <c r="V199" t="s">
        <v>6279</v>
      </c>
      <c r="W199">
        <f>IF($A199="","",COUNTIF(Aircraft!$N:$N,$A199))</f>
        <v>2</v>
      </c>
      <c r="X199" t="str">
        <f t="shared" si="24"/>
        <v>OK</v>
      </c>
      <c r="Y199" t="str">
        <f t="shared" si="25"/>
        <v>EMAIL (SMTP)</v>
      </c>
      <c r="Z199" t="str">
        <f t="shared" si="26"/>
        <v/>
      </c>
      <c r="AA199" t="str">
        <f t="shared" si="27"/>
        <v/>
      </c>
      <c r="AD199" t="str">
        <f t="shared" si="28"/>
        <v>PLAIN TEXT UPPERCASE</v>
      </c>
      <c r="AE199" t="str">
        <f t="shared" si="29"/>
        <v>JTL TRIP SUPPORT</v>
      </c>
      <c r="AF199" t="str">
        <f t="shared" si="30"/>
        <v>NO SENDING ADDRESS - ADD messaging_to_emails</v>
      </c>
      <c r="AG199" t="str">
        <f t="shared" si="31"/>
        <v>ASSIGNABLE</v>
      </c>
    </row>
    <row r="200" spans="1:33" x14ac:dyDescent="0.3">
      <c r="A200" t="s">
        <v>6584</v>
      </c>
      <c r="B200" t="s">
        <v>6585</v>
      </c>
      <c r="T200" t="s">
        <v>3830</v>
      </c>
      <c r="V200" t="s">
        <v>6279</v>
      </c>
      <c r="W200">
        <f>IF($A200="","",COUNTIF(Aircraft!$N:$N,$A200))</f>
        <v>1</v>
      </c>
      <c r="X200" t="str">
        <f t="shared" si="24"/>
        <v>OK</v>
      </c>
      <c r="Y200" t="str">
        <f t="shared" si="25"/>
        <v>EMAIL (SMTP)</v>
      </c>
      <c r="Z200" t="str">
        <f t="shared" si="26"/>
        <v/>
      </c>
      <c r="AA200" t="str">
        <f t="shared" si="27"/>
        <v/>
      </c>
      <c r="AD200" t="str">
        <f t="shared" si="28"/>
        <v>PLAIN TEXT UPPERCASE</v>
      </c>
      <c r="AE200" t="str">
        <f t="shared" si="29"/>
        <v>JTL TRIP SUPPORT</v>
      </c>
      <c r="AF200" t="str">
        <f t="shared" si="30"/>
        <v>NO SENDING ADDRESS - ADD messaging_to_emails</v>
      </c>
      <c r="AG200" t="str">
        <f t="shared" si="31"/>
        <v>ASSIGNABLE</v>
      </c>
    </row>
    <row r="201" spans="1:33" x14ac:dyDescent="0.3">
      <c r="A201" t="s">
        <v>6586</v>
      </c>
      <c r="B201" t="s">
        <v>6587</v>
      </c>
      <c r="T201" t="s">
        <v>3830</v>
      </c>
      <c r="V201" t="s">
        <v>6279</v>
      </c>
      <c r="W201">
        <f>IF($A201="","",COUNTIF(Aircraft!$N:$N,$A201))</f>
        <v>3</v>
      </c>
      <c r="X201" t="str">
        <f t="shared" si="24"/>
        <v>OK</v>
      </c>
      <c r="Y201" t="str">
        <f t="shared" si="25"/>
        <v>EMAIL (SMTP)</v>
      </c>
      <c r="Z201" t="str">
        <f t="shared" si="26"/>
        <v/>
      </c>
      <c r="AA201" t="str">
        <f t="shared" si="27"/>
        <v/>
      </c>
      <c r="AD201" t="str">
        <f t="shared" si="28"/>
        <v>PLAIN TEXT UPPERCASE</v>
      </c>
      <c r="AE201" t="str">
        <f t="shared" si="29"/>
        <v>JTL TRIP SUPPORT</v>
      </c>
      <c r="AF201" t="str">
        <f t="shared" si="30"/>
        <v>NO SENDING ADDRESS - ADD messaging_to_emails</v>
      </c>
      <c r="AG201" t="str">
        <f t="shared" si="31"/>
        <v>ASSIGNABLE</v>
      </c>
    </row>
    <row r="202" spans="1:33" x14ac:dyDescent="0.3">
      <c r="A202" t="s">
        <v>6588</v>
      </c>
      <c r="B202" t="s">
        <v>6589</v>
      </c>
      <c r="T202" t="s">
        <v>3830</v>
      </c>
      <c r="V202" t="s">
        <v>6279</v>
      </c>
      <c r="W202">
        <f>IF($A202="","",COUNTIF(Aircraft!$N:$N,$A202))</f>
        <v>1</v>
      </c>
      <c r="X202" t="str">
        <f t="shared" si="24"/>
        <v>OK</v>
      </c>
      <c r="Y202" t="str">
        <f t="shared" si="25"/>
        <v>EMAIL (SMTP)</v>
      </c>
      <c r="Z202" t="str">
        <f t="shared" si="26"/>
        <v/>
      </c>
      <c r="AA202" t="str">
        <f t="shared" si="27"/>
        <v/>
      </c>
      <c r="AD202" t="str">
        <f t="shared" si="28"/>
        <v>PLAIN TEXT UPPERCASE</v>
      </c>
      <c r="AE202" t="str">
        <f t="shared" si="29"/>
        <v>JTL TRIP SUPPORT</v>
      </c>
      <c r="AF202" t="str">
        <f t="shared" si="30"/>
        <v>NO SENDING ADDRESS - ADD messaging_to_emails</v>
      </c>
      <c r="AG202" t="str">
        <f t="shared" si="31"/>
        <v>ASSIGNABLE</v>
      </c>
    </row>
    <row r="203" spans="1:33" x14ac:dyDescent="0.3">
      <c r="A203" t="s">
        <v>6590</v>
      </c>
      <c r="B203" t="s">
        <v>6591</v>
      </c>
      <c r="T203" t="s">
        <v>3830</v>
      </c>
      <c r="V203" t="s">
        <v>6279</v>
      </c>
      <c r="W203">
        <f>IF($A203="","",COUNTIF(Aircraft!$N:$N,$A203))</f>
        <v>3</v>
      </c>
      <c r="X203" t="str">
        <f t="shared" si="24"/>
        <v>OK</v>
      </c>
      <c r="Y203" t="str">
        <f t="shared" si="25"/>
        <v>EMAIL (SMTP)</v>
      </c>
      <c r="Z203" t="str">
        <f t="shared" si="26"/>
        <v/>
      </c>
      <c r="AA203" t="str">
        <f t="shared" si="27"/>
        <v/>
      </c>
      <c r="AD203" t="str">
        <f t="shared" si="28"/>
        <v>PLAIN TEXT UPPERCASE</v>
      </c>
      <c r="AE203" t="str">
        <f t="shared" si="29"/>
        <v>JTL TRIP SUPPORT</v>
      </c>
      <c r="AF203" t="str">
        <f t="shared" si="30"/>
        <v>NO SENDING ADDRESS - ADD messaging_to_emails</v>
      </c>
      <c r="AG203" t="str">
        <f t="shared" si="31"/>
        <v>ASSIGNABLE</v>
      </c>
    </row>
    <row r="204" spans="1:33" x14ac:dyDescent="0.3">
      <c r="A204" t="s">
        <v>6592</v>
      </c>
      <c r="B204" t="s">
        <v>6593</v>
      </c>
      <c r="T204" t="s">
        <v>3830</v>
      </c>
      <c r="V204" t="s">
        <v>6279</v>
      </c>
      <c r="W204">
        <f>IF($A204="","",COUNTIF(Aircraft!$N:$N,$A204))</f>
        <v>1</v>
      </c>
      <c r="X204" t="str">
        <f t="shared" si="24"/>
        <v>OK</v>
      </c>
      <c r="Y204" t="str">
        <f t="shared" si="25"/>
        <v>EMAIL (SMTP)</v>
      </c>
      <c r="Z204" t="str">
        <f t="shared" si="26"/>
        <v/>
      </c>
      <c r="AA204" t="str">
        <f t="shared" si="27"/>
        <v/>
      </c>
      <c r="AD204" t="str">
        <f t="shared" si="28"/>
        <v>PLAIN TEXT UPPERCASE</v>
      </c>
      <c r="AE204" t="str">
        <f t="shared" si="29"/>
        <v>JTL TRIP SUPPORT</v>
      </c>
      <c r="AF204" t="str">
        <f t="shared" si="30"/>
        <v>NO SENDING ADDRESS - ADD messaging_to_emails</v>
      </c>
      <c r="AG204" t="str">
        <f t="shared" si="31"/>
        <v>ASSIGNABLE</v>
      </c>
    </row>
    <row r="205" spans="1:33" x14ac:dyDescent="0.3">
      <c r="A205" t="s">
        <v>6594</v>
      </c>
      <c r="B205" t="s">
        <v>6595</v>
      </c>
      <c r="T205" t="s">
        <v>3830</v>
      </c>
      <c r="V205" t="s">
        <v>6279</v>
      </c>
      <c r="W205">
        <f>IF($A205="","",COUNTIF(Aircraft!$N:$N,$A205))</f>
        <v>2</v>
      </c>
      <c r="X205" t="str">
        <f t="shared" si="24"/>
        <v>OK</v>
      </c>
      <c r="Y205" t="str">
        <f t="shared" si="25"/>
        <v>EMAIL (SMTP)</v>
      </c>
      <c r="Z205" t="str">
        <f t="shared" si="26"/>
        <v/>
      </c>
      <c r="AA205" t="str">
        <f t="shared" si="27"/>
        <v/>
      </c>
      <c r="AD205" t="str">
        <f t="shared" si="28"/>
        <v>PLAIN TEXT UPPERCASE</v>
      </c>
      <c r="AE205" t="str">
        <f t="shared" si="29"/>
        <v>JTL TRIP SUPPORT</v>
      </c>
      <c r="AF205" t="str">
        <f t="shared" si="30"/>
        <v>NO SENDING ADDRESS - ADD messaging_to_emails</v>
      </c>
      <c r="AG205" t="str">
        <f t="shared" si="31"/>
        <v>ASSIGNABLE</v>
      </c>
    </row>
    <row r="206" spans="1:33" x14ac:dyDescent="0.3">
      <c r="A206" t="s">
        <v>6596</v>
      </c>
      <c r="B206" t="s">
        <v>6597</v>
      </c>
      <c r="T206" t="s">
        <v>3830</v>
      </c>
      <c r="V206" t="s">
        <v>6279</v>
      </c>
      <c r="W206">
        <f>IF($A206="","",COUNTIF(Aircraft!$N:$N,$A206))</f>
        <v>2</v>
      </c>
      <c r="X206" t="str">
        <f t="shared" si="24"/>
        <v>OK</v>
      </c>
      <c r="Y206" t="str">
        <f t="shared" si="25"/>
        <v>EMAIL (SMTP)</v>
      </c>
      <c r="Z206" t="str">
        <f t="shared" si="26"/>
        <v/>
      </c>
      <c r="AA206" t="str">
        <f t="shared" si="27"/>
        <v/>
      </c>
      <c r="AD206" t="str">
        <f t="shared" si="28"/>
        <v>PLAIN TEXT UPPERCASE</v>
      </c>
      <c r="AE206" t="str">
        <f t="shared" si="29"/>
        <v>JTL TRIP SUPPORT</v>
      </c>
      <c r="AF206" t="str">
        <f t="shared" si="30"/>
        <v>NO SENDING ADDRESS - ADD messaging_to_emails</v>
      </c>
      <c r="AG206" t="str">
        <f t="shared" si="31"/>
        <v>ASSIGNABLE</v>
      </c>
    </row>
    <row r="207" spans="1:33" x14ac:dyDescent="0.3">
      <c r="A207" t="s">
        <v>6598</v>
      </c>
      <c r="B207" t="s">
        <v>6599</v>
      </c>
      <c r="T207" t="s">
        <v>3830</v>
      </c>
      <c r="V207" t="s">
        <v>6279</v>
      </c>
      <c r="W207">
        <f>IF($A207="","",COUNTIF(Aircraft!$N:$N,$A207))</f>
        <v>1</v>
      </c>
      <c r="X207" t="str">
        <f t="shared" si="24"/>
        <v>OK</v>
      </c>
      <c r="Y207" t="str">
        <f t="shared" si="25"/>
        <v>EMAIL (SMTP)</v>
      </c>
      <c r="Z207" t="str">
        <f t="shared" si="26"/>
        <v/>
      </c>
      <c r="AA207" t="str">
        <f t="shared" si="27"/>
        <v/>
      </c>
      <c r="AD207" t="str">
        <f t="shared" si="28"/>
        <v>PLAIN TEXT UPPERCASE</v>
      </c>
      <c r="AE207" t="str">
        <f t="shared" si="29"/>
        <v>JTL TRIP SUPPORT</v>
      </c>
      <c r="AF207" t="str">
        <f t="shared" si="30"/>
        <v>NO SENDING ADDRESS - ADD messaging_to_emails</v>
      </c>
      <c r="AG207" t="str">
        <f t="shared" si="31"/>
        <v>ASSIGNABLE</v>
      </c>
    </row>
    <row r="208" spans="1:33" x14ac:dyDescent="0.3">
      <c r="A208" t="s">
        <v>6600</v>
      </c>
      <c r="B208" t="s">
        <v>6601</v>
      </c>
      <c r="T208" t="s">
        <v>3830</v>
      </c>
      <c r="V208" t="s">
        <v>6279</v>
      </c>
      <c r="W208">
        <f>IF($A208="","",COUNTIF(Aircraft!$N:$N,$A208))</f>
        <v>1</v>
      </c>
      <c r="X208" t="str">
        <f t="shared" si="24"/>
        <v>OK</v>
      </c>
      <c r="Y208" t="str">
        <f t="shared" si="25"/>
        <v>EMAIL (SMTP)</v>
      </c>
      <c r="Z208" t="str">
        <f t="shared" si="26"/>
        <v/>
      </c>
      <c r="AA208" t="str">
        <f t="shared" si="27"/>
        <v/>
      </c>
      <c r="AD208" t="str">
        <f t="shared" si="28"/>
        <v>PLAIN TEXT UPPERCASE</v>
      </c>
      <c r="AE208" t="str">
        <f t="shared" si="29"/>
        <v>JTL TRIP SUPPORT</v>
      </c>
      <c r="AF208" t="str">
        <f t="shared" si="30"/>
        <v>NO SENDING ADDRESS - ADD messaging_to_emails</v>
      </c>
      <c r="AG208" t="str">
        <f t="shared" si="31"/>
        <v>ASSIGNABLE</v>
      </c>
    </row>
    <row r="209" spans="1:33" x14ac:dyDescent="0.3">
      <c r="A209" t="s">
        <v>6602</v>
      </c>
      <c r="B209" t="s">
        <v>6603</v>
      </c>
      <c r="T209" t="s">
        <v>3830</v>
      </c>
      <c r="V209" t="s">
        <v>6279</v>
      </c>
      <c r="W209">
        <f>IF($A209="","",COUNTIF(Aircraft!$N:$N,$A209))</f>
        <v>1</v>
      </c>
      <c r="X209" t="str">
        <f t="shared" si="24"/>
        <v>OK</v>
      </c>
      <c r="Y209" t="str">
        <f t="shared" si="25"/>
        <v>EMAIL (SMTP)</v>
      </c>
      <c r="Z209" t="str">
        <f t="shared" si="26"/>
        <v/>
      </c>
      <c r="AA209" t="str">
        <f t="shared" si="27"/>
        <v/>
      </c>
      <c r="AD209" t="str">
        <f t="shared" si="28"/>
        <v>PLAIN TEXT UPPERCASE</v>
      </c>
      <c r="AE209" t="str">
        <f t="shared" si="29"/>
        <v>JTL TRIP SUPPORT</v>
      </c>
      <c r="AF209" t="str">
        <f t="shared" si="30"/>
        <v>NO SENDING ADDRESS - ADD messaging_to_emails</v>
      </c>
      <c r="AG209" t="str">
        <f t="shared" si="31"/>
        <v>ASSIGNABLE</v>
      </c>
    </row>
    <row r="210" spans="1:33" x14ac:dyDescent="0.3">
      <c r="A210" t="s">
        <v>6604</v>
      </c>
      <c r="B210" t="s">
        <v>6605</v>
      </c>
      <c r="T210" t="s">
        <v>3830</v>
      </c>
      <c r="V210" t="s">
        <v>6279</v>
      </c>
      <c r="W210">
        <f>IF($A210="","",COUNTIF(Aircraft!$N:$N,$A210))</f>
        <v>1</v>
      </c>
      <c r="X210" t="str">
        <f t="shared" si="24"/>
        <v>OK</v>
      </c>
      <c r="Y210" t="str">
        <f t="shared" si="25"/>
        <v>EMAIL (SMTP)</v>
      </c>
      <c r="Z210" t="str">
        <f t="shared" si="26"/>
        <v/>
      </c>
      <c r="AA210" t="str">
        <f t="shared" si="27"/>
        <v/>
      </c>
      <c r="AD210" t="str">
        <f t="shared" si="28"/>
        <v>PLAIN TEXT UPPERCASE</v>
      </c>
      <c r="AE210" t="str">
        <f t="shared" si="29"/>
        <v>JTL TRIP SUPPORT</v>
      </c>
      <c r="AF210" t="str">
        <f t="shared" si="30"/>
        <v>NO SENDING ADDRESS - ADD messaging_to_emails</v>
      </c>
      <c r="AG210" t="str">
        <f t="shared" si="31"/>
        <v>ASSIGNABLE</v>
      </c>
    </row>
    <row r="211" spans="1:33" x14ac:dyDescent="0.3">
      <c r="A211" t="s">
        <v>6606</v>
      </c>
      <c r="B211" t="s">
        <v>6607</v>
      </c>
      <c r="T211" t="s">
        <v>3830</v>
      </c>
      <c r="V211" t="s">
        <v>6279</v>
      </c>
      <c r="W211">
        <f>IF($A211="","",COUNTIF(Aircraft!$N:$N,$A211))</f>
        <v>1</v>
      </c>
      <c r="X211" t="str">
        <f t="shared" si="24"/>
        <v>OK</v>
      </c>
      <c r="Y211" t="str">
        <f t="shared" si="25"/>
        <v>EMAIL (SMTP)</v>
      </c>
      <c r="Z211" t="str">
        <f t="shared" si="26"/>
        <v/>
      </c>
      <c r="AA211" t="str">
        <f t="shared" si="27"/>
        <v/>
      </c>
      <c r="AD211" t="str">
        <f t="shared" si="28"/>
        <v>PLAIN TEXT UPPERCASE</v>
      </c>
      <c r="AE211" t="str">
        <f t="shared" si="29"/>
        <v>JTL TRIP SUPPORT</v>
      </c>
      <c r="AF211" t="str">
        <f t="shared" si="30"/>
        <v>NO SENDING ADDRESS - ADD messaging_to_emails</v>
      </c>
      <c r="AG211" t="str">
        <f t="shared" si="31"/>
        <v>ASSIGNABLE</v>
      </c>
    </row>
    <row r="212" spans="1:33" x14ac:dyDescent="0.3">
      <c r="A212" t="s">
        <v>6608</v>
      </c>
      <c r="B212" t="s">
        <v>6609</v>
      </c>
      <c r="T212" t="s">
        <v>3830</v>
      </c>
      <c r="V212" t="s">
        <v>6279</v>
      </c>
      <c r="W212">
        <f>IF($A212="","",COUNTIF(Aircraft!$N:$N,$A212))</f>
        <v>1</v>
      </c>
      <c r="X212" t="str">
        <f t="shared" si="24"/>
        <v>OK</v>
      </c>
      <c r="Y212" t="str">
        <f t="shared" si="25"/>
        <v>EMAIL (SMTP)</v>
      </c>
      <c r="Z212" t="str">
        <f t="shared" si="26"/>
        <v/>
      </c>
      <c r="AA212" t="str">
        <f t="shared" si="27"/>
        <v/>
      </c>
      <c r="AD212" t="str">
        <f t="shared" si="28"/>
        <v>PLAIN TEXT UPPERCASE</v>
      </c>
      <c r="AE212" t="str">
        <f t="shared" si="29"/>
        <v>JTL TRIP SUPPORT</v>
      </c>
      <c r="AF212" t="str">
        <f t="shared" si="30"/>
        <v>NO SENDING ADDRESS - ADD messaging_to_emails</v>
      </c>
      <c r="AG212" t="str">
        <f t="shared" si="31"/>
        <v>ASSIGNABLE</v>
      </c>
    </row>
    <row r="213" spans="1:33" x14ac:dyDescent="0.3">
      <c r="A213" t="s">
        <v>6610</v>
      </c>
      <c r="B213" t="s">
        <v>6611</v>
      </c>
      <c r="T213" t="s">
        <v>3830</v>
      </c>
      <c r="V213" t="s">
        <v>6279</v>
      </c>
      <c r="W213">
        <f>IF($A213="","",COUNTIF(Aircraft!$N:$N,$A213))</f>
        <v>1</v>
      </c>
      <c r="X213" t="str">
        <f t="shared" si="24"/>
        <v>OK</v>
      </c>
      <c r="Y213" t="str">
        <f t="shared" si="25"/>
        <v>EMAIL (SMTP)</v>
      </c>
      <c r="Z213" t="str">
        <f t="shared" si="26"/>
        <v/>
      </c>
      <c r="AA213" t="str">
        <f t="shared" si="27"/>
        <v/>
      </c>
      <c r="AD213" t="str">
        <f t="shared" si="28"/>
        <v>PLAIN TEXT UPPERCASE</v>
      </c>
      <c r="AE213" t="str">
        <f t="shared" si="29"/>
        <v>JTL TRIP SUPPORT</v>
      </c>
      <c r="AF213" t="str">
        <f t="shared" si="30"/>
        <v>NO SENDING ADDRESS - ADD messaging_to_emails</v>
      </c>
      <c r="AG213" t="str">
        <f t="shared" si="31"/>
        <v>ASSIGNABLE</v>
      </c>
    </row>
    <row r="214" spans="1:33" x14ac:dyDescent="0.3">
      <c r="A214" t="s">
        <v>6612</v>
      </c>
      <c r="B214" t="s">
        <v>6613</v>
      </c>
      <c r="T214" t="s">
        <v>3830</v>
      </c>
      <c r="V214" t="s">
        <v>6279</v>
      </c>
      <c r="W214">
        <f>IF($A214="","",COUNTIF(Aircraft!$N:$N,$A214))</f>
        <v>1</v>
      </c>
      <c r="X214" t="str">
        <f t="shared" si="24"/>
        <v>OK</v>
      </c>
      <c r="Y214" t="str">
        <f t="shared" si="25"/>
        <v>EMAIL (SMTP)</v>
      </c>
      <c r="Z214" t="str">
        <f t="shared" si="26"/>
        <v/>
      </c>
      <c r="AA214" t="str">
        <f t="shared" si="27"/>
        <v/>
      </c>
      <c r="AD214" t="str">
        <f t="shared" si="28"/>
        <v>PLAIN TEXT UPPERCASE</v>
      </c>
      <c r="AE214" t="str">
        <f t="shared" si="29"/>
        <v>JTL TRIP SUPPORT</v>
      </c>
      <c r="AF214" t="str">
        <f t="shared" si="30"/>
        <v>NO SENDING ADDRESS - ADD messaging_to_emails</v>
      </c>
      <c r="AG214" t="str">
        <f t="shared" si="31"/>
        <v>ASSIGNABLE</v>
      </c>
    </row>
    <row r="215" spans="1:33" x14ac:dyDescent="0.3">
      <c r="A215" t="s">
        <v>6614</v>
      </c>
      <c r="B215" t="s">
        <v>6615</v>
      </c>
      <c r="T215" t="s">
        <v>3830</v>
      </c>
      <c r="V215" t="s">
        <v>6279</v>
      </c>
      <c r="W215">
        <f>IF($A215="","",COUNTIF(Aircraft!$N:$N,$A215))</f>
        <v>2</v>
      </c>
      <c r="X215" t="str">
        <f t="shared" si="24"/>
        <v>OK</v>
      </c>
      <c r="Y215" t="str">
        <f t="shared" si="25"/>
        <v>EMAIL (SMTP)</v>
      </c>
      <c r="Z215" t="str">
        <f t="shared" si="26"/>
        <v/>
      </c>
      <c r="AA215" t="str">
        <f t="shared" si="27"/>
        <v/>
      </c>
      <c r="AD215" t="str">
        <f t="shared" si="28"/>
        <v>PLAIN TEXT UPPERCASE</v>
      </c>
      <c r="AE215" t="str">
        <f t="shared" si="29"/>
        <v>JTL TRIP SUPPORT</v>
      </c>
      <c r="AF215" t="str">
        <f t="shared" si="30"/>
        <v>NO SENDING ADDRESS - ADD messaging_to_emails</v>
      </c>
      <c r="AG215" t="str">
        <f t="shared" si="31"/>
        <v>ASSIGNABLE</v>
      </c>
    </row>
    <row r="216" spans="1:33" x14ac:dyDescent="0.3">
      <c r="A216" t="s">
        <v>6616</v>
      </c>
      <c r="B216" t="s">
        <v>6617</v>
      </c>
      <c r="T216" t="s">
        <v>3830</v>
      </c>
      <c r="V216" t="s">
        <v>6279</v>
      </c>
      <c r="W216">
        <f>IF($A216="","",COUNTIF(Aircraft!$N:$N,$A216))</f>
        <v>2</v>
      </c>
      <c r="X216" t="str">
        <f t="shared" si="24"/>
        <v>OK</v>
      </c>
      <c r="Y216" t="str">
        <f t="shared" si="25"/>
        <v>EMAIL (SMTP)</v>
      </c>
      <c r="Z216" t="str">
        <f t="shared" si="26"/>
        <v/>
      </c>
      <c r="AA216" t="str">
        <f t="shared" si="27"/>
        <v/>
      </c>
      <c r="AD216" t="str">
        <f t="shared" si="28"/>
        <v>PLAIN TEXT UPPERCASE</v>
      </c>
      <c r="AE216" t="str">
        <f t="shared" si="29"/>
        <v>JTL TRIP SUPPORT</v>
      </c>
      <c r="AF216" t="str">
        <f t="shared" si="30"/>
        <v>NO SENDING ADDRESS - ADD messaging_to_emails</v>
      </c>
      <c r="AG216" t="str">
        <f t="shared" si="31"/>
        <v>ASSIGNABLE</v>
      </c>
    </row>
    <row r="217" spans="1:33" x14ac:dyDescent="0.3">
      <c r="A217" t="s">
        <v>6618</v>
      </c>
      <c r="B217" t="s">
        <v>6619</v>
      </c>
      <c r="T217" t="s">
        <v>3830</v>
      </c>
      <c r="V217" t="s">
        <v>6279</v>
      </c>
      <c r="W217">
        <f>IF($A217="","",COUNTIF(Aircraft!$N:$N,$A217))</f>
        <v>2</v>
      </c>
      <c r="X217" t="str">
        <f t="shared" si="24"/>
        <v>OK</v>
      </c>
      <c r="Y217" t="str">
        <f t="shared" si="25"/>
        <v>EMAIL (SMTP)</v>
      </c>
      <c r="Z217" t="str">
        <f t="shared" si="26"/>
        <v/>
      </c>
      <c r="AA217" t="str">
        <f t="shared" si="27"/>
        <v/>
      </c>
      <c r="AD217" t="str">
        <f t="shared" si="28"/>
        <v>PLAIN TEXT UPPERCASE</v>
      </c>
      <c r="AE217" t="str">
        <f t="shared" si="29"/>
        <v>JTL TRIP SUPPORT</v>
      </c>
      <c r="AF217" t="str">
        <f t="shared" si="30"/>
        <v>NO SENDING ADDRESS - ADD messaging_to_emails</v>
      </c>
      <c r="AG217" t="str">
        <f t="shared" si="31"/>
        <v>ASSIGNABLE</v>
      </c>
    </row>
    <row r="218" spans="1:33" x14ac:dyDescent="0.3">
      <c r="A218" t="s">
        <v>6620</v>
      </c>
      <c r="B218" t="s">
        <v>6621</v>
      </c>
      <c r="T218" t="s">
        <v>3830</v>
      </c>
      <c r="V218" t="s">
        <v>6279</v>
      </c>
      <c r="W218">
        <f>IF($A218="","",COUNTIF(Aircraft!$N:$N,$A218))</f>
        <v>1</v>
      </c>
      <c r="X218" t="str">
        <f t="shared" si="24"/>
        <v>OK</v>
      </c>
      <c r="Y218" t="str">
        <f t="shared" si="25"/>
        <v>EMAIL (SMTP)</v>
      </c>
      <c r="Z218" t="str">
        <f t="shared" si="26"/>
        <v/>
      </c>
      <c r="AA218" t="str">
        <f t="shared" si="27"/>
        <v/>
      </c>
      <c r="AD218" t="str">
        <f t="shared" si="28"/>
        <v>PLAIN TEXT UPPERCASE</v>
      </c>
      <c r="AE218" t="str">
        <f t="shared" si="29"/>
        <v>JTL TRIP SUPPORT</v>
      </c>
      <c r="AF218" t="str">
        <f t="shared" si="30"/>
        <v>NO SENDING ADDRESS - ADD messaging_to_emails</v>
      </c>
      <c r="AG218" t="str">
        <f t="shared" si="31"/>
        <v>ASSIGNABLE</v>
      </c>
    </row>
    <row r="219" spans="1:33" x14ac:dyDescent="0.3">
      <c r="A219" t="s">
        <v>6622</v>
      </c>
      <c r="B219" t="s">
        <v>6623</v>
      </c>
      <c r="T219" t="s">
        <v>3830</v>
      </c>
      <c r="V219" t="s">
        <v>6279</v>
      </c>
      <c r="W219">
        <f>IF($A219="","",COUNTIF(Aircraft!$N:$N,$A219))</f>
        <v>1</v>
      </c>
      <c r="X219" t="str">
        <f t="shared" si="24"/>
        <v>OK</v>
      </c>
      <c r="Y219" t="str">
        <f t="shared" si="25"/>
        <v>EMAIL (SMTP)</v>
      </c>
      <c r="Z219" t="str">
        <f t="shared" si="26"/>
        <v/>
      </c>
      <c r="AA219" t="str">
        <f t="shared" si="27"/>
        <v/>
      </c>
      <c r="AD219" t="str">
        <f t="shared" si="28"/>
        <v>PLAIN TEXT UPPERCASE</v>
      </c>
      <c r="AE219" t="str">
        <f t="shared" si="29"/>
        <v>JTL TRIP SUPPORT</v>
      </c>
      <c r="AF219" t="str">
        <f t="shared" si="30"/>
        <v>NO SENDING ADDRESS - ADD messaging_to_emails</v>
      </c>
      <c r="AG219" t="str">
        <f t="shared" si="31"/>
        <v>ASSIGNABLE</v>
      </c>
    </row>
    <row r="220" spans="1:33" x14ac:dyDescent="0.3">
      <c r="A220" t="s">
        <v>6624</v>
      </c>
      <c r="B220" t="s">
        <v>6625</v>
      </c>
      <c r="T220" t="s">
        <v>3830</v>
      </c>
      <c r="V220" t="s">
        <v>6279</v>
      </c>
      <c r="W220">
        <f>IF($A220="","",COUNTIF(Aircraft!$N:$N,$A220))</f>
        <v>2</v>
      </c>
      <c r="X220" t="str">
        <f t="shared" si="24"/>
        <v>OK</v>
      </c>
      <c r="Y220" t="str">
        <f t="shared" si="25"/>
        <v>EMAIL (SMTP)</v>
      </c>
      <c r="Z220" t="str">
        <f t="shared" si="26"/>
        <v/>
      </c>
      <c r="AA220" t="str">
        <f t="shared" si="27"/>
        <v/>
      </c>
      <c r="AD220" t="str">
        <f t="shared" si="28"/>
        <v>PLAIN TEXT UPPERCASE</v>
      </c>
      <c r="AE220" t="str">
        <f t="shared" si="29"/>
        <v>JTL TRIP SUPPORT</v>
      </c>
      <c r="AF220" t="str">
        <f t="shared" si="30"/>
        <v>NO SENDING ADDRESS - ADD messaging_to_emails</v>
      </c>
      <c r="AG220" t="str">
        <f t="shared" si="31"/>
        <v>ASSIGNABLE</v>
      </c>
    </row>
    <row r="221" spans="1:33" x14ac:dyDescent="0.3">
      <c r="A221" t="s">
        <v>6626</v>
      </c>
      <c r="B221" t="s">
        <v>6627</v>
      </c>
      <c r="T221" t="s">
        <v>3830</v>
      </c>
      <c r="V221" t="s">
        <v>6279</v>
      </c>
      <c r="W221">
        <f>IF($A221="","",COUNTIF(Aircraft!$N:$N,$A221))</f>
        <v>1</v>
      </c>
      <c r="X221" t="str">
        <f t="shared" si="24"/>
        <v>OK</v>
      </c>
      <c r="Y221" t="str">
        <f t="shared" si="25"/>
        <v>EMAIL (SMTP)</v>
      </c>
      <c r="Z221" t="str">
        <f t="shared" si="26"/>
        <v/>
      </c>
      <c r="AA221" t="str">
        <f t="shared" si="27"/>
        <v/>
      </c>
      <c r="AD221" t="str">
        <f t="shared" si="28"/>
        <v>PLAIN TEXT UPPERCASE</v>
      </c>
      <c r="AE221" t="str">
        <f t="shared" si="29"/>
        <v>JTL TRIP SUPPORT</v>
      </c>
      <c r="AF221" t="str">
        <f t="shared" si="30"/>
        <v>NO SENDING ADDRESS - ADD messaging_to_emails</v>
      </c>
      <c r="AG221" t="str">
        <f t="shared" si="31"/>
        <v>ASSIGNABLE</v>
      </c>
    </row>
    <row r="222" spans="1:33" x14ac:dyDescent="0.3">
      <c r="A222" t="s">
        <v>6628</v>
      </c>
      <c r="B222" t="s">
        <v>6629</v>
      </c>
      <c r="T222" t="s">
        <v>3830</v>
      </c>
      <c r="V222" t="s">
        <v>6279</v>
      </c>
      <c r="W222">
        <f>IF($A222="","",COUNTIF(Aircraft!$N:$N,$A222))</f>
        <v>1</v>
      </c>
      <c r="X222" t="str">
        <f t="shared" si="24"/>
        <v>OK</v>
      </c>
      <c r="Y222" t="str">
        <f t="shared" si="25"/>
        <v>EMAIL (SMTP)</v>
      </c>
      <c r="Z222" t="str">
        <f t="shared" si="26"/>
        <v/>
      </c>
      <c r="AA222" t="str">
        <f t="shared" si="27"/>
        <v/>
      </c>
      <c r="AD222" t="str">
        <f t="shared" si="28"/>
        <v>PLAIN TEXT UPPERCASE</v>
      </c>
      <c r="AE222" t="str">
        <f t="shared" si="29"/>
        <v>JTL TRIP SUPPORT</v>
      </c>
      <c r="AF222" t="str">
        <f t="shared" si="30"/>
        <v>NO SENDING ADDRESS - ADD messaging_to_emails</v>
      </c>
      <c r="AG222" t="str">
        <f t="shared" si="31"/>
        <v>ASSIGNABLE</v>
      </c>
    </row>
    <row r="223" spans="1:33" x14ac:dyDescent="0.3">
      <c r="A223" t="s">
        <v>6630</v>
      </c>
      <c r="B223" t="s">
        <v>6631</v>
      </c>
      <c r="T223" t="s">
        <v>3830</v>
      </c>
      <c r="V223" t="s">
        <v>6279</v>
      </c>
      <c r="W223">
        <f>IF($A223="","",COUNTIF(Aircraft!$N:$N,$A223))</f>
        <v>2</v>
      </c>
      <c r="X223" t="str">
        <f t="shared" si="24"/>
        <v>OK</v>
      </c>
      <c r="Y223" t="str">
        <f t="shared" si="25"/>
        <v>EMAIL (SMTP)</v>
      </c>
      <c r="Z223" t="str">
        <f t="shared" si="26"/>
        <v/>
      </c>
      <c r="AA223" t="str">
        <f t="shared" si="27"/>
        <v/>
      </c>
      <c r="AD223" t="str">
        <f t="shared" si="28"/>
        <v>PLAIN TEXT UPPERCASE</v>
      </c>
      <c r="AE223" t="str">
        <f t="shared" si="29"/>
        <v>JTL TRIP SUPPORT</v>
      </c>
      <c r="AF223" t="str">
        <f t="shared" si="30"/>
        <v>NO SENDING ADDRESS - ADD messaging_to_emails</v>
      </c>
      <c r="AG223" t="str">
        <f t="shared" si="31"/>
        <v>ASSIGNABLE</v>
      </c>
    </row>
    <row r="224" spans="1:33" x14ac:dyDescent="0.3">
      <c r="A224" t="s">
        <v>6632</v>
      </c>
      <c r="B224" t="s">
        <v>6633</v>
      </c>
      <c r="T224" t="s">
        <v>3830</v>
      </c>
      <c r="V224" t="s">
        <v>6279</v>
      </c>
      <c r="W224">
        <f>IF($A224="","",COUNTIF(Aircraft!$N:$N,$A224))</f>
        <v>1</v>
      </c>
      <c r="X224" t="str">
        <f t="shared" si="24"/>
        <v>OK</v>
      </c>
      <c r="Y224" t="str">
        <f t="shared" si="25"/>
        <v>EMAIL (SMTP)</v>
      </c>
      <c r="Z224" t="str">
        <f t="shared" si="26"/>
        <v/>
      </c>
      <c r="AA224" t="str">
        <f t="shared" si="27"/>
        <v/>
      </c>
      <c r="AD224" t="str">
        <f t="shared" si="28"/>
        <v>PLAIN TEXT UPPERCASE</v>
      </c>
      <c r="AE224" t="str">
        <f t="shared" si="29"/>
        <v>JTL TRIP SUPPORT</v>
      </c>
      <c r="AF224" t="str">
        <f t="shared" si="30"/>
        <v>NO SENDING ADDRESS - ADD messaging_to_emails</v>
      </c>
      <c r="AG224" t="str">
        <f t="shared" si="31"/>
        <v>ASSIGNABLE</v>
      </c>
    </row>
    <row r="225" spans="1:33" x14ac:dyDescent="0.3">
      <c r="A225" t="s">
        <v>6634</v>
      </c>
      <c r="B225" t="s">
        <v>6635</v>
      </c>
      <c r="T225" t="s">
        <v>3830</v>
      </c>
      <c r="V225" t="s">
        <v>6279</v>
      </c>
      <c r="W225">
        <f>IF($A225="","",COUNTIF(Aircraft!$N:$N,$A225))</f>
        <v>1</v>
      </c>
      <c r="X225" t="str">
        <f t="shared" si="24"/>
        <v>OK</v>
      </c>
      <c r="Y225" t="str">
        <f t="shared" si="25"/>
        <v>EMAIL (SMTP)</v>
      </c>
      <c r="Z225" t="str">
        <f t="shared" si="26"/>
        <v/>
      </c>
      <c r="AA225" t="str">
        <f t="shared" si="27"/>
        <v/>
      </c>
      <c r="AD225" t="str">
        <f t="shared" si="28"/>
        <v>PLAIN TEXT UPPERCASE</v>
      </c>
      <c r="AE225" t="str">
        <f t="shared" si="29"/>
        <v>JTL TRIP SUPPORT</v>
      </c>
      <c r="AF225" t="str">
        <f t="shared" si="30"/>
        <v>NO SENDING ADDRESS - ADD messaging_to_emails</v>
      </c>
      <c r="AG225" t="str">
        <f t="shared" si="31"/>
        <v>ASSIGNABLE</v>
      </c>
    </row>
    <row r="226" spans="1:33" x14ac:dyDescent="0.3">
      <c r="A226" t="s">
        <v>6636</v>
      </c>
      <c r="B226" t="s">
        <v>6637</v>
      </c>
      <c r="T226" t="s">
        <v>3830</v>
      </c>
      <c r="V226" t="s">
        <v>6279</v>
      </c>
      <c r="W226">
        <f>IF($A226="","",COUNTIF(Aircraft!$N:$N,$A226))</f>
        <v>1</v>
      </c>
      <c r="X226" t="str">
        <f t="shared" si="24"/>
        <v>OK</v>
      </c>
      <c r="Y226" t="str">
        <f t="shared" si="25"/>
        <v>EMAIL (SMTP)</v>
      </c>
      <c r="Z226" t="str">
        <f t="shared" si="26"/>
        <v/>
      </c>
      <c r="AA226" t="str">
        <f t="shared" si="27"/>
        <v/>
      </c>
      <c r="AD226" t="str">
        <f t="shared" si="28"/>
        <v>PLAIN TEXT UPPERCASE</v>
      </c>
      <c r="AE226" t="str">
        <f t="shared" si="29"/>
        <v>JTL TRIP SUPPORT</v>
      </c>
      <c r="AF226" t="str">
        <f t="shared" si="30"/>
        <v>NO SENDING ADDRESS - ADD messaging_to_emails</v>
      </c>
      <c r="AG226" t="str">
        <f t="shared" si="31"/>
        <v>ASSIGNABLE</v>
      </c>
    </row>
    <row r="227" spans="1:33" x14ac:dyDescent="0.3">
      <c r="A227" t="s">
        <v>6638</v>
      </c>
      <c r="B227" t="s">
        <v>6639</v>
      </c>
      <c r="T227" t="s">
        <v>3830</v>
      </c>
      <c r="V227" t="s">
        <v>6279</v>
      </c>
      <c r="W227">
        <f>IF($A227="","",COUNTIF(Aircraft!$N:$N,$A227))</f>
        <v>1</v>
      </c>
      <c r="X227" t="str">
        <f t="shared" si="24"/>
        <v>OK</v>
      </c>
      <c r="Y227" t="str">
        <f t="shared" si="25"/>
        <v>EMAIL (SMTP)</v>
      </c>
      <c r="Z227" t="str">
        <f t="shared" si="26"/>
        <v/>
      </c>
      <c r="AA227" t="str">
        <f t="shared" si="27"/>
        <v/>
      </c>
      <c r="AD227" t="str">
        <f t="shared" si="28"/>
        <v>PLAIN TEXT UPPERCASE</v>
      </c>
      <c r="AE227" t="str">
        <f t="shared" si="29"/>
        <v>JTL TRIP SUPPORT</v>
      </c>
      <c r="AF227" t="str">
        <f t="shared" si="30"/>
        <v>NO SENDING ADDRESS - ADD messaging_to_emails</v>
      </c>
      <c r="AG227" t="str">
        <f t="shared" si="31"/>
        <v>ASSIGNABLE</v>
      </c>
    </row>
    <row r="228" spans="1:33" x14ac:dyDescent="0.3">
      <c r="A228" t="s">
        <v>6640</v>
      </c>
      <c r="B228" t="s">
        <v>6641</v>
      </c>
      <c r="T228" t="s">
        <v>3830</v>
      </c>
      <c r="V228" t="s">
        <v>6279</v>
      </c>
      <c r="W228">
        <f>IF($A228="","",COUNTIF(Aircraft!$N:$N,$A228))</f>
        <v>1</v>
      </c>
      <c r="X228" t="str">
        <f t="shared" si="24"/>
        <v>OK</v>
      </c>
      <c r="Y228" t="str">
        <f t="shared" si="25"/>
        <v>EMAIL (SMTP)</v>
      </c>
      <c r="Z228" t="str">
        <f t="shared" si="26"/>
        <v/>
      </c>
      <c r="AA228" t="str">
        <f t="shared" si="27"/>
        <v/>
      </c>
      <c r="AD228" t="str">
        <f t="shared" si="28"/>
        <v>PLAIN TEXT UPPERCASE</v>
      </c>
      <c r="AE228" t="str">
        <f t="shared" si="29"/>
        <v>JTL TRIP SUPPORT</v>
      </c>
      <c r="AF228" t="str">
        <f t="shared" si="30"/>
        <v>NO SENDING ADDRESS - ADD messaging_to_emails</v>
      </c>
      <c r="AG228" t="str">
        <f t="shared" si="31"/>
        <v>ASSIGNABLE</v>
      </c>
    </row>
    <row r="229" spans="1:33" x14ac:dyDescent="0.3">
      <c r="A229" t="s">
        <v>6642</v>
      </c>
      <c r="B229" t="s">
        <v>6643</v>
      </c>
      <c r="T229" t="s">
        <v>3830</v>
      </c>
      <c r="V229" t="s">
        <v>6279</v>
      </c>
      <c r="W229">
        <f>IF($A229="","",COUNTIF(Aircraft!$N:$N,$A229))</f>
        <v>2</v>
      </c>
      <c r="X229" t="str">
        <f t="shared" si="24"/>
        <v>OK</v>
      </c>
      <c r="Y229" t="str">
        <f t="shared" si="25"/>
        <v>EMAIL (SMTP)</v>
      </c>
      <c r="Z229" t="str">
        <f t="shared" si="26"/>
        <v/>
      </c>
      <c r="AA229" t="str">
        <f t="shared" si="27"/>
        <v/>
      </c>
      <c r="AD229" t="str">
        <f t="shared" si="28"/>
        <v>PLAIN TEXT UPPERCASE</v>
      </c>
      <c r="AE229" t="str">
        <f t="shared" si="29"/>
        <v>JTL TRIP SUPPORT</v>
      </c>
      <c r="AF229" t="str">
        <f t="shared" si="30"/>
        <v>NO SENDING ADDRESS - ADD messaging_to_emails</v>
      </c>
      <c r="AG229" t="str">
        <f t="shared" si="31"/>
        <v>ASSIGNABLE</v>
      </c>
    </row>
    <row r="230" spans="1:33" x14ac:dyDescent="0.3">
      <c r="A230" t="s">
        <v>6644</v>
      </c>
      <c r="B230" t="s">
        <v>6645</v>
      </c>
      <c r="T230" t="s">
        <v>3830</v>
      </c>
      <c r="V230" t="s">
        <v>6279</v>
      </c>
      <c r="W230">
        <f>IF($A230="","",COUNTIF(Aircraft!$N:$N,$A230))</f>
        <v>1</v>
      </c>
      <c r="X230" t="str">
        <f t="shared" si="24"/>
        <v>OK</v>
      </c>
      <c r="Y230" t="str">
        <f t="shared" si="25"/>
        <v>EMAIL (SMTP)</v>
      </c>
      <c r="Z230" t="str">
        <f t="shared" si="26"/>
        <v/>
      </c>
      <c r="AA230" t="str">
        <f t="shared" si="27"/>
        <v/>
      </c>
      <c r="AD230" t="str">
        <f t="shared" si="28"/>
        <v>PLAIN TEXT UPPERCASE</v>
      </c>
      <c r="AE230" t="str">
        <f t="shared" si="29"/>
        <v>JTL TRIP SUPPORT</v>
      </c>
      <c r="AF230" t="str">
        <f t="shared" si="30"/>
        <v>NO SENDING ADDRESS - ADD messaging_to_emails</v>
      </c>
      <c r="AG230" t="str">
        <f t="shared" si="31"/>
        <v>ASSIGNABLE</v>
      </c>
    </row>
    <row r="231" spans="1:33" x14ac:dyDescent="0.3">
      <c r="A231" t="s">
        <v>6646</v>
      </c>
      <c r="B231" t="s">
        <v>6647</v>
      </c>
      <c r="T231" t="s">
        <v>3830</v>
      </c>
      <c r="V231" t="s">
        <v>6279</v>
      </c>
      <c r="W231">
        <f>IF($A231="","",COUNTIF(Aircraft!$N:$N,$A231))</f>
        <v>1</v>
      </c>
      <c r="X231" t="str">
        <f t="shared" si="24"/>
        <v>OK</v>
      </c>
      <c r="Y231" t="str">
        <f t="shared" si="25"/>
        <v>EMAIL (SMTP)</v>
      </c>
      <c r="Z231" t="str">
        <f t="shared" si="26"/>
        <v/>
      </c>
      <c r="AA231" t="str">
        <f t="shared" si="27"/>
        <v/>
      </c>
      <c r="AD231" t="str">
        <f t="shared" si="28"/>
        <v>PLAIN TEXT UPPERCASE</v>
      </c>
      <c r="AE231" t="str">
        <f t="shared" si="29"/>
        <v>JTL TRIP SUPPORT</v>
      </c>
      <c r="AF231" t="str">
        <f t="shared" si="30"/>
        <v>NO SENDING ADDRESS - ADD messaging_to_emails</v>
      </c>
      <c r="AG231" t="str">
        <f t="shared" si="31"/>
        <v>ASSIGNABLE</v>
      </c>
    </row>
    <row r="232" spans="1:33" x14ac:dyDescent="0.3">
      <c r="A232" t="s">
        <v>6648</v>
      </c>
      <c r="B232" t="s">
        <v>6649</v>
      </c>
      <c r="T232" t="s">
        <v>3830</v>
      </c>
      <c r="V232" t="s">
        <v>6279</v>
      </c>
      <c r="W232">
        <f>IF($A232="","",COUNTIF(Aircraft!$N:$N,$A232))</f>
        <v>1</v>
      </c>
      <c r="X232" t="str">
        <f t="shared" si="24"/>
        <v>OK</v>
      </c>
      <c r="Y232" t="str">
        <f t="shared" si="25"/>
        <v>EMAIL (SMTP)</v>
      </c>
      <c r="Z232" t="str">
        <f t="shared" si="26"/>
        <v/>
      </c>
      <c r="AA232" t="str">
        <f t="shared" si="27"/>
        <v/>
      </c>
      <c r="AD232" t="str">
        <f t="shared" si="28"/>
        <v>PLAIN TEXT UPPERCASE</v>
      </c>
      <c r="AE232" t="str">
        <f t="shared" si="29"/>
        <v>JTL TRIP SUPPORT</v>
      </c>
      <c r="AF232" t="str">
        <f t="shared" si="30"/>
        <v>NO SENDING ADDRESS - ADD messaging_to_emails</v>
      </c>
      <c r="AG232" t="str">
        <f t="shared" si="31"/>
        <v>ASSIGNABLE</v>
      </c>
    </row>
    <row r="233" spans="1:33" x14ac:dyDescent="0.3">
      <c r="A233" t="s">
        <v>6650</v>
      </c>
      <c r="B233" t="s">
        <v>6651</v>
      </c>
      <c r="T233" t="s">
        <v>3830</v>
      </c>
      <c r="V233" t="s">
        <v>6279</v>
      </c>
      <c r="W233">
        <f>IF($A233="","",COUNTIF(Aircraft!$N:$N,$A233))</f>
        <v>2</v>
      </c>
      <c r="X233" t="str">
        <f t="shared" si="24"/>
        <v>OK</v>
      </c>
      <c r="Y233" t="str">
        <f t="shared" si="25"/>
        <v>EMAIL (SMTP)</v>
      </c>
      <c r="Z233" t="str">
        <f t="shared" si="26"/>
        <v/>
      </c>
      <c r="AA233" t="str">
        <f t="shared" si="27"/>
        <v/>
      </c>
      <c r="AD233" t="str">
        <f t="shared" si="28"/>
        <v>PLAIN TEXT UPPERCASE</v>
      </c>
      <c r="AE233" t="str">
        <f t="shared" si="29"/>
        <v>JTL TRIP SUPPORT</v>
      </c>
      <c r="AF233" t="str">
        <f t="shared" si="30"/>
        <v>NO SENDING ADDRESS - ADD messaging_to_emails</v>
      </c>
      <c r="AG233" t="str">
        <f t="shared" si="31"/>
        <v>ASSIGNABLE</v>
      </c>
    </row>
    <row r="234" spans="1:33" x14ac:dyDescent="0.3">
      <c r="A234" t="s">
        <v>6652</v>
      </c>
      <c r="B234" t="s">
        <v>6653</v>
      </c>
      <c r="T234" t="s">
        <v>3830</v>
      </c>
      <c r="V234" t="s">
        <v>6279</v>
      </c>
      <c r="W234">
        <f>IF($A234="","",COUNTIF(Aircraft!$N:$N,$A234))</f>
        <v>1</v>
      </c>
      <c r="X234" t="str">
        <f t="shared" si="24"/>
        <v>OK</v>
      </c>
      <c r="Y234" t="str">
        <f t="shared" si="25"/>
        <v>EMAIL (SMTP)</v>
      </c>
      <c r="Z234" t="str">
        <f t="shared" si="26"/>
        <v/>
      </c>
      <c r="AA234" t="str">
        <f t="shared" si="27"/>
        <v/>
      </c>
      <c r="AD234" t="str">
        <f t="shared" si="28"/>
        <v>PLAIN TEXT UPPERCASE</v>
      </c>
      <c r="AE234" t="str">
        <f t="shared" si="29"/>
        <v>JTL TRIP SUPPORT</v>
      </c>
      <c r="AF234" t="str">
        <f t="shared" si="30"/>
        <v>NO SENDING ADDRESS - ADD messaging_to_emails</v>
      </c>
      <c r="AG234" t="str">
        <f t="shared" si="31"/>
        <v>ASSIGNABLE</v>
      </c>
    </row>
    <row r="235" spans="1:33" x14ac:dyDescent="0.3">
      <c r="A235" t="s">
        <v>6654</v>
      </c>
      <c r="B235" t="s">
        <v>6655</v>
      </c>
      <c r="T235" t="s">
        <v>3830</v>
      </c>
      <c r="V235" t="s">
        <v>6279</v>
      </c>
      <c r="W235">
        <f>IF($A235="","",COUNTIF(Aircraft!$N:$N,$A235))</f>
        <v>1</v>
      </c>
      <c r="X235" t="str">
        <f t="shared" si="24"/>
        <v>OK</v>
      </c>
      <c r="Y235" t="str">
        <f t="shared" si="25"/>
        <v>EMAIL (SMTP)</v>
      </c>
      <c r="Z235" t="str">
        <f t="shared" si="26"/>
        <v/>
      </c>
      <c r="AA235" t="str">
        <f t="shared" si="27"/>
        <v/>
      </c>
      <c r="AD235" t="str">
        <f t="shared" si="28"/>
        <v>PLAIN TEXT UPPERCASE</v>
      </c>
      <c r="AE235" t="str">
        <f t="shared" si="29"/>
        <v>JTL TRIP SUPPORT</v>
      </c>
      <c r="AF235" t="str">
        <f t="shared" si="30"/>
        <v>NO SENDING ADDRESS - ADD messaging_to_emails</v>
      </c>
      <c r="AG235" t="str">
        <f t="shared" si="31"/>
        <v>ASSIGNABLE</v>
      </c>
    </row>
    <row r="236" spans="1:33" x14ac:dyDescent="0.3">
      <c r="A236" t="s">
        <v>6656</v>
      </c>
      <c r="B236" t="s">
        <v>6657</v>
      </c>
      <c r="T236" t="s">
        <v>3830</v>
      </c>
      <c r="V236" t="s">
        <v>6279</v>
      </c>
      <c r="W236">
        <f>IF($A236="","",COUNTIF(Aircraft!$N:$N,$A236))</f>
        <v>1</v>
      </c>
      <c r="X236" t="str">
        <f t="shared" si="24"/>
        <v>OK</v>
      </c>
      <c r="Y236" t="str">
        <f t="shared" si="25"/>
        <v>EMAIL (SMTP)</v>
      </c>
      <c r="Z236" t="str">
        <f t="shared" si="26"/>
        <v/>
      </c>
      <c r="AA236" t="str">
        <f t="shared" si="27"/>
        <v/>
      </c>
      <c r="AD236" t="str">
        <f t="shared" si="28"/>
        <v>PLAIN TEXT UPPERCASE</v>
      </c>
      <c r="AE236" t="str">
        <f t="shared" si="29"/>
        <v>JTL TRIP SUPPORT</v>
      </c>
      <c r="AF236" t="str">
        <f t="shared" si="30"/>
        <v>NO SENDING ADDRESS - ADD messaging_to_emails</v>
      </c>
      <c r="AG236" t="str">
        <f t="shared" si="31"/>
        <v>ASSIGNABLE</v>
      </c>
    </row>
    <row r="237" spans="1:33" x14ac:dyDescent="0.3">
      <c r="A237" t="s">
        <v>6658</v>
      </c>
      <c r="B237" t="s">
        <v>6659</v>
      </c>
      <c r="T237" t="s">
        <v>3830</v>
      </c>
      <c r="V237" t="s">
        <v>6279</v>
      </c>
      <c r="W237">
        <f>IF($A237="","",COUNTIF(Aircraft!$N:$N,$A237))</f>
        <v>1</v>
      </c>
      <c r="X237" t="str">
        <f t="shared" si="24"/>
        <v>OK</v>
      </c>
      <c r="Y237" t="str">
        <f t="shared" si="25"/>
        <v>EMAIL (SMTP)</v>
      </c>
      <c r="Z237" t="str">
        <f t="shared" si="26"/>
        <v/>
      </c>
      <c r="AA237" t="str">
        <f t="shared" si="27"/>
        <v/>
      </c>
      <c r="AD237" t="str">
        <f t="shared" si="28"/>
        <v>PLAIN TEXT UPPERCASE</v>
      </c>
      <c r="AE237" t="str">
        <f t="shared" si="29"/>
        <v>JTL TRIP SUPPORT</v>
      </c>
      <c r="AF237" t="str">
        <f t="shared" si="30"/>
        <v>NO SENDING ADDRESS - ADD messaging_to_emails</v>
      </c>
      <c r="AG237" t="str">
        <f t="shared" si="31"/>
        <v>ASSIGNABLE</v>
      </c>
    </row>
    <row r="238" spans="1:33" x14ac:dyDescent="0.3">
      <c r="A238" t="s">
        <v>6660</v>
      </c>
      <c r="B238" t="s">
        <v>6661</v>
      </c>
      <c r="T238" t="s">
        <v>3830</v>
      </c>
      <c r="V238" t="s">
        <v>6279</v>
      </c>
      <c r="W238">
        <f>IF($A238="","",COUNTIF(Aircraft!$N:$N,$A238))</f>
        <v>1</v>
      </c>
      <c r="X238" t="str">
        <f t="shared" si="24"/>
        <v>OK</v>
      </c>
      <c r="Y238" t="str">
        <f t="shared" si="25"/>
        <v>EMAIL (SMTP)</v>
      </c>
      <c r="Z238" t="str">
        <f t="shared" si="26"/>
        <v/>
      </c>
      <c r="AA238" t="str">
        <f t="shared" si="27"/>
        <v/>
      </c>
      <c r="AD238" t="str">
        <f t="shared" si="28"/>
        <v>PLAIN TEXT UPPERCASE</v>
      </c>
      <c r="AE238" t="str">
        <f t="shared" si="29"/>
        <v>JTL TRIP SUPPORT</v>
      </c>
      <c r="AF238" t="str">
        <f t="shared" si="30"/>
        <v>NO SENDING ADDRESS - ADD messaging_to_emails</v>
      </c>
      <c r="AG238" t="str">
        <f t="shared" si="31"/>
        <v>ASSIGNABLE</v>
      </c>
    </row>
    <row r="239" spans="1:33" x14ac:dyDescent="0.3">
      <c r="A239" t="s">
        <v>6662</v>
      </c>
      <c r="B239" t="s">
        <v>6663</v>
      </c>
      <c r="T239" t="s">
        <v>3830</v>
      </c>
      <c r="V239" t="s">
        <v>6279</v>
      </c>
      <c r="W239">
        <f>IF($A239="","",COUNTIF(Aircraft!$N:$N,$A239))</f>
        <v>2</v>
      </c>
      <c r="X239" t="str">
        <f t="shared" si="24"/>
        <v>OK</v>
      </c>
      <c r="Y239" t="str">
        <f t="shared" si="25"/>
        <v>EMAIL (SMTP)</v>
      </c>
      <c r="Z239" t="str">
        <f t="shared" si="26"/>
        <v/>
      </c>
      <c r="AA239" t="str">
        <f t="shared" si="27"/>
        <v/>
      </c>
      <c r="AD239" t="str">
        <f t="shared" si="28"/>
        <v>PLAIN TEXT UPPERCASE</v>
      </c>
      <c r="AE239" t="str">
        <f t="shared" si="29"/>
        <v>JTL TRIP SUPPORT</v>
      </c>
      <c r="AF239" t="str">
        <f t="shared" si="30"/>
        <v>NO SENDING ADDRESS - ADD messaging_to_emails</v>
      </c>
      <c r="AG239" t="str">
        <f t="shared" si="31"/>
        <v>ASSIGNABLE</v>
      </c>
    </row>
    <row r="240" spans="1:33" x14ac:dyDescent="0.3">
      <c r="A240" t="s">
        <v>6664</v>
      </c>
      <c r="B240" t="s">
        <v>6665</v>
      </c>
      <c r="T240" t="s">
        <v>3830</v>
      </c>
      <c r="V240" t="s">
        <v>6279</v>
      </c>
      <c r="W240">
        <f>IF($A240="","",COUNTIF(Aircraft!$N:$N,$A240))</f>
        <v>1</v>
      </c>
      <c r="X240" t="str">
        <f t="shared" si="24"/>
        <v>OK</v>
      </c>
      <c r="Y240" t="str">
        <f t="shared" si="25"/>
        <v>EMAIL (SMTP)</v>
      </c>
      <c r="Z240" t="str">
        <f t="shared" si="26"/>
        <v/>
      </c>
      <c r="AA240" t="str">
        <f t="shared" si="27"/>
        <v/>
      </c>
      <c r="AD240" t="str">
        <f t="shared" si="28"/>
        <v>PLAIN TEXT UPPERCASE</v>
      </c>
      <c r="AE240" t="str">
        <f t="shared" si="29"/>
        <v>JTL TRIP SUPPORT</v>
      </c>
      <c r="AF240" t="str">
        <f t="shared" si="30"/>
        <v>NO SENDING ADDRESS - ADD messaging_to_emails</v>
      </c>
      <c r="AG240" t="str">
        <f t="shared" si="31"/>
        <v>ASSIGNABLE</v>
      </c>
    </row>
    <row r="241" spans="1:33" x14ac:dyDescent="0.3">
      <c r="A241" t="s">
        <v>6666</v>
      </c>
      <c r="B241" t="s">
        <v>6667</v>
      </c>
      <c r="T241" t="s">
        <v>3830</v>
      </c>
      <c r="V241" t="s">
        <v>6279</v>
      </c>
      <c r="W241">
        <f>IF($A241="","",COUNTIF(Aircraft!$N:$N,$A241))</f>
        <v>1</v>
      </c>
      <c r="X241" t="str">
        <f t="shared" si="24"/>
        <v>OK</v>
      </c>
      <c r="Y241" t="str">
        <f t="shared" si="25"/>
        <v>EMAIL (SMTP)</v>
      </c>
      <c r="Z241" t="str">
        <f t="shared" si="26"/>
        <v/>
      </c>
      <c r="AA241" t="str">
        <f t="shared" si="27"/>
        <v/>
      </c>
      <c r="AD241" t="str">
        <f t="shared" si="28"/>
        <v>PLAIN TEXT UPPERCASE</v>
      </c>
      <c r="AE241" t="str">
        <f t="shared" si="29"/>
        <v>JTL TRIP SUPPORT</v>
      </c>
      <c r="AF241" t="str">
        <f t="shared" si="30"/>
        <v>NO SENDING ADDRESS - ADD messaging_to_emails</v>
      </c>
      <c r="AG241" t="str">
        <f t="shared" si="31"/>
        <v>ASSIGNABLE</v>
      </c>
    </row>
    <row r="242" spans="1:33" x14ac:dyDescent="0.3">
      <c r="A242" t="s">
        <v>6668</v>
      </c>
      <c r="B242" t="s">
        <v>6669</v>
      </c>
      <c r="T242" t="s">
        <v>3830</v>
      </c>
      <c r="V242" t="s">
        <v>6279</v>
      </c>
      <c r="W242">
        <f>IF($A242="","",COUNTIF(Aircraft!$N:$N,$A242))</f>
        <v>1</v>
      </c>
      <c r="X242" t="str">
        <f t="shared" si="24"/>
        <v>OK</v>
      </c>
      <c r="Y242" t="str">
        <f t="shared" si="25"/>
        <v>EMAIL (SMTP)</v>
      </c>
      <c r="Z242" t="str">
        <f t="shared" si="26"/>
        <v/>
      </c>
      <c r="AA242" t="str">
        <f t="shared" si="27"/>
        <v/>
      </c>
      <c r="AD242" t="str">
        <f t="shared" si="28"/>
        <v>PLAIN TEXT UPPERCASE</v>
      </c>
      <c r="AE242" t="str">
        <f t="shared" si="29"/>
        <v>JTL TRIP SUPPORT</v>
      </c>
      <c r="AF242" t="str">
        <f t="shared" si="30"/>
        <v>NO SENDING ADDRESS - ADD messaging_to_emails</v>
      </c>
      <c r="AG242" t="str">
        <f t="shared" si="31"/>
        <v>ASSIGNABLE</v>
      </c>
    </row>
    <row r="243" spans="1:33" x14ac:dyDescent="0.3">
      <c r="A243" t="s">
        <v>6670</v>
      </c>
      <c r="B243" t="s">
        <v>6671</v>
      </c>
      <c r="T243" t="s">
        <v>3830</v>
      </c>
      <c r="V243" t="s">
        <v>6279</v>
      </c>
      <c r="W243">
        <f>IF($A243="","",COUNTIF(Aircraft!$N:$N,$A243))</f>
        <v>1</v>
      </c>
      <c r="X243" t="str">
        <f t="shared" si="24"/>
        <v>OK</v>
      </c>
      <c r="Y243" t="str">
        <f t="shared" si="25"/>
        <v>EMAIL (SMTP)</v>
      </c>
      <c r="Z243" t="str">
        <f t="shared" si="26"/>
        <v/>
      </c>
      <c r="AA243" t="str">
        <f t="shared" si="27"/>
        <v/>
      </c>
      <c r="AD243" t="str">
        <f t="shared" si="28"/>
        <v>PLAIN TEXT UPPERCASE</v>
      </c>
      <c r="AE243" t="str">
        <f t="shared" si="29"/>
        <v>JTL TRIP SUPPORT</v>
      </c>
      <c r="AF243" t="str">
        <f t="shared" si="30"/>
        <v>NO SENDING ADDRESS - ADD messaging_to_emails</v>
      </c>
      <c r="AG243" t="str">
        <f t="shared" si="31"/>
        <v>ASSIGNABLE</v>
      </c>
    </row>
    <row r="244" spans="1:33" x14ac:dyDescent="0.3">
      <c r="A244" t="s">
        <v>6672</v>
      </c>
      <c r="B244" t="s">
        <v>6673</v>
      </c>
      <c r="T244" t="s">
        <v>3830</v>
      </c>
      <c r="V244" t="s">
        <v>6279</v>
      </c>
      <c r="W244">
        <f>IF($A244="","",COUNTIF(Aircraft!$N:$N,$A244))</f>
        <v>1</v>
      </c>
      <c r="X244" t="str">
        <f t="shared" si="24"/>
        <v>OK</v>
      </c>
      <c r="Y244" t="str">
        <f t="shared" si="25"/>
        <v>EMAIL (SMTP)</v>
      </c>
      <c r="Z244" t="str">
        <f t="shared" si="26"/>
        <v/>
      </c>
      <c r="AA244" t="str">
        <f t="shared" si="27"/>
        <v/>
      </c>
      <c r="AD244" t="str">
        <f t="shared" si="28"/>
        <v>PLAIN TEXT UPPERCASE</v>
      </c>
      <c r="AE244" t="str">
        <f t="shared" si="29"/>
        <v>JTL TRIP SUPPORT</v>
      </c>
      <c r="AF244" t="str">
        <f t="shared" si="30"/>
        <v>NO SENDING ADDRESS - ADD messaging_to_emails</v>
      </c>
      <c r="AG244" t="str">
        <f t="shared" si="31"/>
        <v>ASSIGNABLE</v>
      </c>
    </row>
    <row r="245" spans="1:33" x14ac:dyDescent="0.3">
      <c r="A245" t="s">
        <v>6674</v>
      </c>
      <c r="B245" t="s">
        <v>6675</v>
      </c>
      <c r="T245" t="s">
        <v>3830</v>
      </c>
      <c r="V245" t="s">
        <v>6279</v>
      </c>
      <c r="W245">
        <f>IF($A245="","",COUNTIF(Aircraft!$N:$N,$A245))</f>
        <v>3</v>
      </c>
      <c r="X245" t="str">
        <f t="shared" si="24"/>
        <v>OK</v>
      </c>
      <c r="Y245" t="str">
        <f t="shared" si="25"/>
        <v>EMAIL (SMTP)</v>
      </c>
      <c r="Z245" t="str">
        <f t="shared" si="26"/>
        <v/>
      </c>
      <c r="AA245" t="str">
        <f t="shared" si="27"/>
        <v/>
      </c>
      <c r="AD245" t="str">
        <f t="shared" si="28"/>
        <v>PLAIN TEXT UPPERCASE</v>
      </c>
      <c r="AE245" t="str">
        <f t="shared" si="29"/>
        <v>JTL TRIP SUPPORT</v>
      </c>
      <c r="AF245" t="str">
        <f t="shared" si="30"/>
        <v>NO SENDING ADDRESS - ADD messaging_to_emails</v>
      </c>
      <c r="AG245" t="str">
        <f t="shared" si="31"/>
        <v>ASSIGNABLE</v>
      </c>
    </row>
    <row r="246" spans="1:33" x14ac:dyDescent="0.3">
      <c r="A246" t="s">
        <v>6676</v>
      </c>
      <c r="B246" t="s">
        <v>6677</v>
      </c>
      <c r="T246" t="s">
        <v>3830</v>
      </c>
      <c r="V246" t="s">
        <v>6279</v>
      </c>
      <c r="W246">
        <f>IF($A246="","",COUNTIF(Aircraft!$N:$N,$A246))</f>
        <v>1</v>
      </c>
      <c r="X246" t="str">
        <f t="shared" si="24"/>
        <v>OK</v>
      </c>
      <c r="Y246" t="str">
        <f t="shared" si="25"/>
        <v>EMAIL (SMTP)</v>
      </c>
      <c r="Z246" t="str">
        <f t="shared" si="26"/>
        <v/>
      </c>
      <c r="AA246" t="str">
        <f t="shared" si="27"/>
        <v/>
      </c>
      <c r="AD246" t="str">
        <f t="shared" si="28"/>
        <v>PLAIN TEXT UPPERCASE</v>
      </c>
      <c r="AE246" t="str">
        <f t="shared" si="29"/>
        <v>JTL TRIP SUPPORT</v>
      </c>
      <c r="AF246" t="str">
        <f t="shared" si="30"/>
        <v>NO SENDING ADDRESS - ADD messaging_to_emails</v>
      </c>
      <c r="AG246" t="str">
        <f t="shared" si="31"/>
        <v>ASSIGNABLE</v>
      </c>
    </row>
    <row r="247" spans="1:33" x14ac:dyDescent="0.3">
      <c r="A247" t="s">
        <v>6678</v>
      </c>
      <c r="B247" t="s">
        <v>6679</v>
      </c>
      <c r="T247" t="s">
        <v>3830</v>
      </c>
      <c r="V247" t="s">
        <v>6279</v>
      </c>
      <c r="W247">
        <f>IF($A247="","",COUNTIF(Aircraft!$N:$N,$A247))</f>
        <v>1</v>
      </c>
      <c r="X247" t="str">
        <f t="shared" si="24"/>
        <v>OK</v>
      </c>
      <c r="Y247" t="str">
        <f t="shared" si="25"/>
        <v>EMAIL (SMTP)</v>
      </c>
      <c r="Z247" t="str">
        <f t="shared" si="26"/>
        <v/>
      </c>
      <c r="AA247" t="str">
        <f t="shared" si="27"/>
        <v/>
      </c>
      <c r="AD247" t="str">
        <f t="shared" si="28"/>
        <v>PLAIN TEXT UPPERCASE</v>
      </c>
      <c r="AE247" t="str">
        <f t="shared" si="29"/>
        <v>JTL TRIP SUPPORT</v>
      </c>
      <c r="AF247" t="str">
        <f t="shared" si="30"/>
        <v>NO SENDING ADDRESS - ADD messaging_to_emails</v>
      </c>
      <c r="AG247" t="str">
        <f t="shared" si="31"/>
        <v>ASSIGNABLE</v>
      </c>
    </row>
    <row r="248" spans="1:33" x14ac:dyDescent="0.3">
      <c r="A248" t="s">
        <v>6680</v>
      </c>
      <c r="B248" t="s">
        <v>6681</v>
      </c>
      <c r="T248" t="s">
        <v>3830</v>
      </c>
      <c r="V248" t="s">
        <v>6279</v>
      </c>
      <c r="W248">
        <f>IF($A248="","",COUNTIF(Aircraft!$N:$N,$A248))</f>
        <v>2</v>
      </c>
      <c r="X248" t="str">
        <f t="shared" si="24"/>
        <v>OK</v>
      </c>
      <c r="Y248" t="str">
        <f t="shared" si="25"/>
        <v>EMAIL (SMTP)</v>
      </c>
      <c r="Z248" t="str">
        <f t="shared" si="26"/>
        <v/>
      </c>
      <c r="AA248" t="str">
        <f t="shared" si="27"/>
        <v/>
      </c>
      <c r="AD248" t="str">
        <f t="shared" si="28"/>
        <v>PLAIN TEXT UPPERCASE</v>
      </c>
      <c r="AE248" t="str">
        <f t="shared" si="29"/>
        <v>JTL TRIP SUPPORT</v>
      </c>
      <c r="AF248" t="str">
        <f t="shared" si="30"/>
        <v>NO SENDING ADDRESS - ADD messaging_to_emails</v>
      </c>
      <c r="AG248" t="str">
        <f t="shared" si="31"/>
        <v>ASSIGNABLE</v>
      </c>
    </row>
    <row r="249" spans="1:33" x14ac:dyDescent="0.3">
      <c r="A249" t="s">
        <v>6682</v>
      </c>
      <c r="B249" t="s">
        <v>6683</v>
      </c>
      <c r="T249" t="s">
        <v>3830</v>
      </c>
      <c r="V249" t="s">
        <v>6279</v>
      </c>
      <c r="W249">
        <f>IF($A249="","",COUNTIF(Aircraft!$N:$N,$A249))</f>
        <v>1</v>
      </c>
      <c r="X249" t="str">
        <f t="shared" si="24"/>
        <v>OK</v>
      </c>
      <c r="Y249" t="str">
        <f t="shared" si="25"/>
        <v>EMAIL (SMTP)</v>
      </c>
      <c r="Z249" t="str">
        <f t="shared" si="26"/>
        <v/>
      </c>
      <c r="AA249" t="str">
        <f t="shared" si="27"/>
        <v/>
      </c>
      <c r="AD249" t="str">
        <f t="shared" si="28"/>
        <v>PLAIN TEXT UPPERCASE</v>
      </c>
      <c r="AE249" t="str">
        <f t="shared" si="29"/>
        <v>JTL TRIP SUPPORT</v>
      </c>
      <c r="AF249" t="str">
        <f t="shared" si="30"/>
        <v>NO SENDING ADDRESS - ADD messaging_to_emails</v>
      </c>
      <c r="AG249" t="str">
        <f t="shared" si="31"/>
        <v>ASSIGNABLE</v>
      </c>
    </row>
    <row r="250" spans="1:33" x14ac:dyDescent="0.3">
      <c r="A250" t="s">
        <v>6684</v>
      </c>
      <c r="B250" t="s">
        <v>6685</v>
      </c>
      <c r="T250" t="s">
        <v>3830</v>
      </c>
      <c r="V250" t="s">
        <v>6279</v>
      </c>
      <c r="W250">
        <f>IF($A250="","",COUNTIF(Aircraft!$N:$N,$A250))</f>
        <v>1</v>
      </c>
      <c r="X250" t="str">
        <f t="shared" si="24"/>
        <v>OK</v>
      </c>
      <c r="Y250" t="str">
        <f t="shared" si="25"/>
        <v>EMAIL (SMTP)</v>
      </c>
      <c r="Z250" t="str">
        <f t="shared" si="26"/>
        <v/>
      </c>
      <c r="AA250" t="str">
        <f t="shared" si="27"/>
        <v/>
      </c>
      <c r="AD250" t="str">
        <f t="shared" si="28"/>
        <v>PLAIN TEXT UPPERCASE</v>
      </c>
      <c r="AE250" t="str">
        <f t="shared" si="29"/>
        <v>JTL TRIP SUPPORT</v>
      </c>
      <c r="AF250" t="str">
        <f t="shared" si="30"/>
        <v>NO SENDING ADDRESS - ADD messaging_to_emails</v>
      </c>
      <c r="AG250" t="str">
        <f t="shared" si="31"/>
        <v>ASSIGNABLE</v>
      </c>
    </row>
    <row r="251" spans="1:33" x14ac:dyDescent="0.3">
      <c r="A251" t="s">
        <v>6686</v>
      </c>
      <c r="B251" t="s">
        <v>6687</v>
      </c>
      <c r="T251" t="s">
        <v>3830</v>
      </c>
      <c r="V251" t="s">
        <v>6279</v>
      </c>
      <c r="W251">
        <f>IF($A251="","",COUNTIF(Aircraft!$N:$N,$A251))</f>
        <v>1</v>
      </c>
      <c r="X251" t="str">
        <f t="shared" si="24"/>
        <v>OK</v>
      </c>
      <c r="Y251" t="str">
        <f t="shared" si="25"/>
        <v>EMAIL (SMTP)</v>
      </c>
      <c r="Z251" t="str">
        <f t="shared" si="26"/>
        <v/>
      </c>
      <c r="AA251" t="str">
        <f t="shared" si="27"/>
        <v/>
      </c>
      <c r="AD251" t="str">
        <f t="shared" si="28"/>
        <v>PLAIN TEXT UPPERCASE</v>
      </c>
      <c r="AE251" t="str">
        <f t="shared" si="29"/>
        <v>JTL TRIP SUPPORT</v>
      </c>
      <c r="AF251" t="str">
        <f t="shared" si="30"/>
        <v>NO SENDING ADDRESS - ADD messaging_to_emails</v>
      </c>
      <c r="AG251" t="str">
        <f t="shared" si="31"/>
        <v>ASSIGNABLE</v>
      </c>
    </row>
    <row r="252" spans="1:33" x14ac:dyDescent="0.3">
      <c r="A252" t="s">
        <v>6688</v>
      </c>
      <c r="B252" t="s">
        <v>6689</v>
      </c>
      <c r="T252" t="s">
        <v>3830</v>
      </c>
      <c r="V252" t="s">
        <v>6279</v>
      </c>
      <c r="W252">
        <f>IF($A252="","",COUNTIF(Aircraft!$N:$N,$A252))</f>
        <v>1</v>
      </c>
      <c r="X252" t="str">
        <f t="shared" si="24"/>
        <v>OK</v>
      </c>
      <c r="Y252" t="str">
        <f t="shared" si="25"/>
        <v>EMAIL (SMTP)</v>
      </c>
      <c r="Z252" t="str">
        <f t="shared" si="26"/>
        <v/>
      </c>
      <c r="AA252" t="str">
        <f t="shared" si="27"/>
        <v/>
      </c>
      <c r="AD252" t="str">
        <f t="shared" si="28"/>
        <v>PLAIN TEXT UPPERCASE</v>
      </c>
      <c r="AE252" t="str">
        <f t="shared" si="29"/>
        <v>JTL TRIP SUPPORT</v>
      </c>
      <c r="AF252" t="str">
        <f t="shared" si="30"/>
        <v>NO SENDING ADDRESS - ADD messaging_to_emails</v>
      </c>
      <c r="AG252" t="str">
        <f t="shared" si="31"/>
        <v>ASSIGNABLE</v>
      </c>
    </row>
    <row r="253" spans="1:33" x14ac:dyDescent="0.3">
      <c r="A253" t="s">
        <v>6690</v>
      </c>
      <c r="B253" t="s">
        <v>6691</v>
      </c>
      <c r="T253" t="s">
        <v>3830</v>
      </c>
      <c r="V253" t="s">
        <v>6279</v>
      </c>
      <c r="W253">
        <f>IF($A253="","",COUNTIF(Aircraft!$N:$N,$A253))</f>
        <v>1</v>
      </c>
      <c r="X253" t="str">
        <f t="shared" si="24"/>
        <v>OK</v>
      </c>
      <c r="Y253" t="str">
        <f t="shared" si="25"/>
        <v>EMAIL (SMTP)</v>
      </c>
      <c r="Z253" t="str">
        <f t="shared" si="26"/>
        <v/>
      </c>
      <c r="AA253" t="str">
        <f t="shared" si="27"/>
        <v/>
      </c>
      <c r="AD253" t="str">
        <f t="shared" si="28"/>
        <v>PLAIN TEXT UPPERCASE</v>
      </c>
      <c r="AE253" t="str">
        <f t="shared" si="29"/>
        <v>JTL TRIP SUPPORT</v>
      </c>
      <c r="AF253" t="str">
        <f t="shared" si="30"/>
        <v>NO SENDING ADDRESS - ADD messaging_to_emails</v>
      </c>
      <c r="AG253" t="str">
        <f t="shared" si="31"/>
        <v>ASSIGNABLE</v>
      </c>
    </row>
    <row r="254" spans="1:33" x14ac:dyDescent="0.3">
      <c r="A254" t="s">
        <v>6692</v>
      </c>
      <c r="B254" t="s">
        <v>6693</v>
      </c>
      <c r="T254" t="s">
        <v>3830</v>
      </c>
      <c r="V254" t="s">
        <v>6279</v>
      </c>
      <c r="W254">
        <f>IF($A254="","",COUNTIF(Aircraft!$N:$N,$A254))</f>
        <v>1</v>
      </c>
      <c r="X254" t="str">
        <f t="shared" si="24"/>
        <v>OK</v>
      </c>
      <c r="Y254" t="str">
        <f t="shared" si="25"/>
        <v>EMAIL (SMTP)</v>
      </c>
      <c r="Z254" t="str">
        <f t="shared" si="26"/>
        <v/>
      </c>
      <c r="AA254" t="str">
        <f t="shared" si="27"/>
        <v/>
      </c>
      <c r="AD254" t="str">
        <f t="shared" si="28"/>
        <v>PLAIN TEXT UPPERCASE</v>
      </c>
      <c r="AE254" t="str">
        <f t="shared" si="29"/>
        <v>JTL TRIP SUPPORT</v>
      </c>
      <c r="AF254" t="str">
        <f t="shared" si="30"/>
        <v>NO SENDING ADDRESS - ADD messaging_to_emails</v>
      </c>
      <c r="AG254" t="str">
        <f t="shared" si="31"/>
        <v>ASSIGNABLE</v>
      </c>
    </row>
    <row r="255" spans="1:33" x14ac:dyDescent="0.3">
      <c r="A255" t="s">
        <v>6694</v>
      </c>
      <c r="B255" t="s">
        <v>6695</v>
      </c>
      <c r="T255" t="s">
        <v>3830</v>
      </c>
      <c r="V255" t="s">
        <v>6279</v>
      </c>
      <c r="W255">
        <f>IF($A255="","",COUNTIF(Aircraft!$N:$N,$A255))</f>
        <v>1</v>
      </c>
      <c r="X255" t="str">
        <f t="shared" si="24"/>
        <v>OK</v>
      </c>
      <c r="Y255" t="str">
        <f t="shared" si="25"/>
        <v>EMAIL (SMTP)</v>
      </c>
      <c r="Z255" t="str">
        <f t="shared" si="26"/>
        <v/>
      </c>
      <c r="AA255" t="str">
        <f t="shared" si="27"/>
        <v/>
      </c>
      <c r="AD255" t="str">
        <f t="shared" si="28"/>
        <v>PLAIN TEXT UPPERCASE</v>
      </c>
      <c r="AE255" t="str">
        <f t="shared" si="29"/>
        <v>JTL TRIP SUPPORT</v>
      </c>
      <c r="AF255" t="str">
        <f t="shared" si="30"/>
        <v>NO SENDING ADDRESS - ADD messaging_to_emails</v>
      </c>
      <c r="AG255" t="str">
        <f t="shared" si="31"/>
        <v>ASSIGNABLE</v>
      </c>
    </row>
    <row r="256" spans="1:33" x14ac:dyDescent="0.3">
      <c r="A256" t="s">
        <v>6696</v>
      </c>
      <c r="B256" t="s">
        <v>6697</v>
      </c>
      <c r="T256" t="s">
        <v>3830</v>
      </c>
      <c r="V256" t="s">
        <v>6279</v>
      </c>
      <c r="W256">
        <f>IF($A256="","",COUNTIF(Aircraft!$N:$N,$A256))</f>
        <v>1</v>
      </c>
      <c r="X256" t="str">
        <f t="shared" si="24"/>
        <v>OK</v>
      </c>
      <c r="Y256" t="str">
        <f t="shared" si="25"/>
        <v>EMAIL (SMTP)</v>
      </c>
      <c r="Z256" t="str">
        <f t="shared" si="26"/>
        <v/>
      </c>
      <c r="AA256" t="str">
        <f t="shared" si="27"/>
        <v/>
      </c>
      <c r="AD256" t="str">
        <f t="shared" si="28"/>
        <v>PLAIN TEXT UPPERCASE</v>
      </c>
      <c r="AE256" t="str">
        <f t="shared" si="29"/>
        <v>JTL TRIP SUPPORT</v>
      </c>
      <c r="AF256" t="str">
        <f t="shared" si="30"/>
        <v>NO SENDING ADDRESS - ADD messaging_to_emails</v>
      </c>
      <c r="AG256" t="str">
        <f t="shared" si="31"/>
        <v>ASSIGNABLE</v>
      </c>
    </row>
    <row r="257" spans="1:33" x14ac:dyDescent="0.3">
      <c r="A257" t="s">
        <v>6698</v>
      </c>
      <c r="B257" t="s">
        <v>6699</v>
      </c>
      <c r="T257" t="s">
        <v>3830</v>
      </c>
      <c r="V257" t="s">
        <v>6279</v>
      </c>
      <c r="W257">
        <f>IF($A257="","",COUNTIF(Aircraft!$N:$N,$A257))</f>
        <v>1</v>
      </c>
      <c r="X257" t="str">
        <f t="shared" si="24"/>
        <v>OK</v>
      </c>
      <c r="Y257" t="str">
        <f t="shared" si="25"/>
        <v>EMAIL (SMTP)</v>
      </c>
      <c r="Z257" t="str">
        <f t="shared" si="26"/>
        <v/>
      </c>
      <c r="AA257" t="str">
        <f t="shared" si="27"/>
        <v/>
      </c>
      <c r="AD257" t="str">
        <f t="shared" si="28"/>
        <v>PLAIN TEXT UPPERCASE</v>
      </c>
      <c r="AE257" t="str">
        <f t="shared" si="29"/>
        <v>JTL TRIP SUPPORT</v>
      </c>
      <c r="AF257" t="str">
        <f t="shared" si="30"/>
        <v>NO SENDING ADDRESS - ADD messaging_to_emails</v>
      </c>
      <c r="AG257" t="str">
        <f t="shared" si="31"/>
        <v>ASSIGNABLE</v>
      </c>
    </row>
    <row r="258" spans="1:33" x14ac:dyDescent="0.3">
      <c r="A258" t="s">
        <v>6700</v>
      </c>
      <c r="B258" t="s">
        <v>6701</v>
      </c>
      <c r="T258" t="s">
        <v>3830</v>
      </c>
      <c r="V258" t="s">
        <v>6279</v>
      </c>
      <c r="W258">
        <f>IF($A258="","",COUNTIF(Aircraft!$N:$N,$A258))</f>
        <v>1</v>
      </c>
      <c r="X258" t="str">
        <f t="shared" si="24"/>
        <v>OK</v>
      </c>
      <c r="Y258" t="str">
        <f t="shared" si="25"/>
        <v>EMAIL (SMTP)</v>
      </c>
      <c r="Z258" t="str">
        <f t="shared" si="26"/>
        <v/>
      </c>
      <c r="AA258" t="str">
        <f t="shared" si="27"/>
        <v/>
      </c>
      <c r="AD258" t="str">
        <f t="shared" si="28"/>
        <v>PLAIN TEXT UPPERCASE</v>
      </c>
      <c r="AE258" t="str">
        <f t="shared" si="29"/>
        <v>JTL TRIP SUPPORT</v>
      </c>
      <c r="AF258" t="str">
        <f t="shared" si="30"/>
        <v>NO SENDING ADDRESS - ADD messaging_to_emails</v>
      </c>
      <c r="AG258" t="str">
        <f t="shared" si="31"/>
        <v>ASSIGNABLE</v>
      </c>
    </row>
    <row r="259" spans="1:33" x14ac:dyDescent="0.3">
      <c r="A259" t="s">
        <v>6702</v>
      </c>
      <c r="B259" t="s">
        <v>6703</v>
      </c>
      <c r="T259" t="s">
        <v>3830</v>
      </c>
      <c r="V259" t="s">
        <v>6279</v>
      </c>
      <c r="W259">
        <f>IF($A259="","",COUNTIF(Aircraft!$N:$N,$A259))</f>
        <v>1</v>
      </c>
      <c r="X259" t="str">
        <f t="shared" ref="X259:X322" si="32">IF($A259="","",IF($B259="","NAME REQUIRED",IF($W259=0,"NO AIRCRAFT LINKED","OK")))</f>
        <v>OK</v>
      </c>
      <c r="Y259" t="str">
        <f t="shared" ref="Y259:Y322" si="33">IF($A259="","","EMAIL (SMTP)")</f>
        <v>EMAIL (SMTP)</v>
      </c>
      <c r="Z259" t="str">
        <f t="shared" ref="Z259:Z322" si="34">IF($A259="","",IF($N259&lt;&gt;"",$N259,IF($L259&lt;&gt;"",$L259,"")))</f>
        <v/>
      </c>
      <c r="AA259" t="str">
        <f t="shared" ref="AA259:AA322" si="35">IF($A259="","",IF($O259&lt;&gt;"",$O259,""))</f>
        <v/>
      </c>
      <c r="AD259" t="str">
        <f t="shared" ref="AD259:AD322" si="36">IF($A259="","","PLAIN TEXT UPPERCASE")</f>
        <v>PLAIN TEXT UPPERCASE</v>
      </c>
      <c r="AE259" t="str">
        <f t="shared" ref="AE259:AE322" si="37">IF($A259="","","JTL TRIP SUPPORT")</f>
        <v>JTL TRIP SUPPORT</v>
      </c>
      <c r="AF259" t="str">
        <f t="shared" ref="AF259:AF322" si="38">IF($A259="","",IF($Y259="EMAIL (SMTP)",IF($Z259="","NO SENDING ADDRESS - ADD messaging_to_emails","OK"),IF(AND($AB259="",$AC259=""),"CHANNEL SET BUT NO SITA/AFTN ADDRESS","OK")))</f>
        <v>NO SENDING ADDRESS - ADD messaging_to_emails</v>
      </c>
      <c r="AG259" t="str">
        <f t="shared" ref="AG259:AG322" si="39">IF($A259="","",IF(TRIM($B259)="","BLOCKED - OPERATOR NAME REQUIRED",IF(UPPER($T259)="INACTIVE","BLOCKED - INACTIVE","ASSIGNABLE")))</f>
        <v>ASSIGNABLE</v>
      </c>
    </row>
    <row r="260" spans="1:33" x14ac:dyDescent="0.3">
      <c r="A260" t="s">
        <v>6704</v>
      </c>
      <c r="B260" t="s">
        <v>6705</v>
      </c>
      <c r="T260" t="s">
        <v>3830</v>
      </c>
      <c r="V260" t="s">
        <v>6279</v>
      </c>
      <c r="W260">
        <f>IF($A260="","",COUNTIF(Aircraft!$N:$N,$A260))</f>
        <v>3</v>
      </c>
      <c r="X260" t="str">
        <f t="shared" si="32"/>
        <v>OK</v>
      </c>
      <c r="Y260" t="str">
        <f t="shared" si="33"/>
        <v>EMAIL (SMTP)</v>
      </c>
      <c r="Z260" t="str">
        <f t="shared" si="34"/>
        <v/>
      </c>
      <c r="AA260" t="str">
        <f t="shared" si="35"/>
        <v/>
      </c>
      <c r="AD260" t="str">
        <f t="shared" si="36"/>
        <v>PLAIN TEXT UPPERCASE</v>
      </c>
      <c r="AE260" t="str">
        <f t="shared" si="37"/>
        <v>JTL TRIP SUPPORT</v>
      </c>
      <c r="AF260" t="str">
        <f t="shared" si="38"/>
        <v>NO SENDING ADDRESS - ADD messaging_to_emails</v>
      </c>
      <c r="AG260" t="str">
        <f t="shared" si="39"/>
        <v>ASSIGNABLE</v>
      </c>
    </row>
    <row r="261" spans="1:33" x14ac:dyDescent="0.3">
      <c r="A261" t="s">
        <v>6706</v>
      </c>
      <c r="B261" t="s">
        <v>6707</v>
      </c>
      <c r="T261" t="s">
        <v>3830</v>
      </c>
      <c r="V261" t="s">
        <v>6279</v>
      </c>
      <c r="W261">
        <f>IF($A261="","",COUNTIF(Aircraft!$N:$N,$A261))</f>
        <v>1</v>
      </c>
      <c r="X261" t="str">
        <f t="shared" si="32"/>
        <v>OK</v>
      </c>
      <c r="Y261" t="str">
        <f t="shared" si="33"/>
        <v>EMAIL (SMTP)</v>
      </c>
      <c r="Z261" t="str">
        <f t="shared" si="34"/>
        <v/>
      </c>
      <c r="AA261" t="str">
        <f t="shared" si="35"/>
        <v/>
      </c>
      <c r="AD261" t="str">
        <f t="shared" si="36"/>
        <v>PLAIN TEXT UPPERCASE</v>
      </c>
      <c r="AE261" t="str">
        <f t="shared" si="37"/>
        <v>JTL TRIP SUPPORT</v>
      </c>
      <c r="AF261" t="str">
        <f t="shared" si="38"/>
        <v>NO SENDING ADDRESS - ADD messaging_to_emails</v>
      </c>
      <c r="AG261" t="str">
        <f t="shared" si="39"/>
        <v>ASSIGNABLE</v>
      </c>
    </row>
    <row r="262" spans="1:33" x14ac:dyDescent="0.3">
      <c r="A262" t="s">
        <v>6708</v>
      </c>
      <c r="B262" t="s">
        <v>6709</v>
      </c>
      <c r="T262" t="s">
        <v>3830</v>
      </c>
      <c r="V262" t="s">
        <v>6279</v>
      </c>
      <c r="W262">
        <f>IF($A262="","",COUNTIF(Aircraft!$N:$N,$A262))</f>
        <v>1</v>
      </c>
      <c r="X262" t="str">
        <f t="shared" si="32"/>
        <v>OK</v>
      </c>
      <c r="Y262" t="str">
        <f t="shared" si="33"/>
        <v>EMAIL (SMTP)</v>
      </c>
      <c r="Z262" t="str">
        <f t="shared" si="34"/>
        <v/>
      </c>
      <c r="AA262" t="str">
        <f t="shared" si="35"/>
        <v/>
      </c>
      <c r="AD262" t="str">
        <f t="shared" si="36"/>
        <v>PLAIN TEXT UPPERCASE</v>
      </c>
      <c r="AE262" t="str">
        <f t="shared" si="37"/>
        <v>JTL TRIP SUPPORT</v>
      </c>
      <c r="AF262" t="str">
        <f t="shared" si="38"/>
        <v>NO SENDING ADDRESS - ADD messaging_to_emails</v>
      </c>
      <c r="AG262" t="str">
        <f t="shared" si="39"/>
        <v>ASSIGNABLE</v>
      </c>
    </row>
    <row r="263" spans="1:33" x14ac:dyDescent="0.3">
      <c r="A263" t="s">
        <v>6710</v>
      </c>
      <c r="B263" t="s">
        <v>6711</v>
      </c>
      <c r="T263" t="s">
        <v>3830</v>
      </c>
      <c r="V263" t="s">
        <v>6279</v>
      </c>
      <c r="W263">
        <f>IF($A263="","",COUNTIF(Aircraft!$N:$N,$A263))</f>
        <v>1</v>
      </c>
      <c r="X263" t="str">
        <f t="shared" si="32"/>
        <v>OK</v>
      </c>
      <c r="Y263" t="str">
        <f t="shared" si="33"/>
        <v>EMAIL (SMTP)</v>
      </c>
      <c r="Z263" t="str">
        <f t="shared" si="34"/>
        <v/>
      </c>
      <c r="AA263" t="str">
        <f t="shared" si="35"/>
        <v/>
      </c>
      <c r="AD263" t="str">
        <f t="shared" si="36"/>
        <v>PLAIN TEXT UPPERCASE</v>
      </c>
      <c r="AE263" t="str">
        <f t="shared" si="37"/>
        <v>JTL TRIP SUPPORT</v>
      </c>
      <c r="AF263" t="str">
        <f t="shared" si="38"/>
        <v>NO SENDING ADDRESS - ADD messaging_to_emails</v>
      </c>
      <c r="AG263" t="str">
        <f t="shared" si="39"/>
        <v>ASSIGNABLE</v>
      </c>
    </row>
    <row r="264" spans="1:33" x14ac:dyDescent="0.3">
      <c r="A264" t="s">
        <v>6712</v>
      </c>
      <c r="B264" t="s">
        <v>6713</v>
      </c>
      <c r="T264" t="s">
        <v>3830</v>
      </c>
      <c r="V264" t="s">
        <v>6279</v>
      </c>
      <c r="W264">
        <f>IF($A264="","",COUNTIF(Aircraft!$N:$N,$A264))</f>
        <v>1</v>
      </c>
      <c r="X264" t="str">
        <f t="shared" si="32"/>
        <v>OK</v>
      </c>
      <c r="Y264" t="str">
        <f t="shared" si="33"/>
        <v>EMAIL (SMTP)</v>
      </c>
      <c r="Z264" t="str">
        <f t="shared" si="34"/>
        <v/>
      </c>
      <c r="AA264" t="str">
        <f t="shared" si="35"/>
        <v/>
      </c>
      <c r="AD264" t="str">
        <f t="shared" si="36"/>
        <v>PLAIN TEXT UPPERCASE</v>
      </c>
      <c r="AE264" t="str">
        <f t="shared" si="37"/>
        <v>JTL TRIP SUPPORT</v>
      </c>
      <c r="AF264" t="str">
        <f t="shared" si="38"/>
        <v>NO SENDING ADDRESS - ADD messaging_to_emails</v>
      </c>
      <c r="AG264" t="str">
        <f t="shared" si="39"/>
        <v>ASSIGNABLE</v>
      </c>
    </row>
    <row r="265" spans="1:33" x14ac:dyDescent="0.3">
      <c r="A265" t="s">
        <v>6714</v>
      </c>
      <c r="B265" t="s">
        <v>6715</v>
      </c>
      <c r="T265" t="s">
        <v>3830</v>
      </c>
      <c r="V265" t="s">
        <v>6279</v>
      </c>
      <c r="W265">
        <f>IF($A265="","",COUNTIF(Aircraft!$N:$N,$A265))</f>
        <v>3</v>
      </c>
      <c r="X265" t="str">
        <f t="shared" si="32"/>
        <v>OK</v>
      </c>
      <c r="Y265" t="str">
        <f t="shared" si="33"/>
        <v>EMAIL (SMTP)</v>
      </c>
      <c r="Z265" t="str">
        <f t="shared" si="34"/>
        <v/>
      </c>
      <c r="AA265" t="str">
        <f t="shared" si="35"/>
        <v/>
      </c>
      <c r="AD265" t="str">
        <f t="shared" si="36"/>
        <v>PLAIN TEXT UPPERCASE</v>
      </c>
      <c r="AE265" t="str">
        <f t="shared" si="37"/>
        <v>JTL TRIP SUPPORT</v>
      </c>
      <c r="AF265" t="str">
        <f t="shared" si="38"/>
        <v>NO SENDING ADDRESS - ADD messaging_to_emails</v>
      </c>
      <c r="AG265" t="str">
        <f t="shared" si="39"/>
        <v>ASSIGNABLE</v>
      </c>
    </row>
    <row r="266" spans="1:33" x14ac:dyDescent="0.3">
      <c r="A266" t="s">
        <v>6716</v>
      </c>
      <c r="B266" t="s">
        <v>6717</v>
      </c>
      <c r="T266" t="s">
        <v>3830</v>
      </c>
      <c r="V266" t="s">
        <v>6279</v>
      </c>
      <c r="W266">
        <f>IF($A266="","",COUNTIF(Aircraft!$N:$N,$A266))</f>
        <v>1</v>
      </c>
      <c r="X266" t="str">
        <f t="shared" si="32"/>
        <v>OK</v>
      </c>
      <c r="Y266" t="str">
        <f t="shared" si="33"/>
        <v>EMAIL (SMTP)</v>
      </c>
      <c r="Z266" t="str">
        <f t="shared" si="34"/>
        <v/>
      </c>
      <c r="AA266" t="str">
        <f t="shared" si="35"/>
        <v/>
      </c>
      <c r="AD266" t="str">
        <f t="shared" si="36"/>
        <v>PLAIN TEXT UPPERCASE</v>
      </c>
      <c r="AE266" t="str">
        <f t="shared" si="37"/>
        <v>JTL TRIP SUPPORT</v>
      </c>
      <c r="AF266" t="str">
        <f t="shared" si="38"/>
        <v>NO SENDING ADDRESS - ADD messaging_to_emails</v>
      </c>
      <c r="AG266" t="str">
        <f t="shared" si="39"/>
        <v>ASSIGNABLE</v>
      </c>
    </row>
    <row r="267" spans="1:33" x14ac:dyDescent="0.3">
      <c r="A267" t="s">
        <v>6718</v>
      </c>
      <c r="B267" t="s">
        <v>6719</v>
      </c>
      <c r="T267" t="s">
        <v>3830</v>
      </c>
      <c r="V267" t="s">
        <v>6279</v>
      </c>
      <c r="W267">
        <f>IF($A267="","",COUNTIF(Aircraft!$N:$N,$A267))</f>
        <v>2</v>
      </c>
      <c r="X267" t="str">
        <f t="shared" si="32"/>
        <v>OK</v>
      </c>
      <c r="Y267" t="str">
        <f t="shared" si="33"/>
        <v>EMAIL (SMTP)</v>
      </c>
      <c r="Z267" t="str">
        <f t="shared" si="34"/>
        <v/>
      </c>
      <c r="AA267" t="str">
        <f t="shared" si="35"/>
        <v/>
      </c>
      <c r="AD267" t="str">
        <f t="shared" si="36"/>
        <v>PLAIN TEXT UPPERCASE</v>
      </c>
      <c r="AE267" t="str">
        <f t="shared" si="37"/>
        <v>JTL TRIP SUPPORT</v>
      </c>
      <c r="AF267" t="str">
        <f t="shared" si="38"/>
        <v>NO SENDING ADDRESS - ADD messaging_to_emails</v>
      </c>
      <c r="AG267" t="str">
        <f t="shared" si="39"/>
        <v>ASSIGNABLE</v>
      </c>
    </row>
    <row r="268" spans="1:33" x14ac:dyDescent="0.3">
      <c r="A268" t="s">
        <v>6720</v>
      </c>
      <c r="B268" t="s">
        <v>6721</v>
      </c>
      <c r="T268" t="s">
        <v>3830</v>
      </c>
      <c r="V268" t="s">
        <v>6279</v>
      </c>
      <c r="W268">
        <f>IF($A268="","",COUNTIF(Aircraft!$N:$N,$A268))</f>
        <v>1</v>
      </c>
      <c r="X268" t="str">
        <f t="shared" si="32"/>
        <v>OK</v>
      </c>
      <c r="Y268" t="str">
        <f t="shared" si="33"/>
        <v>EMAIL (SMTP)</v>
      </c>
      <c r="Z268" t="str">
        <f t="shared" si="34"/>
        <v/>
      </c>
      <c r="AA268" t="str">
        <f t="shared" si="35"/>
        <v/>
      </c>
      <c r="AD268" t="str">
        <f t="shared" si="36"/>
        <v>PLAIN TEXT UPPERCASE</v>
      </c>
      <c r="AE268" t="str">
        <f t="shared" si="37"/>
        <v>JTL TRIP SUPPORT</v>
      </c>
      <c r="AF268" t="str">
        <f t="shared" si="38"/>
        <v>NO SENDING ADDRESS - ADD messaging_to_emails</v>
      </c>
      <c r="AG268" t="str">
        <f t="shared" si="39"/>
        <v>ASSIGNABLE</v>
      </c>
    </row>
    <row r="269" spans="1:33" x14ac:dyDescent="0.3">
      <c r="A269" t="s">
        <v>6722</v>
      </c>
      <c r="B269" t="s">
        <v>6723</v>
      </c>
      <c r="T269" t="s">
        <v>3830</v>
      </c>
      <c r="V269" t="s">
        <v>6279</v>
      </c>
      <c r="W269">
        <f>IF($A269="","",COUNTIF(Aircraft!$N:$N,$A269))</f>
        <v>1</v>
      </c>
      <c r="X269" t="str">
        <f t="shared" si="32"/>
        <v>OK</v>
      </c>
      <c r="Y269" t="str">
        <f t="shared" si="33"/>
        <v>EMAIL (SMTP)</v>
      </c>
      <c r="Z269" t="str">
        <f t="shared" si="34"/>
        <v/>
      </c>
      <c r="AA269" t="str">
        <f t="shared" si="35"/>
        <v/>
      </c>
      <c r="AD269" t="str">
        <f t="shared" si="36"/>
        <v>PLAIN TEXT UPPERCASE</v>
      </c>
      <c r="AE269" t="str">
        <f t="shared" si="37"/>
        <v>JTL TRIP SUPPORT</v>
      </c>
      <c r="AF269" t="str">
        <f t="shared" si="38"/>
        <v>NO SENDING ADDRESS - ADD messaging_to_emails</v>
      </c>
      <c r="AG269" t="str">
        <f t="shared" si="39"/>
        <v>ASSIGNABLE</v>
      </c>
    </row>
    <row r="270" spans="1:33" x14ac:dyDescent="0.3">
      <c r="A270" t="s">
        <v>6724</v>
      </c>
      <c r="B270" t="s">
        <v>6725</v>
      </c>
      <c r="T270" t="s">
        <v>3830</v>
      </c>
      <c r="V270" t="s">
        <v>6279</v>
      </c>
      <c r="W270">
        <f>IF($A270="","",COUNTIF(Aircraft!$N:$N,$A270))</f>
        <v>1</v>
      </c>
      <c r="X270" t="str">
        <f t="shared" si="32"/>
        <v>OK</v>
      </c>
      <c r="Y270" t="str">
        <f t="shared" si="33"/>
        <v>EMAIL (SMTP)</v>
      </c>
      <c r="Z270" t="str">
        <f t="shared" si="34"/>
        <v/>
      </c>
      <c r="AA270" t="str">
        <f t="shared" si="35"/>
        <v/>
      </c>
      <c r="AD270" t="str">
        <f t="shared" si="36"/>
        <v>PLAIN TEXT UPPERCASE</v>
      </c>
      <c r="AE270" t="str">
        <f t="shared" si="37"/>
        <v>JTL TRIP SUPPORT</v>
      </c>
      <c r="AF270" t="str">
        <f t="shared" si="38"/>
        <v>NO SENDING ADDRESS - ADD messaging_to_emails</v>
      </c>
      <c r="AG270" t="str">
        <f t="shared" si="39"/>
        <v>ASSIGNABLE</v>
      </c>
    </row>
    <row r="271" spans="1:33" x14ac:dyDescent="0.3">
      <c r="A271" t="s">
        <v>6726</v>
      </c>
      <c r="B271" t="s">
        <v>6727</v>
      </c>
      <c r="T271" t="s">
        <v>3830</v>
      </c>
      <c r="V271" t="s">
        <v>6279</v>
      </c>
      <c r="W271">
        <f>IF($A271="","",COUNTIF(Aircraft!$N:$N,$A271))</f>
        <v>2</v>
      </c>
      <c r="X271" t="str">
        <f t="shared" si="32"/>
        <v>OK</v>
      </c>
      <c r="Y271" t="str">
        <f t="shared" si="33"/>
        <v>EMAIL (SMTP)</v>
      </c>
      <c r="Z271" t="str">
        <f t="shared" si="34"/>
        <v/>
      </c>
      <c r="AA271" t="str">
        <f t="shared" si="35"/>
        <v/>
      </c>
      <c r="AD271" t="str">
        <f t="shared" si="36"/>
        <v>PLAIN TEXT UPPERCASE</v>
      </c>
      <c r="AE271" t="str">
        <f t="shared" si="37"/>
        <v>JTL TRIP SUPPORT</v>
      </c>
      <c r="AF271" t="str">
        <f t="shared" si="38"/>
        <v>NO SENDING ADDRESS - ADD messaging_to_emails</v>
      </c>
      <c r="AG271" t="str">
        <f t="shared" si="39"/>
        <v>ASSIGNABLE</v>
      </c>
    </row>
    <row r="272" spans="1:33" x14ac:dyDescent="0.3">
      <c r="A272" t="s">
        <v>6728</v>
      </c>
      <c r="B272" t="s">
        <v>6729</v>
      </c>
      <c r="T272" t="s">
        <v>3830</v>
      </c>
      <c r="V272" t="s">
        <v>6279</v>
      </c>
      <c r="W272">
        <f>IF($A272="","",COUNTIF(Aircraft!$N:$N,$A272))</f>
        <v>1</v>
      </c>
      <c r="X272" t="str">
        <f t="shared" si="32"/>
        <v>OK</v>
      </c>
      <c r="Y272" t="str">
        <f t="shared" si="33"/>
        <v>EMAIL (SMTP)</v>
      </c>
      <c r="Z272" t="str">
        <f t="shared" si="34"/>
        <v/>
      </c>
      <c r="AA272" t="str">
        <f t="shared" si="35"/>
        <v/>
      </c>
      <c r="AD272" t="str">
        <f t="shared" si="36"/>
        <v>PLAIN TEXT UPPERCASE</v>
      </c>
      <c r="AE272" t="str">
        <f t="shared" si="37"/>
        <v>JTL TRIP SUPPORT</v>
      </c>
      <c r="AF272" t="str">
        <f t="shared" si="38"/>
        <v>NO SENDING ADDRESS - ADD messaging_to_emails</v>
      </c>
      <c r="AG272" t="str">
        <f t="shared" si="39"/>
        <v>ASSIGNABLE</v>
      </c>
    </row>
    <row r="273" spans="1:33" x14ac:dyDescent="0.3">
      <c r="A273" t="s">
        <v>6730</v>
      </c>
      <c r="B273" t="s">
        <v>6731</v>
      </c>
      <c r="T273" t="s">
        <v>3830</v>
      </c>
      <c r="V273" t="s">
        <v>6279</v>
      </c>
      <c r="W273">
        <f>IF($A273="","",COUNTIF(Aircraft!$N:$N,$A273))</f>
        <v>3</v>
      </c>
      <c r="X273" t="str">
        <f t="shared" si="32"/>
        <v>OK</v>
      </c>
      <c r="Y273" t="str">
        <f t="shared" si="33"/>
        <v>EMAIL (SMTP)</v>
      </c>
      <c r="Z273" t="str">
        <f t="shared" si="34"/>
        <v/>
      </c>
      <c r="AA273" t="str">
        <f t="shared" si="35"/>
        <v/>
      </c>
      <c r="AD273" t="str">
        <f t="shared" si="36"/>
        <v>PLAIN TEXT UPPERCASE</v>
      </c>
      <c r="AE273" t="str">
        <f t="shared" si="37"/>
        <v>JTL TRIP SUPPORT</v>
      </c>
      <c r="AF273" t="str">
        <f t="shared" si="38"/>
        <v>NO SENDING ADDRESS - ADD messaging_to_emails</v>
      </c>
      <c r="AG273" t="str">
        <f t="shared" si="39"/>
        <v>ASSIGNABLE</v>
      </c>
    </row>
    <row r="274" spans="1:33" x14ac:dyDescent="0.3">
      <c r="A274" t="s">
        <v>6732</v>
      </c>
      <c r="B274" t="s">
        <v>6733</v>
      </c>
      <c r="T274" t="s">
        <v>3830</v>
      </c>
      <c r="V274" t="s">
        <v>6279</v>
      </c>
      <c r="W274">
        <f>IF($A274="","",COUNTIF(Aircraft!$N:$N,$A274))</f>
        <v>1</v>
      </c>
      <c r="X274" t="str">
        <f t="shared" si="32"/>
        <v>OK</v>
      </c>
      <c r="Y274" t="str">
        <f t="shared" si="33"/>
        <v>EMAIL (SMTP)</v>
      </c>
      <c r="Z274" t="str">
        <f t="shared" si="34"/>
        <v/>
      </c>
      <c r="AA274" t="str">
        <f t="shared" si="35"/>
        <v/>
      </c>
      <c r="AD274" t="str">
        <f t="shared" si="36"/>
        <v>PLAIN TEXT UPPERCASE</v>
      </c>
      <c r="AE274" t="str">
        <f t="shared" si="37"/>
        <v>JTL TRIP SUPPORT</v>
      </c>
      <c r="AF274" t="str">
        <f t="shared" si="38"/>
        <v>NO SENDING ADDRESS - ADD messaging_to_emails</v>
      </c>
      <c r="AG274" t="str">
        <f t="shared" si="39"/>
        <v>ASSIGNABLE</v>
      </c>
    </row>
    <row r="275" spans="1:33" x14ac:dyDescent="0.3">
      <c r="A275" t="s">
        <v>6734</v>
      </c>
      <c r="B275" t="s">
        <v>6735</v>
      </c>
      <c r="T275" t="s">
        <v>3830</v>
      </c>
      <c r="V275" t="s">
        <v>6279</v>
      </c>
      <c r="W275">
        <f>IF($A275="","",COUNTIF(Aircraft!$N:$N,$A275))</f>
        <v>1</v>
      </c>
      <c r="X275" t="str">
        <f t="shared" si="32"/>
        <v>OK</v>
      </c>
      <c r="Y275" t="str">
        <f t="shared" si="33"/>
        <v>EMAIL (SMTP)</v>
      </c>
      <c r="Z275" t="str">
        <f t="shared" si="34"/>
        <v/>
      </c>
      <c r="AA275" t="str">
        <f t="shared" si="35"/>
        <v/>
      </c>
      <c r="AD275" t="str">
        <f t="shared" si="36"/>
        <v>PLAIN TEXT UPPERCASE</v>
      </c>
      <c r="AE275" t="str">
        <f t="shared" si="37"/>
        <v>JTL TRIP SUPPORT</v>
      </c>
      <c r="AF275" t="str">
        <f t="shared" si="38"/>
        <v>NO SENDING ADDRESS - ADD messaging_to_emails</v>
      </c>
      <c r="AG275" t="str">
        <f t="shared" si="39"/>
        <v>ASSIGNABLE</v>
      </c>
    </row>
    <row r="276" spans="1:33" x14ac:dyDescent="0.3">
      <c r="A276" t="s">
        <v>6736</v>
      </c>
      <c r="B276" t="s">
        <v>6737</v>
      </c>
      <c r="T276" t="s">
        <v>3830</v>
      </c>
      <c r="V276" t="s">
        <v>6279</v>
      </c>
      <c r="W276">
        <f>IF($A276="","",COUNTIF(Aircraft!$N:$N,$A276))</f>
        <v>1</v>
      </c>
      <c r="X276" t="str">
        <f t="shared" si="32"/>
        <v>OK</v>
      </c>
      <c r="Y276" t="str">
        <f t="shared" si="33"/>
        <v>EMAIL (SMTP)</v>
      </c>
      <c r="Z276" t="str">
        <f t="shared" si="34"/>
        <v/>
      </c>
      <c r="AA276" t="str">
        <f t="shared" si="35"/>
        <v/>
      </c>
      <c r="AD276" t="str">
        <f t="shared" si="36"/>
        <v>PLAIN TEXT UPPERCASE</v>
      </c>
      <c r="AE276" t="str">
        <f t="shared" si="37"/>
        <v>JTL TRIP SUPPORT</v>
      </c>
      <c r="AF276" t="str">
        <f t="shared" si="38"/>
        <v>NO SENDING ADDRESS - ADD messaging_to_emails</v>
      </c>
      <c r="AG276" t="str">
        <f t="shared" si="39"/>
        <v>ASSIGNABLE</v>
      </c>
    </row>
    <row r="277" spans="1:33" x14ac:dyDescent="0.3">
      <c r="A277" t="s">
        <v>6738</v>
      </c>
      <c r="B277" t="s">
        <v>6739</v>
      </c>
      <c r="T277" t="s">
        <v>3830</v>
      </c>
      <c r="V277" t="s">
        <v>6279</v>
      </c>
      <c r="W277">
        <f>IF($A277="","",COUNTIF(Aircraft!$N:$N,$A277))</f>
        <v>1</v>
      </c>
      <c r="X277" t="str">
        <f t="shared" si="32"/>
        <v>OK</v>
      </c>
      <c r="Y277" t="str">
        <f t="shared" si="33"/>
        <v>EMAIL (SMTP)</v>
      </c>
      <c r="Z277" t="str">
        <f t="shared" si="34"/>
        <v/>
      </c>
      <c r="AA277" t="str">
        <f t="shared" si="35"/>
        <v/>
      </c>
      <c r="AD277" t="str">
        <f t="shared" si="36"/>
        <v>PLAIN TEXT UPPERCASE</v>
      </c>
      <c r="AE277" t="str">
        <f t="shared" si="37"/>
        <v>JTL TRIP SUPPORT</v>
      </c>
      <c r="AF277" t="str">
        <f t="shared" si="38"/>
        <v>NO SENDING ADDRESS - ADD messaging_to_emails</v>
      </c>
      <c r="AG277" t="str">
        <f t="shared" si="39"/>
        <v>ASSIGNABLE</v>
      </c>
    </row>
    <row r="278" spans="1:33" x14ac:dyDescent="0.3">
      <c r="A278" t="s">
        <v>6740</v>
      </c>
      <c r="B278" t="s">
        <v>6741</v>
      </c>
      <c r="T278" t="s">
        <v>3830</v>
      </c>
      <c r="V278" t="s">
        <v>6279</v>
      </c>
      <c r="W278">
        <f>IF($A278="","",COUNTIF(Aircraft!$N:$N,$A278))</f>
        <v>1</v>
      </c>
      <c r="X278" t="str">
        <f t="shared" si="32"/>
        <v>OK</v>
      </c>
      <c r="Y278" t="str">
        <f t="shared" si="33"/>
        <v>EMAIL (SMTP)</v>
      </c>
      <c r="Z278" t="str">
        <f t="shared" si="34"/>
        <v/>
      </c>
      <c r="AA278" t="str">
        <f t="shared" si="35"/>
        <v/>
      </c>
      <c r="AD278" t="str">
        <f t="shared" si="36"/>
        <v>PLAIN TEXT UPPERCASE</v>
      </c>
      <c r="AE278" t="str">
        <f t="shared" si="37"/>
        <v>JTL TRIP SUPPORT</v>
      </c>
      <c r="AF278" t="str">
        <f t="shared" si="38"/>
        <v>NO SENDING ADDRESS - ADD messaging_to_emails</v>
      </c>
      <c r="AG278" t="str">
        <f t="shared" si="39"/>
        <v>ASSIGNABLE</v>
      </c>
    </row>
    <row r="279" spans="1:33" x14ac:dyDescent="0.3">
      <c r="A279" t="s">
        <v>6742</v>
      </c>
      <c r="B279" t="s">
        <v>6743</v>
      </c>
      <c r="T279" t="s">
        <v>3830</v>
      </c>
      <c r="V279" t="s">
        <v>6279</v>
      </c>
      <c r="W279">
        <f>IF($A279="","",COUNTIF(Aircraft!$N:$N,$A279))</f>
        <v>1</v>
      </c>
      <c r="X279" t="str">
        <f t="shared" si="32"/>
        <v>OK</v>
      </c>
      <c r="Y279" t="str">
        <f t="shared" si="33"/>
        <v>EMAIL (SMTP)</v>
      </c>
      <c r="Z279" t="str">
        <f t="shared" si="34"/>
        <v/>
      </c>
      <c r="AA279" t="str">
        <f t="shared" si="35"/>
        <v/>
      </c>
      <c r="AD279" t="str">
        <f t="shared" si="36"/>
        <v>PLAIN TEXT UPPERCASE</v>
      </c>
      <c r="AE279" t="str">
        <f t="shared" si="37"/>
        <v>JTL TRIP SUPPORT</v>
      </c>
      <c r="AF279" t="str">
        <f t="shared" si="38"/>
        <v>NO SENDING ADDRESS - ADD messaging_to_emails</v>
      </c>
      <c r="AG279" t="str">
        <f t="shared" si="39"/>
        <v>ASSIGNABLE</v>
      </c>
    </row>
    <row r="280" spans="1:33" x14ac:dyDescent="0.3">
      <c r="A280" t="s">
        <v>6744</v>
      </c>
      <c r="B280" t="s">
        <v>6745</v>
      </c>
      <c r="T280" t="s">
        <v>3830</v>
      </c>
      <c r="V280" t="s">
        <v>6279</v>
      </c>
      <c r="W280">
        <f>IF($A280="","",COUNTIF(Aircraft!$N:$N,$A280))</f>
        <v>1</v>
      </c>
      <c r="X280" t="str">
        <f t="shared" si="32"/>
        <v>OK</v>
      </c>
      <c r="Y280" t="str">
        <f t="shared" si="33"/>
        <v>EMAIL (SMTP)</v>
      </c>
      <c r="Z280" t="str">
        <f t="shared" si="34"/>
        <v/>
      </c>
      <c r="AA280" t="str">
        <f t="shared" si="35"/>
        <v/>
      </c>
      <c r="AD280" t="str">
        <f t="shared" si="36"/>
        <v>PLAIN TEXT UPPERCASE</v>
      </c>
      <c r="AE280" t="str">
        <f t="shared" si="37"/>
        <v>JTL TRIP SUPPORT</v>
      </c>
      <c r="AF280" t="str">
        <f t="shared" si="38"/>
        <v>NO SENDING ADDRESS - ADD messaging_to_emails</v>
      </c>
      <c r="AG280" t="str">
        <f t="shared" si="39"/>
        <v>ASSIGNABLE</v>
      </c>
    </row>
    <row r="281" spans="1:33" x14ac:dyDescent="0.3">
      <c r="A281" t="s">
        <v>6746</v>
      </c>
      <c r="B281" t="s">
        <v>6747</v>
      </c>
      <c r="T281" t="s">
        <v>3830</v>
      </c>
      <c r="V281" t="s">
        <v>6279</v>
      </c>
      <c r="W281">
        <f>IF($A281="","",COUNTIF(Aircraft!$N:$N,$A281))</f>
        <v>2</v>
      </c>
      <c r="X281" t="str">
        <f t="shared" si="32"/>
        <v>OK</v>
      </c>
      <c r="Y281" t="str">
        <f t="shared" si="33"/>
        <v>EMAIL (SMTP)</v>
      </c>
      <c r="Z281" t="str">
        <f t="shared" si="34"/>
        <v/>
      </c>
      <c r="AA281" t="str">
        <f t="shared" si="35"/>
        <v/>
      </c>
      <c r="AD281" t="str">
        <f t="shared" si="36"/>
        <v>PLAIN TEXT UPPERCASE</v>
      </c>
      <c r="AE281" t="str">
        <f t="shared" si="37"/>
        <v>JTL TRIP SUPPORT</v>
      </c>
      <c r="AF281" t="str">
        <f t="shared" si="38"/>
        <v>NO SENDING ADDRESS - ADD messaging_to_emails</v>
      </c>
      <c r="AG281" t="str">
        <f t="shared" si="39"/>
        <v>ASSIGNABLE</v>
      </c>
    </row>
    <row r="282" spans="1:33" x14ac:dyDescent="0.3">
      <c r="A282" t="s">
        <v>6748</v>
      </c>
      <c r="B282" t="s">
        <v>6749</v>
      </c>
      <c r="T282" t="s">
        <v>3830</v>
      </c>
      <c r="V282" t="s">
        <v>6279</v>
      </c>
      <c r="W282">
        <f>IF($A282="","",COUNTIF(Aircraft!$N:$N,$A282))</f>
        <v>1</v>
      </c>
      <c r="X282" t="str">
        <f t="shared" si="32"/>
        <v>OK</v>
      </c>
      <c r="Y282" t="str">
        <f t="shared" si="33"/>
        <v>EMAIL (SMTP)</v>
      </c>
      <c r="Z282" t="str">
        <f t="shared" si="34"/>
        <v/>
      </c>
      <c r="AA282" t="str">
        <f t="shared" si="35"/>
        <v/>
      </c>
      <c r="AD282" t="str">
        <f t="shared" si="36"/>
        <v>PLAIN TEXT UPPERCASE</v>
      </c>
      <c r="AE282" t="str">
        <f t="shared" si="37"/>
        <v>JTL TRIP SUPPORT</v>
      </c>
      <c r="AF282" t="str">
        <f t="shared" si="38"/>
        <v>NO SENDING ADDRESS - ADD messaging_to_emails</v>
      </c>
      <c r="AG282" t="str">
        <f t="shared" si="39"/>
        <v>ASSIGNABLE</v>
      </c>
    </row>
    <row r="283" spans="1:33" x14ac:dyDescent="0.3">
      <c r="A283" t="s">
        <v>6750</v>
      </c>
      <c r="B283" t="s">
        <v>6751</v>
      </c>
      <c r="T283" t="s">
        <v>3830</v>
      </c>
      <c r="V283" t="s">
        <v>6279</v>
      </c>
      <c r="W283">
        <f>IF($A283="","",COUNTIF(Aircraft!$N:$N,$A283))</f>
        <v>1</v>
      </c>
      <c r="X283" t="str">
        <f t="shared" si="32"/>
        <v>OK</v>
      </c>
      <c r="Y283" t="str">
        <f t="shared" si="33"/>
        <v>EMAIL (SMTP)</v>
      </c>
      <c r="Z283" t="str">
        <f t="shared" si="34"/>
        <v/>
      </c>
      <c r="AA283" t="str">
        <f t="shared" si="35"/>
        <v/>
      </c>
      <c r="AD283" t="str">
        <f t="shared" si="36"/>
        <v>PLAIN TEXT UPPERCASE</v>
      </c>
      <c r="AE283" t="str">
        <f t="shared" si="37"/>
        <v>JTL TRIP SUPPORT</v>
      </c>
      <c r="AF283" t="str">
        <f t="shared" si="38"/>
        <v>NO SENDING ADDRESS - ADD messaging_to_emails</v>
      </c>
      <c r="AG283" t="str">
        <f t="shared" si="39"/>
        <v>ASSIGNABLE</v>
      </c>
    </row>
    <row r="284" spans="1:33" x14ac:dyDescent="0.3">
      <c r="A284" t="s">
        <v>6752</v>
      </c>
      <c r="B284" t="s">
        <v>6753</v>
      </c>
      <c r="T284" t="s">
        <v>3830</v>
      </c>
      <c r="V284" t="s">
        <v>6279</v>
      </c>
      <c r="W284">
        <f>IF($A284="","",COUNTIF(Aircraft!$N:$N,$A284))</f>
        <v>2</v>
      </c>
      <c r="X284" t="str">
        <f t="shared" si="32"/>
        <v>OK</v>
      </c>
      <c r="Y284" t="str">
        <f t="shared" si="33"/>
        <v>EMAIL (SMTP)</v>
      </c>
      <c r="Z284" t="str">
        <f t="shared" si="34"/>
        <v/>
      </c>
      <c r="AA284" t="str">
        <f t="shared" si="35"/>
        <v/>
      </c>
      <c r="AD284" t="str">
        <f t="shared" si="36"/>
        <v>PLAIN TEXT UPPERCASE</v>
      </c>
      <c r="AE284" t="str">
        <f t="shared" si="37"/>
        <v>JTL TRIP SUPPORT</v>
      </c>
      <c r="AF284" t="str">
        <f t="shared" si="38"/>
        <v>NO SENDING ADDRESS - ADD messaging_to_emails</v>
      </c>
      <c r="AG284" t="str">
        <f t="shared" si="39"/>
        <v>ASSIGNABLE</v>
      </c>
    </row>
    <row r="285" spans="1:33" x14ac:dyDescent="0.3">
      <c r="A285" t="s">
        <v>6754</v>
      </c>
      <c r="B285" t="s">
        <v>6755</v>
      </c>
      <c r="T285" t="s">
        <v>3830</v>
      </c>
      <c r="V285" t="s">
        <v>6279</v>
      </c>
      <c r="W285">
        <f>IF($A285="","",COUNTIF(Aircraft!$N:$N,$A285))</f>
        <v>1</v>
      </c>
      <c r="X285" t="str">
        <f t="shared" si="32"/>
        <v>OK</v>
      </c>
      <c r="Y285" t="str">
        <f t="shared" si="33"/>
        <v>EMAIL (SMTP)</v>
      </c>
      <c r="Z285" t="str">
        <f t="shared" si="34"/>
        <v/>
      </c>
      <c r="AA285" t="str">
        <f t="shared" si="35"/>
        <v/>
      </c>
      <c r="AD285" t="str">
        <f t="shared" si="36"/>
        <v>PLAIN TEXT UPPERCASE</v>
      </c>
      <c r="AE285" t="str">
        <f t="shared" si="37"/>
        <v>JTL TRIP SUPPORT</v>
      </c>
      <c r="AF285" t="str">
        <f t="shared" si="38"/>
        <v>NO SENDING ADDRESS - ADD messaging_to_emails</v>
      </c>
      <c r="AG285" t="str">
        <f t="shared" si="39"/>
        <v>ASSIGNABLE</v>
      </c>
    </row>
    <row r="286" spans="1:33" x14ac:dyDescent="0.3">
      <c r="A286" t="s">
        <v>6756</v>
      </c>
      <c r="B286" t="s">
        <v>6757</v>
      </c>
      <c r="T286" t="s">
        <v>3830</v>
      </c>
      <c r="V286" t="s">
        <v>6279</v>
      </c>
      <c r="W286">
        <f>IF($A286="","",COUNTIF(Aircraft!$N:$N,$A286))</f>
        <v>1</v>
      </c>
      <c r="X286" t="str">
        <f t="shared" si="32"/>
        <v>OK</v>
      </c>
      <c r="Y286" t="str">
        <f t="shared" si="33"/>
        <v>EMAIL (SMTP)</v>
      </c>
      <c r="Z286" t="str">
        <f t="shared" si="34"/>
        <v/>
      </c>
      <c r="AA286" t="str">
        <f t="shared" si="35"/>
        <v/>
      </c>
      <c r="AD286" t="str">
        <f t="shared" si="36"/>
        <v>PLAIN TEXT UPPERCASE</v>
      </c>
      <c r="AE286" t="str">
        <f t="shared" si="37"/>
        <v>JTL TRIP SUPPORT</v>
      </c>
      <c r="AF286" t="str">
        <f t="shared" si="38"/>
        <v>NO SENDING ADDRESS - ADD messaging_to_emails</v>
      </c>
      <c r="AG286" t="str">
        <f t="shared" si="39"/>
        <v>ASSIGNABLE</v>
      </c>
    </row>
    <row r="287" spans="1:33" x14ac:dyDescent="0.3">
      <c r="A287" t="s">
        <v>6758</v>
      </c>
      <c r="B287" t="s">
        <v>6759</v>
      </c>
      <c r="T287" t="s">
        <v>3830</v>
      </c>
      <c r="V287" t="s">
        <v>6279</v>
      </c>
      <c r="W287">
        <f>IF($A287="","",COUNTIF(Aircraft!$N:$N,$A287))</f>
        <v>1</v>
      </c>
      <c r="X287" t="str">
        <f t="shared" si="32"/>
        <v>OK</v>
      </c>
      <c r="Y287" t="str">
        <f t="shared" si="33"/>
        <v>EMAIL (SMTP)</v>
      </c>
      <c r="Z287" t="str">
        <f t="shared" si="34"/>
        <v/>
      </c>
      <c r="AA287" t="str">
        <f t="shared" si="35"/>
        <v/>
      </c>
      <c r="AD287" t="str">
        <f t="shared" si="36"/>
        <v>PLAIN TEXT UPPERCASE</v>
      </c>
      <c r="AE287" t="str">
        <f t="shared" si="37"/>
        <v>JTL TRIP SUPPORT</v>
      </c>
      <c r="AF287" t="str">
        <f t="shared" si="38"/>
        <v>NO SENDING ADDRESS - ADD messaging_to_emails</v>
      </c>
      <c r="AG287" t="str">
        <f t="shared" si="39"/>
        <v>ASSIGNABLE</v>
      </c>
    </row>
    <row r="288" spans="1:33" x14ac:dyDescent="0.3">
      <c r="A288" t="s">
        <v>6760</v>
      </c>
      <c r="B288" t="s">
        <v>6761</v>
      </c>
      <c r="T288" t="s">
        <v>3830</v>
      </c>
      <c r="V288" t="s">
        <v>6279</v>
      </c>
      <c r="W288">
        <f>IF($A288="","",COUNTIF(Aircraft!$N:$N,$A288))</f>
        <v>4</v>
      </c>
      <c r="X288" t="str">
        <f t="shared" si="32"/>
        <v>OK</v>
      </c>
      <c r="Y288" t="str">
        <f t="shared" si="33"/>
        <v>EMAIL (SMTP)</v>
      </c>
      <c r="Z288" t="str">
        <f t="shared" si="34"/>
        <v/>
      </c>
      <c r="AA288" t="str">
        <f t="shared" si="35"/>
        <v/>
      </c>
      <c r="AD288" t="str">
        <f t="shared" si="36"/>
        <v>PLAIN TEXT UPPERCASE</v>
      </c>
      <c r="AE288" t="str">
        <f t="shared" si="37"/>
        <v>JTL TRIP SUPPORT</v>
      </c>
      <c r="AF288" t="str">
        <f t="shared" si="38"/>
        <v>NO SENDING ADDRESS - ADD messaging_to_emails</v>
      </c>
      <c r="AG288" t="str">
        <f t="shared" si="39"/>
        <v>ASSIGNABLE</v>
      </c>
    </row>
    <row r="289" spans="1:33" x14ac:dyDescent="0.3">
      <c r="A289" t="s">
        <v>6762</v>
      </c>
      <c r="B289" t="s">
        <v>6763</v>
      </c>
      <c r="T289" t="s">
        <v>3830</v>
      </c>
      <c r="V289" t="s">
        <v>6279</v>
      </c>
      <c r="W289">
        <f>IF($A289="","",COUNTIF(Aircraft!$N:$N,$A289))</f>
        <v>7</v>
      </c>
      <c r="X289" t="str">
        <f t="shared" si="32"/>
        <v>OK</v>
      </c>
      <c r="Y289" t="str">
        <f t="shared" si="33"/>
        <v>EMAIL (SMTP)</v>
      </c>
      <c r="Z289" t="str">
        <f t="shared" si="34"/>
        <v/>
      </c>
      <c r="AA289" t="str">
        <f t="shared" si="35"/>
        <v/>
      </c>
      <c r="AD289" t="str">
        <f t="shared" si="36"/>
        <v>PLAIN TEXT UPPERCASE</v>
      </c>
      <c r="AE289" t="str">
        <f t="shared" si="37"/>
        <v>JTL TRIP SUPPORT</v>
      </c>
      <c r="AF289" t="str">
        <f t="shared" si="38"/>
        <v>NO SENDING ADDRESS - ADD messaging_to_emails</v>
      </c>
      <c r="AG289" t="str">
        <f t="shared" si="39"/>
        <v>ASSIGNABLE</v>
      </c>
    </row>
    <row r="290" spans="1:33" x14ac:dyDescent="0.3">
      <c r="A290" t="s">
        <v>6764</v>
      </c>
      <c r="B290" t="s">
        <v>6765</v>
      </c>
      <c r="T290" t="s">
        <v>3830</v>
      </c>
      <c r="V290" t="s">
        <v>6279</v>
      </c>
      <c r="W290">
        <f>IF($A290="","",COUNTIF(Aircraft!$N:$N,$A290))</f>
        <v>1</v>
      </c>
      <c r="X290" t="str">
        <f t="shared" si="32"/>
        <v>OK</v>
      </c>
      <c r="Y290" t="str">
        <f t="shared" si="33"/>
        <v>EMAIL (SMTP)</v>
      </c>
      <c r="Z290" t="str">
        <f t="shared" si="34"/>
        <v/>
      </c>
      <c r="AA290" t="str">
        <f t="shared" si="35"/>
        <v/>
      </c>
      <c r="AD290" t="str">
        <f t="shared" si="36"/>
        <v>PLAIN TEXT UPPERCASE</v>
      </c>
      <c r="AE290" t="str">
        <f t="shared" si="37"/>
        <v>JTL TRIP SUPPORT</v>
      </c>
      <c r="AF290" t="str">
        <f t="shared" si="38"/>
        <v>NO SENDING ADDRESS - ADD messaging_to_emails</v>
      </c>
      <c r="AG290" t="str">
        <f t="shared" si="39"/>
        <v>ASSIGNABLE</v>
      </c>
    </row>
    <row r="291" spans="1:33" x14ac:dyDescent="0.3">
      <c r="A291" t="s">
        <v>6766</v>
      </c>
      <c r="B291" t="s">
        <v>6767</v>
      </c>
      <c r="T291" t="s">
        <v>3830</v>
      </c>
      <c r="V291" t="s">
        <v>6279</v>
      </c>
      <c r="W291">
        <f>IF($A291="","",COUNTIF(Aircraft!$N:$N,$A291))</f>
        <v>1</v>
      </c>
      <c r="X291" t="str">
        <f t="shared" si="32"/>
        <v>OK</v>
      </c>
      <c r="Y291" t="str">
        <f t="shared" si="33"/>
        <v>EMAIL (SMTP)</v>
      </c>
      <c r="Z291" t="str">
        <f t="shared" si="34"/>
        <v/>
      </c>
      <c r="AA291" t="str">
        <f t="shared" si="35"/>
        <v/>
      </c>
      <c r="AD291" t="str">
        <f t="shared" si="36"/>
        <v>PLAIN TEXT UPPERCASE</v>
      </c>
      <c r="AE291" t="str">
        <f t="shared" si="37"/>
        <v>JTL TRIP SUPPORT</v>
      </c>
      <c r="AF291" t="str">
        <f t="shared" si="38"/>
        <v>NO SENDING ADDRESS - ADD messaging_to_emails</v>
      </c>
      <c r="AG291" t="str">
        <f t="shared" si="39"/>
        <v>ASSIGNABLE</v>
      </c>
    </row>
    <row r="292" spans="1:33" x14ac:dyDescent="0.3">
      <c r="A292" t="s">
        <v>6768</v>
      </c>
      <c r="B292" t="s">
        <v>6769</v>
      </c>
      <c r="T292" t="s">
        <v>3830</v>
      </c>
      <c r="V292" t="s">
        <v>6279</v>
      </c>
      <c r="W292">
        <f>IF($A292="","",COUNTIF(Aircraft!$N:$N,$A292))</f>
        <v>1</v>
      </c>
      <c r="X292" t="str">
        <f t="shared" si="32"/>
        <v>OK</v>
      </c>
      <c r="Y292" t="str">
        <f t="shared" si="33"/>
        <v>EMAIL (SMTP)</v>
      </c>
      <c r="Z292" t="str">
        <f t="shared" si="34"/>
        <v/>
      </c>
      <c r="AA292" t="str">
        <f t="shared" si="35"/>
        <v/>
      </c>
      <c r="AD292" t="str">
        <f t="shared" si="36"/>
        <v>PLAIN TEXT UPPERCASE</v>
      </c>
      <c r="AE292" t="str">
        <f t="shared" si="37"/>
        <v>JTL TRIP SUPPORT</v>
      </c>
      <c r="AF292" t="str">
        <f t="shared" si="38"/>
        <v>NO SENDING ADDRESS - ADD messaging_to_emails</v>
      </c>
      <c r="AG292" t="str">
        <f t="shared" si="39"/>
        <v>ASSIGNABLE</v>
      </c>
    </row>
    <row r="293" spans="1:33" x14ac:dyDescent="0.3">
      <c r="A293" t="s">
        <v>6770</v>
      </c>
      <c r="B293" t="s">
        <v>6771</v>
      </c>
      <c r="T293" t="s">
        <v>3830</v>
      </c>
      <c r="V293" t="s">
        <v>6279</v>
      </c>
      <c r="W293">
        <f>IF($A293="","",COUNTIF(Aircraft!$N:$N,$A293))</f>
        <v>2</v>
      </c>
      <c r="X293" t="str">
        <f t="shared" si="32"/>
        <v>OK</v>
      </c>
      <c r="Y293" t="str">
        <f t="shared" si="33"/>
        <v>EMAIL (SMTP)</v>
      </c>
      <c r="Z293" t="str">
        <f t="shared" si="34"/>
        <v/>
      </c>
      <c r="AA293" t="str">
        <f t="shared" si="35"/>
        <v/>
      </c>
      <c r="AD293" t="str">
        <f t="shared" si="36"/>
        <v>PLAIN TEXT UPPERCASE</v>
      </c>
      <c r="AE293" t="str">
        <f t="shared" si="37"/>
        <v>JTL TRIP SUPPORT</v>
      </c>
      <c r="AF293" t="str">
        <f t="shared" si="38"/>
        <v>NO SENDING ADDRESS - ADD messaging_to_emails</v>
      </c>
      <c r="AG293" t="str">
        <f t="shared" si="39"/>
        <v>ASSIGNABLE</v>
      </c>
    </row>
    <row r="294" spans="1:33" x14ac:dyDescent="0.3">
      <c r="A294" t="s">
        <v>6772</v>
      </c>
      <c r="B294" t="s">
        <v>6773</v>
      </c>
      <c r="T294" t="s">
        <v>3830</v>
      </c>
      <c r="V294" t="s">
        <v>6279</v>
      </c>
      <c r="W294">
        <f>IF($A294="","",COUNTIF(Aircraft!$N:$N,$A294))</f>
        <v>1</v>
      </c>
      <c r="X294" t="str">
        <f t="shared" si="32"/>
        <v>OK</v>
      </c>
      <c r="Y294" t="str">
        <f t="shared" si="33"/>
        <v>EMAIL (SMTP)</v>
      </c>
      <c r="Z294" t="str">
        <f t="shared" si="34"/>
        <v/>
      </c>
      <c r="AA294" t="str">
        <f t="shared" si="35"/>
        <v/>
      </c>
      <c r="AD294" t="str">
        <f t="shared" si="36"/>
        <v>PLAIN TEXT UPPERCASE</v>
      </c>
      <c r="AE294" t="str">
        <f t="shared" si="37"/>
        <v>JTL TRIP SUPPORT</v>
      </c>
      <c r="AF294" t="str">
        <f t="shared" si="38"/>
        <v>NO SENDING ADDRESS - ADD messaging_to_emails</v>
      </c>
      <c r="AG294" t="str">
        <f t="shared" si="39"/>
        <v>ASSIGNABLE</v>
      </c>
    </row>
    <row r="295" spans="1:33" x14ac:dyDescent="0.3">
      <c r="A295" t="s">
        <v>6774</v>
      </c>
      <c r="B295" t="s">
        <v>6775</v>
      </c>
      <c r="T295" t="s">
        <v>3830</v>
      </c>
      <c r="V295" t="s">
        <v>6279</v>
      </c>
      <c r="W295">
        <f>IF($A295="","",COUNTIF(Aircraft!$N:$N,$A295))</f>
        <v>2</v>
      </c>
      <c r="X295" t="str">
        <f t="shared" si="32"/>
        <v>OK</v>
      </c>
      <c r="Y295" t="str">
        <f t="shared" si="33"/>
        <v>EMAIL (SMTP)</v>
      </c>
      <c r="Z295" t="str">
        <f t="shared" si="34"/>
        <v/>
      </c>
      <c r="AA295" t="str">
        <f t="shared" si="35"/>
        <v/>
      </c>
      <c r="AD295" t="str">
        <f t="shared" si="36"/>
        <v>PLAIN TEXT UPPERCASE</v>
      </c>
      <c r="AE295" t="str">
        <f t="shared" si="37"/>
        <v>JTL TRIP SUPPORT</v>
      </c>
      <c r="AF295" t="str">
        <f t="shared" si="38"/>
        <v>NO SENDING ADDRESS - ADD messaging_to_emails</v>
      </c>
      <c r="AG295" t="str">
        <f t="shared" si="39"/>
        <v>ASSIGNABLE</v>
      </c>
    </row>
    <row r="296" spans="1:33" x14ac:dyDescent="0.3">
      <c r="A296" t="s">
        <v>6776</v>
      </c>
      <c r="B296" t="s">
        <v>6777</v>
      </c>
      <c r="T296" t="s">
        <v>3830</v>
      </c>
      <c r="V296" t="s">
        <v>6279</v>
      </c>
      <c r="W296">
        <f>IF($A296="","",COUNTIF(Aircraft!$N:$N,$A296))</f>
        <v>1</v>
      </c>
      <c r="X296" t="str">
        <f t="shared" si="32"/>
        <v>OK</v>
      </c>
      <c r="Y296" t="str">
        <f t="shared" si="33"/>
        <v>EMAIL (SMTP)</v>
      </c>
      <c r="Z296" t="str">
        <f t="shared" si="34"/>
        <v/>
      </c>
      <c r="AA296" t="str">
        <f t="shared" si="35"/>
        <v/>
      </c>
      <c r="AD296" t="str">
        <f t="shared" si="36"/>
        <v>PLAIN TEXT UPPERCASE</v>
      </c>
      <c r="AE296" t="str">
        <f t="shared" si="37"/>
        <v>JTL TRIP SUPPORT</v>
      </c>
      <c r="AF296" t="str">
        <f t="shared" si="38"/>
        <v>NO SENDING ADDRESS - ADD messaging_to_emails</v>
      </c>
      <c r="AG296" t="str">
        <f t="shared" si="39"/>
        <v>ASSIGNABLE</v>
      </c>
    </row>
    <row r="297" spans="1:33" x14ac:dyDescent="0.3">
      <c r="A297" t="s">
        <v>6778</v>
      </c>
      <c r="B297" t="s">
        <v>6779</v>
      </c>
      <c r="T297" t="s">
        <v>3830</v>
      </c>
      <c r="V297" t="s">
        <v>6279</v>
      </c>
      <c r="W297">
        <f>IF($A297="","",COUNTIF(Aircraft!$N:$N,$A297))</f>
        <v>1</v>
      </c>
      <c r="X297" t="str">
        <f t="shared" si="32"/>
        <v>OK</v>
      </c>
      <c r="Y297" t="str">
        <f t="shared" si="33"/>
        <v>EMAIL (SMTP)</v>
      </c>
      <c r="Z297" t="str">
        <f t="shared" si="34"/>
        <v/>
      </c>
      <c r="AA297" t="str">
        <f t="shared" si="35"/>
        <v/>
      </c>
      <c r="AD297" t="str">
        <f t="shared" si="36"/>
        <v>PLAIN TEXT UPPERCASE</v>
      </c>
      <c r="AE297" t="str">
        <f t="shared" si="37"/>
        <v>JTL TRIP SUPPORT</v>
      </c>
      <c r="AF297" t="str">
        <f t="shared" si="38"/>
        <v>NO SENDING ADDRESS - ADD messaging_to_emails</v>
      </c>
      <c r="AG297" t="str">
        <f t="shared" si="39"/>
        <v>ASSIGNABLE</v>
      </c>
    </row>
    <row r="298" spans="1:33" x14ac:dyDescent="0.3">
      <c r="A298" t="s">
        <v>6780</v>
      </c>
      <c r="B298" t="s">
        <v>6781</v>
      </c>
      <c r="T298" t="s">
        <v>3830</v>
      </c>
      <c r="V298" t="s">
        <v>6279</v>
      </c>
      <c r="W298">
        <f>IF($A298="","",COUNTIF(Aircraft!$N:$N,$A298))</f>
        <v>1</v>
      </c>
      <c r="X298" t="str">
        <f t="shared" si="32"/>
        <v>OK</v>
      </c>
      <c r="Y298" t="str">
        <f t="shared" si="33"/>
        <v>EMAIL (SMTP)</v>
      </c>
      <c r="Z298" t="str">
        <f t="shared" si="34"/>
        <v/>
      </c>
      <c r="AA298" t="str">
        <f t="shared" si="35"/>
        <v/>
      </c>
      <c r="AD298" t="str">
        <f t="shared" si="36"/>
        <v>PLAIN TEXT UPPERCASE</v>
      </c>
      <c r="AE298" t="str">
        <f t="shared" si="37"/>
        <v>JTL TRIP SUPPORT</v>
      </c>
      <c r="AF298" t="str">
        <f t="shared" si="38"/>
        <v>NO SENDING ADDRESS - ADD messaging_to_emails</v>
      </c>
      <c r="AG298" t="str">
        <f t="shared" si="39"/>
        <v>ASSIGNABLE</v>
      </c>
    </row>
    <row r="299" spans="1:33" x14ac:dyDescent="0.3">
      <c r="A299" t="s">
        <v>6782</v>
      </c>
      <c r="B299" t="s">
        <v>6783</v>
      </c>
      <c r="T299" t="s">
        <v>3830</v>
      </c>
      <c r="V299" t="s">
        <v>6279</v>
      </c>
      <c r="W299">
        <f>IF($A299="","",COUNTIF(Aircraft!$N:$N,$A299))</f>
        <v>1</v>
      </c>
      <c r="X299" t="str">
        <f t="shared" si="32"/>
        <v>OK</v>
      </c>
      <c r="Y299" t="str">
        <f t="shared" si="33"/>
        <v>EMAIL (SMTP)</v>
      </c>
      <c r="Z299" t="str">
        <f t="shared" si="34"/>
        <v/>
      </c>
      <c r="AA299" t="str">
        <f t="shared" si="35"/>
        <v/>
      </c>
      <c r="AD299" t="str">
        <f t="shared" si="36"/>
        <v>PLAIN TEXT UPPERCASE</v>
      </c>
      <c r="AE299" t="str">
        <f t="shared" si="37"/>
        <v>JTL TRIP SUPPORT</v>
      </c>
      <c r="AF299" t="str">
        <f t="shared" si="38"/>
        <v>NO SENDING ADDRESS - ADD messaging_to_emails</v>
      </c>
      <c r="AG299" t="str">
        <f t="shared" si="39"/>
        <v>ASSIGNABLE</v>
      </c>
    </row>
    <row r="300" spans="1:33" x14ac:dyDescent="0.3">
      <c r="A300" t="s">
        <v>6784</v>
      </c>
      <c r="B300" t="s">
        <v>6785</v>
      </c>
      <c r="T300" t="s">
        <v>3830</v>
      </c>
      <c r="V300" t="s">
        <v>6279</v>
      </c>
      <c r="W300">
        <f>IF($A300="","",COUNTIF(Aircraft!$N:$N,$A300))</f>
        <v>1</v>
      </c>
      <c r="X300" t="str">
        <f t="shared" si="32"/>
        <v>OK</v>
      </c>
      <c r="Y300" t="str">
        <f t="shared" si="33"/>
        <v>EMAIL (SMTP)</v>
      </c>
      <c r="Z300" t="str">
        <f t="shared" si="34"/>
        <v/>
      </c>
      <c r="AA300" t="str">
        <f t="shared" si="35"/>
        <v/>
      </c>
      <c r="AD300" t="str">
        <f t="shared" si="36"/>
        <v>PLAIN TEXT UPPERCASE</v>
      </c>
      <c r="AE300" t="str">
        <f t="shared" si="37"/>
        <v>JTL TRIP SUPPORT</v>
      </c>
      <c r="AF300" t="str">
        <f t="shared" si="38"/>
        <v>NO SENDING ADDRESS - ADD messaging_to_emails</v>
      </c>
      <c r="AG300" t="str">
        <f t="shared" si="39"/>
        <v>ASSIGNABLE</v>
      </c>
    </row>
    <row r="301" spans="1:33" x14ac:dyDescent="0.3">
      <c r="A301" t="s">
        <v>6786</v>
      </c>
      <c r="B301" t="s">
        <v>6787</v>
      </c>
      <c r="T301" t="s">
        <v>3830</v>
      </c>
      <c r="V301" t="s">
        <v>6279</v>
      </c>
      <c r="W301">
        <f>IF($A301="","",COUNTIF(Aircraft!$N:$N,$A301))</f>
        <v>1</v>
      </c>
      <c r="X301" t="str">
        <f t="shared" si="32"/>
        <v>OK</v>
      </c>
      <c r="Y301" t="str">
        <f t="shared" si="33"/>
        <v>EMAIL (SMTP)</v>
      </c>
      <c r="Z301" t="str">
        <f t="shared" si="34"/>
        <v/>
      </c>
      <c r="AA301" t="str">
        <f t="shared" si="35"/>
        <v/>
      </c>
      <c r="AD301" t="str">
        <f t="shared" si="36"/>
        <v>PLAIN TEXT UPPERCASE</v>
      </c>
      <c r="AE301" t="str">
        <f t="shared" si="37"/>
        <v>JTL TRIP SUPPORT</v>
      </c>
      <c r="AF301" t="str">
        <f t="shared" si="38"/>
        <v>NO SENDING ADDRESS - ADD messaging_to_emails</v>
      </c>
      <c r="AG301" t="str">
        <f t="shared" si="39"/>
        <v>ASSIGNABLE</v>
      </c>
    </row>
    <row r="302" spans="1:33" x14ac:dyDescent="0.3">
      <c r="A302" t="s">
        <v>6788</v>
      </c>
      <c r="B302" t="s">
        <v>6789</v>
      </c>
      <c r="T302" t="s">
        <v>3830</v>
      </c>
      <c r="V302" t="s">
        <v>6279</v>
      </c>
      <c r="W302">
        <f>IF($A302="","",COUNTIF(Aircraft!$N:$N,$A302))</f>
        <v>2</v>
      </c>
      <c r="X302" t="str">
        <f t="shared" si="32"/>
        <v>OK</v>
      </c>
      <c r="Y302" t="str">
        <f t="shared" si="33"/>
        <v>EMAIL (SMTP)</v>
      </c>
      <c r="Z302" t="str">
        <f t="shared" si="34"/>
        <v/>
      </c>
      <c r="AA302" t="str">
        <f t="shared" si="35"/>
        <v/>
      </c>
      <c r="AD302" t="str">
        <f t="shared" si="36"/>
        <v>PLAIN TEXT UPPERCASE</v>
      </c>
      <c r="AE302" t="str">
        <f t="shared" si="37"/>
        <v>JTL TRIP SUPPORT</v>
      </c>
      <c r="AF302" t="str">
        <f t="shared" si="38"/>
        <v>NO SENDING ADDRESS - ADD messaging_to_emails</v>
      </c>
      <c r="AG302" t="str">
        <f t="shared" si="39"/>
        <v>ASSIGNABLE</v>
      </c>
    </row>
    <row r="303" spans="1:33" x14ac:dyDescent="0.3">
      <c r="A303" t="s">
        <v>6790</v>
      </c>
      <c r="B303" t="s">
        <v>6791</v>
      </c>
      <c r="T303" t="s">
        <v>3830</v>
      </c>
      <c r="V303" t="s">
        <v>6279</v>
      </c>
      <c r="W303">
        <f>IF($A303="","",COUNTIF(Aircraft!$N:$N,$A303))</f>
        <v>1</v>
      </c>
      <c r="X303" t="str">
        <f t="shared" si="32"/>
        <v>OK</v>
      </c>
      <c r="Y303" t="str">
        <f t="shared" si="33"/>
        <v>EMAIL (SMTP)</v>
      </c>
      <c r="Z303" t="str">
        <f t="shared" si="34"/>
        <v/>
      </c>
      <c r="AA303" t="str">
        <f t="shared" si="35"/>
        <v/>
      </c>
      <c r="AD303" t="str">
        <f t="shared" si="36"/>
        <v>PLAIN TEXT UPPERCASE</v>
      </c>
      <c r="AE303" t="str">
        <f t="shared" si="37"/>
        <v>JTL TRIP SUPPORT</v>
      </c>
      <c r="AF303" t="str">
        <f t="shared" si="38"/>
        <v>NO SENDING ADDRESS - ADD messaging_to_emails</v>
      </c>
      <c r="AG303" t="str">
        <f t="shared" si="39"/>
        <v>ASSIGNABLE</v>
      </c>
    </row>
    <row r="304" spans="1:33" x14ac:dyDescent="0.3">
      <c r="A304" t="s">
        <v>6792</v>
      </c>
      <c r="B304" t="s">
        <v>6793</v>
      </c>
      <c r="T304" t="s">
        <v>3830</v>
      </c>
      <c r="V304" t="s">
        <v>6279</v>
      </c>
      <c r="W304">
        <f>IF($A304="","",COUNTIF(Aircraft!$N:$N,$A304))</f>
        <v>1</v>
      </c>
      <c r="X304" t="str">
        <f t="shared" si="32"/>
        <v>OK</v>
      </c>
      <c r="Y304" t="str">
        <f t="shared" si="33"/>
        <v>EMAIL (SMTP)</v>
      </c>
      <c r="Z304" t="str">
        <f t="shared" si="34"/>
        <v/>
      </c>
      <c r="AA304" t="str">
        <f t="shared" si="35"/>
        <v/>
      </c>
      <c r="AD304" t="str">
        <f t="shared" si="36"/>
        <v>PLAIN TEXT UPPERCASE</v>
      </c>
      <c r="AE304" t="str">
        <f t="shared" si="37"/>
        <v>JTL TRIP SUPPORT</v>
      </c>
      <c r="AF304" t="str">
        <f t="shared" si="38"/>
        <v>NO SENDING ADDRESS - ADD messaging_to_emails</v>
      </c>
      <c r="AG304" t="str">
        <f t="shared" si="39"/>
        <v>ASSIGNABLE</v>
      </c>
    </row>
    <row r="305" spans="1:33" x14ac:dyDescent="0.3">
      <c r="A305" t="s">
        <v>6794</v>
      </c>
      <c r="B305" t="s">
        <v>6795</v>
      </c>
      <c r="T305" t="s">
        <v>3830</v>
      </c>
      <c r="V305" t="s">
        <v>6279</v>
      </c>
      <c r="W305">
        <f>IF($A305="","",COUNTIF(Aircraft!$N:$N,$A305))</f>
        <v>1</v>
      </c>
      <c r="X305" t="str">
        <f t="shared" si="32"/>
        <v>OK</v>
      </c>
      <c r="Y305" t="str">
        <f t="shared" si="33"/>
        <v>EMAIL (SMTP)</v>
      </c>
      <c r="Z305" t="str">
        <f t="shared" si="34"/>
        <v/>
      </c>
      <c r="AA305" t="str">
        <f t="shared" si="35"/>
        <v/>
      </c>
      <c r="AD305" t="str">
        <f t="shared" si="36"/>
        <v>PLAIN TEXT UPPERCASE</v>
      </c>
      <c r="AE305" t="str">
        <f t="shared" si="37"/>
        <v>JTL TRIP SUPPORT</v>
      </c>
      <c r="AF305" t="str">
        <f t="shared" si="38"/>
        <v>NO SENDING ADDRESS - ADD messaging_to_emails</v>
      </c>
      <c r="AG305" t="str">
        <f t="shared" si="39"/>
        <v>ASSIGNABLE</v>
      </c>
    </row>
    <row r="306" spans="1:33" x14ac:dyDescent="0.3">
      <c r="A306" t="s">
        <v>6796</v>
      </c>
      <c r="B306" t="s">
        <v>6797</v>
      </c>
      <c r="T306" t="s">
        <v>3830</v>
      </c>
      <c r="V306" t="s">
        <v>6279</v>
      </c>
      <c r="W306">
        <f>IF($A306="","",COUNTIF(Aircraft!$N:$N,$A306))</f>
        <v>1</v>
      </c>
      <c r="X306" t="str">
        <f t="shared" si="32"/>
        <v>OK</v>
      </c>
      <c r="Y306" t="str">
        <f t="shared" si="33"/>
        <v>EMAIL (SMTP)</v>
      </c>
      <c r="Z306" t="str">
        <f t="shared" si="34"/>
        <v/>
      </c>
      <c r="AA306" t="str">
        <f t="shared" si="35"/>
        <v/>
      </c>
      <c r="AD306" t="str">
        <f t="shared" si="36"/>
        <v>PLAIN TEXT UPPERCASE</v>
      </c>
      <c r="AE306" t="str">
        <f t="shared" si="37"/>
        <v>JTL TRIP SUPPORT</v>
      </c>
      <c r="AF306" t="str">
        <f t="shared" si="38"/>
        <v>NO SENDING ADDRESS - ADD messaging_to_emails</v>
      </c>
      <c r="AG306" t="str">
        <f t="shared" si="39"/>
        <v>ASSIGNABLE</v>
      </c>
    </row>
    <row r="307" spans="1:33" x14ac:dyDescent="0.3">
      <c r="A307" t="s">
        <v>6798</v>
      </c>
      <c r="B307" t="s">
        <v>6799</v>
      </c>
      <c r="T307" t="s">
        <v>3830</v>
      </c>
      <c r="V307" t="s">
        <v>6279</v>
      </c>
      <c r="W307">
        <f>IF($A307="","",COUNTIF(Aircraft!$N:$N,$A307))</f>
        <v>1</v>
      </c>
      <c r="X307" t="str">
        <f t="shared" si="32"/>
        <v>OK</v>
      </c>
      <c r="Y307" t="str">
        <f t="shared" si="33"/>
        <v>EMAIL (SMTP)</v>
      </c>
      <c r="Z307" t="str">
        <f t="shared" si="34"/>
        <v/>
      </c>
      <c r="AA307" t="str">
        <f t="shared" si="35"/>
        <v/>
      </c>
      <c r="AD307" t="str">
        <f t="shared" si="36"/>
        <v>PLAIN TEXT UPPERCASE</v>
      </c>
      <c r="AE307" t="str">
        <f t="shared" si="37"/>
        <v>JTL TRIP SUPPORT</v>
      </c>
      <c r="AF307" t="str">
        <f t="shared" si="38"/>
        <v>NO SENDING ADDRESS - ADD messaging_to_emails</v>
      </c>
      <c r="AG307" t="str">
        <f t="shared" si="39"/>
        <v>ASSIGNABLE</v>
      </c>
    </row>
    <row r="308" spans="1:33" x14ac:dyDescent="0.3">
      <c r="A308" t="s">
        <v>6800</v>
      </c>
      <c r="B308" t="s">
        <v>6801</v>
      </c>
      <c r="T308" t="s">
        <v>3830</v>
      </c>
      <c r="V308" t="s">
        <v>6279</v>
      </c>
      <c r="W308">
        <f>IF($A308="","",COUNTIF(Aircraft!$N:$N,$A308))</f>
        <v>1</v>
      </c>
      <c r="X308" t="str">
        <f t="shared" si="32"/>
        <v>OK</v>
      </c>
      <c r="Y308" t="str">
        <f t="shared" si="33"/>
        <v>EMAIL (SMTP)</v>
      </c>
      <c r="Z308" t="str">
        <f t="shared" si="34"/>
        <v/>
      </c>
      <c r="AA308" t="str">
        <f t="shared" si="35"/>
        <v/>
      </c>
      <c r="AD308" t="str">
        <f t="shared" si="36"/>
        <v>PLAIN TEXT UPPERCASE</v>
      </c>
      <c r="AE308" t="str">
        <f t="shared" si="37"/>
        <v>JTL TRIP SUPPORT</v>
      </c>
      <c r="AF308" t="str">
        <f t="shared" si="38"/>
        <v>NO SENDING ADDRESS - ADD messaging_to_emails</v>
      </c>
      <c r="AG308" t="str">
        <f t="shared" si="39"/>
        <v>ASSIGNABLE</v>
      </c>
    </row>
    <row r="309" spans="1:33" x14ac:dyDescent="0.3">
      <c r="A309" t="s">
        <v>6802</v>
      </c>
      <c r="B309" t="s">
        <v>6803</v>
      </c>
      <c r="T309" t="s">
        <v>3830</v>
      </c>
      <c r="V309" t="s">
        <v>6279</v>
      </c>
      <c r="W309">
        <f>IF($A309="","",COUNTIF(Aircraft!$N:$N,$A309))</f>
        <v>1</v>
      </c>
      <c r="X309" t="str">
        <f t="shared" si="32"/>
        <v>OK</v>
      </c>
      <c r="Y309" t="str">
        <f t="shared" si="33"/>
        <v>EMAIL (SMTP)</v>
      </c>
      <c r="Z309" t="str">
        <f t="shared" si="34"/>
        <v/>
      </c>
      <c r="AA309" t="str">
        <f t="shared" si="35"/>
        <v/>
      </c>
      <c r="AD309" t="str">
        <f t="shared" si="36"/>
        <v>PLAIN TEXT UPPERCASE</v>
      </c>
      <c r="AE309" t="str">
        <f t="shared" si="37"/>
        <v>JTL TRIP SUPPORT</v>
      </c>
      <c r="AF309" t="str">
        <f t="shared" si="38"/>
        <v>NO SENDING ADDRESS - ADD messaging_to_emails</v>
      </c>
      <c r="AG309" t="str">
        <f t="shared" si="39"/>
        <v>ASSIGNABLE</v>
      </c>
    </row>
    <row r="310" spans="1:33" x14ac:dyDescent="0.3">
      <c r="A310" t="s">
        <v>6804</v>
      </c>
      <c r="B310" t="s">
        <v>6805</v>
      </c>
      <c r="T310" t="s">
        <v>3830</v>
      </c>
      <c r="V310" t="s">
        <v>6279</v>
      </c>
      <c r="W310">
        <f>IF($A310="","",COUNTIF(Aircraft!$N:$N,$A310))</f>
        <v>2</v>
      </c>
      <c r="X310" t="str">
        <f t="shared" si="32"/>
        <v>OK</v>
      </c>
      <c r="Y310" t="str">
        <f t="shared" si="33"/>
        <v>EMAIL (SMTP)</v>
      </c>
      <c r="Z310" t="str">
        <f t="shared" si="34"/>
        <v/>
      </c>
      <c r="AA310" t="str">
        <f t="shared" si="35"/>
        <v/>
      </c>
      <c r="AD310" t="str">
        <f t="shared" si="36"/>
        <v>PLAIN TEXT UPPERCASE</v>
      </c>
      <c r="AE310" t="str">
        <f t="shared" si="37"/>
        <v>JTL TRIP SUPPORT</v>
      </c>
      <c r="AF310" t="str">
        <f t="shared" si="38"/>
        <v>NO SENDING ADDRESS - ADD messaging_to_emails</v>
      </c>
      <c r="AG310" t="str">
        <f t="shared" si="39"/>
        <v>ASSIGNABLE</v>
      </c>
    </row>
    <row r="311" spans="1:33" x14ac:dyDescent="0.3">
      <c r="A311" t="s">
        <v>6806</v>
      </c>
      <c r="B311" t="s">
        <v>6807</v>
      </c>
      <c r="T311" t="s">
        <v>3830</v>
      </c>
      <c r="V311" t="s">
        <v>6279</v>
      </c>
      <c r="W311">
        <f>IF($A311="","",COUNTIF(Aircraft!$N:$N,$A311))</f>
        <v>3</v>
      </c>
      <c r="X311" t="str">
        <f t="shared" si="32"/>
        <v>OK</v>
      </c>
      <c r="Y311" t="str">
        <f t="shared" si="33"/>
        <v>EMAIL (SMTP)</v>
      </c>
      <c r="Z311" t="str">
        <f t="shared" si="34"/>
        <v/>
      </c>
      <c r="AA311" t="str">
        <f t="shared" si="35"/>
        <v/>
      </c>
      <c r="AD311" t="str">
        <f t="shared" si="36"/>
        <v>PLAIN TEXT UPPERCASE</v>
      </c>
      <c r="AE311" t="str">
        <f t="shared" si="37"/>
        <v>JTL TRIP SUPPORT</v>
      </c>
      <c r="AF311" t="str">
        <f t="shared" si="38"/>
        <v>NO SENDING ADDRESS - ADD messaging_to_emails</v>
      </c>
      <c r="AG311" t="str">
        <f t="shared" si="39"/>
        <v>ASSIGNABLE</v>
      </c>
    </row>
    <row r="312" spans="1:33" x14ac:dyDescent="0.3">
      <c r="A312" t="s">
        <v>6808</v>
      </c>
      <c r="B312" t="s">
        <v>6809</v>
      </c>
      <c r="T312" t="s">
        <v>3830</v>
      </c>
      <c r="V312" t="s">
        <v>6279</v>
      </c>
      <c r="W312">
        <f>IF($A312="","",COUNTIF(Aircraft!$N:$N,$A312))</f>
        <v>1</v>
      </c>
      <c r="X312" t="str">
        <f t="shared" si="32"/>
        <v>OK</v>
      </c>
      <c r="Y312" t="str">
        <f t="shared" si="33"/>
        <v>EMAIL (SMTP)</v>
      </c>
      <c r="Z312" t="str">
        <f t="shared" si="34"/>
        <v/>
      </c>
      <c r="AA312" t="str">
        <f t="shared" si="35"/>
        <v/>
      </c>
      <c r="AD312" t="str">
        <f t="shared" si="36"/>
        <v>PLAIN TEXT UPPERCASE</v>
      </c>
      <c r="AE312" t="str">
        <f t="shared" si="37"/>
        <v>JTL TRIP SUPPORT</v>
      </c>
      <c r="AF312" t="str">
        <f t="shared" si="38"/>
        <v>NO SENDING ADDRESS - ADD messaging_to_emails</v>
      </c>
      <c r="AG312" t="str">
        <f t="shared" si="39"/>
        <v>ASSIGNABLE</v>
      </c>
    </row>
    <row r="313" spans="1:33" x14ac:dyDescent="0.3">
      <c r="A313" t="s">
        <v>6810</v>
      </c>
      <c r="B313" t="s">
        <v>6811</v>
      </c>
      <c r="T313" t="s">
        <v>3830</v>
      </c>
      <c r="V313" t="s">
        <v>6279</v>
      </c>
      <c r="W313">
        <f>IF($A313="","",COUNTIF(Aircraft!$N:$N,$A313))</f>
        <v>1</v>
      </c>
      <c r="X313" t="str">
        <f t="shared" si="32"/>
        <v>OK</v>
      </c>
      <c r="Y313" t="str">
        <f t="shared" si="33"/>
        <v>EMAIL (SMTP)</v>
      </c>
      <c r="Z313" t="str">
        <f t="shared" si="34"/>
        <v/>
      </c>
      <c r="AA313" t="str">
        <f t="shared" si="35"/>
        <v/>
      </c>
      <c r="AD313" t="str">
        <f t="shared" si="36"/>
        <v>PLAIN TEXT UPPERCASE</v>
      </c>
      <c r="AE313" t="str">
        <f t="shared" si="37"/>
        <v>JTL TRIP SUPPORT</v>
      </c>
      <c r="AF313" t="str">
        <f t="shared" si="38"/>
        <v>NO SENDING ADDRESS - ADD messaging_to_emails</v>
      </c>
      <c r="AG313" t="str">
        <f t="shared" si="39"/>
        <v>ASSIGNABLE</v>
      </c>
    </row>
    <row r="314" spans="1:33" x14ac:dyDescent="0.3">
      <c r="A314" t="s">
        <v>6812</v>
      </c>
      <c r="B314" t="s">
        <v>6813</v>
      </c>
      <c r="T314" t="s">
        <v>3830</v>
      </c>
      <c r="V314" t="s">
        <v>6279</v>
      </c>
      <c r="W314">
        <f>IF($A314="","",COUNTIF(Aircraft!$N:$N,$A314))</f>
        <v>1</v>
      </c>
      <c r="X314" t="str">
        <f t="shared" si="32"/>
        <v>OK</v>
      </c>
      <c r="Y314" t="str">
        <f t="shared" si="33"/>
        <v>EMAIL (SMTP)</v>
      </c>
      <c r="Z314" t="str">
        <f t="shared" si="34"/>
        <v/>
      </c>
      <c r="AA314" t="str">
        <f t="shared" si="35"/>
        <v/>
      </c>
      <c r="AD314" t="str">
        <f t="shared" si="36"/>
        <v>PLAIN TEXT UPPERCASE</v>
      </c>
      <c r="AE314" t="str">
        <f t="shared" si="37"/>
        <v>JTL TRIP SUPPORT</v>
      </c>
      <c r="AF314" t="str">
        <f t="shared" si="38"/>
        <v>NO SENDING ADDRESS - ADD messaging_to_emails</v>
      </c>
      <c r="AG314" t="str">
        <f t="shared" si="39"/>
        <v>ASSIGNABLE</v>
      </c>
    </row>
    <row r="315" spans="1:33" x14ac:dyDescent="0.3">
      <c r="A315" t="s">
        <v>6814</v>
      </c>
      <c r="B315" t="s">
        <v>6815</v>
      </c>
      <c r="T315" t="s">
        <v>3830</v>
      </c>
      <c r="V315" t="s">
        <v>6279</v>
      </c>
      <c r="W315">
        <f>IF($A315="","",COUNTIF(Aircraft!$N:$N,$A315))</f>
        <v>1</v>
      </c>
      <c r="X315" t="str">
        <f t="shared" si="32"/>
        <v>OK</v>
      </c>
      <c r="Y315" t="str">
        <f t="shared" si="33"/>
        <v>EMAIL (SMTP)</v>
      </c>
      <c r="Z315" t="str">
        <f t="shared" si="34"/>
        <v/>
      </c>
      <c r="AA315" t="str">
        <f t="shared" si="35"/>
        <v/>
      </c>
      <c r="AD315" t="str">
        <f t="shared" si="36"/>
        <v>PLAIN TEXT UPPERCASE</v>
      </c>
      <c r="AE315" t="str">
        <f t="shared" si="37"/>
        <v>JTL TRIP SUPPORT</v>
      </c>
      <c r="AF315" t="str">
        <f t="shared" si="38"/>
        <v>NO SENDING ADDRESS - ADD messaging_to_emails</v>
      </c>
      <c r="AG315" t="str">
        <f t="shared" si="39"/>
        <v>ASSIGNABLE</v>
      </c>
    </row>
    <row r="316" spans="1:33" x14ac:dyDescent="0.3">
      <c r="A316" t="s">
        <v>6816</v>
      </c>
      <c r="B316" t="s">
        <v>6817</v>
      </c>
      <c r="T316" t="s">
        <v>3830</v>
      </c>
      <c r="V316" t="s">
        <v>6279</v>
      </c>
      <c r="W316">
        <f>IF($A316="","",COUNTIF(Aircraft!$N:$N,$A316))</f>
        <v>1</v>
      </c>
      <c r="X316" t="str">
        <f t="shared" si="32"/>
        <v>OK</v>
      </c>
      <c r="Y316" t="str">
        <f t="shared" si="33"/>
        <v>EMAIL (SMTP)</v>
      </c>
      <c r="Z316" t="str">
        <f t="shared" si="34"/>
        <v/>
      </c>
      <c r="AA316" t="str">
        <f t="shared" si="35"/>
        <v/>
      </c>
      <c r="AD316" t="str">
        <f t="shared" si="36"/>
        <v>PLAIN TEXT UPPERCASE</v>
      </c>
      <c r="AE316" t="str">
        <f t="shared" si="37"/>
        <v>JTL TRIP SUPPORT</v>
      </c>
      <c r="AF316" t="str">
        <f t="shared" si="38"/>
        <v>NO SENDING ADDRESS - ADD messaging_to_emails</v>
      </c>
      <c r="AG316" t="str">
        <f t="shared" si="39"/>
        <v>ASSIGNABLE</v>
      </c>
    </row>
    <row r="317" spans="1:33" x14ac:dyDescent="0.3">
      <c r="A317" t="s">
        <v>6818</v>
      </c>
      <c r="B317" t="s">
        <v>6819</v>
      </c>
      <c r="T317" t="s">
        <v>3830</v>
      </c>
      <c r="V317" t="s">
        <v>6279</v>
      </c>
      <c r="W317">
        <f>IF($A317="","",COUNTIF(Aircraft!$N:$N,$A317))</f>
        <v>1</v>
      </c>
      <c r="X317" t="str">
        <f t="shared" si="32"/>
        <v>OK</v>
      </c>
      <c r="Y317" t="str">
        <f t="shared" si="33"/>
        <v>EMAIL (SMTP)</v>
      </c>
      <c r="Z317" t="str">
        <f t="shared" si="34"/>
        <v/>
      </c>
      <c r="AA317" t="str">
        <f t="shared" si="35"/>
        <v/>
      </c>
      <c r="AD317" t="str">
        <f t="shared" si="36"/>
        <v>PLAIN TEXT UPPERCASE</v>
      </c>
      <c r="AE317" t="str">
        <f t="shared" si="37"/>
        <v>JTL TRIP SUPPORT</v>
      </c>
      <c r="AF317" t="str">
        <f t="shared" si="38"/>
        <v>NO SENDING ADDRESS - ADD messaging_to_emails</v>
      </c>
      <c r="AG317" t="str">
        <f t="shared" si="39"/>
        <v>ASSIGNABLE</v>
      </c>
    </row>
    <row r="318" spans="1:33" x14ac:dyDescent="0.3">
      <c r="A318" t="s">
        <v>6820</v>
      </c>
      <c r="B318" t="s">
        <v>6821</v>
      </c>
      <c r="T318" t="s">
        <v>3830</v>
      </c>
      <c r="V318" t="s">
        <v>6279</v>
      </c>
      <c r="W318">
        <f>IF($A318="","",COUNTIF(Aircraft!$N:$N,$A318))</f>
        <v>1</v>
      </c>
      <c r="X318" t="str">
        <f t="shared" si="32"/>
        <v>OK</v>
      </c>
      <c r="Y318" t="str">
        <f t="shared" si="33"/>
        <v>EMAIL (SMTP)</v>
      </c>
      <c r="Z318" t="str">
        <f t="shared" si="34"/>
        <v/>
      </c>
      <c r="AA318" t="str">
        <f t="shared" si="35"/>
        <v/>
      </c>
      <c r="AD318" t="str">
        <f t="shared" si="36"/>
        <v>PLAIN TEXT UPPERCASE</v>
      </c>
      <c r="AE318" t="str">
        <f t="shared" si="37"/>
        <v>JTL TRIP SUPPORT</v>
      </c>
      <c r="AF318" t="str">
        <f t="shared" si="38"/>
        <v>NO SENDING ADDRESS - ADD messaging_to_emails</v>
      </c>
      <c r="AG318" t="str">
        <f t="shared" si="39"/>
        <v>ASSIGNABLE</v>
      </c>
    </row>
    <row r="319" spans="1:33" x14ac:dyDescent="0.3">
      <c r="A319" t="s">
        <v>6822</v>
      </c>
      <c r="B319" t="s">
        <v>6823</v>
      </c>
      <c r="T319" t="s">
        <v>3830</v>
      </c>
      <c r="V319" t="s">
        <v>6279</v>
      </c>
      <c r="W319">
        <f>IF($A319="","",COUNTIF(Aircraft!$N:$N,$A319))</f>
        <v>1</v>
      </c>
      <c r="X319" t="str">
        <f t="shared" si="32"/>
        <v>OK</v>
      </c>
      <c r="Y319" t="str">
        <f t="shared" si="33"/>
        <v>EMAIL (SMTP)</v>
      </c>
      <c r="Z319" t="str">
        <f t="shared" si="34"/>
        <v/>
      </c>
      <c r="AA319" t="str">
        <f t="shared" si="35"/>
        <v/>
      </c>
      <c r="AD319" t="str">
        <f t="shared" si="36"/>
        <v>PLAIN TEXT UPPERCASE</v>
      </c>
      <c r="AE319" t="str">
        <f t="shared" si="37"/>
        <v>JTL TRIP SUPPORT</v>
      </c>
      <c r="AF319" t="str">
        <f t="shared" si="38"/>
        <v>NO SENDING ADDRESS - ADD messaging_to_emails</v>
      </c>
      <c r="AG319" t="str">
        <f t="shared" si="39"/>
        <v>ASSIGNABLE</v>
      </c>
    </row>
    <row r="320" spans="1:33" x14ac:dyDescent="0.3">
      <c r="A320" t="s">
        <v>6824</v>
      </c>
      <c r="B320" t="s">
        <v>6825</v>
      </c>
      <c r="T320" t="s">
        <v>3830</v>
      </c>
      <c r="V320" t="s">
        <v>6279</v>
      </c>
      <c r="W320">
        <f>IF($A320="","",COUNTIF(Aircraft!$N:$N,$A320))</f>
        <v>1</v>
      </c>
      <c r="X320" t="str">
        <f t="shared" si="32"/>
        <v>OK</v>
      </c>
      <c r="Y320" t="str">
        <f t="shared" si="33"/>
        <v>EMAIL (SMTP)</v>
      </c>
      <c r="Z320" t="str">
        <f t="shared" si="34"/>
        <v/>
      </c>
      <c r="AA320" t="str">
        <f t="shared" si="35"/>
        <v/>
      </c>
      <c r="AD320" t="str">
        <f t="shared" si="36"/>
        <v>PLAIN TEXT UPPERCASE</v>
      </c>
      <c r="AE320" t="str">
        <f t="shared" si="37"/>
        <v>JTL TRIP SUPPORT</v>
      </c>
      <c r="AF320" t="str">
        <f t="shared" si="38"/>
        <v>NO SENDING ADDRESS - ADD messaging_to_emails</v>
      </c>
      <c r="AG320" t="str">
        <f t="shared" si="39"/>
        <v>ASSIGNABLE</v>
      </c>
    </row>
    <row r="321" spans="1:33" x14ac:dyDescent="0.3">
      <c r="A321" t="s">
        <v>6826</v>
      </c>
      <c r="B321" t="s">
        <v>6827</v>
      </c>
      <c r="T321" t="s">
        <v>3830</v>
      </c>
      <c r="V321" t="s">
        <v>6279</v>
      </c>
      <c r="W321">
        <f>IF($A321="","",COUNTIF(Aircraft!$N:$N,$A321))</f>
        <v>1</v>
      </c>
      <c r="X321" t="str">
        <f t="shared" si="32"/>
        <v>OK</v>
      </c>
      <c r="Y321" t="str">
        <f t="shared" si="33"/>
        <v>EMAIL (SMTP)</v>
      </c>
      <c r="Z321" t="str">
        <f t="shared" si="34"/>
        <v/>
      </c>
      <c r="AA321" t="str">
        <f t="shared" si="35"/>
        <v/>
      </c>
      <c r="AD321" t="str">
        <f t="shared" si="36"/>
        <v>PLAIN TEXT UPPERCASE</v>
      </c>
      <c r="AE321" t="str">
        <f t="shared" si="37"/>
        <v>JTL TRIP SUPPORT</v>
      </c>
      <c r="AF321" t="str">
        <f t="shared" si="38"/>
        <v>NO SENDING ADDRESS - ADD messaging_to_emails</v>
      </c>
      <c r="AG321" t="str">
        <f t="shared" si="39"/>
        <v>ASSIGNABLE</v>
      </c>
    </row>
    <row r="322" spans="1:33" x14ac:dyDescent="0.3">
      <c r="A322" t="s">
        <v>6828</v>
      </c>
      <c r="B322" t="s">
        <v>6829</v>
      </c>
      <c r="T322" t="s">
        <v>3830</v>
      </c>
      <c r="V322" t="s">
        <v>6279</v>
      </c>
      <c r="W322">
        <f>IF($A322="","",COUNTIF(Aircraft!$N:$N,$A322))</f>
        <v>1</v>
      </c>
      <c r="X322" t="str">
        <f t="shared" si="32"/>
        <v>OK</v>
      </c>
      <c r="Y322" t="str">
        <f t="shared" si="33"/>
        <v>EMAIL (SMTP)</v>
      </c>
      <c r="Z322" t="str">
        <f t="shared" si="34"/>
        <v/>
      </c>
      <c r="AA322" t="str">
        <f t="shared" si="35"/>
        <v/>
      </c>
      <c r="AD322" t="str">
        <f t="shared" si="36"/>
        <v>PLAIN TEXT UPPERCASE</v>
      </c>
      <c r="AE322" t="str">
        <f t="shared" si="37"/>
        <v>JTL TRIP SUPPORT</v>
      </c>
      <c r="AF322" t="str">
        <f t="shared" si="38"/>
        <v>NO SENDING ADDRESS - ADD messaging_to_emails</v>
      </c>
      <c r="AG322" t="str">
        <f t="shared" si="39"/>
        <v>ASSIGNABLE</v>
      </c>
    </row>
    <row r="323" spans="1:33" x14ac:dyDescent="0.3">
      <c r="A323" t="s">
        <v>6830</v>
      </c>
      <c r="B323" t="s">
        <v>6831</v>
      </c>
      <c r="T323" t="s">
        <v>3830</v>
      </c>
      <c r="V323" t="s">
        <v>6279</v>
      </c>
      <c r="W323">
        <f>IF($A323="","",COUNTIF(Aircraft!$N:$N,$A323))</f>
        <v>1</v>
      </c>
      <c r="X323" t="str">
        <f t="shared" ref="X323:X386" si="40">IF($A323="","",IF($B323="","NAME REQUIRED",IF($W323=0,"NO AIRCRAFT LINKED","OK")))</f>
        <v>OK</v>
      </c>
      <c r="Y323" t="str">
        <f t="shared" ref="Y323:Y386" si="41">IF($A323="","","EMAIL (SMTP)")</f>
        <v>EMAIL (SMTP)</v>
      </c>
      <c r="Z323" t="str">
        <f t="shared" ref="Z323:Z386" si="42">IF($A323="","",IF($N323&lt;&gt;"",$N323,IF($L323&lt;&gt;"",$L323,"")))</f>
        <v/>
      </c>
      <c r="AA323" t="str">
        <f t="shared" ref="AA323:AA386" si="43">IF($A323="","",IF($O323&lt;&gt;"",$O323,""))</f>
        <v/>
      </c>
      <c r="AD323" t="str">
        <f t="shared" ref="AD323:AD386" si="44">IF($A323="","","PLAIN TEXT UPPERCASE")</f>
        <v>PLAIN TEXT UPPERCASE</v>
      </c>
      <c r="AE323" t="str">
        <f t="shared" ref="AE323:AE386" si="45">IF($A323="","","JTL TRIP SUPPORT")</f>
        <v>JTL TRIP SUPPORT</v>
      </c>
      <c r="AF323" t="str">
        <f t="shared" ref="AF323:AF386" si="46">IF($A323="","",IF($Y323="EMAIL (SMTP)",IF($Z323="","NO SENDING ADDRESS - ADD messaging_to_emails","OK"),IF(AND($AB323="",$AC323=""),"CHANNEL SET BUT NO SITA/AFTN ADDRESS","OK")))</f>
        <v>NO SENDING ADDRESS - ADD messaging_to_emails</v>
      </c>
      <c r="AG323" t="str">
        <f t="shared" ref="AG323:AG386" si="47">IF($A323="","",IF(TRIM($B323)="","BLOCKED - OPERATOR NAME REQUIRED",IF(UPPER($T323)="INACTIVE","BLOCKED - INACTIVE","ASSIGNABLE")))</f>
        <v>ASSIGNABLE</v>
      </c>
    </row>
    <row r="324" spans="1:33" x14ac:dyDescent="0.3">
      <c r="A324" t="s">
        <v>6832</v>
      </c>
      <c r="B324" t="s">
        <v>6833</v>
      </c>
      <c r="T324" t="s">
        <v>3830</v>
      </c>
      <c r="V324" t="s">
        <v>6279</v>
      </c>
      <c r="W324">
        <f>IF($A324="","",COUNTIF(Aircraft!$N:$N,$A324))</f>
        <v>1</v>
      </c>
      <c r="X324" t="str">
        <f t="shared" si="40"/>
        <v>OK</v>
      </c>
      <c r="Y324" t="str">
        <f t="shared" si="41"/>
        <v>EMAIL (SMTP)</v>
      </c>
      <c r="Z324" t="str">
        <f t="shared" si="42"/>
        <v/>
      </c>
      <c r="AA324" t="str">
        <f t="shared" si="43"/>
        <v/>
      </c>
      <c r="AD324" t="str">
        <f t="shared" si="44"/>
        <v>PLAIN TEXT UPPERCASE</v>
      </c>
      <c r="AE324" t="str">
        <f t="shared" si="45"/>
        <v>JTL TRIP SUPPORT</v>
      </c>
      <c r="AF324" t="str">
        <f t="shared" si="46"/>
        <v>NO SENDING ADDRESS - ADD messaging_to_emails</v>
      </c>
      <c r="AG324" t="str">
        <f t="shared" si="47"/>
        <v>ASSIGNABLE</v>
      </c>
    </row>
    <row r="325" spans="1:33" x14ac:dyDescent="0.3">
      <c r="A325" t="s">
        <v>6834</v>
      </c>
      <c r="B325" t="s">
        <v>6835</v>
      </c>
      <c r="T325" t="s">
        <v>3830</v>
      </c>
      <c r="V325" t="s">
        <v>6279</v>
      </c>
      <c r="W325">
        <f>IF($A325="","",COUNTIF(Aircraft!$N:$N,$A325))</f>
        <v>1</v>
      </c>
      <c r="X325" t="str">
        <f t="shared" si="40"/>
        <v>OK</v>
      </c>
      <c r="Y325" t="str">
        <f t="shared" si="41"/>
        <v>EMAIL (SMTP)</v>
      </c>
      <c r="Z325" t="str">
        <f t="shared" si="42"/>
        <v/>
      </c>
      <c r="AA325" t="str">
        <f t="shared" si="43"/>
        <v/>
      </c>
      <c r="AD325" t="str">
        <f t="shared" si="44"/>
        <v>PLAIN TEXT UPPERCASE</v>
      </c>
      <c r="AE325" t="str">
        <f t="shared" si="45"/>
        <v>JTL TRIP SUPPORT</v>
      </c>
      <c r="AF325" t="str">
        <f t="shared" si="46"/>
        <v>NO SENDING ADDRESS - ADD messaging_to_emails</v>
      </c>
      <c r="AG325" t="str">
        <f t="shared" si="47"/>
        <v>ASSIGNABLE</v>
      </c>
    </row>
    <row r="326" spans="1:33" x14ac:dyDescent="0.3">
      <c r="A326" t="s">
        <v>6836</v>
      </c>
      <c r="B326" t="s">
        <v>6837</v>
      </c>
      <c r="T326" t="s">
        <v>3830</v>
      </c>
      <c r="V326" t="s">
        <v>6279</v>
      </c>
      <c r="W326">
        <f>IF($A326="","",COUNTIF(Aircraft!$N:$N,$A326))</f>
        <v>1</v>
      </c>
      <c r="X326" t="str">
        <f t="shared" si="40"/>
        <v>OK</v>
      </c>
      <c r="Y326" t="str">
        <f t="shared" si="41"/>
        <v>EMAIL (SMTP)</v>
      </c>
      <c r="Z326" t="str">
        <f t="shared" si="42"/>
        <v/>
      </c>
      <c r="AA326" t="str">
        <f t="shared" si="43"/>
        <v/>
      </c>
      <c r="AD326" t="str">
        <f t="shared" si="44"/>
        <v>PLAIN TEXT UPPERCASE</v>
      </c>
      <c r="AE326" t="str">
        <f t="shared" si="45"/>
        <v>JTL TRIP SUPPORT</v>
      </c>
      <c r="AF326" t="str">
        <f t="shared" si="46"/>
        <v>NO SENDING ADDRESS - ADD messaging_to_emails</v>
      </c>
      <c r="AG326" t="str">
        <f t="shared" si="47"/>
        <v>ASSIGNABLE</v>
      </c>
    </row>
    <row r="327" spans="1:33" x14ac:dyDescent="0.3">
      <c r="A327" t="s">
        <v>6838</v>
      </c>
      <c r="B327" t="s">
        <v>6839</v>
      </c>
      <c r="T327" t="s">
        <v>3830</v>
      </c>
      <c r="V327" t="s">
        <v>6279</v>
      </c>
      <c r="W327">
        <f>IF($A327="","",COUNTIF(Aircraft!$N:$N,$A327))</f>
        <v>1</v>
      </c>
      <c r="X327" t="str">
        <f t="shared" si="40"/>
        <v>OK</v>
      </c>
      <c r="Y327" t="str">
        <f t="shared" si="41"/>
        <v>EMAIL (SMTP)</v>
      </c>
      <c r="Z327" t="str">
        <f t="shared" si="42"/>
        <v/>
      </c>
      <c r="AA327" t="str">
        <f t="shared" si="43"/>
        <v/>
      </c>
      <c r="AD327" t="str">
        <f t="shared" si="44"/>
        <v>PLAIN TEXT UPPERCASE</v>
      </c>
      <c r="AE327" t="str">
        <f t="shared" si="45"/>
        <v>JTL TRIP SUPPORT</v>
      </c>
      <c r="AF327" t="str">
        <f t="shared" si="46"/>
        <v>NO SENDING ADDRESS - ADD messaging_to_emails</v>
      </c>
      <c r="AG327" t="str">
        <f t="shared" si="47"/>
        <v>ASSIGNABLE</v>
      </c>
    </row>
    <row r="328" spans="1:33" x14ac:dyDescent="0.3">
      <c r="A328" t="s">
        <v>6840</v>
      </c>
      <c r="B328" t="s">
        <v>6841</v>
      </c>
      <c r="T328" t="s">
        <v>3830</v>
      </c>
      <c r="V328" t="s">
        <v>6279</v>
      </c>
      <c r="W328">
        <f>IF($A328="","",COUNTIF(Aircraft!$N:$N,$A328))</f>
        <v>1</v>
      </c>
      <c r="X328" t="str">
        <f t="shared" si="40"/>
        <v>OK</v>
      </c>
      <c r="Y328" t="str">
        <f t="shared" si="41"/>
        <v>EMAIL (SMTP)</v>
      </c>
      <c r="Z328" t="str">
        <f t="shared" si="42"/>
        <v/>
      </c>
      <c r="AA328" t="str">
        <f t="shared" si="43"/>
        <v/>
      </c>
      <c r="AD328" t="str">
        <f t="shared" si="44"/>
        <v>PLAIN TEXT UPPERCASE</v>
      </c>
      <c r="AE328" t="str">
        <f t="shared" si="45"/>
        <v>JTL TRIP SUPPORT</v>
      </c>
      <c r="AF328" t="str">
        <f t="shared" si="46"/>
        <v>NO SENDING ADDRESS - ADD messaging_to_emails</v>
      </c>
      <c r="AG328" t="str">
        <f t="shared" si="47"/>
        <v>ASSIGNABLE</v>
      </c>
    </row>
    <row r="329" spans="1:33" x14ac:dyDescent="0.3">
      <c r="A329" t="s">
        <v>6842</v>
      </c>
      <c r="B329" t="s">
        <v>6843</v>
      </c>
      <c r="T329" t="s">
        <v>3830</v>
      </c>
      <c r="V329" t="s">
        <v>6279</v>
      </c>
      <c r="W329">
        <f>IF($A329="","",COUNTIF(Aircraft!$N:$N,$A329))</f>
        <v>3</v>
      </c>
      <c r="X329" t="str">
        <f t="shared" si="40"/>
        <v>OK</v>
      </c>
      <c r="Y329" t="str">
        <f t="shared" si="41"/>
        <v>EMAIL (SMTP)</v>
      </c>
      <c r="Z329" t="str">
        <f t="shared" si="42"/>
        <v/>
      </c>
      <c r="AA329" t="str">
        <f t="shared" si="43"/>
        <v/>
      </c>
      <c r="AD329" t="str">
        <f t="shared" si="44"/>
        <v>PLAIN TEXT UPPERCASE</v>
      </c>
      <c r="AE329" t="str">
        <f t="shared" si="45"/>
        <v>JTL TRIP SUPPORT</v>
      </c>
      <c r="AF329" t="str">
        <f t="shared" si="46"/>
        <v>NO SENDING ADDRESS - ADD messaging_to_emails</v>
      </c>
      <c r="AG329" t="str">
        <f t="shared" si="47"/>
        <v>ASSIGNABLE</v>
      </c>
    </row>
    <row r="330" spans="1:33" x14ac:dyDescent="0.3">
      <c r="A330" t="s">
        <v>6844</v>
      </c>
      <c r="B330" t="s">
        <v>6845</v>
      </c>
      <c r="T330" t="s">
        <v>3830</v>
      </c>
      <c r="V330" t="s">
        <v>6279</v>
      </c>
      <c r="W330">
        <f>IF($A330="","",COUNTIF(Aircraft!$N:$N,$A330))</f>
        <v>1</v>
      </c>
      <c r="X330" t="str">
        <f t="shared" si="40"/>
        <v>OK</v>
      </c>
      <c r="Y330" t="str">
        <f t="shared" si="41"/>
        <v>EMAIL (SMTP)</v>
      </c>
      <c r="Z330" t="str">
        <f t="shared" si="42"/>
        <v/>
      </c>
      <c r="AA330" t="str">
        <f t="shared" si="43"/>
        <v/>
      </c>
      <c r="AD330" t="str">
        <f t="shared" si="44"/>
        <v>PLAIN TEXT UPPERCASE</v>
      </c>
      <c r="AE330" t="str">
        <f t="shared" si="45"/>
        <v>JTL TRIP SUPPORT</v>
      </c>
      <c r="AF330" t="str">
        <f t="shared" si="46"/>
        <v>NO SENDING ADDRESS - ADD messaging_to_emails</v>
      </c>
      <c r="AG330" t="str">
        <f t="shared" si="47"/>
        <v>ASSIGNABLE</v>
      </c>
    </row>
    <row r="331" spans="1:33" x14ac:dyDescent="0.3">
      <c r="A331" t="s">
        <v>6846</v>
      </c>
      <c r="B331" t="s">
        <v>6847</v>
      </c>
      <c r="T331" t="s">
        <v>3830</v>
      </c>
      <c r="V331" t="s">
        <v>6279</v>
      </c>
      <c r="W331">
        <f>IF($A331="","",COUNTIF(Aircraft!$N:$N,$A331))</f>
        <v>1</v>
      </c>
      <c r="X331" t="str">
        <f t="shared" si="40"/>
        <v>OK</v>
      </c>
      <c r="Y331" t="str">
        <f t="shared" si="41"/>
        <v>EMAIL (SMTP)</v>
      </c>
      <c r="Z331" t="str">
        <f t="shared" si="42"/>
        <v/>
      </c>
      <c r="AA331" t="str">
        <f t="shared" si="43"/>
        <v/>
      </c>
      <c r="AD331" t="str">
        <f t="shared" si="44"/>
        <v>PLAIN TEXT UPPERCASE</v>
      </c>
      <c r="AE331" t="str">
        <f t="shared" si="45"/>
        <v>JTL TRIP SUPPORT</v>
      </c>
      <c r="AF331" t="str">
        <f t="shared" si="46"/>
        <v>NO SENDING ADDRESS - ADD messaging_to_emails</v>
      </c>
      <c r="AG331" t="str">
        <f t="shared" si="47"/>
        <v>ASSIGNABLE</v>
      </c>
    </row>
    <row r="332" spans="1:33" x14ac:dyDescent="0.3">
      <c r="A332" t="s">
        <v>6848</v>
      </c>
      <c r="B332" t="s">
        <v>6849</v>
      </c>
      <c r="T332" t="s">
        <v>3830</v>
      </c>
      <c r="V332" t="s">
        <v>6279</v>
      </c>
      <c r="W332">
        <f>IF($A332="","",COUNTIF(Aircraft!$N:$N,$A332))</f>
        <v>1</v>
      </c>
      <c r="X332" t="str">
        <f t="shared" si="40"/>
        <v>OK</v>
      </c>
      <c r="Y332" t="str">
        <f t="shared" si="41"/>
        <v>EMAIL (SMTP)</v>
      </c>
      <c r="Z332" t="str">
        <f t="shared" si="42"/>
        <v/>
      </c>
      <c r="AA332" t="str">
        <f t="shared" si="43"/>
        <v/>
      </c>
      <c r="AD332" t="str">
        <f t="shared" si="44"/>
        <v>PLAIN TEXT UPPERCASE</v>
      </c>
      <c r="AE332" t="str">
        <f t="shared" si="45"/>
        <v>JTL TRIP SUPPORT</v>
      </c>
      <c r="AF332" t="str">
        <f t="shared" si="46"/>
        <v>NO SENDING ADDRESS - ADD messaging_to_emails</v>
      </c>
      <c r="AG332" t="str">
        <f t="shared" si="47"/>
        <v>ASSIGNABLE</v>
      </c>
    </row>
    <row r="333" spans="1:33" x14ac:dyDescent="0.3">
      <c r="A333" t="s">
        <v>6850</v>
      </c>
      <c r="B333" t="s">
        <v>6851</v>
      </c>
      <c r="T333" t="s">
        <v>3830</v>
      </c>
      <c r="V333" t="s">
        <v>6279</v>
      </c>
      <c r="W333">
        <f>IF($A333="","",COUNTIF(Aircraft!$N:$N,$A333))</f>
        <v>1</v>
      </c>
      <c r="X333" t="str">
        <f t="shared" si="40"/>
        <v>OK</v>
      </c>
      <c r="Y333" t="str">
        <f t="shared" si="41"/>
        <v>EMAIL (SMTP)</v>
      </c>
      <c r="Z333" t="str">
        <f t="shared" si="42"/>
        <v/>
      </c>
      <c r="AA333" t="str">
        <f t="shared" si="43"/>
        <v/>
      </c>
      <c r="AD333" t="str">
        <f t="shared" si="44"/>
        <v>PLAIN TEXT UPPERCASE</v>
      </c>
      <c r="AE333" t="str">
        <f t="shared" si="45"/>
        <v>JTL TRIP SUPPORT</v>
      </c>
      <c r="AF333" t="str">
        <f t="shared" si="46"/>
        <v>NO SENDING ADDRESS - ADD messaging_to_emails</v>
      </c>
      <c r="AG333" t="str">
        <f t="shared" si="47"/>
        <v>ASSIGNABLE</v>
      </c>
    </row>
    <row r="334" spans="1:33" x14ac:dyDescent="0.3">
      <c r="A334" t="s">
        <v>6852</v>
      </c>
      <c r="B334" t="s">
        <v>6853</v>
      </c>
      <c r="T334" t="s">
        <v>3830</v>
      </c>
      <c r="V334" t="s">
        <v>6279</v>
      </c>
      <c r="W334">
        <f>IF($A334="","",COUNTIF(Aircraft!$N:$N,$A334))</f>
        <v>1</v>
      </c>
      <c r="X334" t="str">
        <f t="shared" si="40"/>
        <v>OK</v>
      </c>
      <c r="Y334" t="str">
        <f t="shared" si="41"/>
        <v>EMAIL (SMTP)</v>
      </c>
      <c r="Z334" t="str">
        <f t="shared" si="42"/>
        <v/>
      </c>
      <c r="AA334" t="str">
        <f t="shared" si="43"/>
        <v/>
      </c>
      <c r="AD334" t="str">
        <f t="shared" si="44"/>
        <v>PLAIN TEXT UPPERCASE</v>
      </c>
      <c r="AE334" t="str">
        <f t="shared" si="45"/>
        <v>JTL TRIP SUPPORT</v>
      </c>
      <c r="AF334" t="str">
        <f t="shared" si="46"/>
        <v>NO SENDING ADDRESS - ADD messaging_to_emails</v>
      </c>
      <c r="AG334" t="str">
        <f t="shared" si="47"/>
        <v>ASSIGNABLE</v>
      </c>
    </row>
    <row r="335" spans="1:33" x14ac:dyDescent="0.3">
      <c r="A335" t="s">
        <v>6854</v>
      </c>
      <c r="B335" t="s">
        <v>6855</v>
      </c>
      <c r="T335" t="s">
        <v>3830</v>
      </c>
      <c r="V335" t="s">
        <v>6279</v>
      </c>
      <c r="W335">
        <f>IF($A335="","",COUNTIF(Aircraft!$N:$N,$A335))</f>
        <v>3</v>
      </c>
      <c r="X335" t="str">
        <f t="shared" si="40"/>
        <v>OK</v>
      </c>
      <c r="Y335" t="str">
        <f t="shared" si="41"/>
        <v>EMAIL (SMTP)</v>
      </c>
      <c r="Z335" t="str">
        <f t="shared" si="42"/>
        <v/>
      </c>
      <c r="AA335" t="str">
        <f t="shared" si="43"/>
        <v/>
      </c>
      <c r="AD335" t="str">
        <f t="shared" si="44"/>
        <v>PLAIN TEXT UPPERCASE</v>
      </c>
      <c r="AE335" t="str">
        <f t="shared" si="45"/>
        <v>JTL TRIP SUPPORT</v>
      </c>
      <c r="AF335" t="str">
        <f t="shared" si="46"/>
        <v>NO SENDING ADDRESS - ADD messaging_to_emails</v>
      </c>
      <c r="AG335" t="str">
        <f t="shared" si="47"/>
        <v>ASSIGNABLE</v>
      </c>
    </row>
    <row r="336" spans="1:33" x14ac:dyDescent="0.3">
      <c r="A336" t="s">
        <v>6856</v>
      </c>
      <c r="B336" t="s">
        <v>6857</v>
      </c>
      <c r="T336" t="s">
        <v>3830</v>
      </c>
      <c r="V336" t="s">
        <v>6279</v>
      </c>
      <c r="W336">
        <f>IF($A336="","",COUNTIF(Aircraft!$N:$N,$A336))</f>
        <v>1</v>
      </c>
      <c r="X336" t="str">
        <f t="shared" si="40"/>
        <v>OK</v>
      </c>
      <c r="Y336" t="str">
        <f t="shared" si="41"/>
        <v>EMAIL (SMTP)</v>
      </c>
      <c r="Z336" t="str">
        <f t="shared" si="42"/>
        <v/>
      </c>
      <c r="AA336" t="str">
        <f t="shared" si="43"/>
        <v/>
      </c>
      <c r="AD336" t="str">
        <f t="shared" si="44"/>
        <v>PLAIN TEXT UPPERCASE</v>
      </c>
      <c r="AE336" t="str">
        <f t="shared" si="45"/>
        <v>JTL TRIP SUPPORT</v>
      </c>
      <c r="AF336" t="str">
        <f t="shared" si="46"/>
        <v>NO SENDING ADDRESS - ADD messaging_to_emails</v>
      </c>
      <c r="AG336" t="str">
        <f t="shared" si="47"/>
        <v>ASSIGNABLE</v>
      </c>
    </row>
    <row r="337" spans="1:33" x14ac:dyDescent="0.3">
      <c r="A337" t="s">
        <v>6858</v>
      </c>
      <c r="B337" t="s">
        <v>6859</v>
      </c>
      <c r="T337" t="s">
        <v>3830</v>
      </c>
      <c r="V337" t="s">
        <v>6279</v>
      </c>
      <c r="W337">
        <f>IF($A337="","",COUNTIF(Aircraft!$N:$N,$A337))</f>
        <v>1</v>
      </c>
      <c r="X337" t="str">
        <f t="shared" si="40"/>
        <v>OK</v>
      </c>
      <c r="Y337" t="str">
        <f t="shared" si="41"/>
        <v>EMAIL (SMTP)</v>
      </c>
      <c r="Z337" t="str">
        <f t="shared" si="42"/>
        <v/>
      </c>
      <c r="AA337" t="str">
        <f t="shared" si="43"/>
        <v/>
      </c>
      <c r="AD337" t="str">
        <f t="shared" si="44"/>
        <v>PLAIN TEXT UPPERCASE</v>
      </c>
      <c r="AE337" t="str">
        <f t="shared" si="45"/>
        <v>JTL TRIP SUPPORT</v>
      </c>
      <c r="AF337" t="str">
        <f t="shared" si="46"/>
        <v>NO SENDING ADDRESS - ADD messaging_to_emails</v>
      </c>
      <c r="AG337" t="str">
        <f t="shared" si="47"/>
        <v>ASSIGNABLE</v>
      </c>
    </row>
    <row r="338" spans="1:33" x14ac:dyDescent="0.3">
      <c r="A338" t="s">
        <v>6860</v>
      </c>
      <c r="B338" t="s">
        <v>6861</v>
      </c>
      <c r="T338" t="s">
        <v>3830</v>
      </c>
      <c r="V338" t="s">
        <v>6279</v>
      </c>
      <c r="W338">
        <f>IF($A338="","",COUNTIF(Aircraft!$N:$N,$A338))</f>
        <v>1</v>
      </c>
      <c r="X338" t="str">
        <f t="shared" si="40"/>
        <v>OK</v>
      </c>
      <c r="Y338" t="str">
        <f t="shared" si="41"/>
        <v>EMAIL (SMTP)</v>
      </c>
      <c r="Z338" t="str">
        <f t="shared" si="42"/>
        <v/>
      </c>
      <c r="AA338" t="str">
        <f t="shared" si="43"/>
        <v/>
      </c>
      <c r="AD338" t="str">
        <f t="shared" si="44"/>
        <v>PLAIN TEXT UPPERCASE</v>
      </c>
      <c r="AE338" t="str">
        <f t="shared" si="45"/>
        <v>JTL TRIP SUPPORT</v>
      </c>
      <c r="AF338" t="str">
        <f t="shared" si="46"/>
        <v>NO SENDING ADDRESS - ADD messaging_to_emails</v>
      </c>
      <c r="AG338" t="str">
        <f t="shared" si="47"/>
        <v>ASSIGNABLE</v>
      </c>
    </row>
    <row r="339" spans="1:33" x14ac:dyDescent="0.3">
      <c r="A339" t="s">
        <v>6862</v>
      </c>
      <c r="B339" t="s">
        <v>6863</v>
      </c>
      <c r="T339" t="s">
        <v>3830</v>
      </c>
      <c r="V339" t="s">
        <v>6279</v>
      </c>
      <c r="W339">
        <f>IF($A339="","",COUNTIF(Aircraft!$N:$N,$A339))</f>
        <v>1</v>
      </c>
      <c r="X339" t="str">
        <f t="shared" si="40"/>
        <v>OK</v>
      </c>
      <c r="Y339" t="str">
        <f t="shared" si="41"/>
        <v>EMAIL (SMTP)</v>
      </c>
      <c r="Z339" t="str">
        <f t="shared" si="42"/>
        <v/>
      </c>
      <c r="AA339" t="str">
        <f t="shared" si="43"/>
        <v/>
      </c>
      <c r="AD339" t="str">
        <f t="shared" si="44"/>
        <v>PLAIN TEXT UPPERCASE</v>
      </c>
      <c r="AE339" t="str">
        <f t="shared" si="45"/>
        <v>JTL TRIP SUPPORT</v>
      </c>
      <c r="AF339" t="str">
        <f t="shared" si="46"/>
        <v>NO SENDING ADDRESS - ADD messaging_to_emails</v>
      </c>
      <c r="AG339" t="str">
        <f t="shared" si="47"/>
        <v>ASSIGNABLE</v>
      </c>
    </row>
    <row r="340" spans="1:33" x14ac:dyDescent="0.3">
      <c r="A340" t="s">
        <v>6864</v>
      </c>
      <c r="B340" t="s">
        <v>6865</v>
      </c>
      <c r="T340" t="s">
        <v>3830</v>
      </c>
      <c r="V340" t="s">
        <v>6279</v>
      </c>
      <c r="W340">
        <f>IF($A340="","",COUNTIF(Aircraft!$N:$N,$A340))</f>
        <v>1</v>
      </c>
      <c r="X340" t="str">
        <f t="shared" si="40"/>
        <v>OK</v>
      </c>
      <c r="Y340" t="str">
        <f t="shared" si="41"/>
        <v>EMAIL (SMTP)</v>
      </c>
      <c r="Z340" t="str">
        <f t="shared" si="42"/>
        <v/>
      </c>
      <c r="AA340" t="str">
        <f t="shared" si="43"/>
        <v/>
      </c>
      <c r="AD340" t="str">
        <f t="shared" si="44"/>
        <v>PLAIN TEXT UPPERCASE</v>
      </c>
      <c r="AE340" t="str">
        <f t="shared" si="45"/>
        <v>JTL TRIP SUPPORT</v>
      </c>
      <c r="AF340" t="str">
        <f t="shared" si="46"/>
        <v>NO SENDING ADDRESS - ADD messaging_to_emails</v>
      </c>
      <c r="AG340" t="str">
        <f t="shared" si="47"/>
        <v>ASSIGNABLE</v>
      </c>
    </row>
    <row r="341" spans="1:33" x14ac:dyDescent="0.3">
      <c r="A341" t="s">
        <v>6866</v>
      </c>
      <c r="B341" t="s">
        <v>6867</v>
      </c>
      <c r="T341" t="s">
        <v>3830</v>
      </c>
      <c r="V341" t="s">
        <v>6279</v>
      </c>
      <c r="W341">
        <f>IF($A341="","",COUNTIF(Aircraft!$N:$N,$A341))</f>
        <v>1</v>
      </c>
      <c r="X341" t="str">
        <f t="shared" si="40"/>
        <v>OK</v>
      </c>
      <c r="Y341" t="str">
        <f t="shared" si="41"/>
        <v>EMAIL (SMTP)</v>
      </c>
      <c r="Z341" t="str">
        <f t="shared" si="42"/>
        <v/>
      </c>
      <c r="AA341" t="str">
        <f t="shared" si="43"/>
        <v/>
      </c>
      <c r="AD341" t="str">
        <f t="shared" si="44"/>
        <v>PLAIN TEXT UPPERCASE</v>
      </c>
      <c r="AE341" t="str">
        <f t="shared" si="45"/>
        <v>JTL TRIP SUPPORT</v>
      </c>
      <c r="AF341" t="str">
        <f t="shared" si="46"/>
        <v>NO SENDING ADDRESS - ADD messaging_to_emails</v>
      </c>
      <c r="AG341" t="str">
        <f t="shared" si="47"/>
        <v>ASSIGNABLE</v>
      </c>
    </row>
    <row r="342" spans="1:33" x14ac:dyDescent="0.3">
      <c r="A342" t="s">
        <v>6868</v>
      </c>
      <c r="B342" t="s">
        <v>6869</v>
      </c>
      <c r="T342" t="s">
        <v>3830</v>
      </c>
      <c r="V342" t="s">
        <v>6279</v>
      </c>
      <c r="W342">
        <f>IF($A342="","",COUNTIF(Aircraft!$N:$N,$A342))</f>
        <v>2</v>
      </c>
      <c r="X342" t="str">
        <f t="shared" si="40"/>
        <v>OK</v>
      </c>
      <c r="Y342" t="str">
        <f t="shared" si="41"/>
        <v>EMAIL (SMTP)</v>
      </c>
      <c r="Z342" t="str">
        <f t="shared" si="42"/>
        <v/>
      </c>
      <c r="AA342" t="str">
        <f t="shared" si="43"/>
        <v/>
      </c>
      <c r="AD342" t="str">
        <f t="shared" si="44"/>
        <v>PLAIN TEXT UPPERCASE</v>
      </c>
      <c r="AE342" t="str">
        <f t="shared" si="45"/>
        <v>JTL TRIP SUPPORT</v>
      </c>
      <c r="AF342" t="str">
        <f t="shared" si="46"/>
        <v>NO SENDING ADDRESS - ADD messaging_to_emails</v>
      </c>
      <c r="AG342" t="str">
        <f t="shared" si="47"/>
        <v>ASSIGNABLE</v>
      </c>
    </row>
    <row r="343" spans="1:33" x14ac:dyDescent="0.3">
      <c r="A343" t="s">
        <v>6870</v>
      </c>
      <c r="B343" t="s">
        <v>6871</v>
      </c>
      <c r="T343" t="s">
        <v>3830</v>
      </c>
      <c r="V343" t="s">
        <v>6279</v>
      </c>
      <c r="W343">
        <f>IF($A343="","",COUNTIF(Aircraft!$N:$N,$A343))</f>
        <v>1</v>
      </c>
      <c r="X343" t="str">
        <f t="shared" si="40"/>
        <v>OK</v>
      </c>
      <c r="Y343" t="str">
        <f t="shared" si="41"/>
        <v>EMAIL (SMTP)</v>
      </c>
      <c r="Z343" t="str">
        <f t="shared" si="42"/>
        <v/>
      </c>
      <c r="AA343" t="str">
        <f t="shared" si="43"/>
        <v/>
      </c>
      <c r="AD343" t="str">
        <f t="shared" si="44"/>
        <v>PLAIN TEXT UPPERCASE</v>
      </c>
      <c r="AE343" t="str">
        <f t="shared" si="45"/>
        <v>JTL TRIP SUPPORT</v>
      </c>
      <c r="AF343" t="str">
        <f t="shared" si="46"/>
        <v>NO SENDING ADDRESS - ADD messaging_to_emails</v>
      </c>
      <c r="AG343" t="str">
        <f t="shared" si="47"/>
        <v>ASSIGNABLE</v>
      </c>
    </row>
    <row r="344" spans="1:33" x14ac:dyDescent="0.3">
      <c r="A344" t="s">
        <v>6872</v>
      </c>
      <c r="B344" t="s">
        <v>6873</v>
      </c>
      <c r="T344" t="s">
        <v>3830</v>
      </c>
      <c r="V344" t="s">
        <v>6279</v>
      </c>
      <c r="W344">
        <f>IF($A344="","",COUNTIF(Aircraft!$N:$N,$A344))</f>
        <v>1</v>
      </c>
      <c r="X344" t="str">
        <f t="shared" si="40"/>
        <v>OK</v>
      </c>
      <c r="Y344" t="str">
        <f t="shared" si="41"/>
        <v>EMAIL (SMTP)</v>
      </c>
      <c r="Z344" t="str">
        <f t="shared" si="42"/>
        <v/>
      </c>
      <c r="AA344" t="str">
        <f t="shared" si="43"/>
        <v/>
      </c>
      <c r="AD344" t="str">
        <f t="shared" si="44"/>
        <v>PLAIN TEXT UPPERCASE</v>
      </c>
      <c r="AE344" t="str">
        <f t="shared" si="45"/>
        <v>JTL TRIP SUPPORT</v>
      </c>
      <c r="AF344" t="str">
        <f t="shared" si="46"/>
        <v>NO SENDING ADDRESS - ADD messaging_to_emails</v>
      </c>
      <c r="AG344" t="str">
        <f t="shared" si="47"/>
        <v>ASSIGNABLE</v>
      </c>
    </row>
    <row r="345" spans="1:33" x14ac:dyDescent="0.3">
      <c r="A345" t="s">
        <v>6874</v>
      </c>
      <c r="B345" t="s">
        <v>6875</v>
      </c>
      <c r="T345" t="s">
        <v>3830</v>
      </c>
      <c r="V345" t="s">
        <v>6279</v>
      </c>
      <c r="W345">
        <f>IF($A345="","",COUNTIF(Aircraft!$N:$N,$A345))</f>
        <v>1</v>
      </c>
      <c r="X345" t="str">
        <f t="shared" si="40"/>
        <v>OK</v>
      </c>
      <c r="Y345" t="str">
        <f t="shared" si="41"/>
        <v>EMAIL (SMTP)</v>
      </c>
      <c r="Z345" t="str">
        <f t="shared" si="42"/>
        <v/>
      </c>
      <c r="AA345" t="str">
        <f t="shared" si="43"/>
        <v/>
      </c>
      <c r="AD345" t="str">
        <f t="shared" si="44"/>
        <v>PLAIN TEXT UPPERCASE</v>
      </c>
      <c r="AE345" t="str">
        <f t="shared" si="45"/>
        <v>JTL TRIP SUPPORT</v>
      </c>
      <c r="AF345" t="str">
        <f t="shared" si="46"/>
        <v>NO SENDING ADDRESS - ADD messaging_to_emails</v>
      </c>
      <c r="AG345" t="str">
        <f t="shared" si="47"/>
        <v>ASSIGNABLE</v>
      </c>
    </row>
    <row r="346" spans="1:33" x14ac:dyDescent="0.3">
      <c r="A346" t="s">
        <v>6876</v>
      </c>
      <c r="B346" t="s">
        <v>6877</v>
      </c>
      <c r="T346" t="s">
        <v>3830</v>
      </c>
      <c r="V346" t="s">
        <v>6279</v>
      </c>
      <c r="W346">
        <f>IF($A346="","",COUNTIF(Aircraft!$N:$N,$A346))</f>
        <v>1</v>
      </c>
      <c r="X346" t="str">
        <f t="shared" si="40"/>
        <v>OK</v>
      </c>
      <c r="Y346" t="str">
        <f t="shared" si="41"/>
        <v>EMAIL (SMTP)</v>
      </c>
      <c r="Z346" t="str">
        <f t="shared" si="42"/>
        <v/>
      </c>
      <c r="AA346" t="str">
        <f t="shared" si="43"/>
        <v/>
      </c>
      <c r="AD346" t="str">
        <f t="shared" si="44"/>
        <v>PLAIN TEXT UPPERCASE</v>
      </c>
      <c r="AE346" t="str">
        <f t="shared" si="45"/>
        <v>JTL TRIP SUPPORT</v>
      </c>
      <c r="AF346" t="str">
        <f t="shared" si="46"/>
        <v>NO SENDING ADDRESS - ADD messaging_to_emails</v>
      </c>
      <c r="AG346" t="str">
        <f t="shared" si="47"/>
        <v>ASSIGNABLE</v>
      </c>
    </row>
    <row r="347" spans="1:33" x14ac:dyDescent="0.3">
      <c r="A347" t="s">
        <v>6878</v>
      </c>
      <c r="B347" t="s">
        <v>6879</v>
      </c>
      <c r="T347" t="s">
        <v>3830</v>
      </c>
      <c r="V347" t="s">
        <v>6279</v>
      </c>
      <c r="W347">
        <f>IF($A347="","",COUNTIF(Aircraft!$N:$N,$A347))</f>
        <v>1</v>
      </c>
      <c r="X347" t="str">
        <f t="shared" si="40"/>
        <v>OK</v>
      </c>
      <c r="Y347" t="str">
        <f t="shared" si="41"/>
        <v>EMAIL (SMTP)</v>
      </c>
      <c r="Z347" t="str">
        <f t="shared" si="42"/>
        <v/>
      </c>
      <c r="AA347" t="str">
        <f t="shared" si="43"/>
        <v/>
      </c>
      <c r="AD347" t="str">
        <f t="shared" si="44"/>
        <v>PLAIN TEXT UPPERCASE</v>
      </c>
      <c r="AE347" t="str">
        <f t="shared" si="45"/>
        <v>JTL TRIP SUPPORT</v>
      </c>
      <c r="AF347" t="str">
        <f t="shared" si="46"/>
        <v>NO SENDING ADDRESS - ADD messaging_to_emails</v>
      </c>
      <c r="AG347" t="str">
        <f t="shared" si="47"/>
        <v>ASSIGNABLE</v>
      </c>
    </row>
    <row r="348" spans="1:33" x14ac:dyDescent="0.3">
      <c r="A348" t="s">
        <v>6880</v>
      </c>
      <c r="B348" t="s">
        <v>6881</v>
      </c>
      <c r="T348" t="s">
        <v>3830</v>
      </c>
      <c r="V348" t="s">
        <v>6279</v>
      </c>
      <c r="W348">
        <f>IF($A348="","",COUNTIF(Aircraft!$N:$N,$A348))</f>
        <v>1</v>
      </c>
      <c r="X348" t="str">
        <f t="shared" si="40"/>
        <v>OK</v>
      </c>
      <c r="Y348" t="str">
        <f t="shared" si="41"/>
        <v>EMAIL (SMTP)</v>
      </c>
      <c r="Z348" t="str">
        <f t="shared" si="42"/>
        <v/>
      </c>
      <c r="AA348" t="str">
        <f t="shared" si="43"/>
        <v/>
      </c>
      <c r="AD348" t="str">
        <f t="shared" si="44"/>
        <v>PLAIN TEXT UPPERCASE</v>
      </c>
      <c r="AE348" t="str">
        <f t="shared" si="45"/>
        <v>JTL TRIP SUPPORT</v>
      </c>
      <c r="AF348" t="str">
        <f t="shared" si="46"/>
        <v>NO SENDING ADDRESS - ADD messaging_to_emails</v>
      </c>
      <c r="AG348" t="str">
        <f t="shared" si="47"/>
        <v>ASSIGNABLE</v>
      </c>
    </row>
    <row r="349" spans="1:33" x14ac:dyDescent="0.3">
      <c r="A349" t="s">
        <v>6882</v>
      </c>
      <c r="B349" t="s">
        <v>6883</v>
      </c>
      <c r="T349" t="s">
        <v>3830</v>
      </c>
      <c r="V349" t="s">
        <v>6279</v>
      </c>
      <c r="W349">
        <f>IF($A349="","",COUNTIF(Aircraft!$N:$N,$A349))</f>
        <v>1</v>
      </c>
      <c r="X349" t="str">
        <f t="shared" si="40"/>
        <v>OK</v>
      </c>
      <c r="Y349" t="str">
        <f t="shared" si="41"/>
        <v>EMAIL (SMTP)</v>
      </c>
      <c r="Z349" t="str">
        <f t="shared" si="42"/>
        <v/>
      </c>
      <c r="AA349" t="str">
        <f t="shared" si="43"/>
        <v/>
      </c>
      <c r="AD349" t="str">
        <f t="shared" si="44"/>
        <v>PLAIN TEXT UPPERCASE</v>
      </c>
      <c r="AE349" t="str">
        <f t="shared" si="45"/>
        <v>JTL TRIP SUPPORT</v>
      </c>
      <c r="AF349" t="str">
        <f t="shared" si="46"/>
        <v>NO SENDING ADDRESS - ADD messaging_to_emails</v>
      </c>
      <c r="AG349" t="str">
        <f t="shared" si="47"/>
        <v>ASSIGNABLE</v>
      </c>
    </row>
    <row r="350" spans="1:33" x14ac:dyDescent="0.3">
      <c r="A350" t="s">
        <v>6884</v>
      </c>
      <c r="B350" t="s">
        <v>6885</v>
      </c>
      <c r="T350" t="s">
        <v>3830</v>
      </c>
      <c r="V350" t="s">
        <v>6279</v>
      </c>
      <c r="W350">
        <f>IF($A350="","",COUNTIF(Aircraft!$N:$N,$A350))</f>
        <v>1</v>
      </c>
      <c r="X350" t="str">
        <f t="shared" si="40"/>
        <v>OK</v>
      </c>
      <c r="Y350" t="str">
        <f t="shared" si="41"/>
        <v>EMAIL (SMTP)</v>
      </c>
      <c r="Z350" t="str">
        <f t="shared" si="42"/>
        <v/>
      </c>
      <c r="AA350" t="str">
        <f t="shared" si="43"/>
        <v/>
      </c>
      <c r="AD350" t="str">
        <f t="shared" si="44"/>
        <v>PLAIN TEXT UPPERCASE</v>
      </c>
      <c r="AE350" t="str">
        <f t="shared" si="45"/>
        <v>JTL TRIP SUPPORT</v>
      </c>
      <c r="AF350" t="str">
        <f t="shared" si="46"/>
        <v>NO SENDING ADDRESS - ADD messaging_to_emails</v>
      </c>
      <c r="AG350" t="str">
        <f t="shared" si="47"/>
        <v>ASSIGNABLE</v>
      </c>
    </row>
    <row r="351" spans="1:33" x14ac:dyDescent="0.3">
      <c r="A351" t="s">
        <v>6886</v>
      </c>
      <c r="B351" t="s">
        <v>6887</v>
      </c>
      <c r="T351" t="s">
        <v>3830</v>
      </c>
      <c r="V351" t="s">
        <v>6279</v>
      </c>
      <c r="W351">
        <f>IF($A351="","",COUNTIF(Aircraft!$N:$N,$A351))</f>
        <v>1</v>
      </c>
      <c r="X351" t="str">
        <f t="shared" si="40"/>
        <v>OK</v>
      </c>
      <c r="Y351" t="str">
        <f t="shared" si="41"/>
        <v>EMAIL (SMTP)</v>
      </c>
      <c r="Z351" t="str">
        <f t="shared" si="42"/>
        <v/>
      </c>
      <c r="AA351" t="str">
        <f t="shared" si="43"/>
        <v/>
      </c>
      <c r="AD351" t="str">
        <f t="shared" si="44"/>
        <v>PLAIN TEXT UPPERCASE</v>
      </c>
      <c r="AE351" t="str">
        <f t="shared" si="45"/>
        <v>JTL TRIP SUPPORT</v>
      </c>
      <c r="AF351" t="str">
        <f t="shared" si="46"/>
        <v>NO SENDING ADDRESS - ADD messaging_to_emails</v>
      </c>
      <c r="AG351" t="str">
        <f t="shared" si="47"/>
        <v>ASSIGNABLE</v>
      </c>
    </row>
    <row r="352" spans="1:33" x14ac:dyDescent="0.3">
      <c r="A352" t="s">
        <v>6888</v>
      </c>
      <c r="B352" t="s">
        <v>6889</v>
      </c>
      <c r="T352" t="s">
        <v>3830</v>
      </c>
      <c r="V352" t="s">
        <v>6279</v>
      </c>
      <c r="W352">
        <f>IF($A352="","",COUNTIF(Aircraft!$N:$N,$A352))</f>
        <v>1</v>
      </c>
      <c r="X352" t="str">
        <f t="shared" si="40"/>
        <v>OK</v>
      </c>
      <c r="Y352" t="str">
        <f t="shared" si="41"/>
        <v>EMAIL (SMTP)</v>
      </c>
      <c r="Z352" t="str">
        <f t="shared" si="42"/>
        <v/>
      </c>
      <c r="AA352" t="str">
        <f t="shared" si="43"/>
        <v/>
      </c>
      <c r="AD352" t="str">
        <f t="shared" si="44"/>
        <v>PLAIN TEXT UPPERCASE</v>
      </c>
      <c r="AE352" t="str">
        <f t="shared" si="45"/>
        <v>JTL TRIP SUPPORT</v>
      </c>
      <c r="AF352" t="str">
        <f t="shared" si="46"/>
        <v>NO SENDING ADDRESS - ADD messaging_to_emails</v>
      </c>
      <c r="AG352" t="str">
        <f t="shared" si="47"/>
        <v>ASSIGNABLE</v>
      </c>
    </row>
    <row r="353" spans="1:33" x14ac:dyDescent="0.3">
      <c r="A353" t="s">
        <v>6890</v>
      </c>
      <c r="B353" t="s">
        <v>6891</v>
      </c>
      <c r="T353" t="s">
        <v>3830</v>
      </c>
      <c r="V353" t="s">
        <v>6279</v>
      </c>
      <c r="W353">
        <f>IF($A353="","",COUNTIF(Aircraft!$N:$N,$A353))</f>
        <v>1</v>
      </c>
      <c r="X353" t="str">
        <f t="shared" si="40"/>
        <v>OK</v>
      </c>
      <c r="Y353" t="str">
        <f t="shared" si="41"/>
        <v>EMAIL (SMTP)</v>
      </c>
      <c r="Z353" t="str">
        <f t="shared" si="42"/>
        <v/>
      </c>
      <c r="AA353" t="str">
        <f t="shared" si="43"/>
        <v/>
      </c>
      <c r="AD353" t="str">
        <f t="shared" si="44"/>
        <v>PLAIN TEXT UPPERCASE</v>
      </c>
      <c r="AE353" t="str">
        <f t="shared" si="45"/>
        <v>JTL TRIP SUPPORT</v>
      </c>
      <c r="AF353" t="str">
        <f t="shared" si="46"/>
        <v>NO SENDING ADDRESS - ADD messaging_to_emails</v>
      </c>
      <c r="AG353" t="str">
        <f t="shared" si="47"/>
        <v>ASSIGNABLE</v>
      </c>
    </row>
    <row r="354" spans="1:33" x14ac:dyDescent="0.3">
      <c r="A354" t="s">
        <v>6892</v>
      </c>
      <c r="B354" t="s">
        <v>6893</v>
      </c>
      <c r="T354" t="s">
        <v>3830</v>
      </c>
      <c r="V354" t="s">
        <v>6279</v>
      </c>
      <c r="W354">
        <f>IF($A354="","",COUNTIF(Aircraft!$N:$N,$A354))</f>
        <v>1</v>
      </c>
      <c r="X354" t="str">
        <f t="shared" si="40"/>
        <v>OK</v>
      </c>
      <c r="Y354" t="str">
        <f t="shared" si="41"/>
        <v>EMAIL (SMTP)</v>
      </c>
      <c r="Z354" t="str">
        <f t="shared" si="42"/>
        <v/>
      </c>
      <c r="AA354" t="str">
        <f t="shared" si="43"/>
        <v/>
      </c>
      <c r="AD354" t="str">
        <f t="shared" si="44"/>
        <v>PLAIN TEXT UPPERCASE</v>
      </c>
      <c r="AE354" t="str">
        <f t="shared" si="45"/>
        <v>JTL TRIP SUPPORT</v>
      </c>
      <c r="AF354" t="str">
        <f t="shared" si="46"/>
        <v>NO SENDING ADDRESS - ADD messaging_to_emails</v>
      </c>
      <c r="AG354" t="str">
        <f t="shared" si="47"/>
        <v>ASSIGNABLE</v>
      </c>
    </row>
    <row r="355" spans="1:33" x14ac:dyDescent="0.3">
      <c r="A355" t="s">
        <v>6894</v>
      </c>
      <c r="B355" t="s">
        <v>6895</v>
      </c>
      <c r="T355" t="s">
        <v>3830</v>
      </c>
      <c r="V355" t="s">
        <v>6279</v>
      </c>
      <c r="W355">
        <f>IF($A355="","",COUNTIF(Aircraft!$N:$N,$A355))</f>
        <v>1</v>
      </c>
      <c r="X355" t="str">
        <f t="shared" si="40"/>
        <v>OK</v>
      </c>
      <c r="Y355" t="str">
        <f t="shared" si="41"/>
        <v>EMAIL (SMTP)</v>
      </c>
      <c r="Z355" t="str">
        <f t="shared" si="42"/>
        <v/>
      </c>
      <c r="AA355" t="str">
        <f t="shared" si="43"/>
        <v/>
      </c>
      <c r="AD355" t="str">
        <f t="shared" si="44"/>
        <v>PLAIN TEXT UPPERCASE</v>
      </c>
      <c r="AE355" t="str">
        <f t="shared" si="45"/>
        <v>JTL TRIP SUPPORT</v>
      </c>
      <c r="AF355" t="str">
        <f t="shared" si="46"/>
        <v>NO SENDING ADDRESS - ADD messaging_to_emails</v>
      </c>
      <c r="AG355" t="str">
        <f t="shared" si="47"/>
        <v>ASSIGNABLE</v>
      </c>
    </row>
    <row r="356" spans="1:33" x14ac:dyDescent="0.3">
      <c r="A356" t="s">
        <v>6896</v>
      </c>
      <c r="B356" t="s">
        <v>6897</v>
      </c>
      <c r="T356" t="s">
        <v>3830</v>
      </c>
      <c r="V356" t="s">
        <v>6279</v>
      </c>
      <c r="W356">
        <f>IF($A356="","",COUNTIF(Aircraft!$N:$N,$A356))</f>
        <v>1</v>
      </c>
      <c r="X356" t="str">
        <f t="shared" si="40"/>
        <v>OK</v>
      </c>
      <c r="Y356" t="str">
        <f t="shared" si="41"/>
        <v>EMAIL (SMTP)</v>
      </c>
      <c r="Z356" t="str">
        <f t="shared" si="42"/>
        <v/>
      </c>
      <c r="AA356" t="str">
        <f t="shared" si="43"/>
        <v/>
      </c>
      <c r="AD356" t="str">
        <f t="shared" si="44"/>
        <v>PLAIN TEXT UPPERCASE</v>
      </c>
      <c r="AE356" t="str">
        <f t="shared" si="45"/>
        <v>JTL TRIP SUPPORT</v>
      </c>
      <c r="AF356" t="str">
        <f t="shared" si="46"/>
        <v>NO SENDING ADDRESS - ADD messaging_to_emails</v>
      </c>
      <c r="AG356" t="str">
        <f t="shared" si="47"/>
        <v>ASSIGNABLE</v>
      </c>
    </row>
    <row r="357" spans="1:33" x14ac:dyDescent="0.3">
      <c r="A357" t="s">
        <v>6898</v>
      </c>
      <c r="B357" t="s">
        <v>6899</v>
      </c>
      <c r="T357" t="s">
        <v>3830</v>
      </c>
      <c r="V357" t="s">
        <v>6279</v>
      </c>
      <c r="W357">
        <f>IF($A357="","",COUNTIF(Aircraft!$N:$N,$A357))</f>
        <v>2</v>
      </c>
      <c r="X357" t="str">
        <f t="shared" si="40"/>
        <v>OK</v>
      </c>
      <c r="Y357" t="str">
        <f t="shared" si="41"/>
        <v>EMAIL (SMTP)</v>
      </c>
      <c r="Z357" t="str">
        <f t="shared" si="42"/>
        <v/>
      </c>
      <c r="AA357" t="str">
        <f t="shared" si="43"/>
        <v/>
      </c>
      <c r="AD357" t="str">
        <f t="shared" si="44"/>
        <v>PLAIN TEXT UPPERCASE</v>
      </c>
      <c r="AE357" t="str">
        <f t="shared" si="45"/>
        <v>JTL TRIP SUPPORT</v>
      </c>
      <c r="AF357" t="str">
        <f t="shared" si="46"/>
        <v>NO SENDING ADDRESS - ADD messaging_to_emails</v>
      </c>
      <c r="AG357" t="str">
        <f t="shared" si="47"/>
        <v>ASSIGNABLE</v>
      </c>
    </row>
    <row r="358" spans="1:33" x14ac:dyDescent="0.3">
      <c r="A358" t="s">
        <v>6900</v>
      </c>
      <c r="B358" t="s">
        <v>6901</v>
      </c>
      <c r="T358" t="s">
        <v>3830</v>
      </c>
      <c r="V358" t="s">
        <v>6279</v>
      </c>
      <c r="W358">
        <f>IF($A358="","",COUNTIF(Aircraft!$N:$N,$A358))</f>
        <v>1</v>
      </c>
      <c r="X358" t="str">
        <f t="shared" si="40"/>
        <v>OK</v>
      </c>
      <c r="Y358" t="str">
        <f t="shared" si="41"/>
        <v>EMAIL (SMTP)</v>
      </c>
      <c r="Z358" t="str">
        <f t="shared" si="42"/>
        <v/>
      </c>
      <c r="AA358" t="str">
        <f t="shared" si="43"/>
        <v/>
      </c>
      <c r="AD358" t="str">
        <f t="shared" si="44"/>
        <v>PLAIN TEXT UPPERCASE</v>
      </c>
      <c r="AE358" t="str">
        <f t="shared" si="45"/>
        <v>JTL TRIP SUPPORT</v>
      </c>
      <c r="AF358" t="str">
        <f t="shared" si="46"/>
        <v>NO SENDING ADDRESS - ADD messaging_to_emails</v>
      </c>
      <c r="AG358" t="str">
        <f t="shared" si="47"/>
        <v>ASSIGNABLE</v>
      </c>
    </row>
    <row r="359" spans="1:33" x14ac:dyDescent="0.3">
      <c r="A359" t="s">
        <v>6902</v>
      </c>
      <c r="B359" t="s">
        <v>6903</v>
      </c>
      <c r="T359" t="s">
        <v>3830</v>
      </c>
      <c r="V359" t="s">
        <v>6279</v>
      </c>
      <c r="W359">
        <f>IF($A359="","",COUNTIF(Aircraft!$N:$N,$A359))</f>
        <v>1</v>
      </c>
      <c r="X359" t="str">
        <f t="shared" si="40"/>
        <v>OK</v>
      </c>
      <c r="Y359" t="str">
        <f t="shared" si="41"/>
        <v>EMAIL (SMTP)</v>
      </c>
      <c r="Z359" t="str">
        <f t="shared" si="42"/>
        <v/>
      </c>
      <c r="AA359" t="str">
        <f t="shared" si="43"/>
        <v/>
      </c>
      <c r="AD359" t="str">
        <f t="shared" si="44"/>
        <v>PLAIN TEXT UPPERCASE</v>
      </c>
      <c r="AE359" t="str">
        <f t="shared" si="45"/>
        <v>JTL TRIP SUPPORT</v>
      </c>
      <c r="AF359" t="str">
        <f t="shared" si="46"/>
        <v>NO SENDING ADDRESS - ADD messaging_to_emails</v>
      </c>
      <c r="AG359" t="str">
        <f t="shared" si="47"/>
        <v>ASSIGNABLE</v>
      </c>
    </row>
    <row r="360" spans="1:33" x14ac:dyDescent="0.3">
      <c r="A360" t="s">
        <v>6904</v>
      </c>
      <c r="B360" t="s">
        <v>6905</v>
      </c>
      <c r="T360" t="s">
        <v>3830</v>
      </c>
      <c r="V360" t="s">
        <v>6279</v>
      </c>
      <c r="W360">
        <f>IF($A360="","",COUNTIF(Aircraft!$N:$N,$A360))</f>
        <v>1</v>
      </c>
      <c r="X360" t="str">
        <f t="shared" si="40"/>
        <v>OK</v>
      </c>
      <c r="Y360" t="str">
        <f t="shared" si="41"/>
        <v>EMAIL (SMTP)</v>
      </c>
      <c r="Z360" t="str">
        <f t="shared" si="42"/>
        <v/>
      </c>
      <c r="AA360" t="str">
        <f t="shared" si="43"/>
        <v/>
      </c>
      <c r="AD360" t="str">
        <f t="shared" si="44"/>
        <v>PLAIN TEXT UPPERCASE</v>
      </c>
      <c r="AE360" t="str">
        <f t="shared" si="45"/>
        <v>JTL TRIP SUPPORT</v>
      </c>
      <c r="AF360" t="str">
        <f t="shared" si="46"/>
        <v>NO SENDING ADDRESS - ADD messaging_to_emails</v>
      </c>
      <c r="AG360" t="str">
        <f t="shared" si="47"/>
        <v>ASSIGNABLE</v>
      </c>
    </row>
    <row r="361" spans="1:33" x14ac:dyDescent="0.3">
      <c r="A361" t="s">
        <v>6906</v>
      </c>
      <c r="B361" t="s">
        <v>6907</v>
      </c>
      <c r="T361" t="s">
        <v>3830</v>
      </c>
      <c r="V361" t="s">
        <v>6279</v>
      </c>
      <c r="W361">
        <f>IF($A361="","",COUNTIF(Aircraft!$N:$N,$A361))</f>
        <v>1</v>
      </c>
      <c r="X361" t="str">
        <f t="shared" si="40"/>
        <v>OK</v>
      </c>
      <c r="Y361" t="str">
        <f t="shared" si="41"/>
        <v>EMAIL (SMTP)</v>
      </c>
      <c r="Z361" t="str">
        <f t="shared" si="42"/>
        <v/>
      </c>
      <c r="AA361" t="str">
        <f t="shared" si="43"/>
        <v/>
      </c>
      <c r="AD361" t="str">
        <f t="shared" si="44"/>
        <v>PLAIN TEXT UPPERCASE</v>
      </c>
      <c r="AE361" t="str">
        <f t="shared" si="45"/>
        <v>JTL TRIP SUPPORT</v>
      </c>
      <c r="AF361" t="str">
        <f t="shared" si="46"/>
        <v>NO SENDING ADDRESS - ADD messaging_to_emails</v>
      </c>
      <c r="AG361" t="str">
        <f t="shared" si="47"/>
        <v>ASSIGNABLE</v>
      </c>
    </row>
    <row r="362" spans="1:33" x14ac:dyDescent="0.3">
      <c r="A362" t="s">
        <v>6908</v>
      </c>
      <c r="B362" t="s">
        <v>6909</v>
      </c>
      <c r="T362" t="s">
        <v>3830</v>
      </c>
      <c r="V362" t="s">
        <v>6279</v>
      </c>
      <c r="W362">
        <f>IF($A362="","",COUNTIF(Aircraft!$N:$N,$A362))</f>
        <v>1</v>
      </c>
      <c r="X362" t="str">
        <f t="shared" si="40"/>
        <v>OK</v>
      </c>
      <c r="Y362" t="str">
        <f t="shared" si="41"/>
        <v>EMAIL (SMTP)</v>
      </c>
      <c r="Z362" t="str">
        <f t="shared" si="42"/>
        <v/>
      </c>
      <c r="AA362" t="str">
        <f t="shared" si="43"/>
        <v/>
      </c>
      <c r="AD362" t="str">
        <f t="shared" si="44"/>
        <v>PLAIN TEXT UPPERCASE</v>
      </c>
      <c r="AE362" t="str">
        <f t="shared" si="45"/>
        <v>JTL TRIP SUPPORT</v>
      </c>
      <c r="AF362" t="str">
        <f t="shared" si="46"/>
        <v>NO SENDING ADDRESS - ADD messaging_to_emails</v>
      </c>
      <c r="AG362" t="str">
        <f t="shared" si="47"/>
        <v>ASSIGNABLE</v>
      </c>
    </row>
    <row r="363" spans="1:33" x14ac:dyDescent="0.3">
      <c r="A363" t="s">
        <v>6910</v>
      </c>
      <c r="B363" t="s">
        <v>6911</v>
      </c>
      <c r="T363" t="s">
        <v>3830</v>
      </c>
      <c r="V363" t="s">
        <v>6279</v>
      </c>
      <c r="W363">
        <f>IF($A363="","",COUNTIF(Aircraft!$N:$N,$A363))</f>
        <v>1</v>
      </c>
      <c r="X363" t="str">
        <f t="shared" si="40"/>
        <v>OK</v>
      </c>
      <c r="Y363" t="str">
        <f t="shared" si="41"/>
        <v>EMAIL (SMTP)</v>
      </c>
      <c r="Z363" t="str">
        <f t="shared" si="42"/>
        <v/>
      </c>
      <c r="AA363" t="str">
        <f t="shared" si="43"/>
        <v/>
      </c>
      <c r="AD363" t="str">
        <f t="shared" si="44"/>
        <v>PLAIN TEXT UPPERCASE</v>
      </c>
      <c r="AE363" t="str">
        <f t="shared" si="45"/>
        <v>JTL TRIP SUPPORT</v>
      </c>
      <c r="AF363" t="str">
        <f t="shared" si="46"/>
        <v>NO SENDING ADDRESS - ADD messaging_to_emails</v>
      </c>
      <c r="AG363" t="str">
        <f t="shared" si="47"/>
        <v>ASSIGNABLE</v>
      </c>
    </row>
    <row r="364" spans="1:33" x14ac:dyDescent="0.3">
      <c r="A364" t="s">
        <v>6912</v>
      </c>
      <c r="B364" t="s">
        <v>6913</v>
      </c>
      <c r="T364" t="s">
        <v>3830</v>
      </c>
      <c r="V364" t="s">
        <v>6279</v>
      </c>
      <c r="W364">
        <f>IF($A364="","",COUNTIF(Aircraft!$N:$N,$A364))</f>
        <v>2</v>
      </c>
      <c r="X364" t="str">
        <f t="shared" si="40"/>
        <v>OK</v>
      </c>
      <c r="Y364" t="str">
        <f t="shared" si="41"/>
        <v>EMAIL (SMTP)</v>
      </c>
      <c r="Z364" t="str">
        <f t="shared" si="42"/>
        <v/>
      </c>
      <c r="AA364" t="str">
        <f t="shared" si="43"/>
        <v/>
      </c>
      <c r="AD364" t="str">
        <f t="shared" si="44"/>
        <v>PLAIN TEXT UPPERCASE</v>
      </c>
      <c r="AE364" t="str">
        <f t="shared" si="45"/>
        <v>JTL TRIP SUPPORT</v>
      </c>
      <c r="AF364" t="str">
        <f t="shared" si="46"/>
        <v>NO SENDING ADDRESS - ADD messaging_to_emails</v>
      </c>
      <c r="AG364" t="str">
        <f t="shared" si="47"/>
        <v>ASSIGNABLE</v>
      </c>
    </row>
    <row r="365" spans="1:33" x14ac:dyDescent="0.3">
      <c r="A365" t="s">
        <v>6914</v>
      </c>
      <c r="B365" t="s">
        <v>6915</v>
      </c>
      <c r="T365" t="s">
        <v>3830</v>
      </c>
      <c r="V365" t="s">
        <v>6279</v>
      </c>
      <c r="W365">
        <f>IF($A365="","",COUNTIF(Aircraft!$N:$N,$A365))</f>
        <v>1</v>
      </c>
      <c r="X365" t="str">
        <f t="shared" si="40"/>
        <v>OK</v>
      </c>
      <c r="Y365" t="str">
        <f t="shared" si="41"/>
        <v>EMAIL (SMTP)</v>
      </c>
      <c r="Z365" t="str">
        <f t="shared" si="42"/>
        <v/>
      </c>
      <c r="AA365" t="str">
        <f t="shared" si="43"/>
        <v/>
      </c>
      <c r="AD365" t="str">
        <f t="shared" si="44"/>
        <v>PLAIN TEXT UPPERCASE</v>
      </c>
      <c r="AE365" t="str">
        <f t="shared" si="45"/>
        <v>JTL TRIP SUPPORT</v>
      </c>
      <c r="AF365" t="str">
        <f t="shared" si="46"/>
        <v>NO SENDING ADDRESS - ADD messaging_to_emails</v>
      </c>
      <c r="AG365" t="str">
        <f t="shared" si="47"/>
        <v>ASSIGNABLE</v>
      </c>
    </row>
    <row r="366" spans="1:33" x14ac:dyDescent="0.3">
      <c r="A366" t="s">
        <v>6916</v>
      </c>
      <c r="B366" t="s">
        <v>6917</v>
      </c>
      <c r="T366" t="s">
        <v>3830</v>
      </c>
      <c r="V366" t="s">
        <v>6279</v>
      </c>
      <c r="W366">
        <f>IF($A366="","",COUNTIF(Aircraft!$N:$N,$A366))</f>
        <v>1</v>
      </c>
      <c r="X366" t="str">
        <f t="shared" si="40"/>
        <v>OK</v>
      </c>
      <c r="Y366" t="str">
        <f t="shared" si="41"/>
        <v>EMAIL (SMTP)</v>
      </c>
      <c r="Z366" t="str">
        <f t="shared" si="42"/>
        <v/>
      </c>
      <c r="AA366" t="str">
        <f t="shared" si="43"/>
        <v/>
      </c>
      <c r="AD366" t="str">
        <f t="shared" si="44"/>
        <v>PLAIN TEXT UPPERCASE</v>
      </c>
      <c r="AE366" t="str">
        <f t="shared" si="45"/>
        <v>JTL TRIP SUPPORT</v>
      </c>
      <c r="AF366" t="str">
        <f t="shared" si="46"/>
        <v>NO SENDING ADDRESS - ADD messaging_to_emails</v>
      </c>
      <c r="AG366" t="str">
        <f t="shared" si="47"/>
        <v>ASSIGNABLE</v>
      </c>
    </row>
    <row r="367" spans="1:33" x14ac:dyDescent="0.3">
      <c r="A367" t="s">
        <v>6918</v>
      </c>
      <c r="B367" t="s">
        <v>6919</v>
      </c>
      <c r="T367" t="s">
        <v>3830</v>
      </c>
      <c r="V367" t="s">
        <v>6279</v>
      </c>
      <c r="W367">
        <f>IF($A367="","",COUNTIF(Aircraft!$N:$N,$A367))</f>
        <v>2</v>
      </c>
      <c r="X367" t="str">
        <f t="shared" si="40"/>
        <v>OK</v>
      </c>
      <c r="Y367" t="str">
        <f t="shared" si="41"/>
        <v>EMAIL (SMTP)</v>
      </c>
      <c r="Z367" t="str">
        <f t="shared" si="42"/>
        <v/>
      </c>
      <c r="AA367" t="str">
        <f t="shared" si="43"/>
        <v/>
      </c>
      <c r="AD367" t="str">
        <f t="shared" si="44"/>
        <v>PLAIN TEXT UPPERCASE</v>
      </c>
      <c r="AE367" t="str">
        <f t="shared" si="45"/>
        <v>JTL TRIP SUPPORT</v>
      </c>
      <c r="AF367" t="str">
        <f t="shared" si="46"/>
        <v>NO SENDING ADDRESS - ADD messaging_to_emails</v>
      </c>
      <c r="AG367" t="str">
        <f t="shared" si="47"/>
        <v>ASSIGNABLE</v>
      </c>
    </row>
    <row r="368" spans="1:33" x14ac:dyDescent="0.3">
      <c r="A368" t="s">
        <v>6920</v>
      </c>
      <c r="B368" t="s">
        <v>6921</v>
      </c>
      <c r="T368" t="s">
        <v>3830</v>
      </c>
      <c r="V368" t="s">
        <v>6279</v>
      </c>
      <c r="W368">
        <f>IF($A368="","",COUNTIF(Aircraft!$N:$N,$A368))</f>
        <v>1</v>
      </c>
      <c r="X368" t="str">
        <f t="shared" si="40"/>
        <v>OK</v>
      </c>
      <c r="Y368" t="str">
        <f t="shared" si="41"/>
        <v>EMAIL (SMTP)</v>
      </c>
      <c r="Z368" t="str">
        <f t="shared" si="42"/>
        <v/>
      </c>
      <c r="AA368" t="str">
        <f t="shared" si="43"/>
        <v/>
      </c>
      <c r="AD368" t="str">
        <f t="shared" si="44"/>
        <v>PLAIN TEXT UPPERCASE</v>
      </c>
      <c r="AE368" t="str">
        <f t="shared" si="45"/>
        <v>JTL TRIP SUPPORT</v>
      </c>
      <c r="AF368" t="str">
        <f t="shared" si="46"/>
        <v>NO SENDING ADDRESS - ADD messaging_to_emails</v>
      </c>
      <c r="AG368" t="str">
        <f t="shared" si="47"/>
        <v>ASSIGNABLE</v>
      </c>
    </row>
    <row r="369" spans="1:33" x14ac:dyDescent="0.3">
      <c r="A369" t="s">
        <v>6922</v>
      </c>
      <c r="B369" t="s">
        <v>6923</v>
      </c>
      <c r="T369" t="s">
        <v>3830</v>
      </c>
      <c r="V369" t="s">
        <v>6279</v>
      </c>
      <c r="W369">
        <f>IF($A369="","",COUNTIF(Aircraft!$N:$N,$A369))</f>
        <v>2</v>
      </c>
      <c r="X369" t="str">
        <f t="shared" si="40"/>
        <v>OK</v>
      </c>
      <c r="Y369" t="str">
        <f t="shared" si="41"/>
        <v>EMAIL (SMTP)</v>
      </c>
      <c r="Z369" t="str">
        <f t="shared" si="42"/>
        <v/>
      </c>
      <c r="AA369" t="str">
        <f t="shared" si="43"/>
        <v/>
      </c>
      <c r="AD369" t="str">
        <f t="shared" si="44"/>
        <v>PLAIN TEXT UPPERCASE</v>
      </c>
      <c r="AE369" t="str">
        <f t="shared" si="45"/>
        <v>JTL TRIP SUPPORT</v>
      </c>
      <c r="AF369" t="str">
        <f t="shared" si="46"/>
        <v>NO SENDING ADDRESS - ADD messaging_to_emails</v>
      </c>
      <c r="AG369" t="str">
        <f t="shared" si="47"/>
        <v>ASSIGNABLE</v>
      </c>
    </row>
    <row r="370" spans="1:33" x14ac:dyDescent="0.3">
      <c r="A370" t="s">
        <v>6924</v>
      </c>
      <c r="B370" t="s">
        <v>6925</v>
      </c>
      <c r="T370" t="s">
        <v>3830</v>
      </c>
      <c r="V370" t="s">
        <v>6279</v>
      </c>
      <c r="W370">
        <f>IF($A370="","",COUNTIF(Aircraft!$N:$N,$A370))</f>
        <v>1</v>
      </c>
      <c r="X370" t="str">
        <f t="shared" si="40"/>
        <v>OK</v>
      </c>
      <c r="Y370" t="str">
        <f t="shared" si="41"/>
        <v>EMAIL (SMTP)</v>
      </c>
      <c r="Z370" t="str">
        <f t="shared" si="42"/>
        <v/>
      </c>
      <c r="AA370" t="str">
        <f t="shared" si="43"/>
        <v/>
      </c>
      <c r="AD370" t="str">
        <f t="shared" si="44"/>
        <v>PLAIN TEXT UPPERCASE</v>
      </c>
      <c r="AE370" t="str">
        <f t="shared" si="45"/>
        <v>JTL TRIP SUPPORT</v>
      </c>
      <c r="AF370" t="str">
        <f t="shared" si="46"/>
        <v>NO SENDING ADDRESS - ADD messaging_to_emails</v>
      </c>
      <c r="AG370" t="str">
        <f t="shared" si="47"/>
        <v>ASSIGNABLE</v>
      </c>
    </row>
    <row r="371" spans="1:33" x14ac:dyDescent="0.3">
      <c r="A371" t="s">
        <v>6926</v>
      </c>
      <c r="B371" t="s">
        <v>6927</v>
      </c>
      <c r="T371" t="s">
        <v>3830</v>
      </c>
      <c r="V371" t="s">
        <v>6279</v>
      </c>
      <c r="W371">
        <f>IF($A371="","",COUNTIF(Aircraft!$N:$N,$A371))</f>
        <v>1</v>
      </c>
      <c r="X371" t="str">
        <f t="shared" si="40"/>
        <v>OK</v>
      </c>
      <c r="Y371" t="str">
        <f t="shared" si="41"/>
        <v>EMAIL (SMTP)</v>
      </c>
      <c r="Z371" t="str">
        <f t="shared" si="42"/>
        <v/>
      </c>
      <c r="AA371" t="str">
        <f t="shared" si="43"/>
        <v/>
      </c>
      <c r="AD371" t="str">
        <f t="shared" si="44"/>
        <v>PLAIN TEXT UPPERCASE</v>
      </c>
      <c r="AE371" t="str">
        <f t="shared" si="45"/>
        <v>JTL TRIP SUPPORT</v>
      </c>
      <c r="AF371" t="str">
        <f t="shared" si="46"/>
        <v>NO SENDING ADDRESS - ADD messaging_to_emails</v>
      </c>
      <c r="AG371" t="str">
        <f t="shared" si="47"/>
        <v>ASSIGNABLE</v>
      </c>
    </row>
    <row r="372" spans="1:33" x14ac:dyDescent="0.3">
      <c r="A372" t="s">
        <v>6928</v>
      </c>
      <c r="B372" t="s">
        <v>6929</v>
      </c>
      <c r="T372" t="s">
        <v>3830</v>
      </c>
      <c r="V372" t="s">
        <v>6279</v>
      </c>
      <c r="W372">
        <f>IF($A372="","",COUNTIF(Aircraft!$N:$N,$A372))</f>
        <v>1</v>
      </c>
      <c r="X372" t="str">
        <f t="shared" si="40"/>
        <v>OK</v>
      </c>
      <c r="Y372" t="str">
        <f t="shared" si="41"/>
        <v>EMAIL (SMTP)</v>
      </c>
      <c r="Z372" t="str">
        <f t="shared" si="42"/>
        <v/>
      </c>
      <c r="AA372" t="str">
        <f t="shared" si="43"/>
        <v/>
      </c>
      <c r="AD372" t="str">
        <f t="shared" si="44"/>
        <v>PLAIN TEXT UPPERCASE</v>
      </c>
      <c r="AE372" t="str">
        <f t="shared" si="45"/>
        <v>JTL TRIP SUPPORT</v>
      </c>
      <c r="AF372" t="str">
        <f t="shared" si="46"/>
        <v>NO SENDING ADDRESS - ADD messaging_to_emails</v>
      </c>
      <c r="AG372" t="str">
        <f t="shared" si="47"/>
        <v>ASSIGNABLE</v>
      </c>
    </row>
    <row r="373" spans="1:33" x14ac:dyDescent="0.3">
      <c r="A373" t="s">
        <v>6930</v>
      </c>
      <c r="B373" t="s">
        <v>6931</v>
      </c>
      <c r="T373" t="s">
        <v>3830</v>
      </c>
      <c r="V373" t="s">
        <v>6279</v>
      </c>
      <c r="W373">
        <f>IF($A373="","",COUNTIF(Aircraft!$N:$N,$A373))</f>
        <v>1</v>
      </c>
      <c r="X373" t="str">
        <f t="shared" si="40"/>
        <v>OK</v>
      </c>
      <c r="Y373" t="str">
        <f t="shared" si="41"/>
        <v>EMAIL (SMTP)</v>
      </c>
      <c r="Z373" t="str">
        <f t="shared" si="42"/>
        <v/>
      </c>
      <c r="AA373" t="str">
        <f t="shared" si="43"/>
        <v/>
      </c>
      <c r="AD373" t="str">
        <f t="shared" si="44"/>
        <v>PLAIN TEXT UPPERCASE</v>
      </c>
      <c r="AE373" t="str">
        <f t="shared" si="45"/>
        <v>JTL TRIP SUPPORT</v>
      </c>
      <c r="AF373" t="str">
        <f t="shared" si="46"/>
        <v>NO SENDING ADDRESS - ADD messaging_to_emails</v>
      </c>
      <c r="AG373" t="str">
        <f t="shared" si="47"/>
        <v>ASSIGNABLE</v>
      </c>
    </row>
    <row r="374" spans="1:33" x14ac:dyDescent="0.3">
      <c r="A374" t="s">
        <v>6932</v>
      </c>
      <c r="B374" t="s">
        <v>6933</v>
      </c>
      <c r="T374" t="s">
        <v>3830</v>
      </c>
      <c r="V374" t="s">
        <v>6279</v>
      </c>
      <c r="W374">
        <f>IF($A374="","",COUNTIF(Aircraft!$N:$N,$A374))</f>
        <v>1</v>
      </c>
      <c r="X374" t="str">
        <f t="shared" si="40"/>
        <v>OK</v>
      </c>
      <c r="Y374" t="str">
        <f t="shared" si="41"/>
        <v>EMAIL (SMTP)</v>
      </c>
      <c r="Z374" t="str">
        <f t="shared" si="42"/>
        <v/>
      </c>
      <c r="AA374" t="str">
        <f t="shared" si="43"/>
        <v/>
      </c>
      <c r="AD374" t="str">
        <f t="shared" si="44"/>
        <v>PLAIN TEXT UPPERCASE</v>
      </c>
      <c r="AE374" t="str">
        <f t="shared" si="45"/>
        <v>JTL TRIP SUPPORT</v>
      </c>
      <c r="AF374" t="str">
        <f t="shared" si="46"/>
        <v>NO SENDING ADDRESS - ADD messaging_to_emails</v>
      </c>
      <c r="AG374" t="str">
        <f t="shared" si="47"/>
        <v>ASSIGNABLE</v>
      </c>
    </row>
    <row r="375" spans="1:33" x14ac:dyDescent="0.3">
      <c r="A375" t="s">
        <v>6934</v>
      </c>
      <c r="B375" t="s">
        <v>6935</v>
      </c>
      <c r="T375" t="s">
        <v>3830</v>
      </c>
      <c r="V375" t="s">
        <v>6279</v>
      </c>
      <c r="W375">
        <f>IF($A375="","",COUNTIF(Aircraft!$N:$N,$A375))</f>
        <v>1</v>
      </c>
      <c r="X375" t="str">
        <f t="shared" si="40"/>
        <v>OK</v>
      </c>
      <c r="Y375" t="str">
        <f t="shared" si="41"/>
        <v>EMAIL (SMTP)</v>
      </c>
      <c r="Z375" t="str">
        <f t="shared" si="42"/>
        <v/>
      </c>
      <c r="AA375" t="str">
        <f t="shared" si="43"/>
        <v/>
      </c>
      <c r="AD375" t="str">
        <f t="shared" si="44"/>
        <v>PLAIN TEXT UPPERCASE</v>
      </c>
      <c r="AE375" t="str">
        <f t="shared" si="45"/>
        <v>JTL TRIP SUPPORT</v>
      </c>
      <c r="AF375" t="str">
        <f t="shared" si="46"/>
        <v>NO SENDING ADDRESS - ADD messaging_to_emails</v>
      </c>
      <c r="AG375" t="str">
        <f t="shared" si="47"/>
        <v>ASSIGNABLE</v>
      </c>
    </row>
    <row r="376" spans="1:33" x14ac:dyDescent="0.3">
      <c r="A376" t="s">
        <v>6936</v>
      </c>
      <c r="B376" t="s">
        <v>6937</v>
      </c>
      <c r="T376" t="s">
        <v>3830</v>
      </c>
      <c r="V376" t="s">
        <v>6279</v>
      </c>
      <c r="W376">
        <f>IF($A376="","",COUNTIF(Aircraft!$N:$N,$A376))</f>
        <v>1</v>
      </c>
      <c r="X376" t="str">
        <f t="shared" si="40"/>
        <v>OK</v>
      </c>
      <c r="Y376" t="str">
        <f t="shared" si="41"/>
        <v>EMAIL (SMTP)</v>
      </c>
      <c r="Z376" t="str">
        <f t="shared" si="42"/>
        <v/>
      </c>
      <c r="AA376" t="str">
        <f t="shared" si="43"/>
        <v/>
      </c>
      <c r="AD376" t="str">
        <f t="shared" si="44"/>
        <v>PLAIN TEXT UPPERCASE</v>
      </c>
      <c r="AE376" t="str">
        <f t="shared" si="45"/>
        <v>JTL TRIP SUPPORT</v>
      </c>
      <c r="AF376" t="str">
        <f t="shared" si="46"/>
        <v>NO SENDING ADDRESS - ADD messaging_to_emails</v>
      </c>
      <c r="AG376" t="str">
        <f t="shared" si="47"/>
        <v>ASSIGNABLE</v>
      </c>
    </row>
    <row r="377" spans="1:33" x14ac:dyDescent="0.3">
      <c r="A377" t="s">
        <v>6938</v>
      </c>
      <c r="B377" t="s">
        <v>3042</v>
      </c>
      <c r="T377" t="s">
        <v>3830</v>
      </c>
      <c r="V377" t="s">
        <v>6279</v>
      </c>
      <c r="W377">
        <f>IF($A377="","",COUNTIF(Aircraft!$N:$N,$A377))</f>
        <v>1</v>
      </c>
      <c r="X377" t="str">
        <f t="shared" si="40"/>
        <v>OK</v>
      </c>
      <c r="Y377" t="str">
        <f t="shared" si="41"/>
        <v>EMAIL (SMTP)</v>
      </c>
      <c r="Z377" t="str">
        <f t="shared" si="42"/>
        <v/>
      </c>
      <c r="AA377" t="str">
        <f t="shared" si="43"/>
        <v/>
      </c>
      <c r="AD377" t="str">
        <f t="shared" si="44"/>
        <v>PLAIN TEXT UPPERCASE</v>
      </c>
      <c r="AE377" t="str">
        <f t="shared" si="45"/>
        <v>JTL TRIP SUPPORT</v>
      </c>
      <c r="AF377" t="str">
        <f t="shared" si="46"/>
        <v>NO SENDING ADDRESS - ADD messaging_to_emails</v>
      </c>
      <c r="AG377" t="str">
        <f t="shared" si="47"/>
        <v>ASSIGNABLE</v>
      </c>
    </row>
    <row r="378" spans="1:33" x14ac:dyDescent="0.3">
      <c r="A378" t="s">
        <v>6939</v>
      </c>
      <c r="B378" t="s">
        <v>6940</v>
      </c>
      <c r="T378" t="s">
        <v>3830</v>
      </c>
      <c r="V378" t="s">
        <v>6279</v>
      </c>
      <c r="W378">
        <f>IF($A378="","",COUNTIF(Aircraft!$N:$N,$A378))</f>
        <v>6</v>
      </c>
      <c r="X378" t="str">
        <f t="shared" si="40"/>
        <v>OK</v>
      </c>
      <c r="Y378" t="str">
        <f t="shared" si="41"/>
        <v>EMAIL (SMTP)</v>
      </c>
      <c r="Z378" t="str">
        <f t="shared" si="42"/>
        <v/>
      </c>
      <c r="AA378" t="str">
        <f t="shared" si="43"/>
        <v/>
      </c>
      <c r="AD378" t="str">
        <f t="shared" si="44"/>
        <v>PLAIN TEXT UPPERCASE</v>
      </c>
      <c r="AE378" t="str">
        <f t="shared" si="45"/>
        <v>JTL TRIP SUPPORT</v>
      </c>
      <c r="AF378" t="str">
        <f t="shared" si="46"/>
        <v>NO SENDING ADDRESS - ADD messaging_to_emails</v>
      </c>
      <c r="AG378" t="str">
        <f t="shared" si="47"/>
        <v>ASSIGNABLE</v>
      </c>
    </row>
    <row r="379" spans="1:33" x14ac:dyDescent="0.3">
      <c r="A379" t="s">
        <v>6941</v>
      </c>
      <c r="B379" t="s">
        <v>6942</v>
      </c>
      <c r="T379" t="s">
        <v>3830</v>
      </c>
      <c r="V379" t="s">
        <v>6279</v>
      </c>
      <c r="W379">
        <f>IF($A379="","",COUNTIF(Aircraft!$N:$N,$A379))</f>
        <v>1</v>
      </c>
      <c r="X379" t="str">
        <f t="shared" si="40"/>
        <v>OK</v>
      </c>
      <c r="Y379" t="str">
        <f t="shared" si="41"/>
        <v>EMAIL (SMTP)</v>
      </c>
      <c r="Z379" t="str">
        <f t="shared" si="42"/>
        <v/>
      </c>
      <c r="AA379" t="str">
        <f t="shared" si="43"/>
        <v/>
      </c>
      <c r="AD379" t="str">
        <f t="shared" si="44"/>
        <v>PLAIN TEXT UPPERCASE</v>
      </c>
      <c r="AE379" t="str">
        <f t="shared" si="45"/>
        <v>JTL TRIP SUPPORT</v>
      </c>
      <c r="AF379" t="str">
        <f t="shared" si="46"/>
        <v>NO SENDING ADDRESS - ADD messaging_to_emails</v>
      </c>
      <c r="AG379" t="str">
        <f t="shared" si="47"/>
        <v>ASSIGNABLE</v>
      </c>
    </row>
    <row r="380" spans="1:33" x14ac:dyDescent="0.3">
      <c r="A380" t="s">
        <v>6943</v>
      </c>
      <c r="B380" t="s">
        <v>6944</v>
      </c>
      <c r="T380" t="s">
        <v>3830</v>
      </c>
      <c r="V380" t="s">
        <v>6279</v>
      </c>
      <c r="W380">
        <f>IF($A380="","",COUNTIF(Aircraft!$N:$N,$A380))</f>
        <v>1</v>
      </c>
      <c r="X380" t="str">
        <f t="shared" si="40"/>
        <v>OK</v>
      </c>
      <c r="Y380" t="str">
        <f t="shared" si="41"/>
        <v>EMAIL (SMTP)</v>
      </c>
      <c r="Z380" t="str">
        <f t="shared" si="42"/>
        <v/>
      </c>
      <c r="AA380" t="str">
        <f t="shared" si="43"/>
        <v/>
      </c>
      <c r="AD380" t="str">
        <f t="shared" si="44"/>
        <v>PLAIN TEXT UPPERCASE</v>
      </c>
      <c r="AE380" t="str">
        <f t="shared" si="45"/>
        <v>JTL TRIP SUPPORT</v>
      </c>
      <c r="AF380" t="str">
        <f t="shared" si="46"/>
        <v>NO SENDING ADDRESS - ADD messaging_to_emails</v>
      </c>
      <c r="AG380" t="str">
        <f t="shared" si="47"/>
        <v>ASSIGNABLE</v>
      </c>
    </row>
    <row r="381" spans="1:33" x14ac:dyDescent="0.3">
      <c r="A381" t="s">
        <v>6945</v>
      </c>
      <c r="B381" t="s">
        <v>6946</v>
      </c>
      <c r="T381" t="s">
        <v>3830</v>
      </c>
      <c r="V381" t="s">
        <v>6279</v>
      </c>
      <c r="W381">
        <f>IF($A381="","",COUNTIF(Aircraft!$N:$N,$A381))</f>
        <v>1</v>
      </c>
      <c r="X381" t="str">
        <f t="shared" si="40"/>
        <v>OK</v>
      </c>
      <c r="Y381" t="str">
        <f t="shared" si="41"/>
        <v>EMAIL (SMTP)</v>
      </c>
      <c r="Z381" t="str">
        <f t="shared" si="42"/>
        <v/>
      </c>
      <c r="AA381" t="str">
        <f t="shared" si="43"/>
        <v/>
      </c>
      <c r="AD381" t="str">
        <f t="shared" si="44"/>
        <v>PLAIN TEXT UPPERCASE</v>
      </c>
      <c r="AE381" t="str">
        <f t="shared" si="45"/>
        <v>JTL TRIP SUPPORT</v>
      </c>
      <c r="AF381" t="str">
        <f t="shared" si="46"/>
        <v>NO SENDING ADDRESS - ADD messaging_to_emails</v>
      </c>
      <c r="AG381" t="str">
        <f t="shared" si="47"/>
        <v>ASSIGNABLE</v>
      </c>
    </row>
    <row r="382" spans="1:33" x14ac:dyDescent="0.3">
      <c r="A382" t="s">
        <v>6947</v>
      </c>
      <c r="B382" t="s">
        <v>6948</v>
      </c>
      <c r="T382" t="s">
        <v>3830</v>
      </c>
      <c r="V382" t="s">
        <v>6279</v>
      </c>
      <c r="W382">
        <f>IF($A382="","",COUNTIF(Aircraft!$N:$N,$A382))</f>
        <v>1</v>
      </c>
      <c r="X382" t="str">
        <f t="shared" si="40"/>
        <v>OK</v>
      </c>
      <c r="Y382" t="str">
        <f t="shared" si="41"/>
        <v>EMAIL (SMTP)</v>
      </c>
      <c r="Z382" t="str">
        <f t="shared" si="42"/>
        <v/>
      </c>
      <c r="AA382" t="str">
        <f t="shared" si="43"/>
        <v/>
      </c>
      <c r="AD382" t="str">
        <f t="shared" si="44"/>
        <v>PLAIN TEXT UPPERCASE</v>
      </c>
      <c r="AE382" t="str">
        <f t="shared" si="45"/>
        <v>JTL TRIP SUPPORT</v>
      </c>
      <c r="AF382" t="str">
        <f t="shared" si="46"/>
        <v>NO SENDING ADDRESS - ADD messaging_to_emails</v>
      </c>
      <c r="AG382" t="str">
        <f t="shared" si="47"/>
        <v>ASSIGNABLE</v>
      </c>
    </row>
    <row r="383" spans="1:33" x14ac:dyDescent="0.3">
      <c r="A383" t="s">
        <v>6949</v>
      </c>
      <c r="B383" t="s">
        <v>6950</v>
      </c>
      <c r="T383" t="s">
        <v>3830</v>
      </c>
      <c r="V383" t="s">
        <v>6279</v>
      </c>
      <c r="W383">
        <f>IF($A383="","",COUNTIF(Aircraft!$N:$N,$A383))</f>
        <v>1</v>
      </c>
      <c r="X383" t="str">
        <f t="shared" si="40"/>
        <v>OK</v>
      </c>
      <c r="Y383" t="str">
        <f t="shared" si="41"/>
        <v>EMAIL (SMTP)</v>
      </c>
      <c r="Z383" t="str">
        <f t="shared" si="42"/>
        <v/>
      </c>
      <c r="AA383" t="str">
        <f t="shared" si="43"/>
        <v/>
      </c>
      <c r="AD383" t="str">
        <f t="shared" si="44"/>
        <v>PLAIN TEXT UPPERCASE</v>
      </c>
      <c r="AE383" t="str">
        <f t="shared" si="45"/>
        <v>JTL TRIP SUPPORT</v>
      </c>
      <c r="AF383" t="str">
        <f t="shared" si="46"/>
        <v>NO SENDING ADDRESS - ADD messaging_to_emails</v>
      </c>
      <c r="AG383" t="str">
        <f t="shared" si="47"/>
        <v>ASSIGNABLE</v>
      </c>
    </row>
    <row r="384" spans="1:33" x14ac:dyDescent="0.3">
      <c r="A384" t="s">
        <v>6951</v>
      </c>
      <c r="B384" t="s">
        <v>6952</v>
      </c>
      <c r="T384" t="s">
        <v>3830</v>
      </c>
      <c r="V384" t="s">
        <v>6279</v>
      </c>
      <c r="W384">
        <f>IF($A384="","",COUNTIF(Aircraft!$N:$N,$A384))</f>
        <v>1</v>
      </c>
      <c r="X384" t="str">
        <f t="shared" si="40"/>
        <v>OK</v>
      </c>
      <c r="Y384" t="str">
        <f t="shared" si="41"/>
        <v>EMAIL (SMTP)</v>
      </c>
      <c r="Z384" t="str">
        <f t="shared" si="42"/>
        <v/>
      </c>
      <c r="AA384" t="str">
        <f t="shared" si="43"/>
        <v/>
      </c>
      <c r="AD384" t="str">
        <f t="shared" si="44"/>
        <v>PLAIN TEXT UPPERCASE</v>
      </c>
      <c r="AE384" t="str">
        <f t="shared" si="45"/>
        <v>JTL TRIP SUPPORT</v>
      </c>
      <c r="AF384" t="str">
        <f t="shared" si="46"/>
        <v>NO SENDING ADDRESS - ADD messaging_to_emails</v>
      </c>
      <c r="AG384" t="str">
        <f t="shared" si="47"/>
        <v>ASSIGNABLE</v>
      </c>
    </row>
    <row r="385" spans="1:33" x14ac:dyDescent="0.3">
      <c r="A385" t="s">
        <v>6953</v>
      </c>
      <c r="B385" t="s">
        <v>6954</v>
      </c>
      <c r="T385" t="s">
        <v>3830</v>
      </c>
      <c r="V385" t="s">
        <v>6279</v>
      </c>
      <c r="W385">
        <f>IF($A385="","",COUNTIF(Aircraft!$N:$N,$A385))</f>
        <v>1</v>
      </c>
      <c r="X385" t="str">
        <f t="shared" si="40"/>
        <v>OK</v>
      </c>
      <c r="Y385" t="str">
        <f t="shared" si="41"/>
        <v>EMAIL (SMTP)</v>
      </c>
      <c r="Z385" t="str">
        <f t="shared" si="42"/>
        <v/>
      </c>
      <c r="AA385" t="str">
        <f t="shared" si="43"/>
        <v/>
      </c>
      <c r="AD385" t="str">
        <f t="shared" si="44"/>
        <v>PLAIN TEXT UPPERCASE</v>
      </c>
      <c r="AE385" t="str">
        <f t="shared" si="45"/>
        <v>JTL TRIP SUPPORT</v>
      </c>
      <c r="AF385" t="str">
        <f t="shared" si="46"/>
        <v>NO SENDING ADDRESS - ADD messaging_to_emails</v>
      </c>
      <c r="AG385" t="str">
        <f t="shared" si="47"/>
        <v>ASSIGNABLE</v>
      </c>
    </row>
    <row r="386" spans="1:33" x14ac:dyDescent="0.3">
      <c r="A386" t="s">
        <v>6955</v>
      </c>
      <c r="B386" t="s">
        <v>6956</v>
      </c>
      <c r="T386" t="s">
        <v>3830</v>
      </c>
      <c r="V386" t="s">
        <v>6279</v>
      </c>
      <c r="W386">
        <f>IF($A386="","",COUNTIF(Aircraft!$N:$N,$A386))</f>
        <v>1</v>
      </c>
      <c r="X386" t="str">
        <f t="shared" si="40"/>
        <v>OK</v>
      </c>
      <c r="Y386" t="str">
        <f t="shared" si="41"/>
        <v>EMAIL (SMTP)</v>
      </c>
      <c r="Z386" t="str">
        <f t="shared" si="42"/>
        <v/>
      </c>
      <c r="AA386" t="str">
        <f t="shared" si="43"/>
        <v/>
      </c>
      <c r="AD386" t="str">
        <f t="shared" si="44"/>
        <v>PLAIN TEXT UPPERCASE</v>
      </c>
      <c r="AE386" t="str">
        <f t="shared" si="45"/>
        <v>JTL TRIP SUPPORT</v>
      </c>
      <c r="AF386" t="str">
        <f t="shared" si="46"/>
        <v>NO SENDING ADDRESS - ADD messaging_to_emails</v>
      </c>
      <c r="AG386" t="str">
        <f t="shared" si="47"/>
        <v>ASSIGNABLE</v>
      </c>
    </row>
    <row r="387" spans="1:33" x14ac:dyDescent="0.3">
      <c r="A387" t="s">
        <v>6957</v>
      </c>
      <c r="B387" t="s">
        <v>6958</v>
      </c>
      <c r="T387" t="s">
        <v>3830</v>
      </c>
      <c r="V387" t="s">
        <v>6279</v>
      </c>
      <c r="W387">
        <f>IF($A387="","",COUNTIF(Aircraft!$N:$N,$A387))</f>
        <v>0</v>
      </c>
      <c r="X387" t="str">
        <f t="shared" ref="X387:X450" si="48">IF($A387="","",IF($B387="","NAME REQUIRED",IF($W387=0,"NO AIRCRAFT LINKED","OK")))</f>
        <v>NO AIRCRAFT LINKED</v>
      </c>
      <c r="Y387" t="str">
        <f t="shared" ref="Y387:Y450" si="49">IF($A387="","","EMAIL (SMTP)")</f>
        <v>EMAIL (SMTP)</v>
      </c>
      <c r="Z387" t="str">
        <f t="shared" ref="Z387:Z450" si="50">IF($A387="","",IF($N387&lt;&gt;"",$N387,IF($L387&lt;&gt;"",$L387,"")))</f>
        <v/>
      </c>
      <c r="AA387" t="str">
        <f t="shared" ref="AA387:AA450" si="51">IF($A387="","",IF($O387&lt;&gt;"",$O387,""))</f>
        <v/>
      </c>
      <c r="AD387" t="str">
        <f t="shared" ref="AD387:AD450" si="52">IF($A387="","","PLAIN TEXT UPPERCASE")</f>
        <v>PLAIN TEXT UPPERCASE</v>
      </c>
      <c r="AE387" t="str">
        <f t="shared" ref="AE387:AE450" si="53">IF($A387="","","JTL TRIP SUPPORT")</f>
        <v>JTL TRIP SUPPORT</v>
      </c>
      <c r="AF387" t="str">
        <f t="shared" ref="AF387:AF450" si="54">IF($A387="","",IF($Y387="EMAIL (SMTP)",IF($Z387="","NO SENDING ADDRESS - ADD messaging_to_emails","OK"),IF(AND($AB387="",$AC387=""),"CHANNEL SET BUT NO SITA/AFTN ADDRESS","OK")))</f>
        <v>NO SENDING ADDRESS - ADD messaging_to_emails</v>
      </c>
      <c r="AG387" t="str">
        <f t="shared" ref="AG387:AG450" si="55">IF($A387="","",IF(TRIM($B387)="","BLOCKED - OPERATOR NAME REQUIRED",IF(UPPER($T387)="INACTIVE","BLOCKED - INACTIVE","ASSIGNABLE")))</f>
        <v>ASSIGNABLE</v>
      </c>
    </row>
    <row r="388" spans="1:33" x14ac:dyDescent="0.3">
      <c r="A388" t="s">
        <v>6959</v>
      </c>
      <c r="B388" t="s">
        <v>6960</v>
      </c>
      <c r="T388" t="s">
        <v>3830</v>
      </c>
      <c r="V388" t="s">
        <v>6279</v>
      </c>
      <c r="W388">
        <f>IF($A388="","",COUNTIF(Aircraft!$N:$N,$A388))</f>
        <v>0</v>
      </c>
      <c r="X388" t="str">
        <f t="shared" si="48"/>
        <v>NO AIRCRAFT LINKED</v>
      </c>
      <c r="Y388" t="str">
        <f t="shared" si="49"/>
        <v>EMAIL (SMTP)</v>
      </c>
      <c r="Z388" t="str">
        <f t="shared" si="50"/>
        <v/>
      </c>
      <c r="AA388" t="str">
        <f t="shared" si="51"/>
        <v/>
      </c>
      <c r="AD388" t="str">
        <f t="shared" si="52"/>
        <v>PLAIN TEXT UPPERCASE</v>
      </c>
      <c r="AE388" t="str">
        <f t="shared" si="53"/>
        <v>JTL TRIP SUPPORT</v>
      </c>
      <c r="AF388" t="str">
        <f t="shared" si="54"/>
        <v>NO SENDING ADDRESS - ADD messaging_to_emails</v>
      </c>
      <c r="AG388" t="str">
        <f t="shared" si="55"/>
        <v>ASSIGNABLE</v>
      </c>
    </row>
    <row r="389" spans="1:33" x14ac:dyDescent="0.3">
      <c r="A389" t="s">
        <v>6961</v>
      </c>
      <c r="B389" t="s">
        <v>6962</v>
      </c>
      <c r="T389" t="s">
        <v>3830</v>
      </c>
      <c r="V389" t="s">
        <v>6279</v>
      </c>
      <c r="W389">
        <f>IF($A389="","",COUNTIF(Aircraft!$N:$N,$A389))</f>
        <v>0</v>
      </c>
      <c r="X389" t="str">
        <f t="shared" si="48"/>
        <v>NO AIRCRAFT LINKED</v>
      </c>
      <c r="Y389" t="str">
        <f t="shared" si="49"/>
        <v>EMAIL (SMTP)</v>
      </c>
      <c r="Z389" t="str">
        <f t="shared" si="50"/>
        <v/>
      </c>
      <c r="AA389" t="str">
        <f t="shared" si="51"/>
        <v/>
      </c>
      <c r="AD389" t="str">
        <f t="shared" si="52"/>
        <v>PLAIN TEXT UPPERCASE</v>
      </c>
      <c r="AE389" t="str">
        <f t="shared" si="53"/>
        <v>JTL TRIP SUPPORT</v>
      </c>
      <c r="AF389" t="str">
        <f t="shared" si="54"/>
        <v>NO SENDING ADDRESS - ADD messaging_to_emails</v>
      </c>
      <c r="AG389" t="str">
        <f t="shared" si="55"/>
        <v>ASSIGNABLE</v>
      </c>
    </row>
    <row r="390" spans="1:33" x14ac:dyDescent="0.3">
      <c r="A390" t="s">
        <v>6963</v>
      </c>
      <c r="B390" t="s">
        <v>6964</v>
      </c>
      <c r="T390" t="s">
        <v>3830</v>
      </c>
      <c r="V390" t="s">
        <v>6279</v>
      </c>
      <c r="W390">
        <f>IF($A390="","",COUNTIF(Aircraft!$N:$N,$A390))</f>
        <v>0</v>
      </c>
      <c r="X390" t="str">
        <f t="shared" si="48"/>
        <v>NO AIRCRAFT LINKED</v>
      </c>
      <c r="Y390" t="str">
        <f t="shared" si="49"/>
        <v>EMAIL (SMTP)</v>
      </c>
      <c r="Z390" t="str">
        <f t="shared" si="50"/>
        <v/>
      </c>
      <c r="AA390" t="str">
        <f t="shared" si="51"/>
        <v/>
      </c>
      <c r="AD390" t="str">
        <f t="shared" si="52"/>
        <v>PLAIN TEXT UPPERCASE</v>
      </c>
      <c r="AE390" t="str">
        <f t="shared" si="53"/>
        <v>JTL TRIP SUPPORT</v>
      </c>
      <c r="AF390" t="str">
        <f t="shared" si="54"/>
        <v>NO SENDING ADDRESS - ADD messaging_to_emails</v>
      </c>
      <c r="AG390" t="str">
        <f t="shared" si="55"/>
        <v>ASSIGNABLE</v>
      </c>
    </row>
    <row r="391" spans="1:33" x14ac:dyDescent="0.3">
      <c r="A391" t="s">
        <v>6965</v>
      </c>
      <c r="B391" t="s">
        <v>6966</v>
      </c>
      <c r="T391" t="s">
        <v>3830</v>
      </c>
      <c r="V391" t="s">
        <v>6279</v>
      </c>
      <c r="W391">
        <f>IF($A391="","",COUNTIF(Aircraft!$N:$N,$A391))</f>
        <v>0</v>
      </c>
      <c r="X391" t="str">
        <f t="shared" si="48"/>
        <v>NO AIRCRAFT LINKED</v>
      </c>
      <c r="Y391" t="str">
        <f t="shared" si="49"/>
        <v>EMAIL (SMTP)</v>
      </c>
      <c r="Z391" t="str">
        <f t="shared" si="50"/>
        <v/>
      </c>
      <c r="AA391" t="str">
        <f t="shared" si="51"/>
        <v/>
      </c>
      <c r="AD391" t="str">
        <f t="shared" si="52"/>
        <v>PLAIN TEXT UPPERCASE</v>
      </c>
      <c r="AE391" t="str">
        <f t="shared" si="53"/>
        <v>JTL TRIP SUPPORT</v>
      </c>
      <c r="AF391" t="str">
        <f t="shared" si="54"/>
        <v>NO SENDING ADDRESS - ADD messaging_to_emails</v>
      </c>
      <c r="AG391" t="str">
        <f t="shared" si="55"/>
        <v>ASSIGNABLE</v>
      </c>
    </row>
    <row r="392" spans="1:33" x14ac:dyDescent="0.3">
      <c r="A392" t="s">
        <v>6967</v>
      </c>
      <c r="B392" t="s">
        <v>6968</v>
      </c>
      <c r="T392" t="s">
        <v>3830</v>
      </c>
      <c r="V392" t="s">
        <v>6279</v>
      </c>
      <c r="W392">
        <f>IF($A392="","",COUNTIF(Aircraft!$N:$N,$A392))</f>
        <v>0</v>
      </c>
      <c r="X392" t="str">
        <f t="shared" si="48"/>
        <v>NO AIRCRAFT LINKED</v>
      </c>
      <c r="Y392" t="str">
        <f t="shared" si="49"/>
        <v>EMAIL (SMTP)</v>
      </c>
      <c r="Z392" t="str">
        <f t="shared" si="50"/>
        <v/>
      </c>
      <c r="AA392" t="str">
        <f t="shared" si="51"/>
        <v/>
      </c>
      <c r="AD392" t="str">
        <f t="shared" si="52"/>
        <v>PLAIN TEXT UPPERCASE</v>
      </c>
      <c r="AE392" t="str">
        <f t="shared" si="53"/>
        <v>JTL TRIP SUPPORT</v>
      </c>
      <c r="AF392" t="str">
        <f t="shared" si="54"/>
        <v>NO SENDING ADDRESS - ADD messaging_to_emails</v>
      </c>
      <c r="AG392" t="str">
        <f t="shared" si="55"/>
        <v>ASSIGNABLE</v>
      </c>
    </row>
    <row r="393" spans="1:33" x14ac:dyDescent="0.3">
      <c r="A393" t="s">
        <v>6969</v>
      </c>
      <c r="B393" t="s">
        <v>6970</v>
      </c>
      <c r="T393" t="s">
        <v>3830</v>
      </c>
      <c r="V393" t="s">
        <v>6279</v>
      </c>
      <c r="W393">
        <f>IF($A393="","",COUNTIF(Aircraft!$N:$N,$A393))</f>
        <v>0</v>
      </c>
      <c r="X393" t="str">
        <f t="shared" si="48"/>
        <v>NO AIRCRAFT LINKED</v>
      </c>
      <c r="Y393" t="str">
        <f t="shared" si="49"/>
        <v>EMAIL (SMTP)</v>
      </c>
      <c r="Z393" t="str">
        <f t="shared" si="50"/>
        <v/>
      </c>
      <c r="AA393" t="str">
        <f t="shared" si="51"/>
        <v/>
      </c>
      <c r="AD393" t="str">
        <f t="shared" si="52"/>
        <v>PLAIN TEXT UPPERCASE</v>
      </c>
      <c r="AE393" t="str">
        <f t="shared" si="53"/>
        <v>JTL TRIP SUPPORT</v>
      </c>
      <c r="AF393" t="str">
        <f t="shared" si="54"/>
        <v>NO SENDING ADDRESS - ADD messaging_to_emails</v>
      </c>
      <c r="AG393" t="str">
        <f t="shared" si="55"/>
        <v>ASSIGNABLE</v>
      </c>
    </row>
    <row r="394" spans="1:33" x14ac:dyDescent="0.3">
      <c r="A394" t="s">
        <v>6971</v>
      </c>
      <c r="B394" t="s">
        <v>6972</v>
      </c>
      <c r="T394" t="s">
        <v>3830</v>
      </c>
      <c r="V394" t="s">
        <v>6279</v>
      </c>
      <c r="W394">
        <f>IF($A394="","",COUNTIF(Aircraft!$N:$N,$A394))</f>
        <v>0</v>
      </c>
      <c r="X394" t="str">
        <f t="shared" si="48"/>
        <v>NO AIRCRAFT LINKED</v>
      </c>
      <c r="Y394" t="str">
        <f t="shared" si="49"/>
        <v>EMAIL (SMTP)</v>
      </c>
      <c r="Z394" t="str">
        <f t="shared" si="50"/>
        <v/>
      </c>
      <c r="AA394" t="str">
        <f t="shared" si="51"/>
        <v/>
      </c>
      <c r="AD394" t="str">
        <f t="shared" si="52"/>
        <v>PLAIN TEXT UPPERCASE</v>
      </c>
      <c r="AE394" t="str">
        <f t="shared" si="53"/>
        <v>JTL TRIP SUPPORT</v>
      </c>
      <c r="AF394" t="str">
        <f t="shared" si="54"/>
        <v>NO SENDING ADDRESS - ADD messaging_to_emails</v>
      </c>
      <c r="AG394" t="str">
        <f t="shared" si="55"/>
        <v>ASSIGNABLE</v>
      </c>
    </row>
    <row r="395" spans="1:33" x14ac:dyDescent="0.3">
      <c r="A395" t="s">
        <v>6973</v>
      </c>
      <c r="B395" t="s">
        <v>6974</v>
      </c>
      <c r="T395" t="s">
        <v>3830</v>
      </c>
      <c r="V395" t="s">
        <v>6279</v>
      </c>
      <c r="W395">
        <f>IF($A395="","",COUNTIF(Aircraft!$N:$N,$A395))</f>
        <v>0</v>
      </c>
      <c r="X395" t="str">
        <f t="shared" si="48"/>
        <v>NO AIRCRAFT LINKED</v>
      </c>
      <c r="Y395" t="str">
        <f t="shared" si="49"/>
        <v>EMAIL (SMTP)</v>
      </c>
      <c r="Z395" t="str">
        <f t="shared" si="50"/>
        <v/>
      </c>
      <c r="AA395" t="str">
        <f t="shared" si="51"/>
        <v/>
      </c>
      <c r="AD395" t="str">
        <f t="shared" si="52"/>
        <v>PLAIN TEXT UPPERCASE</v>
      </c>
      <c r="AE395" t="str">
        <f t="shared" si="53"/>
        <v>JTL TRIP SUPPORT</v>
      </c>
      <c r="AF395" t="str">
        <f t="shared" si="54"/>
        <v>NO SENDING ADDRESS - ADD messaging_to_emails</v>
      </c>
      <c r="AG395" t="str">
        <f t="shared" si="55"/>
        <v>ASSIGNABLE</v>
      </c>
    </row>
    <row r="396" spans="1:33" x14ac:dyDescent="0.3">
      <c r="A396" t="s">
        <v>6975</v>
      </c>
      <c r="B396" t="s">
        <v>6976</v>
      </c>
      <c r="T396" t="s">
        <v>3830</v>
      </c>
      <c r="V396" t="s">
        <v>6279</v>
      </c>
      <c r="W396">
        <f>IF($A396="","",COUNTIF(Aircraft!$N:$N,$A396))</f>
        <v>0</v>
      </c>
      <c r="X396" t="str">
        <f t="shared" si="48"/>
        <v>NO AIRCRAFT LINKED</v>
      </c>
      <c r="Y396" t="str">
        <f t="shared" si="49"/>
        <v>EMAIL (SMTP)</v>
      </c>
      <c r="Z396" t="str">
        <f t="shared" si="50"/>
        <v/>
      </c>
      <c r="AA396" t="str">
        <f t="shared" si="51"/>
        <v/>
      </c>
      <c r="AD396" t="str">
        <f t="shared" si="52"/>
        <v>PLAIN TEXT UPPERCASE</v>
      </c>
      <c r="AE396" t="str">
        <f t="shared" si="53"/>
        <v>JTL TRIP SUPPORT</v>
      </c>
      <c r="AF396" t="str">
        <f t="shared" si="54"/>
        <v>NO SENDING ADDRESS - ADD messaging_to_emails</v>
      </c>
      <c r="AG396" t="str">
        <f t="shared" si="55"/>
        <v>ASSIGNABLE</v>
      </c>
    </row>
    <row r="397" spans="1:33" x14ac:dyDescent="0.3">
      <c r="A397" t="s">
        <v>6977</v>
      </c>
      <c r="B397" t="s">
        <v>6978</v>
      </c>
      <c r="T397" t="s">
        <v>3830</v>
      </c>
      <c r="V397" t="s">
        <v>6279</v>
      </c>
      <c r="W397">
        <f>IF($A397="","",COUNTIF(Aircraft!$N:$N,$A397))</f>
        <v>0</v>
      </c>
      <c r="X397" t="str">
        <f t="shared" si="48"/>
        <v>NO AIRCRAFT LINKED</v>
      </c>
      <c r="Y397" t="str">
        <f t="shared" si="49"/>
        <v>EMAIL (SMTP)</v>
      </c>
      <c r="Z397" t="str">
        <f t="shared" si="50"/>
        <v/>
      </c>
      <c r="AA397" t="str">
        <f t="shared" si="51"/>
        <v/>
      </c>
      <c r="AD397" t="str">
        <f t="shared" si="52"/>
        <v>PLAIN TEXT UPPERCASE</v>
      </c>
      <c r="AE397" t="str">
        <f t="shared" si="53"/>
        <v>JTL TRIP SUPPORT</v>
      </c>
      <c r="AF397" t="str">
        <f t="shared" si="54"/>
        <v>NO SENDING ADDRESS - ADD messaging_to_emails</v>
      </c>
      <c r="AG397" t="str">
        <f t="shared" si="55"/>
        <v>ASSIGNABLE</v>
      </c>
    </row>
    <row r="398" spans="1:33" x14ac:dyDescent="0.3">
      <c r="A398" t="s">
        <v>6979</v>
      </c>
      <c r="B398" t="s">
        <v>6980</v>
      </c>
      <c r="T398" t="s">
        <v>3830</v>
      </c>
      <c r="V398" t="s">
        <v>6279</v>
      </c>
      <c r="W398">
        <f>IF($A398="","",COUNTIF(Aircraft!$N:$N,$A398))</f>
        <v>0</v>
      </c>
      <c r="X398" t="str">
        <f t="shared" si="48"/>
        <v>NO AIRCRAFT LINKED</v>
      </c>
      <c r="Y398" t="str">
        <f t="shared" si="49"/>
        <v>EMAIL (SMTP)</v>
      </c>
      <c r="Z398" t="str">
        <f t="shared" si="50"/>
        <v/>
      </c>
      <c r="AA398" t="str">
        <f t="shared" si="51"/>
        <v/>
      </c>
      <c r="AD398" t="str">
        <f t="shared" si="52"/>
        <v>PLAIN TEXT UPPERCASE</v>
      </c>
      <c r="AE398" t="str">
        <f t="shared" si="53"/>
        <v>JTL TRIP SUPPORT</v>
      </c>
      <c r="AF398" t="str">
        <f t="shared" si="54"/>
        <v>NO SENDING ADDRESS - ADD messaging_to_emails</v>
      </c>
      <c r="AG398" t="str">
        <f t="shared" si="55"/>
        <v>ASSIGNABLE</v>
      </c>
    </row>
    <row r="399" spans="1:33" x14ac:dyDescent="0.3">
      <c r="A399" t="s">
        <v>6981</v>
      </c>
      <c r="B399" t="s">
        <v>6982</v>
      </c>
      <c r="T399" t="s">
        <v>3830</v>
      </c>
      <c r="V399" t="s">
        <v>6279</v>
      </c>
      <c r="W399">
        <f>IF($A399="","",COUNTIF(Aircraft!$N:$N,$A399))</f>
        <v>0</v>
      </c>
      <c r="X399" t="str">
        <f t="shared" si="48"/>
        <v>NO AIRCRAFT LINKED</v>
      </c>
      <c r="Y399" t="str">
        <f t="shared" si="49"/>
        <v>EMAIL (SMTP)</v>
      </c>
      <c r="Z399" t="str">
        <f t="shared" si="50"/>
        <v/>
      </c>
      <c r="AA399" t="str">
        <f t="shared" si="51"/>
        <v/>
      </c>
      <c r="AD399" t="str">
        <f t="shared" si="52"/>
        <v>PLAIN TEXT UPPERCASE</v>
      </c>
      <c r="AE399" t="str">
        <f t="shared" si="53"/>
        <v>JTL TRIP SUPPORT</v>
      </c>
      <c r="AF399" t="str">
        <f t="shared" si="54"/>
        <v>NO SENDING ADDRESS - ADD messaging_to_emails</v>
      </c>
      <c r="AG399" t="str">
        <f t="shared" si="55"/>
        <v>ASSIGNABLE</v>
      </c>
    </row>
    <row r="400" spans="1:33" x14ac:dyDescent="0.3">
      <c r="A400" t="s">
        <v>6983</v>
      </c>
      <c r="B400" t="s">
        <v>6984</v>
      </c>
      <c r="T400" t="s">
        <v>3830</v>
      </c>
      <c r="V400" t="s">
        <v>6279</v>
      </c>
      <c r="W400">
        <f>IF($A400="","",COUNTIF(Aircraft!$N:$N,$A400))</f>
        <v>0</v>
      </c>
      <c r="X400" t="str">
        <f t="shared" si="48"/>
        <v>NO AIRCRAFT LINKED</v>
      </c>
      <c r="Y400" t="str">
        <f t="shared" si="49"/>
        <v>EMAIL (SMTP)</v>
      </c>
      <c r="Z400" t="str">
        <f t="shared" si="50"/>
        <v/>
      </c>
      <c r="AA400" t="str">
        <f t="shared" si="51"/>
        <v/>
      </c>
      <c r="AD400" t="str">
        <f t="shared" si="52"/>
        <v>PLAIN TEXT UPPERCASE</v>
      </c>
      <c r="AE400" t="str">
        <f t="shared" si="53"/>
        <v>JTL TRIP SUPPORT</v>
      </c>
      <c r="AF400" t="str">
        <f t="shared" si="54"/>
        <v>NO SENDING ADDRESS - ADD messaging_to_emails</v>
      </c>
      <c r="AG400" t="str">
        <f t="shared" si="55"/>
        <v>ASSIGNABLE</v>
      </c>
    </row>
    <row r="401" spans="1:33" x14ac:dyDescent="0.3">
      <c r="A401" t="s">
        <v>6985</v>
      </c>
      <c r="B401" t="s">
        <v>6986</v>
      </c>
      <c r="T401" t="s">
        <v>3830</v>
      </c>
      <c r="V401" t="s">
        <v>6279</v>
      </c>
      <c r="W401">
        <f>IF($A401="","",COUNTIF(Aircraft!$N:$N,$A401))</f>
        <v>0</v>
      </c>
      <c r="X401" t="str">
        <f t="shared" si="48"/>
        <v>NO AIRCRAFT LINKED</v>
      </c>
      <c r="Y401" t="str">
        <f t="shared" si="49"/>
        <v>EMAIL (SMTP)</v>
      </c>
      <c r="Z401" t="str">
        <f t="shared" si="50"/>
        <v/>
      </c>
      <c r="AA401" t="str">
        <f t="shared" si="51"/>
        <v/>
      </c>
      <c r="AD401" t="str">
        <f t="shared" si="52"/>
        <v>PLAIN TEXT UPPERCASE</v>
      </c>
      <c r="AE401" t="str">
        <f t="shared" si="53"/>
        <v>JTL TRIP SUPPORT</v>
      </c>
      <c r="AF401" t="str">
        <f t="shared" si="54"/>
        <v>NO SENDING ADDRESS - ADD messaging_to_emails</v>
      </c>
      <c r="AG401" t="str">
        <f t="shared" si="55"/>
        <v>ASSIGNABLE</v>
      </c>
    </row>
    <row r="402" spans="1:33" x14ac:dyDescent="0.3">
      <c r="A402" t="s">
        <v>6987</v>
      </c>
      <c r="B402" t="s">
        <v>6988</v>
      </c>
      <c r="T402" t="s">
        <v>3830</v>
      </c>
      <c r="V402" t="s">
        <v>6279</v>
      </c>
      <c r="W402">
        <f>IF($A402="","",COUNTIF(Aircraft!$N:$N,$A402))</f>
        <v>0</v>
      </c>
      <c r="X402" t="str">
        <f t="shared" si="48"/>
        <v>NO AIRCRAFT LINKED</v>
      </c>
      <c r="Y402" t="str">
        <f t="shared" si="49"/>
        <v>EMAIL (SMTP)</v>
      </c>
      <c r="Z402" t="str">
        <f t="shared" si="50"/>
        <v/>
      </c>
      <c r="AA402" t="str">
        <f t="shared" si="51"/>
        <v/>
      </c>
      <c r="AD402" t="str">
        <f t="shared" si="52"/>
        <v>PLAIN TEXT UPPERCASE</v>
      </c>
      <c r="AE402" t="str">
        <f t="shared" si="53"/>
        <v>JTL TRIP SUPPORT</v>
      </c>
      <c r="AF402" t="str">
        <f t="shared" si="54"/>
        <v>NO SENDING ADDRESS - ADD messaging_to_emails</v>
      </c>
      <c r="AG402" t="str">
        <f t="shared" si="55"/>
        <v>ASSIGNABLE</v>
      </c>
    </row>
    <row r="403" spans="1:33" x14ac:dyDescent="0.3">
      <c r="A403" t="s">
        <v>6989</v>
      </c>
      <c r="B403" t="s">
        <v>6990</v>
      </c>
      <c r="T403" t="s">
        <v>3830</v>
      </c>
      <c r="V403" t="s">
        <v>6279</v>
      </c>
      <c r="W403">
        <f>IF($A403="","",COUNTIF(Aircraft!$N:$N,$A403))</f>
        <v>0</v>
      </c>
      <c r="X403" t="str">
        <f t="shared" si="48"/>
        <v>NO AIRCRAFT LINKED</v>
      </c>
      <c r="Y403" t="str">
        <f t="shared" si="49"/>
        <v>EMAIL (SMTP)</v>
      </c>
      <c r="Z403" t="str">
        <f t="shared" si="50"/>
        <v/>
      </c>
      <c r="AA403" t="str">
        <f t="shared" si="51"/>
        <v/>
      </c>
      <c r="AD403" t="str">
        <f t="shared" si="52"/>
        <v>PLAIN TEXT UPPERCASE</v>
      </c>
      <c r="AE403" t="str">
        <f t="shared" si="53"/>
        <v>JTL TRIP SUPPORT</v>
      </c>
      <c r="AF403" t="str">
        <f t="shared" si="54"/>
        <v>NO SENDING ADDRESS - ADD messaging_to_emails</v>
      </c>
      <c r="AG403" t="str">
        <f t="shared" si="55"/>
        <v>ASSIGNABLE</v>
      </c>
    </row>
    <row r="404" spans="1:33" x14ac:dyDescent="0.3">
      <c r="A404" t="s">
        <v>6991</v>
      </c>
      <c r="B404" t="s">
        <v>6992</v>
      </c>
      <c r="T404" t="s">
        <v>3830</v>
      </c>
      <c r="V404" t="s">
        <v>6279</v>
      </c>
      <c r="W404">
        <f>IF($A404="","",COUNTIF(Aircraft!$N:$N,$A404))</f>
        <v>0</v>
      </c>
      <c r="X404" t="str">
        <f t="shared" si="48"/>
        <v>NO AIRCRAFT LINKED</v>
      </c>
      <c r="Y404" t="str">
        <f t="shared" si="49"/>
        <v>EMAIL (SMTP)</v>
      </c>
      <c r="Z404" t="str">
        <f t="shared" si="50"/>
        <v/>
      </c>
      <c r="AA404" t="str">
        <f t="shared" si="51"/>
        <v/>
      </c>
      <c r="AD404" t="str">
        <f t="shared" si="52"/>
        <v>PLAIN TEXT UPPERCASE</v>
      </c>
      <c r="AE404" t="str">
        <f t="shared" si="53"/>
        <v>JTL TRIP SUPPORT</v>
      </c>
      <c r="AF404" t="str">
        <f t="shared" si="54"/>
        <v>NO SENDING ADDRESS - ADD messaging_to_emails</v>
      </c>
      <c r="AG404" t="str">
        <f t="shared" si="55"/>
        <v>ASSIGNABLE</v>
      </c>
    </row>
    <row r="405" spans="1:33" x14ac:dyDescent="0.3">
      <c r="A405" t="s">
        <v>6993</v>
      </c>
      <c r="B405" t="s">
        <v>6994</v>
      </c>
      <c r="T405" t="s">
        <v>3830</v>
      </c>
      <c r="V405" t="s">
        <v>6279</v>
      </c>
      <c r="W405">
        <f>IF($A405="","",COUNTIF(Aircraft!$N:$N,$A405))</f>
        <v>0</v>
      </c>
      <c r="X405" t="str">
        <f t="shared" si="48"/>
        <v>NO AIRCRAFT LINKED</v>
      </c>
      <c r="Y405" t="str">
        <f t="shared" si="49"/>
        <v>EMAIL (SMTP)</v>
      </c>
      <c r="Z405" t="str">
        <f t="shared" si="50"/>
        <v/>
      </c>
      <c r="AA405" t="str">
        <f t="shared" si="51"/>
        <v/>
      </c>
      <c r="AD405" t="str">
        <f t="shared" si="52"/>
        <v>PLAIN TEXT UPPERCASE</v>
      </c>
      <c r="AE405" t="str">
        <f t="shared" si="53"/>
        <v>JTL TRIP SUPPORT</v>
      </c>
      <c r="AF405" t="str">
        <f t="shared" si="54"/>
        <v>NO SENDING ADDRESS - ADD messaging_to_emails</v>
      </c>
      <c r="AG405" t="str">
        <f t="shared" si="55"/>
        <v>ASSIGNABLE</v>
      </c>
    </row>
    <row r="406" spans="1:33" x14ac:dyDescent="0.3">
      <c r="A406" t="s">
        <v>6995</v>
      </c>
      <c r="B406" t="s">
        <v>6996</v>
      </c>
      <c r="T406" t="s">
        <v>3830</v>
      </c>
      <c r="V406" t="s">
        <v>6279</v>
      </c>
      <c r="W406">
        <f>IF($A406="","",COUNTIF(Aircraft!$N:$N,$A406))</f>
        <v>0</v>
      </c>
      <c r="X406" t="str">
        <f t="shared" si="48"/>
        <v>NO AIRCRAFT LINKED</v>
      </c>
      <c r="Y406" t="str">
        <f t="shared" si="49"/>
        <v>EMAIL (SMTP)</v>
      </c>
      <c r="Z406" t="str">
        <f t="shared" si="50"/>
        <v/>
      </c>
      <c r="AA406" t="str">
        <f t="shared" si="51"/>
        <v/>
      </c>
      <c r="AD406" t="str">
        <f t="shared" si="52"/>
        <v>PLAIN TEXT UPPERCASE</v>
      </c>
      <c r="AE406" t="str">
        <f t="shared" si="53"/>
        <v>JTL TRIP SUPPORT</v>
      </c>
      <c r="AF406" t="str">
        <f t="shared" si="54"/>
        <v>NO SENDING ADDRESS - ADD messaging_to_emails</v>
      </c>
      <c r="AG406" t="str">
        <f t="shared" si="55"/>
        <v>ASSIGNABLE</v>
      </c>
    </row>
    <row r="407" spans="1:33" x14ac:dyDescent="0.3">
      <c r="A407" t="s">
        <v>6997</v>
      </c>
      <c r="B407" t="s">
        <v>6998</v>
      </c>
      <c r="T407" t="s">
        <v>3830</v>
      </c>
      <c r="V407" t="s">
        <v>6279</v>
      </c>
      <c r="W407">
        <f>IF($A407="","",COUNTIF(Aircraft!$N:$N,$A407))</f>
        <v>0</v>
      </c>
      <c r="X407" t="str">
        <f t="shared" si="48"/>
        <v>NO AIRCRAFT LINKED</v>
      </c>
      <c r="Y407" t="str">
        <f t="shared" si="49"/>
        <v>EMAIL (SMTP)</v>
      </c>
      <c r="Z407" t="str">
        <f t="shared" si="50"/>
        <v/>
      </c>
      <c r="AA407" t="str">
        <f t="shared" si="51"/>
        <v/>
      </c>
      <c r="AD407" t="str">
        <f t="shared" si="52"/>
        <v>PLAIN TEXT UPPERCASE</v>
      </c>
      <c r="AE407" t="str">
        <f t="shared" si="53"/>
        <v>JTL TRIP SUPPORT</v>
      </c>
      <c r="AF407" t="str">
        <f t="shared" si="54"/>
        <v>NO SENDING ADDRESS - ADD messaging_to_emails</v>
      </c>
      <c r="AG407" t="str">
        <f t="shared" si="55"/>
        <v>ASSIGNABLE</v>
      </c>
    </row>
    <row r="408" spans="1:33" x14ac:dyDescent="0.3">
      <c r="A408" t="s">
        <v>6999</v>
      </c>
      <c r="B408" t="s">
        <v>7000</v>
      </c>
      <c r="T408" t="s">
        <v>3830</v>
      </c>
      <c r="V408" t="s">
        <v>6279</v>
      </c>
      <c r="W408">
        <f>IF($A408="","",COUNTIF(Aircraft!$N:$N,$A408))</f>
        <v>0</v>
      </c>
      <c r="X408" t="str">
        <f t="shared" si="48"/>
        <v>NO AIRCRAFT LINKED</v>
      </c>
      <c r="Y408" t="str">
        <f t="shared" si="49"/>
        <v>EMAIL (SMTP)</v>
      </c>
      <c r="Z408" t="str">
        <f t="shared" si="50"/>
        <v/>
      </c>
      <c r="AA408" t="str">
        <f t="shared" si="51"/>
        <v/>
      </c>
      <c r="AD408" t="str">
        <f t="shared" si="52"/>
        <v>PLAIN TEXT UPPERCASE</v>
      </c>
      <c r="AE408" t="str">
        <f t="shared" si="53"/>
        <v>JTL TRIP SUPPORT</v>
      </c>
      <c r="AF408" t="str">
        <f t="shared" si="54"/>
        <v>NO SENDING ADDRESS - ADD messaging_to_emails</v>
      </c>
      <c r="AG408" t="str">
        <f t="shared" si="55"/>
        <v>ASSIGNABLE</v>
      </c>
    </row>
    <row r="409" spans="1:33" x14ac:dyDescent="0.3">
      <c r="A409" t="s">
        <v>7001</v>
      </c>
      <c r="B409" t="s">
        <v>7002</v>
      </c>
      <c r="T409" t="s">
        <v>3830</v>
      </c>
      <c r="V409" t="s">
        <v>6279</v>
      </c>
      <c r="W409">
        <f>IF($A409="","",COUNTIF(Aircraft!$N:$N,$A409))</f>
        <v>0</v>
      </c>
      <c r="X409" t="str">
        <f t="shared" si="48"/>
        <v>NO AIRCRAFT LINKED</v>
      </c>
      <c r="Y409" t="str">
        <f t="shared" si="49"/>
        <v>EMAIL (SMTP)</v>
      </c>
      <c r="Z409" t="str">
        <f t="shared" si="50"/>
        <v/>
      </c>
      <c r="AA409" t="str">
        <f t="shared" si="51"/>
        <v/>
      </c>
      <c r="AD409" t="str">
        <f t="shared" si="52"/>
        <v>PLAIN TEXT UPPERCASE</v>
      </c>
      <c r="AE409" t="str">
        <f t="shared" si="53"/>
        <v>JTL TRIP SUPPORT</v>
      </c>
      <c r="AF409" t="str">
        <f t="shared" si="54"/>
        <v>NO SENDING ADDRESS - ADD messaging_to_emails</v>
      </c>
      <c r="AG409" t="str">
        <f t="shared" si="55"/>
        <v>ASSIGNABLE</v>
      </c>
    </row>
    <row r="410" spans="1:33" x14ac:dyDescent="0.3">
      <c r="A410" t="s">
        <v>7003</v>
      </c>
      <c r="B410" t="s">
        <v>7004</v>
      </c>
      <c r="T410" t="s">
        <v>3830</v>
      </c>
      <c r="V410" t="s">
        <v>6279</v>
      </c>
      <c r="W410">
        <f>IF($A410="","",COUNTIF(Aircraft!$N:$N,$A410))</f>
        <v>0</v>
      </c>
      <c r="X410" t="str">
        <f t="shared" si="48"/>
        <v>NO AIRCRAFT LINKED</v>
      </c>
      <c r="Y410" t="str">
        <f t="shared" si="49"/>
        <v>EMAIL (SMTP)</v>
      </c>
      <c r="Z410" t="str">
        <f t="shared" si="50"/>
        <v/>
      </c>
      <c r="AA410" t="str">
        <f t="shared" si="51"/>
        <v/>
      </c>
      <c r="AD410" t="str">
        <f t="shared" si="52"/>
        <v>PLAIN TEXT UPPERCASE</v>
      </c>
      <c r="AE410" t="str">
        <f t="shared" si="53"/>
        <v>JTL TRIP SUPPORT</v>
      </c>
      <c r="AF410" t="str">
        <f t="shared" si="54"/>
        <v>NO SENDING ADDRESS - ADD messaging_to_emails</v>
      </c>
      <c r="AG410" t="str">
        <f t="shared" si="55"/>
        <v>ASSIGNABLE</v>
      </c>
    </row>
    <row r="411" spans="1:33" x14ac:dyDescent="0.3">
      <c r="A411" t="s">
        <v>7005</v>
      </c>
      <c r="B411" t="s">
        <v>7006</v>
      </c>
      <c r="T411" t="s">
        <v>3830</v>
      </c>
      <c r="V411" t="s">
        <v>6279</v>
      </c>
      <c r="W411">
        <f>IF($A411="","",COUNTIF(Aircraft!$N:$N,$A411))</f>
        <v>0</v>
      </c>
      <c r="X411" t="str">
        <f t="shared" si="48"/>
        <v>NO AIRCRAFT LINKED</v>
      </c>
      <c r="Y411" t="str">
        <f t="shared" si="49"/>
        <v>EMAIL (SMTP)</v>
      </c>
      <c r="Z411" t="str">
        <f t="shared" si="50"/>
        <v/>
      </c>
      <c r="AA411" t="str">
        <f t="shared" si="51"/>
        <v/>
      </c>
      <c r="AD411" t="str">
        <f t="shared" si="52"/>
        <v>PLAIN TEXT UPPERCASE</v>
      </c>
      <c r="AE411" t="str">
        <f t="shared" si="53"/>
        <v>JTL TRIP SUPPORT</v>
      </c>
      <c r="AF411" t="str">
        <f t="shared" si="54"/>
        <v>NO SENDING ADDRESS - ADD messaging_to_emails</v>
      </c>
      <c r="AG411" t="str">
        <f t="shared" si="55"/>
        <v>ASSIGNABLE</v>
      </c>
    </row>
    <row r="412" spans="1:33" x14ac:dyDescent="0.3">
      <c r="A412" t="s">
        <v>7007</v>
      </c>
      <c r="B412" t="s">
        <v>7008</v>
      </c>
      <c r="T412" t="s">
        <v>3830</v>
      </c>
      <c r="V412" t="s">
        <v>6279</v>
      </c>
      <c r="W412">
        <f>IF($A412="","",COUNTIF(Aircraft!$N:$N,$A412))</f>
        <v>0</v>
      </c>
      <c r="X412" t="str">
        <f t="shared" si="48"/>
        <v>NO AIRCRAFT LINKED</v>
      </c>
      <c r="Y412" t="str">
        <f t="shared" si="49"/>
        <v>EMAIL (SMTP)</v>
      </c>
      <c r="Z412" t="str">
        <f t="shared" si="50"/>
        <v/>
      </c>
      <c r="AA412" t="str">
        <f t="shared" si="51"/>
        <v/>
      </c>
      <c r="AD412" t="str">
        <f t="shared" si="52"/>
        <v>PLAIN TEXT UPPERCASE</v>
      </c>
      <c r="AE412" t="str">
        <f t="shared" si="53"/>
        <v>JTL TRIP SUPPORT</v>
      </c>
      <c r="AF412" t="str">
        <f t="shared" si="54"/>
        <v>NO SENDING ADDRESS - ADD messaging_to_emails</v>
      </c>
      <c r="AG412" t="str">
        <f t="shared" si="55"/>
        <v>ASSIGNABLE</v>
      </c>
    </row>
    <row r="413" spans="1:33" x14ac:dyDescent="0.3">
      <c r="A413" t="s">
        <v>7009</v>
      </c>
      <c r="B413" t="s">
        <v>7010</v>
      </c>
      <c r="T413" t="s">
        <v>3830</v>
      </c>
      <c r="V413" t="s">
        <v>6279</v>
      </c>
      <c r="W413">
        <f>IF($A413="","",COUNTIF(Aircraft!$N:$N,$A413))</f>
        <v>0</v>
      </c>
      <c r="X413" t="str">
        <f t="shared" si="48"/>
        <v>NO AIRCRAFT LINKED</v>
      </c>
      <c r="Y413" t="str">
        <f t="shared" si="49"/>
        <v>EMAIL (SMTP)</v>
      </c>
      <c r="Z413" t="str">
        <f t="shared" si="50"/>
        <v/>
      </c>
      <c r="AA413" t="str">
        <f t="shared" si="51"/>
        <v/>
      </c>
      <c r="AD413" t="str">
        <f t="shared" si="52"/>
        <v>PLAIN TEXT UPPERCASE</v>
      </c>
      <c r="AE413" t="str">
        <f t="shared" si="53"/>
        <v>JTL TRIP SUPPORT</v>
      </c>
      <c r="AF413" t="str">
        <f t="shared" si="54"/>
        <v>NO SENDING ADDRESS - ADD messaging_to_emails</v>
      </c>
      <c r="AG413" t="str">
        <f t="shared" si="55"/>
        <v>ASSIGNABLE</v>
      </c>
    </row>
    <row r="414" spans="1:33" x14ac:dyDescent="0.3">
      <c r="A414" t="s">
        <v>7011</v>
      </c>
      <c r="B414" t="s">
        <v>7012</v>
      </c>
      <c r="T414" t="s">
        <v>3830</v>
      </c>
      <c r="V414" t="s">
        <v>6279</v>
      </c>
      <c r="W414">
        <f>IF($A414="","",COUNTIF(Aircraft!$N:$N,$A414))</f>
        <v>0</v>
      </c>
      <c r="X414" t="str">
        <f t="shared" si="48"/>
        <v>NO AIRCRAFT LINKED</v>
      </c>
      <c r="Y414" t="str">
        <f t="shared" si="49"/>
        <v>EMAIL (SMTP)</v>
      </c>
      <c r="Z414" t="str">
        <f t="shared" si="50"/>
        <v/>
      </c>
      <c r="AA414" t="str">
        <f t="shared" si="51"/>
        <v/>
      </c>
      <c r="AD414" t="str">
        <f t="shared" si="52"/>
        <v>PLAIN TEXT UPPERCASE</v>
      </c>
      <c r="AE414" t="str">
        <f t="shared" si="53"/>
        <v>JTL TRIP SUPPORT</v>
      </c>
      <c r="AF414" t="str">
        <f t="shared" si="54"/>
        <v>NO SENDING ADDRESS - ADD messaging_to_emails</v>
      </c>
      <c r="AG414" t="str">
        <f t="shared" si="55"/>
        <v>ASSIGNABLE</v>
      </c>
    </row>
    <row r="415" spans="1:33" x14ac:dyDescent="0.3">
      <c r="A415" t="s">
        <v>7013</v>
      </c>
      <c r="B415" t="s">
        <v>7014</v>
      </c>
      <c r="T415" t="s">
        <v>3830</v>
      </c>
      <c r="V415" t="s">
        <v>6279</v>
      </c>
      <c r="W415">
        <f>IF($A415="","",COUNTIF(Aircraft!$N:$N,$A415))</f>
        <v>0</v>
      </c>
      <c r="X415" t="str">
        <f t="shared" si="48"/>
        <v>NO AIRCRAFT LINKED</v>
      </c>
      <c r="Y415" t="str">
        <f t="shared" si="49"/>
        <v>EMAIL (SMTP)</v>
      </c>
      <c r="Z415" t="str">
        <f t="shared" si="50"/>
        <v/>
      </c>
      <c r="AA415" t="str">
        <f t="shared" si="51"/>
        <v/>
      </c>
      <c r="AD415" t="str">
        <f t="shared" si="52"/>
        <v>PLAIN TEXT UPPERCASE</v>
      </c>
      <c r="AE415" t="str">
        <f t="shared" si="53"/>
        <v>JTL TRIP SUPPORT</v>
      </c>
      <c r="AF415" t="str">
        <f t="shared" si="54"/>
        <v>NO SENDING ADDRESS - ADD messaging_to_emails</v>
      </c>
      <c r="AG415" t="str">
        <f t="shared" si="55"/>
        <v>ASSIGNABLE</v>
      </c>
    </row>
    <row r="416" spans="1:33" x14ac:dyDescent="0.3">
      <c r="A416" t="s">
        <v>7015</v>
      </c>
      <c r="B416" t="s">
        <v>7016</v>
      </c>
      <c r="T416" t="s">
        <v>3830</v>
      </c>
      <c r="V416" t="s">
        <v>6279</v>
      </c>
      <c r="W416">
        <f>IF($A416="","",COUNTIF(Aircraft!$N:$N,$A416))</f>
        <v>0</v>
      </c>
      <c r="X416" t="str">
        <f t="shared" si="48"/>
        <v>NO AIRCRAFT LINKED</v>
      </c>
      <c r="Y416" t="str">
        <f t="shared" si="49"/>
        <v>EMAIL (SMTP)</v>
      </c>
      <c r="Z416" t="str">
        <f t="shared" si="50"/>
        <v/>
      </c>
      <c r="AA416" t="str">
        <f t="shared" si="51"/>
        <v/>
      </c>
      <c r="AD416" t="str">
        <f t="shared" si="52"/>
        <v>PLAIN TEXT UPPERCASE</v>
      </c>
      <c r="AE416" t="str">
        <f t="shared" si="53"/>
        <v>JTL TRIP SUPPORT</v>
      </c>
      <c r="AF416" t="str">
        <f t="shared" si="54"/>
        <v>NO SENDING ADDRESS - ADD messaging_to_emails</v>
      </c>
      <c r="AG416" t="str">
        <f t="shared" si="55"/>
        <v>ASSIGNABLE</v>
      </c>
    </row>
    <row r="417" spans="1:33" x14ac:dyDescent="0.3">
      <c r="A417" t="s">
        <v>7017</v>
      </c>
      <c r="B417" t="s">
        <v>7018</v>
      </c>
      <c r="T417" t="s">
        <v>3830</v>
      </c>
      <c r="V417" t="s">
        <v>6279</v>
      </c>
      <c r="W417">
        <f>IF($A417="","",COUNTIF(Aircraft!$N:$N,$A417))</f>
        <v>0</v>
      </c>
      <c r="X417" t="str">
        <f t="shared" si="48"/>
        <v>NO AIRCRAFT LINKED</v>
      </c>
      <c r="Y417" t="str">
        <f t="shared" si="49"/>
        <v>EMAIL (SMTP)</v>
      </c>
      <c r="Z417" t="str">
        <f t="shared" si="50"/>
        <v/>
      </c>
      <c r="AA417" t="str">
        <f t="shared" si="51"/>
        <v/>
      </c>
      <c r="AD417" t="str">
        <f t="shared" si="52"/>
        <v>PLAIN TEXT UPPERCASE</v>
      </c>
      <c r="AE417" t="str">
        <f t="shared" si="53"/>
        <v>JTL TRIP SUPPORT</v>
      </c>
      <c r="AF417" t="str">
        <f t="shared" si="54"/>
        <v>NO SENDING ADDRESS - ADD messaging_to_emails</v>
      </c>
      <c r="AG417" t="str">
        <f t="shared" si="55"/>
        <v>ASSIGNABLE</v>
      </c>
    </row>
    <row r="418" spans="1:33" x14ac:dyDescent="0.3">
      <c r="A418" t="s">
        <v>7019</v>
      </c>
      <c r="B418" t="s">
        <v>7020</v>
      </c>
      <c r="T418" t="s">
        <v>3830</v>
      </c>
      <c r="V418" t="s">
        <v>6279</v>
      </c>
      <c r="W418">
        <f>IF($A418="","",COUNTIF(Aircraft!$N:$N,$A418))</f>
        <v>0</v>
      </c>
      <c r="X418" t="str">
        <f t="shared" si="48"/>
        <v>NO AIRCRAFT LINKED</v>
      </c>
      <c r="Y418" t="str">
        <f t="shared" si="49"/>
        <v>EMAIL (SMTP)</v>
      </c>
      <c r="Z418" t="str">
        <f t="shared" si="50"/>
        <v/>
      </c>
      <c r="AA418" t="str">
        <f t="shared" si="51"/>
        <v/>
      </c>
      <c r="AD418" t="str">
        <f t="shared" si="52"/>
        <v>PLAIN TEXT UPPERCASE</v>
      </c>
      <c r="AE418" t="str">
        <f t="shared" si="53"/>
        <v>JTL TRIP SUPPORT</v>
      </c>
      <c r="AF418" t="str">
        <f t="shared" si="54"/>
        <v>NO SENDING ADDRESS - ADD messaging_to_emails</v>
      </c>
      <c r="AG418" t="str">
        <f t="shared" si="55"/>
        <v>ASSIGNABLE</v>
      </c>
    </row>
    <row r="419" spans="1:33" x14ac:dyDescent="0.3">
      <c r="A419" t="s">
        <v>7021</v>
      </c>
      <c r="B419" t="s">
        <v>7022</v>
      </c>
      <c r="T419" t="s">
        <v>3830</v>
      </c>
      <c r="V419" t="s">
        <v>6279</v>
      </c>
      <c r="W419">
        <f>IF($A419="","",COUNTIF(Aircraft!$N:$N,$A419))</f>
        <v>0</v>
      </c>
      <c r="X419" t="str">
        <f t="shared" si="48"/>
        <v>NO AIRCRAFT LINKED</v>
      </c>
      <c r="Y419" t="str">
        <f t="shared" si="49"/>
        <v>EMAIL (SMTP)</v>
      </c>
      <c r="Z419" t="str">
        <f t="shared" si="50"/>
        <v/>
      </c>
      <c r="AA419" t="str">
        <f t="shared" si="51"/>
        <v/>
      </c>
      <c r="AD419" t="str">
        <f t="shared" si="52"/>
        <v>PLAIN TEXT UPPERCASE</v>
      </c>
      <c r="AE419" t="str">
        <f t="shared" si="53"/>
        <v>JTL TRIP SUPPORT</v>
      </c>
      <c r="AF419" t="str">
        <f t="shared" si="54"/>
        <v>NO SENDING ADDRESS - ADD messaging_to_emails</v>
      </c>
      <c r="AG419" t="str">
        <f t="shared" si="55"/>
        <v>ASSIGNABLE</v>
      </c>
    </row>
    <row r="420" spans="1:33" x14ac:dyDescent="0.3">
      <c r="A420" t="s">
        <v>7023</v>
      </c>
      <c r="B420" t="s">
        <v>7024</v>
      </c>
      <c r="T420" t="s">
        <v>3830</v>
      </c>
      <c r="V420" t="s">
        <v>6279</v>
      </c>
      <c r="W420">
        <f>IF($A420="","",COUNTIF(Aircraft!$N:$N,$A420))</f>
        <v>0</v>
      </c>
      <c r="X420" t="str">
        <f t="shared" si="48"/>
        <v>NO AIRCRAFT LINKED</v>
      </c>
      <c r="Y420" t="str">
        <f t="shared" si="49"/>
        <v>EMAIL (SMTP)</v>
      </c>
      <c r="Z420" t="str">
        <f t="shared" si="50"/>
        <v/>
      </c>
      <c r="AA420" t="str">
        <f t="shared" si="51"/>
        <v/>
      </c>
      <c r="AD420" t="str">
        <f t="shared" si="52"/>
        <v>PLAIN TEXT UPPERCASE</v>
      </c>
      <c r="AE420" t="str">
        <f t="shared" si="53"/>
        <v>JTL TRIP SUPPORT</v>
      </c>
      <c r="AF420" t="str">
        <f t="shared" si="54"/>
        <v>NO SENDING ADDRESS - ADD messaging_to_emails</v>
      </c>
      <c r="AG420" t="str">
        <f t="shared" si="55"/>
        <v>ASSIGNABLE</v>
      </c>
    </row>
    <row r="421" spans="1:33" x14ac:dyDescent="0.3">
      <c r="A421" t="s">
        <v>7025</v>
      </c>
      <c r="B421" t="s">
        <v>7026</v>
      </c>
      <c r="T421" t="s">
        <v>3830</v>
      </c>
      <c r="V421" t="s">
        <v>6279</v>
      </c>
      <c r="W421">
        <f>IF($A421="","",COUNTIF(Aircraft!$N:$N,$A421))</f>
        <v>0</v>
      </c>
      <c r="X421" t="str">
        <f t="shared" si="48"/>
        <v>NO AIRCRAFT LINKED</v>
      </c>
      <c r="Y421" t="str">
        <f t="shared" si="49"/>
        <v>EMAIL (SMTP)</v>
      </c>
      <c r="Z421" t="str">
        <f t="shared" si="50"/>
        <v/>
      </c>
      <c r="AA421" t="str">
        <f t="shared" si="51"/>
        <v/>
      </c>
      <c r="AD421" t="str">
        <f t="shared" si="52"/>
        <v>PLAIN TEXT UPPERCASE</v>
      </c>
      <c r="AE421" t="str">
        <f t="shared" si="53"/>
        <v>JTL TRIP SUPPORT</v>
      </c>
      <c r="AF421" t="str">
        <f t="shared" si="54"/>
        <v>NO SENDING ADDRESS - ADD messaging_to_emails</v>
      </c>
      <c r="AG421" t="str">
        <f t="shared" si="55"/>
        <v>ASSIGNABLE</v>
      </c>
    </row>
    <row r="422" spans="1:33" x14ac:dyDescent="0.3">
      <c r="A422" t="s">
        <v>7027</v>
      </c>
      <c r="B422" t="s">
        <v>7028</v>
      </c>
      <c r="T422" t="s">
        <v>3830</v>
      </c>
      <c r="V422" t="s">
        <v>6279</v>
      </c>
      <c r="W422">
        <f>IF($A422="","",COUNTIF(Aircraft!$N:$N,$A422))</f>
        <v>0</v>
      </c>
      <c r="X422" t="str">
        <f t="shared" si="48"/>
        <v>NO AIRCRAFT LINKED</v>
      </c>
      <c r="Y422" t="str">
        <f t="shared" si="49"/>
        <v>EMAIL (SMTP)</v>
      </c>
      <c r="Z422" t="str">
        <f t="shared" si="50"/>
        <v/>
      </c>
      <c r="AA422" t="str">
        <f t="shared" si="51"/>
        <v/>
      </c>
      <c r="AD422" t="str">
        <f t="shared" si="52"/>
        <v>PLAIN TEXT UPPERCASE</v>
      </c>
      <c r="AE422" t="str">
        <f t="shared" si="53"/>
        <v>JTL TRIP SUPPORT</v>
      </c>
      <c r="AF422" t="str">
        <f t="shared" si="54"/>
        <v>NO SENDING ADDRESS - ADD messaging_to_emails</v>
      </c>
      <c r="AG422" t="str">
        <f t="shared" si="55"/>
        <v>ASSIGNABLE</v>
      </c>
    </row>
    <row r="423" spans="1:33" x14ac:dyDescent="0.3">
      <c r="A423" t="s">
        <v>7029</v>
      </c>
      <c r="B423" t="s">
        <v>7030</v>
      </c>
      <c r="T423" t="s">
        <v>3830</v>
      </c>
      <c r="V423" t="s">
        <v>6279</v>
      </c>
      <c r="W423">
        <f>IF($A423="","",COUNTIF(Aircraft!$N:$N,$A423))</f>
        <v>0</v>
      </c>
      <c r="X423" t="str">
        <f t="shared" si="48"/>
        <v>NO AIRCRAFT LINKED</v>
      </c>
      <c r="Y423" t="str">
        <f t="shared" si="49"/>
        <v>EMAIL (SMTP)</v>
      </c>
      <c r="Z423" t="str">
        <f t="shared" si="50"/>
        <v/>
      </c>
      <c r="AA423" t="str">
        <f t="shared" si="51"/>
        <v/>
      </c>
      <c r="AD423" t="str">
        <f t="shared" si="52"/>
        <v>PLAIN TEXT UPPERCASE</v>
      </c>
      <c r="AE423" t="str">
        <f t="shared" si="53"/>
        <v>JTL TRIP SUPPORT</v>
      </c>
      <c r="AF423" t="str">
        <f t="shared" si="54"/>
        <v>NO SENDING ADDRESS - ADD messaging_to_emails</v>
      </c>
      <c r="AG423" t="str">
        <f t="shared" si="55"/>
        <v>ASSIGNABLE</v>
      </c>
    </row>
    <row r="424" spans="1:33" x14ac:dyDescent="0.3">
      <c r="A424" t="s">
        <v>7031</v>
      </c>
      <c r="B424" t="s">
        <v>7032</v>
      </c>
      <c r="T424" t="s">
        <v>3830</v>
      </c>
      <c r="V424" t="s">
        <v>6279</v>
      </c>
      <c r="W424">
        <f>IF($A424="","",COUNTIF(Aircraft!$N:$N,$A424))</f>
        <v>0</v>
      </c>
      <c r="X424" t="str">
        <f t="shared" si="48"/>
        <v>NO AIRCRAFT LINKED</v>
      </c>
      <c r="Y424" t="str">
        <f t="shared" si="49"/>
        <v>EMAIL (SMTP)</v>
      </c>
      <c r="Z424" t="str">
        <f t="shared" si="50"/>
        <v/>
      </c>
      <c r="AA424" t="str">
        <f t="shared" si="51"/>
        <v/>
      </c>
      <c r="AD424" t="str">
        <f t="shared" si="52"/>
        <v>PLAIN TEXT UPPERCASE</v>
      </c>
      <c r="AE424" t="str">
        <f t="shared" si="53"/>
        <v>JTL TRIP SUPPORT</v>
      </c>
      <c r="AF424" t="str">
        <f t="shared" si="54"/>
        <v>NO SENDING ADDRESS - ADD messaging_to_emails</v>
      </c>
      <c r="AG424" t="str">
        <f t="shared" si="55"/>
        <v>ASSIGNABLE</v>
      </c>
    </row>
    <row r="425" spans="1:33" x14ac:dyDescent="0.3">
      <c r="A425" t="s">
        <v>7033</v>
      </c>
      <c r="B425" t="s">
        <v>7034</v>
      </c>
      <c r="T425" t="s">
        <v>3830</v>
      </c>
      <c r="V425" t="s">
        <v>6279</v>
      </c>
      <c r="W425">
        <f>IF($A425="","",COUNTIF(Aircraft!$N:$N,$A425))</f>
        <v>0</v>
      </c>
      <c r="X425" t="str">
        <f t="shared" si="48"/>
        <v>NO AIRCRAFT LINKED</v>
      </c>
      <c r="Y425" t="str">
        <f t="shared" si="49"/>
        <v>EMAIL (SMTP)</v>
      </c>
      <c r="Z425" t="str">
        <f t="shared" si="50"/>
        <v/>
      </c>
      <c r="AA425" t="str">
        <f t="shared" si="51"/>
        <v/>
      </c>
      <c r="AD425" t="str">
        <f t="shared" si="52"/>
        <v>PLAIN TEXT UPPERCASE</v>
      </c>
      <c r="AE425" t="str">
        <f t="shared" si="53"/>
        <v>JTL TRIP SUPPORT</v>
      </c>
      <c r="AF425" t="str">
        <f t="shared" si="54"/>
        <v>NO SENDING ADDRESS - ADD messaging_to_emails</v>
      </c>
      <c r="AG425" t="str">
        <f t="shared" si="55"/>
        <v>ASSIGNABLE</v>
      </c>
    </row>
    <row r="426" spans="1:33" x14ac:dyDescent="0.3">
      <c r="A426" t="s">
        <v>7035</v>
      </c>
      <c r="B426" t="s">
        <v>7036</v>
      </c>
      <c r="T426" t="s">
        <v>3830</v>
      </c>
      <c r="V426" t="s">
        <v>6279</v>
      </c>
      <c r="W426">
        <f>IF($A426="","",COUNTIF(Aircraft!$N:$N,$A426))</f>
        <v>0</v>
      </c>
      <c r="X426" t="str">
        <f t="shared" si="48"/>
        <v>NO AIRCRAFT LINKED</v>
      </c>
      <c r="Y426" t="str">
        <f t="shared" si="49"/>
        <v>EMAIL (SMTP)</v>
      </c>
      <c r="Z426" t="str">
        <f t="shared" si="50"/>
        <v/>
      </c>
      <c r="AA426" t="str">
        <f t="shared" si="51"/>
        <v/>
      </c>
      <c r="AD426" t="str">
        <f t="shared" si="52"/>
        <v>PLAIN TEXT UPPERCASE</v>
      </c>
      <c r="AE426" t="str">
        <f t="shared" si="53"/>
        <v>JTL TRIP SUPPORT</v>
      </c>
      <c r="AF426" t="str">
        <f t="shared" si="54"/>
        <v>NO SENDING ADDRESS - ADD messaging_to_emails</v>
      </c>
      <c r="AG426" t="str">
        <f t="shared" si="55"/>
        <v>ASSIGNABLE</v>
      </c>
    </row>
    <row r="427" spans="1:33" x14ac:dyDescent="0.3">
      <c r="A427" t="s">
        <v>7037</v>
      </c>
      <c r="B427" t="s">
        <v>7038</v>
      </c>
      <c r="T427" t="s">
        <v>3830</v>
      </c>
      <c r="V427" t="s">
        <v>6279</v>
      </c>
      <c r="W427">
        <f>IF($A427="","",COUNTIF(Aircraft!$N:$N,$A427))</f>
        <v>0</v>
      </c>
      <c r="X427" t="str">
        <f t="shared" si="48"/>
        <v>NO AIRCRAFT LINKED</v>
      </c>
      <c r="Y427" t="str">
        <f t="shared" si="49"/>
        <v>EMAIL (SMTP)</v>
      </c>
      <c r="Z427" t="str">
        <f t="shared" si="50"/>
        <v/>
      </c>
      <c r="AA427" t="str">
        <f t="shared" si="51"/>
        <v/>
      </c>
      <c r="AD427" t="str">
        <f t="shared" si="52"/>
        <v>PLAIN TEXT UPPERCASE</v>
      </c>
      <c r="AE427" t="str">
        <f t="shared" si="53"/>
        <v>JTL TRIP SUPPORT</v>
      </c>
      <c r="AF427" t="str">
        <f t="shared" si="54"/>
        <v>NO SENDING ADDRESS - ADD messaging_to_emails</v>
      </c>
      <c r="AG427" t="str">
        <f t="shared" si="55"/>
        <v>ASSIGNABLE</v>
      </c>
    </row>
    <row r="428" spans="1:33" x14ac:dyDescent="0.3">
      <c r="A428" t="s">
        <v>7039</v>
      </c>
      <c r="B428" t="s">
        <v>7040</v>
      </c>
      <c r="T428" t="s">
        <v>3830</v>
      </c>
      <c r="V428" t="s">
        <v>6279</v>
      </c>
      <c r="W428">
        <f>IF($A428="","",COUNTIF(Aircraft!$N:$N,$A428))</f>
        <v>0</v>
      </c>
      <c r="X428" t="str">
        <f t="shared" si="48"/>
        <v>NO AIRCRAFT LINKED</v>
      </c>
      <c r="Y428" t="str">
        <f t="shared" si="49"/>
        <v>EMAIL (SMTP)</v>
      </c>
      <c r="Z428" t="str">
        <f t="shared" si="50"/>
        <v/>
      </c>
      <c r="AA428" t="str">
        <f t="shared" si="51"/>
        <v/>
      </c>
      <c r="AD428" t="str">
        <f t="shared" si="52"/>
        <v>PLAIN TEXT UPPERCASE</v>
      </c>
      <c r="AE428" t="str">
        <f t="shared" si="53"/>
        <v>JTL TRIP SUPPORT</v>
      </c>
      <c r="AF428" t="str">
        <f t="shared" si="54"/>
        <v>NO SENDING ADDRESS - ADD messaging_to_emails</v>
      </c>
      <c r="AG428" t="str">
        <f t="shared" si="55"/>
        <v>ASSIGNABLE</v>
      </c>
    </row>
    <row r="429" spans="1:33" x14ac:dyDescent="0.3">
      <c r="A429" t="s">
        <v>7041</v>
      </c>
      <c r="B429" t="s">
        <v>7042</v>
      </c>
      <c r="T429" t="s">
        <v>3830</v>
      </c>
      <c r="V429" t="s">
        <v>6279</v>
      </c>
      <c r="W429">
        <f>IF($A429="","",COUNTIF(Aircraft!$N:$N,$A429))</f>
        <v>0</v>
      </c>
      <c r="X429" t="str">
        <f t="shared" si="48"/>
        <v>NO AIRCRAFT LINKED</v>
      </c>
      <c r="Y429" t="str">
        <f t="shared" si="49"/>
        <v>EMAIL (SMTP)</v>
      </c>
      <c r="Z429" t="str">
        <f t="shared" si="50"/>
        <v/>
      </c>
      <c r="AA429" t="str">
        <f t="shared" si="51"/>
        <v/>
      </c>
      <c r="AD429" t="str">
        <f t="shared" si="52"/>
        <v>PLAIN TEXT UPPERCASE</v>
      </c>
      <c r="AE429" t="str">
        <f t="shared" si="53"/>
        <v>JTL TRIP SUPPORT</v>
      </c>
      <c r="AF429" t="str">
        <f t="shared" si="54"/>
        <v>NO SENDING ADDRESS - ADD messaging_to_emails</v>
      </c>
      <c r="AG429" t="str">
        <f t="shared" si="55"/>
        <v>ASSIGNABLE</v>
      </c>
    </row>
    <row r="430" spans="1:33" x14ac:dyDescent="0.3">
      <c r="A430" t="s">
        <v>7043</v>
      </c>
      <c r="B430" t="s">
        <v>7044</v>
      </c>
      <c r="T430" t="s">
        <v>3830</v>
      </c>
      <c r="V430" t="s">
        <v>6279</v>
      </c>
      <c r="W430">
        <f>IF($A430="","",COUNTIF(Aircraft!$N:$N,$A430))</f>
        <v>0</v>
      </c>
      <c r="X430" t="str">
        <f t="shared" si="48"/>
        <v>NO AIRCRAFT LINKED</v>
      </c>
      <c r="Y430" t="str">
        <f t="shared" si="49"/>
        <v>EMAIL (SMTP)</v>
      </c>
      <c r="Z430" t="str">
        <f t="shared" si="50"/>
        <v/>
      </c>
      <c r="AA430" t="str">
        <f t="shared" si="51"/>
        <v/>
      </c>
      <c r="AD430" t="str">
        <f t="shared" si="52"/>
        <v>PLAIN TEXT UPPERCASE</v>
      </c>
      <c r="AE430" t="str">
        <f t="shared" si="53"/>
        <v>JTL TRIP SUPPORT</v>
      </c>
      <c r="AF430" t="str">
        <f t="shared" si="54"/>
        <v>NO SENDING ADDRESS - ADD messaging_to_emails</v>
      </c>
      <c r="AG430" t="str">
        <f t="shared" si="55"/>
        <v>ASSIGNABLE</v>
      </c>
    </row>
    <row r="431" spans="1:33" x14ac:dyDescent="0.3">
      <c r="A431" t="s">
        <v>7045</v>
      </c>
      <c r="B431" t="s">
        <v>7046</v>
      </c>
      <c r="T431" t="s">
        <v>3830</v>
      </c>
      <c r="V431" t="s">
        <v>6279</v>
      </c>
      <c r="W431">
        <f>IF($A431="","",COUNTIF(Aircraft!$N:$N,$A431))</f>
        <v>0</v>
      </c>
      <c r="X431" t="str">
        <f t="shared" si="48"/>
        <v>NO AIRCRAFT LINKED</v>
      </c>
      <c r="Y431" t="str">
        <f t="shared" si="49"/>
        <v>EMAIL (SMTP)</v>
      </c>
      <c r="Z431" t="str">
        <f t="shared" si="50"/>
        <v/>
      </c>
      <c r="AA431" t="str">
        <f t="shared" si="51"/>
        <v/>
      </c>
      <c r="AD431" t="str">
        <f t="shared" si="52"/>
        <v>PLAIN TEXT UPPERCASE</v>
      </c>
      <c r="AE431" t="str">
        <f t="shared" si="53"/>
        <v>JTL TRIP SUPPORT</v>
      </c>
      <c r="AF431" t="str">
        <f t="shared" si="54"/>
        <v>NO SENDING ADDRESS - ADD messaging_to_emails</v>
      </c>
      <c r="AG431" t="str">
        <f t="shared" si="55"/>
        <v>ASSIGNABLE</v>
      </c>
    </row>
    <row r="432" spans="1:33" x14ac:dyDescent="0.3">
      <c r="A432" t="s">
        <v>7047</v>
      </c>
      <c r="B432" t="s">
        <v>7048</v>
      </c>
      <c r="T432" t="s">
        <v>3830</v>
      </c>
      <c r="V432" t="s">
        <v>6279</v>
      </c>
      <c r="W432">
        <f>IF($A432="","",COUNTIF(Aircraft!$N:$N,$A432))</f>
        <v>0</v>
      </c>
      <c r="X432" t="str">
        <f t="shared" si="48"/>
        <v>NO AIRCRAFT LINKED</v>
      </c>
      <c r="Y432" t="str">
        <f t="shared" si="49"/>
        <v>EMAIL (SMTP)</v>
      </c>
      <c r="Z432" t="str">
        <f t="shared" si="50"/>
        <v/>
      </c>
      <c r="AA432" t="str">
        <f t="shared" si="51"/>
        <v/>
      </c>
      <c r="AD432" t="str">
        <f t="shared" si="52"/>
        <v>PLAIN TEXT UPPERCASE</v>
      </c>
      <c r="AE432" t="str">
        <f t="shared" si="53"/>
        <v>JTL TRIP SUPPORT</v>
      </c>
      <c r="AF432" t="str">
        <f t="shared" si="54"/>
        <v>NO SENDING ADDRESS - ADD messaging_to_emails</v>
      </c>
      <c r="AG432" t="str">
        <f t="shared" si="55"/>
        <v>ASSIGNABLE</v>
      </c>
    </row>
    <row r="433" spans="1:33" x14ac:dyDescent="0.3">
      <c r="A433" t="s">
        <v>7049</v>
      </c>
      <c r="B433" t="s">
        <v>7050</v>
      </c>
      <c r="T433" t="s">
        <v>3830</v>
      </c>
      <c r="V433" t="s">
        <v>6279</v>
      </c>
      <c r="W433">
        <f>IF($A433="","",COUNTIF(Aircraft!$N:$N,$A433))</f>
        <v>0</v>
      </c>
      <c r="X433" t="str">
        <f t="shared" si="48"/>
        <v>NO AIRCRAFT LINKED</v>
      </c>
      <c r="Y433" t="str">
        <f t="shared" si="49"/>
        <v>EMAIL (SMTP)</v>
      </c>
      <c r="Z433" t="str">
        <f t="shared" si="50"/>
        <v/>
      </c>
      <c r="AA433" t="str">
        <f t="shared" si="51"/>
        <v/>
      </c>
      <c r="AD433" t="str">
        <f t="shared" si="52"/>
        <v>PLAIN TEXT UPPERCASE</v>
      </c>
      <c r="AE433" t="str">
        <f t="shared" si="53"/>
        <v>JTL TRIP SUPPORT</v>
      </c>
      <c r="AF433" t="str">
        <f t="shared" si="54"/>
        <v>NO SENDING ADDRESS - ADD messaging_to_emails</v>
      </c>
      <c r="AG433" t="str">
        <f t="shared" si="55"/>
        <v>ASSIGNABLE</v>
      </c>
    </row>
    <row r="434" spans="1:33" x14ac:dyDescent="0.3">
      <c r="A434" t="s">
        <v>7051</v>
      </c>
      <c r="B434" t="s">
        <v>7052</v>
      </c>
      <c r="T434" t="s">
        <v>3830</v>
      </c>
      <c r="V434" t="s">
        <v>6279</v>
      </c>
      <c r="W434">
        <f>IF($A434="","",COUNTIF(Aircraft!$N:$N,$A434))</f>
        <v>0</v>
      </c>
      <c r="X434" t="str">
        <f t="shared" si="48"/>
        <v>NO AIRCRAFT LINKED</v>
      </c>
      <c r="Y434" t="str">
        <f t="shared" si="49"/>
        <v>EMAIL (SMTP)</v>
      </c>
      <c r="Z434" t="str">
        <f t="shared" si="50"/>
        <v/>
      </c>
      <c r="AA434" t="str">
        <f t="shared" si="51"/>
        <v/>
      </c>
      <c r="AD434" t="str">
        <f t="shared" si="52"/>
        <v>PLAIN TEXT UPPERCASE</v>
      </c>
      <c r="AE434" t="str">
        <f t="shared" si="53"/>
        <v>JTL TRIP SUPPORT</v>
      </c>
      <c r="AF434" t="str">
        <f t="shared" si="54"/>
        <v>NO SENDING ADDRESS - ADD messaging_to_emails</v>
      </c>
      <c r="AG434" t="str">
        <f t="shared" si="55"/>
        <v>ASSIGNABLE</v>
      </c>
    </row>
    <row r="435" spans="1:33" x14ac:dyDescent="0.3">
      <c r="A435" t="s">
        <v>7053</v>
      </c>
      <c r="B435" t="s">
        <v>7054</v>
      </c>
      <c r="T435" t="s">
        <v>3830</v>
      </c>
      <c r="V435" t="s">
        <v>6279</v>
      </c>
      <c r="W435">
        <f>IF($A435="","",COUNTIF(Aircraft!$N:$N,$A435))</f>
        <v>0</v>
      </c>
      <c r="X435" t="str">
        <f t="shared" si="48"/>
        <v>NO AIRCRAFT LINKED</v>
      </c>
      <c r="Y435" t="str">
        <f t="shared" si="49"/>
        <v>EMAIL (SMTP)</v>
      </c>
      <c r="Z435" t="str">
        <f t="shared" si="50"/>
        <v/>
      </c>
      <c r="AA435" t="str">
        <f t="shared" si="51"/>
        <v/>
      </c>
      <c r="AD435" t="str">
        <f t="shared" si="52"/>
        <v>PLAIN TEXT UPPERCASE</v>
      </c>
      <c r="AE435" t="str">
        <f t="shared" si="53"/>
        <v>JTL TRIP SUPPORT</v>
      </c>
      <c r="AF435" t="str">
        <f t="shared" si="54"/>
        <v>NO SENDING ADDRESS - ADD messaging_to_emails</v>
      </c>
      <c r="AG435" t="str">
        <f t="shared" si="55"/>
        <v>ASSIGNABLE</v>
      </c>
    </row>
    <row r="436" spans="1:33" x14ac:dyDescent="0.3">
      <c r="A436" t="s">
        <v>7055</v>
      </c>
      <c r="B436" t="s">
        <v>7056</v>
      </c>
      <c r="T436" t="s">
        <v>3830</v>
      </c>
      <c r="V436" t="s">
        <v>6279</v>
      </c>
      <c r="W436">
        <f>IF($A436="","",COUNTIF(Aircraft!$N:$N,$A436))</f>
        <v>0</v>
      </c>
      <c r="X436" t="str">
        <f t="shared" si="48"/>
        <v>NO AIRCRAFT LINKED</v>
      </c>
      <c r="Y436" t="str">
        <f t="shared" si="49"/>
        <v>EMAIL (SMTP)</v>
      </c>
      <c r="Z436" t="str">
        <f t="shared" si="50"/>
        <v/>
      </c>
      <c r="AA436" t="str">
        <f t="shared" si="51"/>
        <v/>
      </c>
      <c r="AD436" t="str">
        <f t="shared" si="52"/>
        <v>PLAIN TEXT UPPERCASE</v>
      </c>
      <c r="AE436" t="str">
        <f t="shared" si="53"/>
        <v>JTL TRIP SUPPORT</v>
      </c>
      <c r="AF436" t="str">
        <f t="shared" si="54"/>
        <v>NO SENDING ADDRESS - ADD messaging_to_emails</v>
      </c>
      <c r="AG436" t="str">
        <f t="shared" si="55"/>
        <v>ASSIGNABLE</v>
      </c>
    </row>
    <row r="437" spans="1:33" x14ac:dyDescent="0.3">
      <c r="A437" t="s">
        <v>7057</v>
      </c>
      <c r="B437" t="s">
        <v>7058</v>
      </c>
      <c r="T437" t="s">
        <v>3830</v>
      </c>
      <c r="V437" t="s">
        <v>6279</v>
      </c>
      <c r="W437">
        <f>IF($A437="","",COUNTIF(Aircraft!$N:$N,$A437))</f>
        <v>0</v>
      </c>
      <c r="X437" t="str">
        <f t="shared" si="48"/>
        <v>NO AIRCRAFT LINKED</v>
      </c>
      <c r="Y437" t="str">
        <f t="shared" si="49"/>
        <v>EMAIL (SMTP)</v>
      </c>
      <c r="Z437" t="str">
        <f t="shared" si="50"/>
        <v/>
      </c>
      <c r="AA437" t="str">
        <f t="shared" si="51"/>
        <v/>
      </c>
      <c r="AD437" t="str">
        <f t="shared" si="52"/>
        <v>PLAIN TEXT UPPERCASE</v>
      </c>
      <c r="AE437" t="str">
        <f t="shared" si="53"/>
        <v>JTL TRIP SUPPORT</v>
      </c>
      <c r="AF437" t="str">
        <f t="shared" si="54"/>
        <v>NO SENDING ADDRESS - ADD messaging_to_emails</v>
      </c>
      <c r="AG437" t="str">
        <f t="shared" si="55"/>
        <v>ASSIGNABLE</v>
      </c>
    </row>
    <row r="438" spans="1:33" x14ac:dyDescent="0.3">
      <c r="A438" t="s">
        <v>7059</v>
      </c>
      <c r="B438" t="s">
        <v>7060</v>
      </c>
      <c r="T438" t="s">
        <v>3830</v>
      </c>
      <c r="V438" t="s">
        <v>6279</v>
      </c>
      <c r="W438">
        <f>IF($A438="","",COUNTIF(Aircraft!$N:$N,$A438))</f>
        <v>0</v>
      </c>
      <c r="X438" t="str">
        <f t="shared" si="48"/>
        <v>NO AIRCRAFT LINKED</v>
      </c>
      <c r="Y438" t="str">
        <f t="shared" si="49"/>
        <v>EMAIL (SMTP)</v>
      </c>
      <c r="Z438" t="str">
        <f t="shared" si="50"/>
        <v/>
      </c>
      <c r="AA438" t="str">
        <f t="shared" si="51"/>
        <v/>
      </c>
      <c r="AD438" t="str">
        <f t="shared" si="52"/>
        <v>PLAIN TEXT UPPERCASE</v>
      </c>
      <c r="AE438" t="str">
        <f t="shared" si="53"/>
        <v>JTL TRIP SUPPORT</v>
      </c>
      <c r="AF438" t="str">
        <f t="shared" si="54"/>
        <v>NO SENDING ADDRESS - ADD messaging_to_emails</v>
      </c>
      <c r="AG438" t="str">
        <f t="shared" si="55"/>
        <v>ASSIGNABLE</v>
      </c>
    </row>
    <row r="439" spans="1:33" x14ac:dyDescent="0.3">
      <c r="A439" t="s">
        <v>7061</v>
      </c>
      <c r="B439" t="s">
        <v>7062</v>
      </c>
      <c r="T439" t="s">
        <v>3830</v>
      </c>
      <c r="V439" t="s">
        <v>6279</v>
      </c>
      <c r="W439">
        <f>IF($A439="","",COUNTIF(Aircraft!$N:$N,$A439))</f>
        <v>0</v>
      </c>
      <c r="X439" t="str">
        <f t="shared" si="48"/>
        <v>NO AIRCRAFT LINKED</v>
      </c>
      <c r="Y439" t="str">
        <f t="shared" si="49"/>
        <v>EMAIL (SMTP)</v>
      </c>
      <c r="Z439" t="str">
        <f t="shared" si="50"/>
        <v/>
      </c>
      <c r="AA439" t="str">
        <f t="shared" si="51"/>
        <v/>
      </c>
      <c r="AD439" t="str">
        <f t="shared" si="52"/>
        <v>PLAIN TEXT UPPERCASE</v>
      </c>
      <c r="AE439" t="str">
        <f t="shared" si="53"/>
        <v>JTL TRIP SUPPORT</v>
      </c>
      <c r="AF439" t="str">
        <f t="shared" si="54"/>
        <v>NO SENDING ADDRESS - ADD messaging_to_emails</v>
      </c>
      <c r="AG439" t="str">
        <f t="shared" si="55"/>
        <v>ASSIGNABLE</v>
      </c>
    </row>
    <row r="440" spans="1:33" x14ac:dyDescent="0.3">
      <c r="A440" t="s">
        <v>7063</v>
      </c>
      <c r="B440" t="s">
        <v>7064</v>
      </c>
      <c r="T440" t="s">
        <v>3830</v>
      </c>
      <c r="V440" t="s">
        <v>6279</v>
      </c>
      <c r="W440">
        <f>IF($A440="","",COUNTIF(Aircraft!$N:$N,$A440))</f>
        <v>0</v>
      </c>
      <c r="X440" t="str">
        <f t="shared" si="48"/>
        <v>NO AIRCRAFT LINKED</v>
      </c>
      <c r="Y440" t="str">
        <f t="shared" si="49"/>
        <v>EMAIL (SMTP)</v>
      </c>
      <c r="Z440" t="str">
        <f t="shared" si="50"/>
        <v/>
      </c>
      <c r="AA440" t="str">
        <f t="shared" si="51"/>
        <v/>
      </c>
      <c r="AD440" t="str">
        <f t="shared" si="52"/>
        <v>PLAIN TEXT UPPERCASE</v>
      </c>
      <c r="AE440" t="str">
        <f t="shared" si="53"/>
        <v>JTL TRIP SUPPORT</v>
      </c>
      <c r="AF440" t="str">
        <f t="shared" si="54"/>
        <v>NO SENDING ADDRESS - ADD messaging_to_emails</v>
      </c>
      <c r="AG440" t="str">
        <f t="shared" si="55"/>
        <v>ASSIGNABLE</v>
      </c>
    </row>
    <row r="441" spans="1:33" x14ac:dyDescent="0.3">
      <c r="A441" t="s">
        <v>7065</v>
      </c>
      <c r="B441" t="s">
        <v>7066</v>
      </c>
      <c r="T441" t="s">
        <v>3830</v>
      </c>
      <c r="V441" t="s">
        <v>6279</v>
      </c>
      <c r="W441">
        <f>IF($A441="","",COUNTIF(Aircraft!$N:$N,$A441))</f>
        <v>0</v>
      </c>
      <c r="X441" t="str">
        <f t="shared" si="48"/>
        <v>NO AIRCRAFT LINKED</v>
      </c>
      <c r="Y441" t="str">
        <f t="shared" si="49"/>
        <v>EMAIL (SMTP)</v>
      </c>
      <c r="Z441" t="str">
        <f t="shared" si="50"/>
        <v/>
      </c>
      <c r="AA441" t="str">
        <f t="shared" si="51"/>
        <v/>
      </c>
      <c r="AD441" t="str">
        <f t="shared" si="52"/>
        <v>PLAIN TEXT UPPERCASE</v>
      </c>
      <c r="AE441" t="str">
        <f t="shared" si="53"/>
        <v>JTL TRIP SUPPORT</v>
      </c>
      <c r="AF441" t="str">
        <f t="shared" si="54"/>
        <v>NO SENDING ADDRESS - ADD messaging_to_emails</v>
      </c>
      <c r="AG441" t="str">
        <f t="shared" si="55"/>
        <v>ASSIGNABLE</v>
      </c>
    </row>
    <row r="442" spans="1:33" x14ac:dyDescent="0.3">
      <c r="A442" t="s">
        <v>7067</v>
      </c>
      <c r="B442" t="s">
        <v>7068</v>
      </c>
      <c r="T442" t="s">
        <v>3830</v>
      </c>
      <c r="V442" t="s">
        <v>6279</v>
      </c>
      <c r="W442">
        <f>IF($A442="","",COUNTIF(Aircraft!$N:$N,$A442))</f>
        <v>0</v>
      </c>
      <c r="X442" t="str">
        <f t="shared" si="48"/>
        <v>NO AIRCRAFT LINKED</v>
      </c>
      <c r="Y442" t="str">
        <f t="shared" si="49"/>
        <v>EMAIL (SMTP)</v>
      </c>
      <c r="Z442" t="str">
        <f t="shared" si="50"/>
        <v/>
      </c>
      <c r="AA442" t="str">
        <f t="shared" si="51"/>
        <v/>
      </c>
      <c r="AD442" t="str">
        <f t="shared" si="52"/>
        <v>PLAIN TEXT UPPERCASE</v>
      </c>
      <c r="AE442" t="str">
        <f t="shared" si="53"/>
        <v>JTL TRIP SUPPORT</v>
      </c>
      <c r="AF442" t="str">
        <f t="shared" si="54"/>
        <v>NO SENDING ADDRESS - ADD messaging_to_emails</v>
      </c>
      <c r="AG442" t="str">
        <f t="shared" si="55"/>
        <v>ASSIGNABLE</v>
      </c>
    </row>
    <row r="443" spans="1:33" x14ac:dyDescent="0.3">
      <c r="A443" t="s">
        <v>7069</v>
      </c>
      <c r="B443" t="s">
        <v>7070</v>
      </c>
      <c r="T443" t="s">
        <v>3830</v>
      </c>
      <c r="V443" t="s">
        <v>6279</v>
      </c>
      <c r="W443">
        <f>IF($A443="","",COUNTIF(Aircraft!$N:$N,$A443))</f>
        <v>0</v>
      </c>
      <c r="X443" t="str">
        <f t="shared" si="48"/>
        <v>NO AIRCRAFT LINKED</v>
      </c>
      <c r="Y443" t="str">
        <f t="shared" si="49"/>
        <v>EMAIL (SMTP)</v>
      </c>
      <c r="Z443" t="str">
        <f t="shared" si="50"/>
        <v/>
      </c>
      <c r="AA443" t="str">
        <f t="shared" si="51"/>
        <v/>
      </c>
      <c r="AD443" t="str">
        <f t="shared" si="52"/>
        <v>PLAIN TEXT UPPERCASE</v>
      </c>
      <c r="AE443" t="str">
        <f t="shared" si="53"/>
        <v>JTL TRIP SUPPORT</v>
      </c>
      <c r="AF443" t="str">
        <f t="shared" si="54"/>
        <v>NO SENDING ADDRESS - ADD messaging_to_emails</v>
      </c>
      <c r="AG443" t="str">
        <f t="shared" si="55"/>
        <v>ASSIGNABLE</v>
      </c>
    </row>
    <row r="444" spans="1:33" x14ac:dyDescent="0.3">
      <c r="A444" t="s">
        <v>7071</v>
      </c>
      <c r="B444" t="s">
        <v>7072</v>
      </c>
      <c r="T444" t="s">
        <v>3830</v>
      </c>
      <c r="V444" t="s">
        <v>6279</v>
      </c>
      <c r="W444">
        <f>IF($A444="","",COUNTIF(Aircraft!$N:$N,$A444))</f>
        <v>0</v>
      </c>
      <c r="X444" t="str">
        <f t="shared" si="48"/>
        <v>NO AIRCRAFT LINKED</v>
      </c>
      <c r="Y444" t="str">
        <f t="shared" si="49"/>
        <v>EMAIL (SMTP)</v>
      </c>
      <c r="Z444" t="str">
        <f t="shared" si="50"/>
        <v/>
      </c>
      <c r="AA444" t="str">
        <f t="shared" si="51"/>
        <v/>
      </c>
      <c r="AD444" t="str">
        <f t="shared" si="52"/>
        <v>PLAIN TEXT UPPERCASE</v>
      </c>
      <c r="AE444" t="str">
        <f t="shared" si="53"/>
        <v>JTL TRIP SUPPORT</v>
      </c>
      <c r="AF444" t="str">
        <f t="shared" si="54"/>
        <v>NO SENDING ADDRESS - ADD messaging_to_emails</v>
      </c>
      <c r="AG444" t="str">
        <f t="shared" si="55"/>
        <v>ASSIGNABLE</v>
      </c>
    </row>
    <row r="445" spans="1:33" x14ac:dyDescent="0.3">
      <c r="A445" t="s">
        <v>7073</v>
      </c>
      <c r="B445" t="s">
        <v>7074</v>
      </c>
      <c r="T445" t="s">
        <v>3830</v>
      </c>
      <c r="V445" t="s">
        <v>6279</v>
      </c>
      <c r="W445">
        <f>IF($A445="","",COUNTIF(Aircraft!$N:$N,$A445))</f>
        <v>0</v>
      </c>
      <c r="X445" t="str">
        <f t="shared" si="48"/>
        <v>NO AIRCRAFT LINKED</v>
      </c>
      <c r="Y445" t="str">
        <f t="shared" si="49"/>
        <v>EMAIL (SMTP)</v>
      </c>
      <c r="Z445" t="str">
        <f t="shared" si="50"/>
        <v/>
      </c>
      <c r="AA445" t="str">
        <f t="shared" si="51"/>
        <v/>
      </c>
      <c r="AD445" t="str">
        <f t="shared" si="52"/>
        <v>PLAIN TEXT UPPERCASE</v>
      </c>
      <c r="AE445" t="str">
        <f t="shared" si="53"/>
        <v>JTL TRIP SUPPORT</v>
      </c>
      <c r="AF445" t="str">
        <f t="shared" si="54"/>
        <v>NO SENDING ADDRESS - ADD messaging_to_emails</v>
      </c>
      <c r="AG445" t="str">
        <f t="shared" si="55"/>
        <v>ASSIGNABLE</v>
      </c>
    </row>
    <row r="446" spans="1:33" x14ac:dyDescent="0.3">
      <c r="A446" t="s">
        <v>7075</v>
      </c>
      <c r="B446" t="s">
        <v>7076</v>
      </c>
      <c r="T446" t="s">
        <v>3830</v>
      </c>
      <c r="V446" t="s">
        <v>6279</v>
      </c>
      <c r="W446">
        <f>IF($A446="","",COUNTIF(Aircraft!$N:$N,$A446))</f>
        <v>0</v>
      </c>
      <c r="X446" t="str">
        <f t="shared" si="48"/>
        <v>NO AIRCRAFT LINKED</v>
      </c>
      <c r="Y446" t="str">
        <f t="shared" si="49"/>
        <v>EMAIL (SMTP)</v>
      </c>
      <c r="Z446" t="str">
        <f t="shared" si="50"/>
        <v/>
      </c>
      <c r="AA446" t="str">
        <f t="shared" si="51"/>
        <v/>
      </c>
      <c r="AD446" t="str">
        <f t="shared" si="52"/>
        <v>PLAIN TEXT UPPERCASE</v>
      </c>
      <c r="AE446" t="str">
        <f t="shared" si="53"/>
        <v>JTL TRIP SUPPORT</v>
      </c>
      <c r="AF446" t="str">
        <f t="shared" si="54"/>
        <v>NO SENDING ADDRESS - ADD messaging_to_emails</v>
      </c>
      <c r="AG446" t="str">
        <f t="shared" si="55"/>
        <v>ASSIGNABLE</v>
      </c>
    </row>
    <row r="447" spans="1:33" x14ac:dyDescent="0.3">
      <c r="A447" t="s">
        <v>7077</v>
      </c>
      <c r="B447" t="s">
        <v>7078</v>
      </c>
      <c r="T447" t="s">
        <v>3830</v>
      </c>
      <c r="V447" t="s">
        <v>6279</v>
      </c>
      <c r="W447">
        <f>IF($A447="","",COUNTIF(Aircraft!$N:$N,$A447))</f>
        <v>0</v>
      </c>
      <c r="X447" t="str">
        <f t="shared" si="48"/>
        <v>NO AIRCRAFT LINKED</v>
      </c>
      <c r="Y447" t="str">
        <f t="shared" si="49"/>
        <v>EMAIL (SMTP)</v>
      </c>
      <c r="Z447" t="str">
        <f t="shared" si="50"/>
        <v/>
      </c>
      <c r="AA447" t="str">
        <f t="shared" si="51"/>
        <v/>
      </c>
      <c r="AD447" t="str">
        <f t="shared" si="52"/>
        <v>PLAIN TEXT UPPERCASE</v>
      </c>
      <c r="AE447" t="str">
        <f t="shared" si="53"/>
        <v>JTL TRIP SUPPORT</v>
      </c>
      <c r="AF447" t="str">
        <f t="shared" si="54"/>
        <v>NO SENDING ADDRESS - ADD messaging_to_emails</v>
      </c>
      <c r="AG447" t="str">
        <f t="shared" si="55"/>
        <v>ASSIGNABLE</v>
      </c>
    </row>
    <row r="448" spans="1:33" x14ac:dyDescent="0.3">
      <c r="A448" t="s">
        <v>7079</v>
      </c>
      <c r="B448" t="s">
        <v>7080</v>
      </c>
      <c r="T448" t="s">
        <v>3830</v>
      </c>
      <c r="V448" t="s">
        <v>6279</v>
      </c>
      <c r="W448">
        <f>IF($A448="","",COUNTIF(Aircraft!$N:$N,$A448))</f>
        <v>0</v>
      </c>
      <c r="X448" t="str">
        <f t="shared" si="48"/>
        <v>NO AIRCRAFT LINKED</v>
      </c>
      <c r="Y448" t="str">
        <f t="shared" si="49"/>
        <v>EMAIL (SMTP)</v>
      </c>
      <c r="Z448" t="str">
        <f t="shared" si="50"/>
        <v/>
      </c>
      <c r="AA448" t="str">
        <f t="shared" si="51"/>
        <v/>
      </c>
      <c r="AD448" t="str">
        <f t="shared" si="52"/>
        <v>PLAIN TEXT UPPERCASE</v>
      </c>
      <c r="AE448" t="str">
        <f t="shared" si="53"/>
        <v>JTL TRIP SUPPORT</v>
      </c>
      <c r="AF448" t="str">
        <f t="shared" si="54"/>
        <v>NO SENDING ADDRESS - ADD messaging_to_emails</v>
      </c>
      <c r="AG448" t="str">
        <f t="shared" si="55"/>
        <v>ASSIGNABLE</v>
      </c>
    </row>
    <row r="449" spans="1:33" x14ac:dyDescent="0.3">
      <c r="A449" t="s">
        <v>7081</v>
      </c>
      <c r="B449" t="s">
        <v>7082</v>
      </c>
      <c r="T449" t="s">
        <v>3830</v>
      </c>
      <c r="V449" t="s">
        <v>6279</v>
      </c>
      <c r="W449">
        <f>IF($A449="","",COUNTIF(Aircraft!$N:$N,$A449))</f>
        <v>0</v>
      </c>
      <c r="X449" t="str">
        <f t="shared" si="48"/>
        <v>NO AIRCRAFT LINKED</v>
      </c>
      <c r="Y449" t="str">
        <f t="shared" si="49"/>
        <v>EMAIL (SMTP)</v>
      </c>
      <c r="Z449" t="str">
        <f t="shared" si="50"/>
        <v/>
      </c>
      <c r="AA449" t="str">
        <f t="shared" si="51"/>
        <v/>
      </c>
      <c r="AD449" t="str">
        <f t="shared" si="52"/>
        <v>PLAIN TEXT UPPERCASE</v>
      </c>
      <c r="AE449" t="str">
        <f t="shared" si="53"/>
        <v>JTL TRIP SUPPORT</v>
      </c>
      <c r="AF449" t="str">
        <f t="shared" si="54"/>
        <v>NO SENDING ADDRESS - ADD messaging_to_emails</v>
      </c>
      <c r="AG449" t="str">
        <f t="shared" si="55"/>
        <v>ASSIGNABLE</v>
      </c>
    </row>
    <row r="450" spans="1:33" x14ac:dyDescent="0.3">
      <c r="A450" t="s">
        <v>7083</v>
      </c>
      <c r="B450" t="s">
        <v>7084</v>
      </c>
      <c r="T450" t="s">
        <v>3830</v>
      </c>
      <c r="V450" t="s">
        <v>6279</v>
      </c>
      <c r="W450">
        <f>IF($A450="","",COUNTIF(Aircraft!$N:$N,$A450))</f>
        <v>0</v>
      </c>
      <c r="X450" t="str">
        <f t="shared" si="48"/>
        <v>NO AIRCRAFT LINKED</v>
      </c>
      <c r="Y450" t="str">
        <f t="shared" si="49"/>
        <v>EMAIL (SMTP)</v>
      </c>
      <c r="Z450" t="str">
        <f t="shared" si="50"/>
        <v/>
      </c>
      <c r="AA450" t="str">
        <f t="shared" si="51"/>
        <v/>
      </c>
      <c r="AD450" t="str">
        <f t="shared" si="52"/>
        <v>PLAIN TEXT UPPERCASE</v>
      </c>
      <c r="AE450" t="str">
        <f t="shared" si="53"/>
        <v>JTL TRIP SUPPORT</v>
      </c>
      <c r="AF450" t="str">
        <f t="shared" si="54"/>
        <v>NO SENDING ADDRESS - ADD messaging_to_emails</v>
      </c>
      <c r="AG450" t="str">
        <f t="shared" si="55"/>
        <v>ASSIGNABLE</v>
      </c>
    </row>
    <row r="451" spans="1:33" x14ac:dyDescent="0.3">
      <c r="A451" t="s">
        <v>7085</v>
      </c>
      <c r="B451" t="s">
        <v>7086</v>
      </c>
      <c r="T451" t="s">
        <v>3830</v>
      </c>
      <c r="V451" t="s">
        <v>6279</v>
      </c>
      <c r="W451">
        <f>IF($A451="","",COUNTIF(Aircraft!$N:$N,$A451))</f>
        <v>0</v>
      </c>
      <c r="X451" t="str">
        <f t="shared" ref="X451:X491" si="56">IF($A451="","",IF($B451="","NAME REQUIRED",IF($W451=0,"NO AIRCRAFT LINKED","OK")))</f>
        <v>NO AIRCRAFT LINKED</v>
      </c>
      <c r="Y451" t="str">
        <f t="shared" ref="Y451:Y491" si="57">IF($A451="","","EMAIL (SMTP)")</f>
        <v>EMAIL (SMTP)</v>
      </c>
      <c r="Z451" t="str">
        <f t="shared" ref="Z451:Z491" si="58">IF($A451="","",IF($N451&lt;&gt;"",$N451,IF($L451&lt;&gt;"",$L451,"")))</f>
        <v/>
      </c>
      <c r="AA451" t="str">
        <f t="shared" ref="AA451:AA491" si="59">IF($A451="","",IF($O451&lt;&gt;"",$O451,""))</f>
        <v/>
      </c>
      <c r="AD451" t="str">
        <f t="shared" ref="AD451:AD491" si="60">IF($A451="","","PLAIN TEXT UPPERCASE")</f>
        <v>PLAIN TEXT UPPERCASE</v>
      </c>
      <c r="AE451" t="str">
        <f t="shared" ref="AE451:AE491" si="61">IF($A451="","","JTL TRIP SUPPORT")</f>
        <v>JTL TRIP SUPPORT</v>
      </c>
      <c r="AF451" t="str">
        <f t="shared" ref="AF451:AF491" si="62">IF($A451="","",IF($Y451="EMAIL (SMTP)",IF($Z451="","NO SENDING ADDRESS - ADD messaging_to_emails","OK"),IF(AND($AB451="",$AC451=""),"CHANNEL SET BUT NO SITA/AFTN ADDRESS","OK")))</f>
        <v>NO SENDING ADDRESS - ADD messaging_to_emails</v>
      </c>
      <c r="AG451" t="str">
        <f t="shared" ref="AG451:AG491" si="63">IF($A451="","",IF(TRIM($B451)="","BLOCKED - OPERATOR NAME REQUIRED",IF(UPPER($T451)="INACTIVE","BLOCKED - INACTIVE","ASSIGNABLE")))</f>
        <v>ASSIGNABLE</v>
      </c>
    </row>
    <row r="452" spans="1:33" x14ac:dyDescent="0.3">
      <c r="A452" t="s">
        <v>7087</v>
      </c>
      <c r="B452" t="s">
        <v>7088</v>
      </c>
      <c r="T452" t="s">
        <v>3830</v>
      </c>
      <c r="V452" t="s">
        <v>6279</v>
      </c>
      <c r="W452">
        <f>IF($A452="","",COUNTIF(Aircraft!$N:$N,$A452))</f>
        <v>0</v>
      </c>
      <c r="X452" t="str">
        <f t="shared" si="56"/>
        <v>NO AIRCRAFT LINKED</v>
      </c>
      <c r="Y452" t="str">
        <f t="shared" si="57"/>
        <v>EMAIL (SMTP)</v>
      </c>
      <c r="Z452" t="str">
        <f t="shared" si="58"/>
        <v/>
      </c>
      <c r="AA452" t="str">
        <f t="shared" si="59"/>
        <v/>
      </c>
      <c r="AD452" t="str">
        <f t="shared" si="60"/>
        <v>PLAIN TEXT UPPERCASE</v>
      </c>
      <c r="AE452" t="str">
        <f t="shared" si="61"/>
        <v>JTL TRIP SUPPORT</v>
      </c>
      <c r="AF452" t="str">
        <f t="shared" si="62"/>
        <v>NO SENDING ADDRESS - ADD messaging_to_emails</v>
      </c>
      <c r="AG452" t="str">
        <f t="shared" si="63"/>
        <v>ASSIGNABLE</v>
      </c>
    </row>
    <row r="453" spans="1:33" x14ac:dyDescent="0.3">
      <c r="A453" t="s">
        <v>7089</v>
      </c>
      <c r="B453" t="s">
        <v>7090</v>
      </c>
      <c r="T453" t="s">
        <v>3830</v>
      </c>
      <c r="V453" t="s">
        <v>6279</v>
      </c>
      <c r="W453">
        <f>IF($A453="","",COUNTIF(Aircraft!$N:$N,$A453))</f>
        <v>0</v>
      </c>
      <c r="X453" t="str">
        <f t="shared" si="56"/>
        <v>NO AIRCRAFT LINKED</v>
      </c>
      <c r="Y453" t="str">
        <f t="shared" si="57"/>
        <v>EMAIL (SMTP)</v>
      </c>
      <c r="Z453" t="str">
        <f t="shared" si="58"/>
        <v/>
      </c>
      <c r="AA453" t="str">
        <f t="shared" si="59"/>
        <v/>
      </c>
      <c r="AD453" t="str">
        <f t="shared" si="60"/>
        <v>PLAIN TEXT UPPERCASE</v>
      </c>
      <c r="AE453" t="str">
        <f t="shared" si="61"/>
        <v>JTL TRIP SUPPORT</v>
      </c>
      <c r="AF453" t="str">
        <f t="shared" si="62"/>
        <v>NO SENDING ADDRESS - ADD messaging_to_emails</v>
      </c>
      <c r="AG453" t="str">
        <f t="shared" si="63"/>
        <v>ASSIGNABLE</v>
      </c>
    </row>
    <row r="454" spans="1:33" x14ac:dyDescent="0.3">
      <c r="A454" t="s">
        <v>7091</v>
      </c>
      <c r="B454" t="s">
        <v>7092</v>
      </c>
      <c r="T454" t="s">
        <v>3830</v>
      </c>
      <c r="V454" t="s">
        <v>6279</v>
      </c>
      <c r="W454">
        <f>IF($A454="","",COUNTIF(Aircraft!$N:$N,$A454))</f>
        <v>0</v>
      </c>
      <c r="X454" t="str">
        <f t="shared" si="56"/>
        <v>NO AIRCRAFT LINKED</v>
      </c>
      <c r="Y454" t="str">
        <f t="shared" si="57"/>
        <v>EMAIL (SMTP)</v>
      </c>
      <c r="Z454" t="str">
        <f t="shared" si="58"/>
        <v/>
      </c>
      <c r="AA454" t="str">
        <f t="shared" si="59"/>
        <v/>
      </c>
      <c r="AD454" t="str">
        <f t="shared" si="60"/>
        <v>PLAIN TEXT UPPERCASE</v>
      </c>
      <c r="AE454" t="str">
        <f t="shared" si="61"/>
        <v>JTL TRIP SUPPORT</v>
      </c>
      <c r="AF454" t="str">
        <f t="shared" si="62"/>
        <v>NO SENDING ADDRESS - ADD messaging_to_emails</v>
      </c>
      <c r="AG454" t="str">
        <f t="shared" si="63"/>
        <v>ASSIGNABLE</v>
      </c>
    </row>
    <row r="455" spans="1:33" x14ac:dyDescent="0.3">
      <c r="A455" t="s">
        <v>7093</v>
      </c>
      <c r="B455" t="s">
        <v>7094</v>
      </c>
      <c r="T455" t="s">
        <v>3830</v>
      </c>
      <c r="V455" t="s">
        <v>6279</v>
      </c>
      <c r="W455">
        <f>IF($A455="","",COUNTIF(Aircraft!$N:$N,$A455))</f>
        <v>0</v>
      </c>
      <c r="X455" t="str">
        <f t="shared" si="56"/>
        <v>NO AIRCRAFT LINKED</v>
      </c>
      <c r="Y455" t="str">
        <f t="shared" si="57"/>
        <v>EMAIL (SMTP)</v>
      </c>
      <c r="Z455" t="str">
        <f t="shared" si="58"/>
        <v/>
      </c>
      <c r="AA455" t="str">
        <f t="shared" si="59"/>
        <v/>
      </c>
      <c r="AD455" t="str">
        <f t="shared" si="60"/>
        <v>PLAIN TEXT UPPERCASE</v>
      </c>
      <c r="AE455" t="str">
        <f t="shared" si="61"/>
        <v>JTL TRIP SUPPORT</v>
      </c>
      <c r="AF455" t="str">
        <f t="shared" si="62"/>
        <v>NO SENDING ADDRESS - ADD messaging_to_emails</v>
      </c>
      <c r="AG455" t="str">
        <f t="shared" si="63"/>
        <v>ASSIGNABLE</v>
      </c>
    </row>
    <row r="456" spans="1:33" x14ac:dyDescent="0.3">
      <c r="A456" t="s">
        <v>7095</v>
      </c>
      <c r="B456" t="s">
        <v>7096</v>
      </c>
      <c r="T456" t="s">
        <v>3830</v>
      </c>
      <c r="V456" t="s">
        <v>6279</v>
      </c>
      <c r="W456">
        <f>IF($A456="","",COUNTIF(Aircraft!$N:$N,$A456))</f>
        <v>0</v>
      </c>
      <c r="X456" t="str">
        <f t="shared" si="56"/>
        <v>NO AIRCRAFT LINKED</v>
      </c>
      <c r="Y456" t="str">
        <f t="shared" si="57"/>
        <v>EMAIL (SMTP)</v>
      </c>
      <c r="Z456" t="str">
        <f t="shared" si="58"/>
        <v/>
      </c>
      <c r="AA456" t="str">
        <f t="shared" si="59"/>
        <v/>
      </c>
      <c r="AD456" t="str">
        <f t="shared" si="60"/>
        <v>PLAIN TEXT UPPERCASE</v>
      </c>
      <c r="AE456" t="str">
        <f t="shared" si="61"/>
        <v>JTL TRIP SUPPORT</v>
      </c>
      <c r="AF456" t="str">
        <f t="shared" si="62"/>
        <v>NO SENDING ADDRESS - ADD messaging_to_emails</v>
      </c>
      <c r="AG456" t="str">
        <f t="shared" si="63"/>
        <v>ASSIGNABLE</v>
      </c>
    </row>
    <row r="457" spans="1:33" x14ac:dyDescent="0.3">
      <c r="A457" t="s">
        <v>7097</v>
      </c>
      <c r="B457" t="s">
        <v>7098</v>
      </c>
      <c r="T457" t="s">
        <v>3830</v>
      </c>
      <c r="V457" t="s">
        <v>6279</v>
      </c>
      <c r="W457">
        <f>IF($A457="","",COUNTIF(Aircraft!$N:$N,$A457))</f>
        <v>0</v>
      </c>
      <c r="X457" t="str">
        <f t="shared" si="56"/>
        <v>NO AIRCRAFT LINKED</v>
      </c>
      <c r="Y457" t="str">
        <f t="shared" si="57"/>
        <v>EMAIL (SMTP)</v>
      </c>
      <c r="Z457" t="str">
        <f t="shared" si="58"/>
        <v/>
      </c>
      <c r="AA457" t="str">
        <f t="shared" si="59"/>
        <v/>
      </c>
      <c r="AD457" t="str">
        <f t="shared" si="60"/>
        <v>PLAIN TEXT UPPERCASE</v>
      </c>
      <c r="AE457" t="str">
        <f t="shared" si="61"/>
        <v>JTL TRIP SUPPORT</v>
      </c>
      <c r="AF457" t="str">
        <f t="shared" si="62"/>
        <v>NO SENDING ADDRESS - ADD messaging_to_emails</v>
      </c>
      <c r="AG457" t="str">
        <f t="shared" si="63"/>
        <v>ASSIGNABLE</v>
      </c>
    </row>
    <row r="458" spans="1:33" x14ac:dyDescent="0.3">
      <c r="A458" t="s">
        <v>7099</v>
      </c>
      <c r="B458" t="s">
        <v>7100</v>
      </c>
      <c r="T458" t="s">
        <v>3830</v>
      </c>
      <c r="V458" t="s">
        <v>6279</v>
      </c>
      <c r="W458">
        <f>IF($A458="","",COUNTIF(Aircraft!$N:$N,$A458))</f>
        <v>0</v>
      </c>
      <c r="X458" t="str">
        <f t="shared" si="56"/>
        <v>NO AIRCRAFT LINKED</v>
      </c>
      <c r="Y458" t="str">
        <f t="shared" si="57"/>
        <v>EMAIL (SMTP)</v>
      </c>
      <c r="Z458" t="str">
        <f t="shared" si="58"/>
        <v/>
      </c>
      <c r="AA458" t="str">
        <f t="shared" si="59"/>
        <v/>
      </c>
      <c r="AD458" t="str">
        <f t="shared" si="60"/>
        <v>PLAIN TEXT UPPERCASE</v>
      </c>
      <c r="AE458" t="str">
        <f t="shared" si="61"/>
        <v>JTL TRIP SUPPORT</v>
      </c>
      <c r="AF458" t="str">
        <f t="shared" si="62"/>
        <v>NO SENDING ADDRESS - ADD messaging_to_emails</v>
      </c>
      <c r="AG458" t="str">
        <f t="shared" si="63"/>
        <v>ASSIGNABLE</v>
      </c>
    </row>
    <row r="459" spans="1:33" x14ac:dyDescent="0.3">
      <c r="A459" t="s">
        <v>7101</v>
      </c>
      <c r="B459" t="s">
        <v>7102</v>
      </c>
      <c r="T459" t="s">
        <v>3830</v>
      </c>
      <c r="V459" t="s">
        <v>6279</v>
      </c>
      <c r="W459">
        <f>IF($A459="","",COUNTIF(Aircraft!$N:$N,$A459))</f>
        <v>0</v>
      </c>
      <c r="X459" t="str">
        <f t="shared" si="56"/>
        <v>NO AIRCRAFT LINKED</v>
      </c>
      <c r="Y459" t="str">
        <f t="shared" si="57"/>
        <v>EMAIL (SMTP)</v>
      </c>
      <c r="Z459" t="str">
        <f t="shared" si="58"/>
        <v/>
      </c>
      <c r="AA459" t="str">
        <f t="shared" si="59"/>
        <v/>
      </c>
      <c r="AD459" t="str">
        <f t="shared" si="60"/>
        <v>PLAIN TEXT UPPERCASE</v>
      </c>
      <c r="AE459" t="str">
        <f t="shared" si="61"/>
        <v>JTL TRIP SUPPORT</v>
      </c>
      <c r="AF459" t="str">
        <f t="shared" si="62"/>
        <v>NO SENDING ADDRESS - ADD messaging_to_emails</v>
      </c>
      <c r="AG459" t="str">
        <f t="shared" si="63"/>
        <v>ASSIGNABLE</v>
      </c>
    </row>
    <row r="460" spans="1:33" x14ac:dyDescent="0.3">
      <c r="A460" t="s">
        <v>7103</v>
      </c>
      <c r="B460" t="s">
        <v>7104</v>
      </c>
      <c r="T460" t="s">
        <v>3830</v>
      </c>
      <c r="V460" t="s">
        <v>6279</v>
      </c>
      <c r="W460">
        <f>IF($A460="","",COUNTIF(Aircraft!$N:$N,$A460))</f>
        <v>0</v>
      </c>
      <c r="X460" t="str">
        <f t="shared" si="56"/>
        <v>NO AIRCRAFT LINKED</v>
      </c>
      <c r="Y460" t="str">
        <f t="shared" si="57"/>
        <v>EMAIL (SMTP)</v>
      </c>
      <c r="Z460" t="str">
        <f t="shared" si="58"/>
        <v/>
      </c>
      <c r="AA460" t="str">
        <f t="shared" si="59"/>
        <v/>
      </c>
      <c r="AD460" t="str">
        <f t="shared" si="60"/>
        <v>PLAIN TEXT UPPERCASE</v>
      </c>
      <c r="AE460" t="str">
        <f t="shared" si="61"/>
        <v>JTL TRIP SUPPORT</v>
      </c>
      <c r="AF460" t="str">
        <f t="shared" si="62"/>
        <v>NO SENDING ADDRESS - ADD messaging_to_emails</v>
      </c>
      <c r="AG460" t="str">
        <f t="shared" si="63"/>
        <v>ASSIGNABLE</v>
      </c>
    </row>
    <row r="461" spans="1:33" x14ac:dyDescent="0.3">
      <c r="A461" t="s">
        <v>7105</v>
      </c>
      <c r="B461" t="s">
        <v>7106</v>
      </c>
      <c r="T461" t="s">
        <v>3830</v>
      </c>
      <c r="V461" t="s">
        <v>6279</v>
      </c>
      <c r="W461">
        <f>IF($A461="","",COUNTIF(Aircraft!$N:$N,$A461))</f>
        <v>0</v>
      </c>
      <c r="X461" t="str">
        <f t="shared" si="56"/>
        <v>NO AIRCRAFT LINKED</v>
      </c>
      <c r="Y461" t="str">
        <f t="shared" si="57"/>
        <v>EMAIL (SMTP)</v>
      </c>
      <c r="Z461" t="str">
        <f t="shared" si="58"/>
        <v/>
      </c>
      <c r="AA461" t="str">
        <f t="shared" si="59"/>
        <v/>
      </c>
      <c r="AD461" t="str">
        <f t="shared" si="60"/>
        <v>PLAIN TEXT UPPERCASE</v>
      </c>
      <c r="AE461" t="str">
        <f t="shared" si="61"/>
        <v>JTL TRIP SUPPORT</v>
      </c>
      <c r="AF461" t="str">
        <f t="shared" si="62"/>
        <v>NO SENDING ADDRESS - ADD messaging_to_emails</v>
      </c>
      <c r="AG461" t="str">
        <f t="shared" si="63"/>
        <v>ASSIGNABLE</v>
      </c>
    </row>
    <row r="462" spans="1:33" x14ac:dyDescent="0.3">
      <c r="A462" t="s">
        <v>7107</v>
      </c>
      <c r="B462" t="s">
        <v>7108</v>
      </c>
      <c r="T462" t="s">
        <v>3830</v>
      </c>
      <c r="V462" t="s">
        <v>6279</v>
      </c>
      <c r="W462">
        <f>IF($A462="","",COUNTIF(Aircraft!$N:$N,$A462))</f>
        <v>0</v>
      </c>
      <c r="X462" t="str">
        <f t="shared" si="56"/>
        <v>NO AIRCRAFT LINKED</v>
      </c>
      <c r="Y462" t="str">
        <f t="shared" si="57"/>
        <v>EMAIL (SMTP)</v>
      </c>
      <c r="Z462" t="str">
        <f t="shared" si="58"/>
        <v/>
      </c>
      <c r="AA462" t="str">
        <f t="shared" si="59"/>
        <v/>
      </c>
      <c r="AD462" t="str">
        <f t="shared" si="60"/>
        <v>PLAIN TEXT UPPERCASE</v>
      </c>
      <c r="AE462" t="str">
        <f t="shared" si="61"/>
        <v>JTL TRIP SUPPORT</v>
      </c>
      <c r="AF462" t="str">
        <f t="shared" si="62"/>
        <v>NO SENDING ADDRESS - ADD messaging_to_emails</v>
      </c>
      <c r="AG462" t="str">
        <f t="shared" si="63"/>
        <v>ASSIGNABLE</v>
      </c>
    </row>
    <row r="463" spans="1:33" x14ac:dyDescent="0.3">
      <c r="A463" t="s">
        <v>7109</v>
      </c>
      <c r="B463" t="s">
        <v>7110</v>
      </c>
      <c r="T463" t="s">
        <v>3830</v>
      </c>
      <c r="V463" t="s">
        <v>6279</v>
      </c>
      <c r="W463">
        <f>IF($A463="","",COUNTIF(Aircraft!$N:$N,$A463))</f>
        <v>0</v>
      </c>
      <c r="X463" t="str">
        <f t="shared" si="56"/>
        <v>NO AIRCRAFT LINKED</v>
      </c>
      <c r="Y463" t="str">
        <f t="shared" si="57"/>
        <v>EMAIL (SMTP)</v>
      </c>
      <c r="Z463" t="str">
        <f t="shared" si="58"/>
        <v/>
      </c>
      <c r="AA463" t="str">
        <f t="shared" si="59"/>
        <v/>
      </c>
      <c r="AD463" t="str">
        <f t="shared" si="60"/>
        <v>PLAIN TEXT UPPERCASE</v>
      </c>
      <c r="AE463" t="str">
        <f t="shared" si="61"/>
        <v>JTL TRIP SUPPORT</v>
      </c>
      <c r="AF463" t="str">
        <f t="shared" si="62"/>
        <v>NO SENDING ADDRESS - ADD messaging_to_emails</v>
      </c>
      <c r="AG463" t="str">
        <f t="shared" si="63"/>
        <v>ASSIGNABLE</v>
      </c>
    </row>
    <row r="464" spans="1:33" x14ac:dyDescent="0.3">
      <c r="A464" t="s">
        <v>7111</v>
      </c>
      <c r="B464" t="s">
        <v>7112</v>
      </c>
      <c r="T464" t="s">
        <v>3830</v>
      </c>
      <c r="V464" t="s">
        <v>6279</v>
      </c>
      <c r="W464">
        <f>IF($A464="","",COUNTIF(Aircraft!$N:$N,$A464))</f>
        <v>0</v>
      </c>
      <c r="X464" t="str">
        <f t="shared" si="56"/>
        <v>NO AIRCRAFT LINKED</v>
      </c>
      <c r="Y464" t="str">
        <f t="shared" si="57"/>
        <v>EMAIL (SMTP)</v>
      </c>
      <c r="Z464" t="str">
        <f t="shared" si="58"/>
        <v/>
      </c>
      <c r="AA464" t="str">
        <f t="shared" si="59"/>
        <v/>
      </c>
      <c r="AD464" t="str">
        <f t="shared" si="60"/>
        <v>PLAIN TEXT UPPERCASE</v>
      </c>
      <c r="AE464" t="str">
        <f t="shared" si="61"/>
        <v>JTL TRIP SUPPORT</v>
      </c>
      <c r="AF464" t="str">
        <f t="shared" si="62"/>
        <v>NO SENDING ADDRESS - ADD messaging_to_emails</v>
      </c>
      <c r="AG464" t="str">
        <f t="shared" si="63"/>
        <v>ASSIGNABLE</v>
      </c>
    </row>
    <row r="465" spans="1:33" x14ac:dyDescent="0.3">
      <c r="A465" t="s">
        <v>7113</v>
      </c>
      <c r="B465" t="s">
        <v>7114</v>
      </c>
      <c r="T465" t="s">
        <v>3830</v>
      </c>
      <c r="V465" t="s">
        <v>6279</v>
      </c>
      <c r="W465">
        <f>IF($A465="","",COUNTIF(Aircraft!$N:$N,$A465))</f>
        <v>0</v>
      </c>
      <c r="X465" t="str">
        <f t="shared" si="56"/>
        <v>NO AIRCRAFT LINKED</v>
      </c>
      <c r="Y465" t="str">
        <f t="shared" si="57"/>
        <v>EMAIL (SMTP)</v>
      </c>
      <c r="Z465" t="str">
        <f t="shared" si="58"/>
        <v/>
      </c>
      <c r="AA465" t="str">
        <f t="shared" si="59"/>
        <v/>
      </c>
      <c r="AD465" t="str">
        <f t="shared" si="60"/>
        <v>PLAIN TEXT UPPERCASE</v>
      </c>
      <c r="AE465" t="str">
        <f t="shared" si="61"/>
        <v>JTL TRIP SUPPORT</v>
      </c>
      <c r="AF465" t="str">
        <f t="shared" si="62"/>
        <v>NO SENDING ADDRESS - ADD messaging_to_emails</v>
      </c>
      <c r="AG465" t="str">
        <f t="shared" si="63"/>
        <v>ASSIGNABLE</v>
      </c>
    </row>
    <row r="466" spans="1:33" x14ac:dyDescent="0.3">
      <c r="A466" t="s">
        <v>7115</v>
      </c>
      <c r="B466" t="s">
        <v>7116</v>
      </c>
      <c r="T466" t="s">
        <v>3830</v>
      </c>
      <c r="V466" t="s">
        <v>6279</v>
      </c>
      <c r="W466">
        <f>IF($A466="","",COUNTIF(Aircraft!$N:$N,$A466))</f>
        <v>0</v>
      </c>
      <c r="X466" t="str">
        <f t="shared" si="56"/>
        <v>NO AIRCRAFT LINKED</v>
      </c>
      <c r="Y466" t="str">
        <f t="shared" si="57"/>
        <v>EMAIL (SMTP)</v>
      </c>
      <c r="Z466" t="str">
        <f t="shared" si="58"/>
        <v/>
      </c>
      <c r="AA466" t="str">
        <f t="shared" si="59"/>
        <v/>
      </c>
      <c r="AD466" t="str">
        <f t="shared" si="60"/>
        <v>PLAIN TEXT UPPERCASE</v>
      </c>
      <c r="AE466" t="str">
        <f t="shared" si="61"/>
        <v>JTL TRIP SUPPORT</v>
      </c>
      <c r="AF466" t="str">
        <f t="shared" si="62"/>
        <v>NO SENDING ADDRESS - ADD messaging_to_emails</v>
      </c>
      <c r="AG466" t="str">
        <f t="shared" si="63"/>
        <v>ASSIGNABLE</v>
      </c>
    </row>
    <row r="467" spans="1:33" x14ac:dyDescent="0.3">
      <c r="A467" t="s">
        <v>7117</v>
      </c>
      <c r="B467" t="s">
        <v>7118</v>
      </c>
      <c r="T467" t="s">
        <v>3830</v>
      </c>
      <c r="V467" t="s">
        <v>6279</v>
      </c>
      <c r="W467">
        <f>IF($A467="","",COUNTIF(Aircraft!$N:$N,$A467))</f>
        <v>0</v>
      </c>
      <c r="X467" t="str">
        <f t="shared" si="56"/>
        <v>NO AIRCRAFT LINKED</v>
      </c>
      <c r="Y467" t="str">
        <f t="shared" si="57"/>
        <v>EMAIL (SMTP)</v>
      </c>
      <c r="Z467" t="str">
        <f t="shared" si="58"/>
        <v/>
      </c>
      <c r="AA467" t="str">
        <f t="shared" si="59"/>
        <v/>
      </c>
      <c r="AD467" t="str">
        <f t="shared" si="60"/>
        <v>PLAIN TEXT UPPERCASE</v>
      </c>
      <c r="AE467" t="str">
        <f t="shared" si="61"/>
        <v>JTL TRIP SUPPORT</v>
      </c>
      <c r="AF467" t="str">
        <f t="shared" si="62"/>
        <v>NO SENDING ADDRESS - ADD messaging_to_emails</v>
      </c>
      <c r="AG467" t="str">
        <f t="shared" si="63"/>
        <v>ASSIGNABLE</v>
      </c>
    </row>
    <row r="468" spans="1:33" x14ac:dyDescent="0.3">
      <c r="A468" t="s">
        <v>7119</v>
      </c>
      <c r="B468" t="s">
        <v>7120</v>
      </c>
      <c r="T468" t="s">
        <v>3830</v>
      </c>
      <c r="V468" t="s">
        <v>6279</v>
      </c>
      <c r="W468">
        <f>IF($A468="","",COUNTIF(Aircraft!$N:$N,$A468))</f>
        <v>0</v>
      </c>
      <c r="X468" t="str">
        <f t="shared" si="56"/>
        <v>NO AIRCRAFT LINKED</v>
      </c>
      <c r="Y468" t="str">
        <f t="shared" si="57"/>
        <v>EMAIL (SMTP)</v>
      </c>
      <c r="Z468" t="str">
        <f t="shared" si="58"/>
        <v/>
      </c>
      <c r="AA468" t="str">
        <f t="shared" si="59"/>
        <v/>
      </c>
      <c r="AD468" t="str">
        <f t="shared" si="60"/>
        <v>PLAIN TEXT UPPERCASE</v>
      </c>
      <c r="AE468" t="str">
        <f t="shared" si="61"/>
        <v>JTL TRIP SUPPORT</v>
      </c>
      <c r="AF468" t="str">
        <f t="shared" si="62"/>
        <v>NO SENDING ADDRESS - ADD messaging_to_emails</v>
      </c>
      <c r="AG468" t="str">
        <f t="shared" si="63"/>
        <v>ASSIGNABLE</v>
      </c>
    </row>
    <row r="469" spans="1:33" x14ac:dyDescent="0.3">
      <c r="A469" t="s">
        <v>7121</v>
      </c>
      <c r="B469" t="s">
        <v>7122</v>
      </c>
      <c r="T469" t="s">
        <v>3830</v>
      </c>
      <c r="V469" t="s">
        <v>6279</v>
      </c>
      <c r="W469">
        <f>IF($A469="","",COUNTIF(Aircraft!$N:$N,$A469))</f>
        <v>0</v>
      </c>
      <c r="X469" t="str">
        <f t="shared" si="56"/>
        <v>NO AIRCRAFT LINKED</v>
      </c>
      <c r="Y469" t="str">
        <f t="shared" si="57"/>
        <v>EMAIL (SMTP)</v>
      </c>
      <c r="Z469" t="str">
        <f t="shared" si="58"/>
        <v/>
      </c>
      <c r="AA469" t="str">
        <f t="shared" si="59"/>
        <v/>
      </c>
      <c r="AD469" t="str">
        <f t="shared" si="60"/>
        <v>PLAIN TEXT UPPERCASE</v>
      </c>
      <c r="AE469" t="str">
        <f t="shared" si="61"/>
        <v>JTL TRIP SUPPORT</v>
      </c>
      <c r="AF469" t="str">
        <f t="shared" si="62"/>
        <v>NO SENDING ADDRESS - ADD messaging_to_emails</v>
      </c>
      <c r="AG469" t="str">
        <f t="shared" si="63"/>
        <v>ASSIGNABLE</v>
      </c>
    </row>
    <row r="470" spans="1:33" x14ac:dyDescent="0.3">
      <c r="A470" t="s">
        <v>7123</v>
      </c>
      <c r="B470" t="s">
        <v>7124</v>
      </c>
      <c r="T470" t="s">
        <v>3830</v>
      </c>
      <c r="V470" t="s">
        <v>6279</v>
      </c>
      <c r="W470">
        <f>IF($A470="","",COUNTIF(Aircraft!$N:$N,$A470))</f>
        <v>0</v>
      </c>
      <c r="X470" t="str">
        <f t="shared" si="56"/>
        <v>NO AIRCRAFT LINKED</v>
      </c>
      <c r="Y470" t="str">
        <f t="shared" si="57"/>
        <v>EMAIL (SMTP)</v>
      </c>
      <c r="Z470" t="str">
        <f t="shared" si="58"/>
        <v/>
      </c>
      <c r="AA470" t="str">
        <f t="shared" si="59"/>
        <v/>
      </c>
      <c r="AD470" t="str">
        <f t="shared" si="60"/>
        <v>PLAIN TEXT UPPERCASE</v>
      </c>
      <c r="AE470" t="str">
        <f t="shared" si="61"/>
        <v>JTL TRIP SUPPORT</v>
      </c>
      <c r="AF470" t="str">
        <f t="shared" si="62"/>
        <v>NO SENDING ADDRESS - ADD messaging_to_emails</v>
      </c>
      <c r="AG470" t="str">
        <f t="shared" si="63"/>
        <v>ASSIGNABLE</v>
      </c>
    </row>
    <row r="471" spans="1:33" x14ac:dyDescent="0.3">
      <c r="A471" t="s">
        <v>7125</v>
      </c>
      <c r="B471" t="s">
        <v>7126</v>
      </c>
      <c r="T471" t="s">
        <v>3830</v>
      </c>
      <c r="V471" t="s">
        <v>6279</v>
      </c>
      <c r="W471">
        <f>IF($A471="","",COUNTIF(Aircraft!$N:$N,$A471))</f>
        <v>0</v>
      </c>
      <c r="X471" t="str">
        <f t="shared" si="56"/>
        <v>NO AIRCRAFT LINKED</v>
      </c>
      <c r="Y471" t="str">
        <f t="shared" si="57"/>
        <v>EMAIL (SMTP)</v>
      </c>
      <c r="Z471" t="str">
        <f t="shared" si="58"/>
        <v/>
      </c>
      <c r="AA471" t="str">
        <f t="shared" si="59"/>
        <v/>
      </c>
      <c r="AD471" t="str">
        <f t="shared" si="60"/>
        <v>PLAIN TEXT UPPERCASE</v>
      </c>
      <c r="AE471" t="str">
        <f t="shared" si="61"/>
        <v>JTL TRIP SUPPORT</v>
      </c>
      <c r="AF471" t="str">
        <f t="shared" si="62"/>
        <v>NO SENDING ADDRESS - ADD messaging_to_emails</v>
      </c>
      <c r="AG471" t="str">
        <f t="shared" si="63"/>
        <v>ASSIGNABLE</v>
      </c>
    </row>
    <row r="472" spans="1:33" x14ac:dyDescent="0.3">
      <c r="A472" t="s">
        <v>7127</v>
      </c>
      <c r="B472" t="s">
        <v>7128</v>
      </c>
      <c r="T472" t="s">
        <v>3830</v>
      </c>
      <c r="V472" t="s">
        <v>6279</v>
      </c>
      <c r="W472">
        <f>IF($A472="","",COUNTIF(Aircraft!$N:$N,$A472))</f>
        <v>0</v>
      </c>
      <c r="X472" t="str">
        <f t="shared" si="56"/>
        <v>NO AIRCRAFT LINKED</v>
      </c>
      <c r="Y472" t="str">
        <f t="shared" si="57"/>
        <v>EMAIL (SMTP)</v>
      </c>
      <c r="Z472" t="str">
        <f t="shared" si="58"/>
        <v/>
      </c>
      <c r="AA472" t="str">
        <f t="shared" si="59"/>
        <v/>
      </c>
      <c r="AD472" t="str">
        <f t="shared" si="60"/>
        <v>PLAIN TEXT UPPERCASE</v>
      </c>
      <c r="AE472" t="str">
        <f t="shared" si="61"/>
        <v>JTL TRIP SUPPORT</v>
      </c>
      <c r="AF472" t="str">
        <f t="shared" si="62"/>
        <v>NO SENDING ADDRESS - ADD messaging_to_emails</v>
      </c>
      <c r="AG472" t="str">
        <f t="shared" si="63"/>
        <v>ASSIGNABLE</v>
      </c>
    </row>
    <row r="473" spans="1:33" x14ac:dyDescent="0.3">
      <c r="A473" t="s">
        <v>7129</v>
      </c>
      <c r="B473" t="s">
        <v>7130</v>
      </c>
      <c r="T473" t="s">
        <v>3830</v>
      </c>
      <c r="V473" t="s">
        <v>6279</v>
      </c>
      <c r="W473">
        <f>IF($A473="","",COUNTIF(Aircraft!$N:$N,$A473))</f>
        <v>0</v>
      </c>
      <c r="X473" t="str">
        <f t="shared" si="56"/>
        <v>NO AIRCRAFT LINKED</v>
      </c>
      <c r="Y473" t="str">
        <f t="shared" si="57"/>
        <v>EMAIL (SMTP)</v>
      </c>
      <c r="Z473" t="str">
        <f t="shared" si="58"/>
        <v/>
      </c>
      <c r="AA473" t="str">
        <f t="shared" si="59"/>
        <v/>
      </c>
      <c r="AD473" t="str">
        <f t="shared" si="60"/>
        <v>PLAIN TEXT UPPERCASE</v>
      </c>
      <c r="AE473" t="str">
        <f t="shared" si="61"/>
        <v>JTL TRIP SUPPORT</v>
      </c>
      <c r="AF473" t="str">
        <f t="shared" si="62"/>
        <v>NO SENDING ADDRESS - ADD messaging_to_emails</v>
      </c>
      <c r="AG473" t="str">
        <f t="shared" si="63"/>
        <v>ASSIGNABLE</v>
      </c>
    </row>
    <row r="474" spans="1:33" x14ac:dyDescent="0.3">
      <c r="A474" t="s">
        <v>7131</v>
      </c>
      <c r="B474" t="s">
        <v>7132</v>
      </c>
      <c r="T474" t="s">
        <v>3830</v>
      </c>
      <c r="V474" t="s">
        <v>6279</v>
      </c>
      <c r="W474">
        <f>IF($A474="","",COUNTIF(Aircraft!$N:$N,$A474))</f>
        <v>0</v>
      </c>
      <c r="X474" t="str">
        <f t="shared" si="56"/>
        <v>NO AIRCRAFT LINKED</v>
      </c>
      <c r="Y474" t="str">
        <f t="shared" si="57"/>
        <v>EMAIL (SMTP)</v>
      </c>
      <c r="Z474" t="str">
        <f t="shared" si="58"/>
        <v/>
      </c>
      <c r="AA474" t="str">
        <f t="shared" si="59"/>
        <v/>
      </c>
      <c r="AD474" t="str">
        <f t="shared" si="60"/>
        <v>PLAIN TEXT UPPERCASE</v>
      </c>
      <c r="AE474" t="str">
        <f t="shared" si="61"/>
        <v>JTL TRIP SUPPORT</v>
      </c>
      <c r="AF474" t="str">
        <f t="shared" si="62"/>
        <v>NO SENDING ADDRESS - ADD messaging_to_emails</v>
      </c>
      <c r="AG474" t="str">
        <f t="shared" si="63"/>
        <v>ASSIGNABLE</v>
      </c>
    </row>
    <row r="475" spans="1:33" x14ac:dyDescent="0.3">
      <c r="A475" t="s">
        <v>7133</v>
      </c>
      <c r="B475" t="s">
        <v>7134</v>
      </c>
      <c r="T475" t="s">
        <v>3830</v>
      </c>
      <c r="V475" t="s">
        <v>6279</v>
      </c>
      <c r="W475">
        <f>IF($A475="","",COUNTIF(Aircraft!$N:$N,$A475))</f>
        <v>0</v>
      </c>
      <c r="X475" t="str">
        <f t="shared" si="56"/>
        <v>NO AIRCRAFT LINKED</v>
      </c>
      <c r="Y475" t="str">
        <f t="shared" si="57"/>
        <v>EMAIL (SMTP)</v>
      </c>
      <c r="Z475" t="str">
        <f t="shared" si="58"/>
        <v/>
      </c>
      <c r="AA475" t="str">
        <f t="shared" si="59"/>
        <v/>
      </c>
      <c r="AD475" t="str">
        <f t="shared" si="60"/>
        <v>PLAIN TEXT UPPERCASE</v>
      </c>
      <c r="AE475" t="str">
        <f t="shared" si="61"/>
        <v>JTL TRIP SUPPORT</v>
      </c>
      <c r="AF475" t="str">
        <f t="shared" si="62"/>
        <v>NO SENDING ADDRESS - ADD messaging_to_emails</v>
      </c>
      <c r="AG475" t="str">
        <f t="shared" si="63"/>
        <v>ASSIGNABLE</v>
      </c>
    </row>
    <row r="476" spans="1:33" x14ac:dyDescent="0.3">
      <c r="A476" t="s">
        <v>7135</v>
      </c>
      <c r="B476" t="s">
        <v>7136</v>
      </c>
      <c r="T476" t="s">
        <v>3830</v>
      </c>
      <c r="V476" t="s">
        <v>6279</v>
      </c>
      <c r="W476">
        <f>IF($A476="","",COUNTIF(Aircraft!$N:$N,$A476))</f>
        <v>0</v>
      </c>
      <c r="X476" t="str">
        <f t="shared" si="56"/>
        <v>NO AIRCRAFT LINKED</v>
      </c>
      <c r="Y476" t="str">
        <f t="shared" si="57"/>
        <v>EMAIL (SMTP)</v>
      </c>
      <c r="Z476" t="str">
        <f t="shared" si="58"/>
        <v/>
      </c>
      <c r="AA476" t="str">
        <f t="shared" si="59"/>
        <v/>
      </c>
      <c r="AD476" t="str">
        <f t="shared" si="60"/>
        <v>PLAIN TEXT UPPERCASE</v>
      </c>
      <c r="AE476" t="str">
        <f t="shared" si="61"/>
        <v>JTL TRIP SUPPORT</v>
      </c>
      <c r="AF476" t="str">
        <f t="shared" si="62"/>
        <v>NO SENDING ADDRESS - ADD messaging_to_emails</v>
      </c>
      <c r="AG476" t="str">
        <f t="shared" si="63"/>
        <v>ASSIGNABLE</v>
      </c>
    </row>
    <row r="477" spans="1:33" x14ac:dyDescent="0.3">
      <c r="A477" t="s">
        <v>7137</v>
      </c>
      <c r="B477" t="s">
        <v>7138</v>
      </c>
      <c r="T477" t="s">
        <v>3830</v>
      </c>
      <c r="V477" t="s">
        <v>6279</v>
      </c>
      <c r="W477">
        <f>IF($A477="","",COUNTIF(Aircraft!$N:$N,$A477))</f>
        <v>0</v>
      </c>
      <c r="X477" t="str">
        <f t="shared" si="56"/>
        <v>NO AIRCRAFT LINKED</v>
      </c>
      <c r="Y477" t="str">
        <f t="shared" si="57"/>
        <v>EMAIL (SMTP)</v>
      </c>
      <c r="Z477" t="str">
        <f t="shared" si="58"/>
        <v/>
      </c>
      <c r="AA477" t="str">
        <f t="shared" si="59"/>
        <v/>
      </c>
      <c r="AD477" t="str">
        <f t="shared" si="60"/>
        <v>PLAIN TEXT UPPERCASE</v>
      </c>
      <c r="AE477" t="str">
        <f t="shared" si="61"/>
        <v>JTL TRIP SUPPORT</v>
      </c>
      <c r="AF477" t="str">
        <f t="shared" si="62"/>
        <v>NO SENDING ADDRESS - ADD messaging_to_emails</v>
      </c>
      <c r="AG477" t="str">
        <f t="shared" si="63"/>
        <v>ASSIGNABLE</v>
      </c>
    </row>
    <row r="478" spans="1:33" x14ac:dyDescent="0.3">
      <c r="A478" t="s">
        <v>7139</v>
      </c>
      <c r="B478" t="s">
        <v>7140</v>
      </c>
      <c r="T478" t="s">
        <v>3830</v>
      </c>
      <c r="V478" t="s">
        <v>6279</v>
      </c>
      <c r="W478">
        <f>IF($A478="","",COUNTIF(Aircraft!$N:$N,$A478))</f>
        <v>0</v>
      </c>
      <c r="X478" t="str">
        <f t="shared" si="56"/>
        <v>NO AIRCRAFT LINKED</v>
      </c>
      <c r="Y478" t="str">
        <f t="shared" si="57"/>
        <v>EMAIL (SMTP)</v>
      </c>
      <c r="Z478" t="str">
        <f t="shared" si="58"/>
        <v/>
      </c>
      <c r="AA478" t="str">
        <f t="shared" si="59"/>
        <v/>
      </c>
      <c r="AD478" t="str">
        <f t="shared" si="60"/>
        <v>PLAIN TEXT UPPERCASE</v>
      </c>
      <c r="AE478" t="str">
        <f t="shared" si="61"/>
        <v>JTL TRIP SUPPORT</v>
      </c>
      <c r="AF478" t="str">
        <f t="shared" si="62"/>
        <v>NO SENDING ADDRESS - ADD messaging_to_emails</v>
      </c>
      <c r="AG478" t="str">
        <f t="shared" si="63"/>
        <v>ASSIGNABLE</v>
      </c>
    </row>
    <row r="479" spans="1:33" x14ac:dyDescent="0.3">
      <c r="A479" t="s">
        <v>7141</v>
      </c>
      <c r="B479" t="s">
        <v>7142</v>
      </c>
      <c r="T479" t="s">
        <v>3830</v>
      </c>
      <c r="V479" t="s">
        <v>6279</v>
      </c>
      <c r="W479">
        <f>IF($A479="","",COUNTIF(Aircraft!$N:$N,$A479))</f>
        <v>0</v>
      </c>
      <c r="X479" t="str">
        <f t="shared" si="56"/>
        <v>NO AIRCRAFT LINKED</v>
      </c>
      <c r="Y479" t="str">
        <f t="shared" si="57"/>
        <v>EMAIL (SMTP)</v>
      </c>
      <c r="Z479" t="str">
        <f t="shared" si="58"/>
        <v/>
      </c>
      <c r="AA479" t="str">
        <f t="shared" si="59"/>
        <v/>
      </c>
      <c r="AD479" t="str">
        <f t="shared" si="60"/>
        <v>PLAIN TEXT UPPERCASE</v>
      </c>
      <c r="AE479" t="str">
        <f t="shared" si="61"/>
        <v>JTL TRIP SUPPORT</v>
      </c>
      <c r="AF479" t="str">
        <f t="shared" si="62"/>
        <v>NO SENDING ADDRESS - ADD messaging_to_emails</v>
      </c>
      <c r="AG479" t="str">
        <f t="shared" si="63"/>
        <v>ASSIGNABLE</v>
      </c>
    </row>
    <row r="480" spans="1:33" x14ac:dyDescent="0.3">
      <c r="A480" t="s">
        <v>7143</v>
      </c>
      <c r="B480" t="s">
        <v>7144</v>
      </c>
      <c r="T480" t="s">
        <v>3830</v>
      </c>
      <c r="V480" t="s">
        <v>6279</v>
      </c>
      <c r="W480">
        <f>IF($A480="","",COUNTIF(Aircraft!$N:$N,$A480))</f>
        <v>0</v>
      </c>
      <c r="X480" t="str">
        <f t="shared" si="56"/>
        <v>NO AIRCRAFT LINKED</v>
      </c>
      <c r="Y480" t="str">
        <f t="shared" si="57"/>
        <v>EMAIL (SMTP)</v>
      </c>
      <c r="Z480" t="str">
        <f t="shared" si="58"/>
        <v/>
      </c>
      <c r="AA480" t="str">
        <f t="shared" si="59"/>
        <v/>
      </c>
      <c r="AD480" t="str">
        <f t="shared" si="60"/>
        <v>PLAIN TEXT UPPERCASE</v>
      </c>
      <c r="AE480" t="str">
        <f t="shared" si="61"/>
        <v>JTL TRIP SUPPORT</v>
      </c>
      <c r="AF480" t="str">
        <f t="shared" si="62"/>
        <v>NO SENDING ADDRESS - ADD messaging_to_emails</v>
      </c>
      <c r="AG480" t="str">
        <f t="shared" si="63"/>
        <v>ASSIGNABLE</v>
      </c>
    </row>
    <row r="481" spans="1:33" x14ac:dyDescent="0.3">
      <c r="A481" t="s">
        <v>7145</v>
      </c>
      <c r="B481" t="s">
        <v>7146</v>
      </c>
      <c r="T481" t="s">
        <v>3830</v>
      </c>
      <c r="V481" t="s">
        <v>6279</v>
      </c>
      <c r="W481">
        <f>IF($A481="","",COUNTIF(Aircraft!$N:$N,$A481))</f>
        <v>0</v>
      </c>
      <c r="X481" t="str">
        <f t="shared" si="56"/>
        <v>NO AIRCRAFT LINKED</v>
      </c>
      <c r="Y481" t="str">
        <f t="shared" si="57"/>
        <v>EMAIL (SMTP)</v>
      </c>
      <c r="Z481" t="str">
        <f t="shared" si="58"/>
        <v/>
      </c>
      <c r="AA481" t="str">
        <f t="shared" si="59"/>
        <v/>
      </c>
      <c r="AD481" t="str">
        <f t="shared" si="60"/>
        <v>PLAIN TEXT UPPERCASE</v>
      </c>
      <c r="AE481" t="str">
        <f t="shared" si="61"/>
        <v>JTL TRIP SUPPORT</v>
      </c>
      <c r="AF481" t="str">
        <f t="shared" si="62"/>
        <v>NO SENDING ADDRESS - ADD messaging_to_emails</v>
      </c>
      <c r="AG481" t="str">
        <f t="shared" si="63"/>
        <v>ASSIGNABLE</v>
      </c>
    </row>
    <row r="482" spans="1:33" x14ac:dyDescent="0.3">
      <c r="A482" t="s">
        <v>7147</v>
      </c>
      <c r="B482" t="s">
        <v>7148</v>
      </c>
      <c r="T482" t="s">
        <v>3830</v>
      </c>
      <c r="V482" t="s">
        <v>6279</v>
      </c>
      <c r="W482">
        <f>IF($A482="","",COUNTIF(Aircraft!$N:$N,$A482))</f>
        <v>0</v>
      </c>
      <c r="X482" t="str">
        <f t="shared" si="56"/>
        <v>NO AIRCRAFT LINKED</v>
      </c>
      <c r="Y482" t="str">
        <f t="shared" si="57"/>
        <v>EMAIL (SMTP)</v>
      </c>
      <c r="Z482" t="str">
        <f t="shared" si="58"/>
        <v/>
      </c>
      <c r="AA482" t="str">
        <f t="shared" si="59"/>
        <v/>
      </c>
      <c r="AD482" t="str">
        <f t="shared" si="60"/>
        <v>PLAIN TEXT UPPERCASE</v>
      </c>
      <c r="AE482" t="str">
        <f t="shared" si="61"/>
        <v>JTL TRIP SUPPORT</v>
      </c>
      <c r="AF482" t="str">
        <f t="shared" si="62"/>
        <v>NO SENDING ADDRESS - ADD messaging_to_emails</v>
      </c>
      <c r="AG482" t="str">
        <f t="shared" si="63"/>
        <v>ASSIGNABLE</v>
      </c>
    </row>
    <row r="483" spans="1:33" x14ac:dyDescent="0.3">
      <c r="A483" t="s">
        <v>7149</v>
      </c>
      <c r="B483" t="s">
        <v>7150</v>
      </c>
      <c r="T483" t="s">
        <v>3830</v>
      </c>
      <c r="V483" t="s">
        <v>6279</v>
      </c>
      <c r="W483">
        <f>IF($A483="","",COUNTIF(Aircraft!$N:$N,$A483))</f>
        <v>0</v>
      </c>
      <c r="X483" t="str">
        <f t="shared" si="56"/>
        <v>NO AIRCRAFT LINKED</v>
      </c>
      <c r="Y483" t="str">
        <f t="shared" si="57"/>
        <v>EMAIL (SMTP)</v>
      </c>
      <c r="Z483" t="str">
        <f t="shared" si="58"/>
        <v/>
      </c>
      <c r="AA483" t="str">
        <f t="shared" si="59"/>
        <v/>
      </c>
      <c r="AD483" t="str">
        <f t="shared" si="60"/>
        <v>PLAIN TEXT UPPERCASE</v>
      </c>
      <c r="AE483" t="str">
        <f t="shared" si="61"/>
        <v>JTL TRIP SUPPORT</v>
      </c>
      <c r="AF483" t="str">
        <f t="shared" si="62"/>
        <v>NO SENDING ADDRESS - ADD messaging_to_emails</v>
      </c>
      <c r="AG483" t="str">
        <f t="shared" si="63"/>
        <v>ASSIGNABLE</v>
      </c>
    </row>
    <row r="484" spans="1:33" x14ac:dyDescent="0.3">
      <c r="A484" t="s">
        <v>7151</v>
      </c>
      <c r="B484" t="s">
        <v>7152</v>
      </c>
      <c r="T484" t="s">
        <v>3830</v>
      </c>
      <c r="V484" t="s">
        <v>6279</v>
      </c>
      <c r="W484">
        <f>IF($A484="","",COUNTIF(Aircraft!$N:$N,$A484))</f>
        <v>0</v>
      </c>
      <c r="X484" t="str">
        <f t="shared" si="56"/>
        <v>NO AIRCRAFT LINKED</v>
      </c>
      <c r="Y484" t="str">
        <f t="shared" si="57"/>
        <v>EMAIL (SMTP)</v>
      </c>
      <c r="Z484" t="str">
        <f t="shared" si="58"/>
        <v/>
      </c>
      <c r="AA484" t="str">
        <f t="shared" si="59"/>
        <v/>
      </c>
      <c r="AD484" t="str">
        <f t="shared" si="60"/>
        <v>PLAIN TEXT UPPERCASE</v>
      </c>
      <c r="AE484" t="str">
        <f t="shared" si="61"/>
        <v>JTL TRIP SUPPORT</v>
      </c>
      <c r="AF484" t="str">
        <f t="shared" si="62"/>
        <v>NO SENDING ADDRESS - ADD messaging_to_emails</v>
      </c>
      <c r="AG484" t="str">
        <f t="shared" si="63"/>
        <v>ASSIGNABLE</v>
      </c>
    </row>
    <row r="485" spans="1:33" x14ac:dyDescent="0.3">
      <c r="A485" t="s">
        <v>7153</v>
      </c>
      <c r="B485" t="s">
        <v>7154</v>
      </c>
      <c r="T485" t="s">
        <v>3830</v>
      </c>
      <c r="V485" t="s">
        <v>6279</v>
      </c>
      <c r="W485">
        <f>IF($A485="","",COUNTIF(Aircraft!$N:$N,$A485))</f>
        <v>0</v>
      </c>
      <c r="X485" t="str">
        <f t="shared" si="56"/>
        <v>NO AIRCRAFT LINKED</v>
      </c>
      <c r="Y485" t="str">
        <f t="shared" si="57"/>
        <v>EMAIL (SMTP)</v>
      </c>
      <c r="Z485" t="str">
        <f t="shared" si="58"/>
        <v/>
      </c>
      <c r="AA485" t="str">
        <f t="shared" si="59"/>
        <v/>
      </c>
      <c r="AD485" t="str">
        <f t="shared" si="60"/>
        <v>PLAIN TEXT UPPERCASE</v>
      </c>
      <c r="AE485" t="str">
        <f t="shared" si="61"/>
        <v>JTL TRIP SUPPORT</v>
      </c>
      <c r="AF485" t="str">
        <f t="shared" si="62"/>
        <v>NO SENDING ADDRESS - ADD messaging_to_emails</v>
      </c>
      <c r="AG485" t="str">
        <f t="shared" si="63"/>
        <v>ASSIGNABLE</v>
      </c>
    </row>
    <row r="486" spans="1:33" x14ac:dyDescent="0.3">
      <c r="A486" t="s">
        <v>7155</v>
      </c>
      <c r="B486" t="s">
        <v>7156</v>
      </c>
      <c r="T486" t="s">
        <v>3830</v>
      </c>
      <c r="V486" t="s">
        <v>6279</v>
      </c>
      <c r="W486">
        <f>IF($A486="","",COUNTIF(Aircraft!$N:$N,$A486))</f>
        <v>0</v>
      </c>
      <c r="X486" t="str">
        <f t="shared" si="56"/>
        <v>NO AIRCRAFT LINKED</v>
      </c>
      <c r="Y486" t="str">
        <f t="shared" si="57"/>
        <v>EMAIL (SMTP)</v>
      </c>
      <c r="Z486" t="str">
        <f t="shared" si="58"/>
        <v/>
      </c>
      <c r="AA486" t="str">
        <f t="shared" si="59"/>
        <v/>
      </c>
      <c r="AD486" t="str">
        <f t="shared" si="60"/>
        <v>PLAIN TEXT UPPERCASE</v>
      </c>
      <c r="AE486" t="str">
        <f t="shared" si="61"/>
        <v>JTL TRIP SUPPORT</v>
      </c>
      <c r="AF486" t="str">
        <f t="shared" si="62"/>
        <v>NO SENDING ADDRESS - ADD messaging_to_emails</v>
      </c>
      <c r="AG486" t="str">
        <f t="shared" si="63"/>
        <v>ASSIGNABLE</v>
      </c>
    </row>
    <row r="487" spans="1:33" x14ac:dyDescent="0.3">
      <c r="A487" t="s">
        <v>7157</v>
      </c>
      <c r="B487" t="s">
        <v>7158</v>
      </c>
      <c r="T487" t="s">
        <v>3830</v>
      </c>
      <c r="V487" t="s">
        <v>6279</v>
      </c>
      <c r="W487">
        <f>IF($A487="","",COUNTIF(Aircraft!$N:$N,$A487))</f>
        <v>0</v>
      </c>
      <c r="X487" t="str">
        <f t="shared" si="56"/>
        <v>NO AIRCRAFT LINKED</v>
      </c>
      <c r="Y487" t="str">
        <f t="shared" si="57"/>
        <v>EMAIL (SMTP)</v>
      </c>
      <c r="Z487" t="str">
        <f t="shared" si="58"/>
        <v/>
      </c>
      <c r="AA487" t="str">
        <f t="shared" si="59"/>
        <v/>
      </c>
      <c r="AD487" t="str">
        <f t="shared" si="60"/>
        <v>PLAIN TEXT UPPERCASE</v>
      </c>
      <c r="AE487" t="str">
        <f t="shared" si="61"/>
        <v>JTL TRIP SUPPORT</v>
      </c>
      <c r="AF487" t="str">
        <f t="shared" si="62"/>
        <v>NO SENDING ADDRESS - ADD messaging_to_emails</v>
      </c>
      <c r="AG487" t="str">
        <f t="shared" si="63"/>
        <v>ASSIGNABLE</v>
      </c>
    </row>
    <row r="488" spans="1:33" x14ac:dyDescent="0.3">
      <c r="A488" t="s">
        <v>7159</v>
      </c>
      <c r="B488" t="s">
        <v>7160</v>
      </c>
      <c r="T488" t="s">
        <v>3830</v>
      </c>
      <c r="V488" t="s">
        <v>6279</v>
      </c>
      <c r="W488">
        <f>IF($A488="","",COUNTIF(Aircraft!$N:$N,$A488))</f>
        <v>0</v>
      </c>
      <c r="X488" t="str">
        <f t="shared" si="56"/>
        <v>NO AIRCRAFT LINKED</v>
      </c>
      <c r="Y488" t="str">
        <f t="shared" si="57"/>
        <v>EMAIL (SMTP)</v>
      </c>
      <c r="Z488" t="str">
        <f t="shared" si="58"/>
        <v/>
      </c>
      <c r="AA488" t="str">
        <f t="shared" si="59"/>
        <v/>
      </c>
      <c r="AD488" t="str">
        <f t="shared" si="60"/>
        <v>PLAIN TEXT UPPERCASE</v>
      </c>
      <c r="AE488" t="str">
        <f t="shared" si="61"/>
        <v>JTL TRIP SUPPORT</v>
      </c>
      <c r="AF488" t="str">
        <f t="shared" si="62"/>
        <v>NO SENDING ADDRESS - ADD messaging_to_emails</v>
      </c>
      <c r="AG488" t="str">
        <f t="shared" si="63"/>
        <v>ASSIGNABLE</v>
      </c>
    </row>
    <row r="489" spans="1:33" x14ac:dyDescent="0.3">
      <c r="A489" t="s">
        <v>7161</v>
      </c>
      <c r="B489" t="s">
        <v>7162</v>
      </c>
      <c r="T489" t="s">
        <v>3830</v>
      </c>
      <c r="V489" t="s">
        <v>6279</v>
      </c>
      <c r="W489">
        <f>IF($A489="","",COUNTIF(Aircraft!$N:$N,$A489))</f>
        <v>0</v>
      </c>
      <c r="X489" t="str">
        <f t="shared" si="56"/>
        <v>NO AIRCRAFT LINKED</v>
      </c>
      <c r="Y489" t="str">
        <f t="shared" si="57"/>
        <v>EMAIL (SMTP)</v>
      </c>
      <c r="Z489" t="str">
        <f t="shared" si="58"/>
        <v/>
      </c>
      <c r="AA489" t="str">
        <f t="shared" si="59"/>
        <v/>
      </c>
      <c r="AD489" t="str">
        <f t="shared" si="60"/>
        <v>PLAIN TEXT UPPERCASE</v>
      </c>
      <c r="AE489" t="str">
        <f t="shared" si="61"/>
        <v>JTL TRIP SUPPORT</v>
      </c>
      <c r="AF489" t="str">
        <f t="shared" si="62"/>
        <v>NO SENDING ADDRESS - ADD messaging_to_emails</v>
      </c>
      <c r="AG489" t="str">
        <f t="shared" si="63"/>
        <v>ASSIGNABLE</v>
      </c>
    </row>
    <row r="490" spans="1:33" x14ac:dyDescent="0.3">
      <c r="A490" t="s">
        <v>7163</v>
      </c>
      <c r="B490" t="s">
        <v>7164</v>
      </c>
      <c r="T490" t="s">
        <v>3830</v>
      </c>
      <c r="V490" t="s">
        <v>6279</v>
      </c>
      <c r="W490">
        <f>IF($A490="","",COUNTIF(Aircraft!$N:$N,$A490))</f>
        <v>0</v>
      </c>
      <c r="X490" t="str">
        <f t="shared" si="56"/>
        <v>NO AIRCRAFT LINKED</v>
      </c>
      <c r="Y490" t="str">
        <f t="shared" si="57"/>
        <v>EMAIL (SMTP)</v>
      </c>
      <c r="Z490" t="str">
        <f t="shared" si="58"/>
        <v/>
      </c>
      <c r="AA490" t="str">
        <f t="shared" si="59"/>
        <v/>
      </c>
      <c r="AD490" t="str">
        <f t="shared" si="60"/>
        <v>PLAIN TEXT UPPERCASE</v>
      </c>
      <c r="AE490" t="str">
        <f t="shared" si="61"/>
        <v>JTL TRIP SUPPORT</v>
      </c>
      <c r="AF490" t="str">
        <f t="shared" si="62"/>
        <v>NO SENDING ADDRESS - ADD messaging_to_emails</v>
      </c>
      <c r="AG490" t="str">
        <f t="shared" si="63"/>
        <v>ASSIGNABLE</v>
      </c>
    </row>
    <row r="491" spans="1:33" x14ac:dyDescent="0.3">
      <c r="A491" t="s">
        <v>7165</v>
      </c>
      <c r="B491" t="s">
        <v>7166</v>
      </c>
      <c r="T491" t="s">
        <v>3830</v>
      </c>
      <c r="V491" t="s">
        <v>6279</v>
      </c>
      <c r="W491">
        <f>IF($A491="","",COUNTIF(Aircraft!$N:$N,$A491))</f>
        <v>0</v>
      </c>
      <c r="X491" t="str">
        <f t="shared" si="56"/>
        <v>NO AIRCRAFT LINKED</v>
      </c>
      <c r="Y491" t="str">
        <f t="shared" si="57"/>
        <v>EMAIL (SMTP)</v>
      </c>
      <c r="Z491" t="str">
        <f t="shared" si="58"/>
        <v/>
      </c>
      <c r="AA491" t="str">
        <f t="shared" si="59"/>
        <v/>
      </c>
      <c r="AD491" t="str">
        <f t="shared" si="60"/>
        <v>PLAIN TEXT UPPERCASE</v>
      </c>
      <c r="AE491" t="str">
        <f t="shared" si="61"/>
        <v>JTL TRIP SUPPORT</v>
      </c>
      <c r="AF491" t="str">
        <f t="shared" si="62"/>
        <v>NO SENDING ADDRESS - ADD messaging_to_emails</v>
      </c>
      <c r="AG491" t="str">
        <f t="shared" si="63"/>
        <v>ASSIGNABLE</v>
      </c>
    </row>
  </sheetData>
  <dataValidations count="2">
    <dataValidation type="list" allowBlank="1" showInputMessage="1" showErrorMessage="1" sqref="Y2:Y46" xr:uid="{17CCC759-4D77-41FA-8729-614AD8CEF7A8}">
      <formula1>"EMAIL (SMTP),SITA,AFTN,FAX,PORTAL"</formula1>
    </dataValidation>
    <dataValidation type="list" allowBlank="1" showInputMessage="1" showErrorMessage="1" sqref="AD2:AD46" xr:uid="{B024F289-3056-4D36-B5EC-C15079C07572}">
      <formula1>"PLAIN TEXT UPPERCASE,PLAIN TEXT,HTML"</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C5AB7-FE5A-4062-868A-8962E2FFE42B}">
  <dimension ref="A1:AH691"/>
  <sheetViews>
    <sheetView tabSelected="1" topLeftCell="W1" workbookViewId="0">
      <pane ySplit="1" topLeftCell="A114" activePane="bottomLeft" state="frozen"/>
      <selection pane="bottomLeft" activeCell="AB137" sqref="AB137"/>
    </sheetView>
  </sheetViews>
  <sheetFormatPr defaultRowHeight="14.4" x14ac:dyDescent="0.3"/>
  <cols>
    <col min="1" max="1" width="9.5546875" bestFit="1" customWidth="1"/>
    <col min="2" max="2" width="10.5546875" bestFit="1" customWidth="1"/>
    <col min="3" max="3" width="9" bestFit="1" customWidth="1"/>
    <col min="4" max="4" width="19.21875" bestFit="1" customWidth="1"/>
    <col min="5" max="5" width="17.6640625" bestFit="1" customWidth="1"/>
    <col min="6" max="6" width="14.88671875" bestFit="1" customWidth="1"/>
    <col min="7" max="7" width="33.88671875" bestFit="1" customWidth="1"/>
    <col min="8" max="9" width="8.33203125" bestFit="1" customWidth="1"/>
    <col min="10" max="10" width="15" bestFit="1" customWidth="1"/>
    <col min="11" max="11" width="12.88671875" bestFit="1" customWidth="1"/>
    <col min="12" max="12" width="13.33203125" bestFit="1" customWidth="1"/>
    <col min="13" max="13" width="8.33203125" bestFit="1" customWidth="1"/>
    <col min="14" max="14" width="11.109375" bestFit="1" customWidth="1"/>
    <col min="15" max="15" width="14.109375" bestFit="1" customWidth="1"/>
    <col min="16" max="16" width="19.77734375" bestFit="1" customWidth="1"/>
    <col min="17" max="17" width="18.33203125" bestFit="1" customWidth="1"/>
    <col min="18" max="18" width="12.6640625" bestFit="1" customWidth="1"/>
    <col min="19" max="19" width="5.5546875" bestFit="1" customWidth="1"/>
    <col min="20" max="30" width="27.77734375" customWidth="1"/>
    <col min="31" max="34" width="25.88671875" customWidth="1"/>
  </cols>
  <sheetData>
    <row r="1" spans="1:34" x14ac:dyDescent="0.3">
      <c r="A1" s="22" t="s">
        <v>3835</v>
      </c>
      <c r="B1" s="22" t="s">
        <v>3836</v>
      </c>
      <c r="C1" s="22" t="s">
        <v>3837</v>
      </c>
      <c r="D1" s="22" t="s">
        <v>3838</v>
      </c>
      <c r="E1" s="22" t="s">
        <v>3839</v>
      </c>
      <c r="F1" s="22" t="s">
        <v>3814</v>
      </c>
      <c r="G1" s="22" t="s">
        <v>3840</v>
      </c>
      <c r="H1" s="22" t="s">
        <v>3841</v>
      </c>
      <c r="I1" s="22" t="s">
        <v>3842</v>
      </c>
      <c r="J1" s="22" t="s">
        <v>3843</v>
      </c>
      <c r="K1" s="22" t="s">
        <v>3844</v>
      </c>
      <c r="L1" s="22" t="s">
        <v>3845</v>
      </c>
      <c r="M1" s="22" t="s">
        <v>2292</v>
      </c>
      <c r="N1" s="22" t="s">
        <v>3846</v>
      </c>
      <c r="O1" s="22" t="s">
        <v>3847</v>
      </c>
      <c r="P1" s="22" t="s">
        <v>3848</v>
      </c>
      <c r="Q1" s="22" t="s">
        <v>3849</v>
      </c>
      <c r="R1" s="22" t="s">
        <v>3850</v>
      </c>
      <c r="S1" s="22" t="s">
        <v>2300</v>
      </c>
      <c r="T1" s="25" t="s">
        <v>3808</v>
      </c>
      <c r="U1" s="25" t="s">
        <v>4625</v>
      </c>
      <c r="V1" s="25" t="s">
        <v>4626</v>
      </c>
      <c r="W1" s="25" t="s">
        <v>4627</v>
      </c>
      <c r="X1" s="25" t="s">
        <v>4628</v>
      </c>
      <c r="Y1" s="25" t="s">
        <v>4629</v>
      </c>
      <c r="Z1" s="25" t="s">
        <v>4630</v>
      </c>
      <c r="AA1" s="25" t="s">
        <v>4631</v>
      </c>
      <c r="AB1" s="25" t="s">
        <v>4632</v>
      </c>
      <c r="AC1" s="25" t="s">
        <v>4633</v>
      </c>
      <c r="AD1" s="25" t="s">
        <v>4634</v>
      </c>
      <c r="AE1" s="67" t="s">
        <v>5313</v>
      </c>
      <c r="AF1" s="67" t="s">
        <v>5314</v>
      </c>
      <c r="AG1" s="67" t="s">
        <v>5315</v>
      </c>
      <c r="AH1" s="67" t="s">
        <v>5316</v>
      </c>
    </row>
    <row r="2" spans="1:34" x14ac:dyDescent="0.3">
      <c r="A2" t="s">
        <v>3851</v>
      </c>
      <c r="B2" t="s">
        <v>4192</v>
      </c>
      <c r="C2" t="s">
        <v>3852</v>
      </c>
      <c r="D2" t="s">
        <v>3853</v>
      </c>
      <c r="E2" t="s">
        <v>3854</v>
      </c>
      <c r="F2" t="s">
        <v>3855</v>
      </c>
      <c r="G2" t="str">
        <f>IF($F2="","",IFERROR(INDEX(airports!$E:$E,MATCH($F2,airports!$A:$A,0)),"Not in airports"))</f>
        <v>Arusha Airport</v>
      </c>
      <c r="H2" s="5">
        <v>3969</v>
      </c>
      <c r="I2">
        <v>14</v>
      </c>
      <c r="J2" t="s">
        <v>108</v>
      </c>
      <c r="K2" t="s">
        <v>3856</v>
      </c>
      <c r="L2" t="s">
        <v>3830</v>
      </c>
      <c r="M2" t="b">
        <v>1</v>
      </c>
      <c r="N2" t="s">
        <v>3857</v>
      </c>
      <c r="S2" s="23" t="str">
        <f>IF($B2="","",IF(COUNTIF($B$2:$B$111,$B2)&gt;1,"DUPLICATE REGISTRATION - verify",""))</f>
        <v/>
      </c>
      <c r="T2" t="str">
        <f>IF($N2="","",IFERROR(INDEX(Operators!$B:$B,MATCH($N2,Operators!$A:$A,0))&amp;"","UNKNOWN OPERATOR ID"))</f>
        <v/>
      </c>
      <c r="U2" t="str">
        <f>IF($N2="","",IFERROR(INDEX(Operators!$C:$C,MATCH($N2,Operators!$A:$A,0))&amp;"","UNKNOWN OPERATOR ID"))</f>
        <v/>
      </c>
      <c r="V2" t="str">
        <f>IF($N2="","",IFERROR(INDEX(Operators!$D:$D,MATCH($N2,Operators!$A:$A,0))&amp;"","UNKNOWN OPERATOR ID"))</f>
        <v/>
      </c>
      <c r="W2" t="str">
        <f>IF($N2="","",IFERROR(INDEX(Operators!$E:$E,MATCH($N2,Operators!$A:$A,0))&amp;"","UNKNOWN OPERATOR ID"))</f>
        <v/>
      </c>
      <c r="X2" t="str">
        <f>IF($N2="","",IFERROR(INDEX(Operators!$G:$G,MATCH($N2,Operators!$A:$A,0))&amp;"","UNKNOWN OPERATOR ID"))</f>
        <v/>
      </c>
      <c r="Y2" t="str">
        <f>IF($N2="","",IFERROR(INDEX(Operators!$H:$H,MATCH($N2,Operators!$A:$A,0))&amp;"","UNKNOWN OPERATOR ID"))</f>
        <v/>
      </c>
      <c r="Z2" t="str">
        <f>IF($N2="","",IFERROR(INDEX(Operators!$T:$T,MATCH($N2,Operators!$A:$A,0))&amp;"","UNKNOWN OPERATOR ID"))</f>
        <v>ACTIVE</v>
      </c>
      <c r="AA2" t="str">
        <f>IF($N2="","",IFERROR(INDEX(Operators!$N:$N,MATCH($N2,Operators!$A:$A,0))&amp;"","UNKNOWN OPERATOR ID"))</f>
        <v/>
      </c>
      <c r="AB2" t="str">
        <f>IF($N2="","",IFERROR(INDEX(Operators!$K:$K,MATCH($N2,Operators!$A:$A,0))&amp;"","UNKNOWN OPERATOR ID"))</f>
        <v/>
      </c>
      <c r="AC2" t="str">
        <f>IF($N2="","",IFERROR(INDEX(Operators!$M:$M,MATCH($N2,Operators!$A:$A,0))&amp;"","UNKNOWN OPERATOR ID"))</f>
        <v/>
      </c>
      <c r="AD2" s="1" t="str">
        <f>IF($B2="","",IF($N2="","OPERATOR MISSING",IF(COUNTIF(Operators!$A:$A,$N2)=0,"UNKNOWN OPERATOR ID",IF($T2="","OPERATOR NAME REQUIRED","OK"))))</f>
        <v>OPERATOR NAME REQUIRED</v>
      </c>
      <c r="AE2">
        <f>IF($B2="","",COUNTIFS('FLEET DOCUMENTS'!$C$5:$C$60,$B2))</f>
        <v>0</v>
      </c>
      <c r="AF2">
        <f>IF($B2="","",COUNTIFS('FLEET DOCUMENTS'!$C$5:$C$60,$B2,'FLEET DOCUMENTS'!$S$5:$S$60,"EXPIRED"))</f>
        <v>0</v>
      </c>
      <c r="AG2">
        <f>IF($B2="","",COUNTIFS('FLEET DOCUMENTS'!$C$5:$C$60,$B2,'FLEET DOCUMENTS'!$S$5:$S$60,"EXPIRES WITHIN 90 DAYS")+COUNTIFS('FLEET DOCUMENTS'!$C$5:$C$60,$B2,'FLEET DOCUMENTS'!$S$5:$S$60,"EXPIRES WITHIN 30 DAYS"))</f>
        <v>0</v>
      </c>
      <c r="AH2" s="72">
        <f>IF($B2="","",IFERROR(_xlfn.MINIFS('FLEET DOCUMENTS'!$J$5:$J$60,'FLEET DOCUMENTS'!$C$5:$C$60,$B2),""))</f>
        <v>0</v>
      </c>
    </row>
    <row r="3" spans="1:34" x14ac:dyDescent="0.3">
      <c r="A3" t="s">
        <v>3858</v>
      </c>
      <c r="B3" t="s">
        <v>4193</v>
      </c>
      <c r="C3" t="s">
        <v>3852</v>
      </c>
      <c r="D3" t="s">
        <v>3853</v>
      </c>
      <c r="E3" t="s">
        <v>3859</v>
      </c>
      <c r="F3" t="s">
        <v>3855</v>
      </c>
      <c r="G3" t="str">
        <f>IF($F3="","",IFERROR(INDEX(airports!$E:$E,MATCH($F3,airports!$A:$A,0)),"Not in airports"))</f>
        <v>Arusha Airport</v>
      </c>
      <c r="H3" s="5">
        <v>3970</v>
      </c>
      <c r="I3">
        <v>14</v>
      </c>
      <c r="J3" t="s">
        <v>108</v>
      </c>
      <c r="K3" t="s">
        <v>3860</v>
      </c>
      <c r="L3" t="s">
        <v>3830</v>
      </c>
      <c r="M3" t="b">
        <v>1</v>
      </c>
      <c r="N3" t="s">
        <v>3857</v>
      </c>
      <c r="S3" s="23" t="str">
        <f t="shared" ref="S3:S66" si="0">IF($B3="","",IF(COUNTIF($B$2:$B$111,$B3)&gt;1,"DUPLICATE REGISTRATION - verify",""))</f>
        <v/>
      </c>
      <c r="T3" t="str">
        <f>IF($N3="","",IFERROR(INDEX(Operators!$B:$B,MATCH($N3,Operators!$A:$A,0))&amp;"","UNKNOWN OPERATOR ID"))</f>
        <v/>
      </c>
      <c r="U3" t="str">
        <f>IF($N3="","",IFERROR(INDEX(Operators!$C:$C,MATCH($N3,Operators!$A:$A,0))&amp;"","UNKNOWN OPERATOR ID"))</f>
        <v/>
      </c>
      <c r="V3" t="str">
        <f>IF($N3="","",IFERROR(INDEX(Operators!$D:$D,MATCH($N3,Operators!$A:$A,0))&amp;"","UNKNOWN OPERATOR ID"))</f>
        <v/>
      </c>
      <c r="W3" t="str">
        <f>IF($N3="","",IFERROR(INDEX(Operators!$E:$E,MATCH($N3,Operators!$A:$A,0))&amp;"","UNKNOWN OPERATOR ID"))</f>
        <v/>
      </c>
      <c r="X3" t="str">
        <f>IF($N3="","",IFERROR(INDEX(Operators!$G:$G,MATCH($N3,Operators!$A:$A,0))&amp;"","UNKNOWN OPERATOR ID"))</f>
        <v/>
      </c>
      <c r="Y3" t="str">
        <f>IF($N3="","",IFERROR(INDEX(Operators!$H:$H,MATCH($N3,Operators!$A:$A,0))&amp;"","UNKNOWN OPERATOR ID"))</f>
        <v/>
      </c>
      <c r="Z3" t="str">
        <f>IF($N3="","",IFERROR(INDEX(Operators!$T:$T,MATCH($N3,Operators!$A:$A,0))&amp;"","UNKNOWN OPERATOR ID"))</f>
        <v>ACTIVE</v>
      </c>
      <c r="AA3" t="str">
        <f>IF($N3="","",IFERROR(INDEX(Operators!$N:$N,MATCH($N3,Operators!$A:$A,0))&amp;"","UNKNOWN OPERATOR ID"))</f>
        <v/>
      </c>
      <c r="AB3" t="str">
        <f>IF($N3="","",IFERROR(INDEX(Operators!$K:$K,MATCH($N3,Operators!$A:$A,0))&amp;"","UNKNOWN OPERATOR ID"))</f>
        <v/>
      </c>
      <c r="AC3" t="str">
        <f>IF($N3="","",IFERROR(INDEX(Operators!$M:$M,MATCH($N3,Operators!$A:$A,0))&amp;"","UNKNOWN OPERATOR ID"))</f>
        <v/>
      </c>
      <c r="AD3" s="1" t="str">
        <f>IF($B3="","",IF($N3="","OPERATOR MISSING",IF(COUNTIF(Operators!$A:$A,$N3)=0,"UNKNOWN OPERATOR ID",IF($T3="","OPERATOR NAME REQUIRED","OK"))))</f>
        <v>OPERATOR NAME REQUIRED</v>
      </c>
      <c r="AE3">
        <f>IF($B3="","",COUNTIFS('FLEET DOCUMENTS'!$C$5:$C$60,$B3))</f>
        <v>0</v>
      </c>
      <c r="AF3">
        <f>IF($B3="","",COUNTIFS('FLEET DOCUMENTS'!$C$5:$C$60,$B3,'FLEET DOCUMENTS'!$S$5:$S$60,"EXPIRED"))</f>
        <v>0</v>
      </c>
      <c r="AG3">
        <f>IF($B3="","",COUNTIFS('FLEET DOCUMENTS'!$C$5:$C$60,$B3,'FLEET DOCUMENTS'!$S$5:$S$60,"EXPIRES WITHIN 90 DAYS")+COUNTIFS('FLEET DOCUMENTS'!$C$5:$C$60,$B3,'FLEET DOCUMENTS'!$S$5:$S$60,"EXPIRES WITHIN 30 DAYS"))</f>
        <v>0</v>
      </c>
      <c r="AH3" s="72">
        <f>IF($B3="","",IFERROR(_xlfn.MINIFS('FLEET DOCUMENTS'!$J$5:$J$60,'FLEET DOCUMENTS'!$C$5:$C$60,$B3),""))</f>
        <v>0</v>
      </c>
    </row>
    <row r="4" spans="1:34" x14ac:dyDescent="0.3">
      <c r="A4" t="s">
        <v>3861</v>
      </c>
      <c r="B4" t="s">
        <v>4194</v>
      </c>
      <c r="C4" t="s">
        <v>3862</v>
      </c>
      <c r="D4" t="s">
        <v>3863</v>
      </c>
      <c r="E4" t="s">
        <v>3864</v>
      </c>
      <c r="F4" t="s">
        <v>1491</v>
      </c>
      <c r="G4" t="str">
        <f>IF($F4="","",IFERROR(INDEX(airports!$E:$E,MATCH($F4,airports!$A:$A,0)),"Not in airports"))</f>
        <v>Julius Nyerere International Airport</v>
      </c>
      <c r="H4" s="5">
        <v>52290</v>
      </c>
      <c r="I4">
        <v>114</v>
      </c>
      <c r="J4" t="s">
        <v>108</v>
      </c>
      <c r="K4">
        <v>19000124</v>
      </c>
      <c r="L4" t="s">
        <v>3830</v>
      </c>
      <c r="M4" t="b">
        <v>1</v>
      </c>
      <c r="N4" t="s">
        <v>3865</v>
      </c>
      <c r="S4" s="23" t="str">
        <f t="shared" si="0"/>
        <v/>
      </c>
      <c r="T4" t="str">
        <f>IF($N4="","",IFERROR(INDEX(Operators!$B:$B,MATCH($N4,Operators!$A:$A,0))&amp;"","UNKNOWN OPERATOR ID"))</f>
        <v/>
      </c>
      <c r="U4" t="str">
        <f>IF($N4="","",IFERROR(INDEX(Operators!$C:$C,MATCH($N4,Operators!$A:$A,0))&amp;"","UNKNOWN OPERATOR ID"))</f>
        <v/>
      </c>
      <c r="V4" t="str">
        <f>IF($N4="","",IFERROR(INDEX(Operators!$D:$D,MATCH($N4,Operators!$A:$A,0))&amp;"","UNKNOWN OPERATOR ID"))</f>
        <v/>
      </c>
      <c r="W4" t="str">
        <f>IF($N4="","",IFERROR(INDEX(Operators!$E:$E,MATCH($N4,Operators!$A:$A,0))&amp;"","UNKNOWN OPERATOR ID"))</f>
        <v/>
      </c>
      <c r="X4" t="str">
        <f>IF($N4="","",IFERROR(INDEX(Operators!$G:$G,MATCH($N4,Operators!$A:$A,0))&amp;"","UNKNOWN OPERATOR ID"))</f>
        <v/>
      </c>
      <c r="Y4" t="str">
        <f>IF($N4="","",IFERROR(INDEX(Operators!$H:$H,MATCH($N4,Operators!$A:$A,0))&amp;"","UNKNOWN OPERATOR ID"))</f>
        <v/>
      </c>
      <c r="Z4" t="str">
        <f>IF($N4="","",IFERROR(INDEX(Operators!$T:$T,MATCH($N4,Operators!$A:$A,0))&amp;"","UNKNOWN OPERATOR ID"))</f>
        <v>ACTIVE</v>
      </c>
      <c r="AA4" t="str">
        <f>IF($N4="","",IFERROR(INDEX(Operators!$N:$N,MATCH($N4,Operators!$A:$A,0))&amp;"","UNKNOWN OPERATOR ID"))</f>
        <v/>
      </c>
      <c r="AB4" t="str">
        <f>IF($N4="","",IFERROR(INDEX(Operators!$K:$K,MATCH($N4,Operators!$A:$A,0))&amp;"","UNKNOWN OPERATOR ID"))</f>
        <v/>
      </c>
      <c r="AC4" t="str">
        <f>IF($N4="","",IFERROR(INDEX(Operators!$M:$M,MATCH($N4,Operators!$A:$A,0))&amp;"","UNKNOWN OPERATOR ID"))</f>
        <v/>
      </c>
      <c r="AD4" s="1" t="str">
        <f>IF($B4="","",IF($N4="","OPERATOR MISSING",IF(COUNTIF(Operators!$A:$A,$N4)=0,"UNKNOWN OPERATOR ID",IF($T4="","OPERATOR NAME REQUIRED","OK"))))</f>
        <v>OPERATOR NAME REQUIRED</v>
      </c>
      <c r="AE4">
        <f>IF($B4="","",COUNTIFS('FLEET DOCUMENTS'!$C$5:$C$60,$B4))</f>
        <v>0</v>
      </c>
      <c r="AF4">
        <f>IF($B4="","",COUNTIFS('FLEET DOCUMENTS'!$C$5:$C$60,$B4,'FLEET DOCUMENTS'!$S$5:$S$60,"EXPIRED"))</f>
        <v>0</v>
      </c>
      <c r="AG4">
        <f>IF($B4="","",COUNTIFS('FLEET DOCUMENTS'!$C$5:$C$60,$B4,'FLEET DOCUMENTS'!$S$5:$S$60,"EXPIRES WITHIN 90 DAYS")+COUNTIFS('FLEET DOCUMENTS'!$C$5:$C$60,$B4,'FLEET DOCUMENTS'!$S$5:$S$60,"EXPIRES WITHIN 30 DAYS"))</f>
        <v>0</v>
      </c>
      <c r="AH4" s="72">
        <f>IF($B4="","",IFERROR(_xlfn.MINIFS('FLEET DOCUMENTS'!$J$5:$J$60,'FLEET DOCUMENTS'!$C$5:$C$60,$B4),""))</f>
        <v>0</v>
      </c>
    </row>
    <row r="5" spans="1:34" x14ac:dyDescent="0.3">
      <c r="A5" t="s">
        <v>3866</v>
      </c>
      <c r="B5" t="s">
        <v>4195</v>
      </c>
      <c r="C5" t="s">
        <v>3867</v>
      </c>
      <c r="D5" t="s">
        <v>3853</v>
      </c>
      <c r="E5" t="s">
        <v>3868</v>
      </c>
      <c r="F5" t="s">
        <v>1491</v>
      </c>
      <c r="G5" t="str">
        <f>IF($F5="","",IFERROR(INDEX(airports!$E:$E,MATCH($F5,airports!$A:$A,0)),"Not in airports"))</f>
        <v>Julius Nyerere International Airport</v>
      </c>
      <c r="H5" s="5">
        <v>3674</v>
      </c>
      <c r="I5">
        <v>5</v>
      </c>
      <c r="J5" t="s">
        <v>108</v>
      </c>
      <c r="K5" t="s">
        <v>3869</v>
      </c>
      <c r="L5" t="s">
        <v>3830</v>
      </c>
      <c r="M5" t="b">
        <v>1</v>
      </c>
      <c r="N5" t="s">
        <v>3870</v>
      </c>
      <c r="S5" s="23" t="str">
        <f t="shared" si="0"/>
        <v/>
      </c>
      <c r="T5" t="str">
        <f>IF($N5="","",IFERROR(INDEX(Operators!$B:$B,MATCH($N5,Operators!$A:$A,0))&amp;"","UNKNOWN OPERATOR ID"))</f>
        <v/>
      </c>
      <c r="U5" t="str">
        <f>IF($N5="","",IFERROR(INDEX(Operators!$C:$C,MATCH($N5,Operators!$A:$A,0))&amp;"","UNKNOWN OPERATOR ID"))</f>
        <v/>
      </c>
      <c r="V5" t="str">
        <f>IF($N5="","",IFERROR(INDEX(Operators!$D:$D,MATCH($N5,Operators!$A:$A,0))&amp;"","UNKNOWN OPERATOR ID"))</f>
        <v/>
      </c>
      <c r="W5" t="str">
        <f>IF($N5="","",IFERROR(INDEX(Operators!$E:$E,MATCH($N5,Operators!$A:$A,0))&amp;"","UNKNOWN OPERATOR ID"))</f>
        <v/>
      </c>
      <c r="X5" t="str">
        <f>IF($N5="","",IFERROR(INDEX(Operators!$G:$G,MATCH($N5,Operators!$A:$A,0))&amp;"","UNKNOWN OPERATOR ID"))</f>
        <v/>
      </c>
      <c r="Y5" t="str">
        <f>IF($N5="","",IFERROR(INDEX(Operators!$H:$H,MATCH($N5,Operators!$A:$A,0))&amp;"","UNKNOWN OPERATOR ID"))</f>
        <v/>
      </c>
      <c r="Z5" t="str">
        <f>IF($N5="","",IFERROR(INDEX(Operators!$T:$T,MATCH($N5,Operators!$A:$A,0))&amp;"","UNKNOWN OPERATOR ID"))</f>
        <v>ACTIVE</v>
      </c>
      <c r="AA5" t="str">
        <f>IF($N5="","",IFERROR(INDEX(Operators!$N:$N,MATCH($N5,Operators!$A:$A,0))&amp;"","UNKNOWN OPERATOR ID"))</f>
        <v/>
      </c>
      <c r="AB5" t="str">
        <f>IF($N5="","",IFERROR(INDEX(Operators!$K:$K,MATCH($N5,Operators!$A:$A,0))&amp;"","UNKNOWN OPERATOR ID"))</f>
        <v/>
      </c>
      <c r="AC5" t="str">
        <f>IF($N5="","",IFERROR(INDEX(Operators!$M:$M,MATCH($N5,Operators!$A:$A,0))&amp;"","UNKNOWN OPERATOR ID"))</f>
        <v/>
      </c>
      <c r="AD5" s="1" t="str">
        <f>IF($B5="","",IF($N5="","OPERATOR MISSING",IF(COUNTIF(Operators!$A:$A,$N5)=0,"UNKNOWN OPERATOR ID",IF($T5="","OPERATOR NAME REQUIRED","OK"))))</f>
        <v>OPERATOR NAME REQUIRED</v>
      </c>
      <c r="AE5">
        <f>IF($B5="","",COUNTIFS('FLEET DOCUMENTS'!$C$5:$C$60,$B5))</f>
        <v>0</v>
      </c>
      <c r="AF5">
        <f>IF($B5="","",COUNTIFS('FLEET DOCUMENTS'!$C$5:$C$60,$B5,'FLEET DOCUMENTS'!$S$5:$S$60,"EXPIRED"))</f>
        <v>0</v>
      </c>
      <c r="AG5">
        <f>IF($B5="","",COUNTIFS('FLEET DOCUMENTS'!$C$5:$C$60,$B5,'FLEET DOCUMENTS'!$S$5:$S$60,"EXPIRES WITHIN 90 DAYS")+COUNTIFS('FLEET DOCUMENTS'!$C$5:$C$60,$B5,'FLEET DOCUMENTS'!$S$5:$S$60,"EXPIRES WITHIN 30 DAYS"))</f>
        <v>0</v>
      </c>
      <c r="AH5" s="72">
        <f>IF($B5="","",IFERROR(_xlfn.MINIFS('FLEET DOCUMENTS'!$J$5:$J$60,'FLEET DOCUMENTS'!$C$5:$C$60,$B5),""))</f>
        <v>0</v>
      </c>
    </row>
    <row r="6" spans="1:34" x14ac:dyDescent="0.3">
      <c r="A6" t="s">
        <v>3871</v>
      </c>
      <c r="B6" t="s">
        <v>4196</v>
      </c>
      <c r="C6" t="s">
        <v>3872</v>
      </c>
      <c r="D6" t="s">
        <v>3873</v>
      </c>
      <c r="E6" t="s">
        <v>3874</v>
      </c>
      <c r="F6" t="s">
        <v>1491</v>
      </c>
      <c r="G6" t="str">
        <f>IF($F6="","",IFERROR(INDEX(airports!$E:$E,MATCH($F6,airports!$A:$A,0)),"Not in airports"))</f>
        <v>Julius Nyerere International Airport</v>
      </c>
      <c r="H6" s="5">
        <v>29260</v>
      </c>
      <c r="I6">
        <v>90</v>
      </c>
      <c r="J6" t="s">
        <v>108</v>
      </c>
      <c r="K6">
        <v>4281</v>
      </c>
      <c r="L6" t="s">
        <v>3875</v>
      </c>
      <c r="M6" t="b">
        <v>0</v>
      </c>
      <c r="N6" t="s">
        <v>3876</v>
      </c>
      <c r="S6" s="23" t="str">
        <f t="shared" si="0"/>
        <v/>
      </c>
      <c r="T6" t="str">
        <f>IF($N6="","",IFERROR(INDEX(Operators!$B:$B,MATCH($N6,Operators!$A:$A,0))&amp;"","UNKNOWN OPERATOR ID"))</f>
        <v/>
      </c>
      <c r="U6" t="str">
        <f>IF($N6="","",IFERROR(INDEX(Operators!$C:$C,MATCH($N6,Operators!$A:$A,0))&amp;"","UNKNOWN OPERATOR ID"))</f>
        <v/>
      </c>
      <c r="V6" t="str">
        <f>IF($N6="","",IFERROR(INDEX(Operators!$D:$D,MATCH($N6,Operators!$A:$A,0))&amp;"","UNKNOWN OPERATOR ID"))</f>
        <v/>
      </c>
      <c r="W6" t="str">
        <f>IF($N6="","",IFERROR(INDEX(Operators!$E:$E,MATCH($N6,Operators!$A:$A,0))&amp;"","UNKNOWN OPERATOR ID"))</f>
        <v/>
      </c>
      <c r="X6" t="str">
        <f>IF($N6="","",IFERROR(INDEX(Operators!$G:$G,MATCH($N6,Operators!$A:$A,0))&amp;"","UNKNOWN OPERATOR ID"))</f>
        <v/>
      </c>
      <c r="Y6" t="str">
        <f>IF($N6="","",IFERROR(INDEX(Operators!$H:$H,MATCH($N6,Operators!$A:$A,0))&amp;"","UNKNOWN OPERATOR ID"))</f>
        <v/>
      </c>
      <c r="Z6" t="str">
        <f>IF($N6="","",IFERROR(INDEX(Operators!$T:$T,MATCH($N6,Operators!$A:$A,0))&amp;"","UNKNOWN OPERATOR ID"))</f>
        <v>ACTIVE</v>
      </c>
      <c r="AA6" t="str">
        <f>IF($N6="","",IFERROR(INDEX(Operators!$N:$N,MATCH($N6,Operators!$A:$A,0))&amp;"","UNKNOWN OPERATOR ID"))</f>
        <v/>
      </c>
      <c r="AB6" t="str">
        <f>IF($N6="","",IFERROR(INDEX(Operators!$K:$K,MATCH($N6,Operators!$A:$A,0))&amp;"","UNKNOWN OPERATOR ID"))</f>
        <v/>
      </c>
      <c r="AC6" t="str">
        <f>IF($N6="","",IFERROR(INDEX(Operators!$M:$M,MATCH($N6,Operators!$A:$A,0))&amp;"","UNKNOWN OPERATOR ID"))</f>
        <v/>
      </c>
      <c r="AD6" s="1" t="str">
        <f>IF($B6="","",IF($N6="","OPERATOR MISSING",IF(COUNTIF(Operators!$A:$A,$N6)=0,"UNKNOWN OPERATOR ID",IF($T6="","OPERATOR NAME REQUIRED","OK"))))</f>
        <v>OPERATOR NAME REQUIRED</v>
      </c>
      <c r="AE6">
        <f>IF($B6="","",COUNTIFS('FLEET DOCUMENTS'!$C$5:$C$60,$B6))</f>
        <v>0</v>
      </c>
      <c r="AF6">
        <f>IF($B6="","",COUNTIFS('FLEET DOCUMENTS'!$C$5:$C$60,$B6,'FLEET DOCUMENTS'!$S$5:$S$60,"EXPIRED"))</f>
        <v>0</v>
      </c>
      <c r="AG6">
        <f>IF($B6="","",COUNTIFS('FLEET DOCUMENTS'!$C$5:$C$60,$B6,'FLEET DOCUMENTS'!$S$5:$S$60,"EXPIRES WITHIN 90 DAYS")+COUNTIFS('FLEET DOCUMENTS'!$C$5:$C$60,$B6,'FLEET DOCUMENTS'!$S$5:$S$60,"EXPIRES WITHIN 30 DAYS"))</f>
        <v>0</v>
      </c>
      <c r="AH6" s="72">
        <f>IF($B6="","",IFERROR(_xlfn.MINIFS('FLEET DOCUMENTS'!$J$5:$J$60,'FLEET DOCUMENTS'!$C$5:$C$60,$B6),""))</f>
        <v>0</v>
      </c>
    </row>
    <row r="7" spans="1:34" x14ac:dyDescent="0.3">
      <c r="A7" t="s">
        <v>3877</v>
      </c>
      <c r="B7" t="s">
        <v>4197</v>
      </c>
      <c r="C7" t="s">
        <v>3878</v>
      </c>
      <c r="D7" t="s">
        <v>3879</v>
      </c>
      <c r="E7" t="s">
        <v>3880</v>
      </c>
      <c r="F7" t="s">
        <v>1491</v>
      </c>
      <c r="G7" t="str">
        <f>IF($F7="","",IFERROR(INDEX(airports!$E:$E,MATCH($F7,airports!$A:$A,0)),"Not in airports"))</f>
        <v>Julius Nyerere International Airport</v>
      </c>
      <c r="H7" s="5">
        <v>186880</v>
      </c>
      <c r="I7">
        <v>351</v>
      </c>
      <c r="J7" t="s">
        <v>108</v>
      </c>
      <c r="K7">
        <v>28112</v>
      </c>
      <c r="L7" t="s">
        <v>3830</v>
      </c>
      <c r="M7" t="b">
        <v>1</v>
      </c>
      <c r="N7" t="s">
        <v>3876</v>
      </c>
      <c r="S7" s="23" t="str">
        <f t="shared" si="0"/>
        <v/>
      </c>
      <c r="T7" t="str">
        <f>IF($N7="","",IFERROR(INDEX(Operators!$B:$B,MATCH($N7,Operators!$A:$A,0))&amp;"","UNKNOWN OPERATOR ID"))</f>
        <v/>
      </c>
      <c r="U7" t="str">
        <f>IF($N7="","",IFERROR(INDEX(Operators!$C:$C,MATCH($N7,Operators!$A:$A,0))&amp;"","UNKNOWN OPERATOR ID"))</f>
        <v/>
      </c>
      <c r="V7" t="str">
        <f>IF($N7="","",IFERROR(INDEX(Operators!$D:$D,MATCH($N7,Operators!$A:$A,0))&amp;"","UNKNOWN OPERATOR ID"))</f>
        <v/>
      </c>
      <c r="W7" t="str">
        <f>IF($N7="","",IFERROR(INDEX(Operators!$E:$E,MATCH($N7,Operators!$A:$A,0))&amp;"","UNKNOWN OPERATOR ID"))</f>
        <v/>
      </c>
      <c r="X7" t="str">
        <f>IF($N7="","",IFERROR(INDEX(Operators!$G:$G,MATCH($N7,Operators!$A:$A,0))&amp;"","UNKNOWN OPERATOR ID"))</f>
        <v/>
      </c>
      <c r="Y7" t="str">
        <f>IF($N7="","",IFERROR(INDEX(Operators!$H:$H,MATCH($N7,Operators!$A:$A,0))&amp;"","UNKNOWN OPERATOR ID"))</f>
        <v/>
      </c>
      <c r="Z7" t="str">
        <f>IF($N7="","",IFERROR(INDEX(Operators!$T:$T,MATCH($N7,Operators!$A:$A,0))&amp;"","UNKNOWN OPERATOR ID"))</f>
        <v>ACTIVE</v>
      </c>
      <c r="AA7" t="str">
        <f>IF($N7="","",IFERROR(INDEX(Operators!$N:$N,MATCH($N7,Operators!$A:$A,0))&amp;"","UNKNOWN OPERATOR ID"))</f>
        <v/>
      </c>
      <c r="AB7" t="str">
        <f>IF($N7="","",IFERROR(INDEX(Operators!$K:$K,MATCH($N7,Operators!$A:$A,0))&amp;"","UNKNOWN OPERATOR ID"))</f>
        <v/>
      </c>
      <c r="AC7" t="str">
        <f>IF($N7="","",IFERROR(INDEX(Operators!$M:$M,MATCH($N7,Operators!$A:$A,0))&amp;"","UNKNOWN OPERATOR ID"))</f>
        <v/>
      </c>
      <c r="AD7" s="1" t="str">
        <f>IF($B7="","",IF($N7="","OPERATOR MISSING",IF(COUNTIF(Operators!$A:$A,$N7)=0,"UNKNOWN OPERATOR ID",IF($T7="","OPERATOR NAME REQUIRED","OK"))))</f>
        <v>OPERATOR NAME REQUIRED</v>
      </c>
      <c r="AE7">
        <f>IF($B7="","",COUNTIFS('FLEET DOCUMENTS'!$C$5:$C$60,$B7))</f>
        <v>0</v>
      </c>
      <c r="AF7">
        <f>IF($B7="","",COUNTIFS('FLEET DOCUMENTS'!$C$5:$C$60,$B7,'FLEET DOCUMENTS'!$S$5:$S$60,"EXPIRED"))</f>
        <v>0</v>
      </c>
      <c r="AG7">
        <f>IF($B7="","",COUNTIFS('FLEET DOCUMENTS'!$C$5:$C$60,$B7,'FLEET DOCUMENTS'!$S$5:$S$60,"EXPIRES WITHIN 90 DAYS")+COUNTIFS('FLEET DOCUMENTS'!$C$5:$C$60,$B7,'FLEET DOCUMENTS'!$S$5:$S$60,"EXPIRES WITHIN 30 DAYS"))</f>
        <v>0</v>
      </c>
      <c r="AH7" s="72">
        <f>IF($B7="","",IFERROR(_xlfn.MINIFS('FLEET DOCUMENTS'!$J$5:$J$60,'FLEET DOCUMENTS'!$C$5:$C$60,$B7),""))</f>
        <v>0</v>
      </c>
    </row>
    <row r="8" spans="1:34" x14ac:dyDescent="0.3">
      <c r="A8" t="s">
        <v>3881</v>
      </c>
      <c r="B8" t="s">
        <v>4198</v>
      </c>
      <c r="C8" t="s">
        <v>3882</v>
      </c>
      <c r="D8" t="s">
        <v>3883</v>
      </c>
      <c r="E8" t="s">
        <v>3884</v>
      </c>
      <c r="F8" t="s">
        <v>1491</v>
      </c>
      <c r="G8" t="str">
        <f>IF($F8="","",IFERROR(INDEX(airports!$E:$E,MATCH($F8,airports!$A:$A,0)),"Not in airports"))</f>
        <v>Julius Nyerere International Airport</v>
      </c>
      <c r="H8" s="5">
        <v>22800</v>
      </c>
      <c r="I8">
        <v>74</v>
      </c>
      <c r="J8" t="s">
        <v>108</v>
      </c>
      <c r="K8" t="s">
        <v>3885</v>
      </c>
      <c r="L8" t="s">
        <v>3830</v>
      </c>
      <c r="M8" t="b">
        <v>1</v>
      </c>
      <c r="N8" t="s">
        <v>3876</v>
      </c>
      <c r="S8" s="23" t="str">
        <f t="shared" si="0"/>
        <v/>
      </c>
      <c r="T8" t="str">
        <f>IF($N8="","",IFERROR(INDEX(Operators!$B:$B,MATCH($N8,Operators!$A:$A,0))&amp;"","UNKNOWN OPERATOR ID"))</f>
        <v/>
      </c>
      <c r="U8" t="str">
        <f>IF($N8="","",IFERROR(INDEX(Operators!$C:$C,MATCH($N8,Operators!$A:$A,0))&amp;"","UNKNOWN OPERATOR ID"))</f>
        <v/>
      </c>
      <c r="V8" t="str">
        <f>IF($N8="","",IFERROR(INDEX(Operators!$D:$D,MATCH($N8,Operators!$A:$A,0))&amp;"","UNKNOWN OPERATOR ID"))</f>
        <v/>
      </c>
      <c r="W8" t="str">
        <f>IF($N8="","",IFERROR(INDEX(Operators!$E:$E,MATCH($N8,Operators!$A:$A,0))&amp;"","UNKNOWN OPERATOR ID"))</f>
        <v/>
      </c>
      <c r="X8" t="str">
        <f>IF($N8="","",IFERROR(INDEX(Operators!$G:$G,MATCH($N8,Operators!$A:$A,0))&amp;"","UNKNOWN OPERATOR ID"))</f>
        <v/>
      </c>
      <c r="Y8" t="str">
        <f>IF($N8="","",IFERROR(INDEX(Operators!$H:$H,MATCH($N8,Operators!$A:$A,0))&amp;"","UNKNOWN OPERATOR ID"))</f>
        <v/>
      </c>
      <c r="Z8" t="str">
        <f>IF($N8="","",IFERROR(INDEX(Operators!$T:$T,MATCH($N8,Operators!$A:$A,0))&amp;"","UNKNOWN OPERATOR ID"))</f>
        <v>ACTIVE</v>
      </c>
      <c r="AA8" t="str">
        <f>IF($N8="","",IFERROR(INDEX(Operators!$N:$N,MATCH($N8,Operators!$A:$A,0))&amp;"","UNKNOWN OPERATOR ID"))</f>
        <v/>
      </c>
      <c r="AB8" t="str">
        <f>IF($N8="","",IFERROR(INDEX(Operators!$K:$K,MATCH($N8,Operators!$A:$A,0))&amp;"","UNKNOWN OPERATOR ID"))</f>
        <v/>
      </c>
      <c r="AC8" t="str">
        <f>IF($N8="","",IFERROR(INDEX(Operators!$M:$M,MATCH($N8,Operators!$A:$A,0))&amp;"","UNKNOWN OPERATOR ID"))</f>
        <v/>
      </c>
      <c r="AD8" s="1" t="str">
        <f>IF($B8="","",IF($N8="","OPERATOR MISSING",IF(COUNTIF(Operators!$A:$A,$N8)=0,"UNKNOWN OPERATOR ID",IF($T8="","OPERATOR NAME REQUIRED","OK"))))</f>
        <v>OPERATOR NAME REQUIRED</v>
      </c>
      <c r="AE8">
        <f>IF($B8="","",COUNTIFS('FLEET DOCUMENTS'!$C$5:$C$60,$B8))</f>
        <v>0</v>
      </c>
      <c r="AF8">
        <f>IF($B8="","",COUNTIFS('FLEET DOCUMENTS'!$C$5:$C$60,$B8,'FLEET DOCUMENTS'!$S$5:$S$60,"EXPIRED"))</f>
        <v>0</v>
      </c>
      <c r="AG8">
        <f>IF($B8="","",COUNTIFS('FLEET DOCUMENTS'!$C$5:$C$60,$B8,'FLEET DOCUMENTS'!$S$5:$S$60,"EXPIRES WITHIN 90 DAYS")+COUNTIFS('FLEET DOCUMENTS'!$C$5:$C$60,$B8,'FLEET DOCUMENTS'!$S$5:$S$60,"EXPIRES WITHIN 30 DAYS"))</f>
        <v>0</v>
      </c>
      <c r="AH8" s="72">
        <f>IF($B8="","",IFERROR(_xlfn.MINIFS('FLEET DOCUMENTS'!$J$5:$J$60,'FLEET DOCUMENTS'!$C$5:$C$60,$B8),""))</f>
        <v>0</v>
      </c>
    </row>
    <row r="9" spans="1:34" x14ac:dyDescent="0.3">
      <c r="A9" t="s">
        <v>3886</v>
      </c>
      <c r="B9" t="s">
        <v>4199</v>
      </c>
      <c r="C9" t="s">
        <v>3887</v>
      </c>
      <c r="D9" t="s">
        <v>3888</v>
      </c>
      <c r="E9" t="s">
        <v>3889</v>
      </c>
      <c r="F9" t="s">
        <v>3855</v>
      </c>
      <c r="G9" t="str">
        <f>IF($F9="","",IFERROR(INDEX(airports!$E:$E,MATCH($F9,airports!$A:$A,0)),"Not in airports"))</f>
        <v>Arusha Airport</v>
      </c>
      <c r="H9" s="5">
        <v>4740</v>
      </c>
      <c r="I9">
        <v>9</v>
      </c>
      <c r="J9" t="s">
        <v>108</v>
      </c>
      <c r="K9">
        <v>2056</v>
      </c>
      <c r="L9" t="s">
        <v>3830</v>
      </c>
      <c r="M9" t="b">
        <v>1</v>
      </c>
      <c r="N9" t="s">
        <v>3857</v>
      </c>
      <c r="S9" s="23" t="str">
        <f t="shared" si="0"/>
        <v/>
      </c>
      <c r="T9" t="str">
        <f>IF($N9="","",IFERROR(INDEX(Operators!$B:$B,MATCH($N9,Operators!$A:$A,0))&amp;"","UNKNOWN OPERATOR ID"))</f>
        <v/>
      </c>
      <c r="U9" t="str">
        <f>IF($N9="","",IFERROR(INDEX(Operators!$C:$C,MATCH($N9,Operators!$A:$A,0))&amp;"","UNKNOWN OPERATOR ID"))</f>
        <v/>
      </c>
      <c r="V9" t="str">
        <f>IF($N9="","",IFERROR(INDEX(Operators!$D:$D,MATCH($N9,Operators!$A:$A,0))&amp;"","UNKNOWN OPERATOR ID"))</f>
        <v/>
      </c>
      <c r="W9" t="str">
        <f>IF($N9="","",IFERROR(INDEX(Operators!$E:$E,MATCH($N9,Operators!$A:$A,0))&amp;"","UNKNOWN OPERATOR ID"))</f>
        <v/>
      </c>
      <c r="X9" t="str">
        <f>IF($N9="","",IFERROR(INDEX(Operators!$G:$G,MATCH($N9,Operators!$A:$A,0))&amp;"","UNKNOWN OPERATOR ID"))</f>
        <v/>
      </c>
      <c r="Y9" t="str">
        <f>IF($N9="","",IFERROR(INDEX(Operators!$H:$H,MATCH($N9,Operators!$A:$A,0))&amp;"","UNKNOWN OPERATOR ID"))</f>
        <v/>
      </c>
      <c r="Z9" t="str">
        <f>IF($N9="","",IFERROR(INDEX(Operators!$T:$T,MATCH($N9,Operators!$A:$A,0))&amp;"","UNKNOWN OPERATOR ID"))</f>
        <v>ACTIVE</v>
      </c>
      <c r="AA9" t="str">
        <f>IF($N9="","",IFERROR(INDEX(Operators!$N:$N,MATCH($N9,Operators!$A:$A,0))&amp;"","UNKNOWN OPERATOR ID"))</f>
        <v/>
      </c>
      <c r="AB9" t="str">
        <f>IF($N9="","",IFERROR(INDEX(Operators!$K:$K,MATCH($N9,Operators!$A:$A,0))&amp;"","UNKNOWN OPERATOR ID"))</f>
        <v/>
      </c>
      <c r="AC9" t="str">
        <f>IF($N9="","",IFERROR(INDEX(Operators!$M:$M,MATCH($N9,Operators!$A:$A,0))&amp;"","UNKNOWN OPERATOR ID"))</f>
        <v/>
      </c>
      <c r="AD9" s="1" t="str">
        <f>IF($B9="","",IF($N9="","OPERATOR MISSING",IF(COUNTIF(Operators!$A:$A,$N9)=0,"UNKNOWN OPERATOR ID",IF($T9="","OPERATOR NAME REQUIRED","OK"))))</f>
        <v>OPERATOR NAME REQUIRED</v>
      </c>
      <c r="AE9">
        <f>IF($B9="","",COUNTIFS('FLEET DOCUMENTS'!$C$5:$C$60,$B9))</f>
        <v>0</v>
      </c>
      <c r="AF9">
        <f>IF($B9="","",COUNTIFS('FLEET DOCUMENTS'!$C$5:$C$60,$B9,'FLEET DOCUMENTS'!$S$5:$S$60,"EXPIRED"))</f>
        <v>0</v>
      </c>
      <c r="AG9">
        <f>IF($B9="","",COUNTIFS('FLEET DOCUMENTS'!$C$5:$C$60,$B9,'FLEET DOCUMENTS'!$S$5:$S$60,"EXPIRES WITHIN 90 DAYS")+COUNTIFS('FLEET DOCUMENTS'!$C$5:$C$60,$B9,'FLEET DOCUMENTS'!$S$5:$S$60,"EXPIRES WITHIN 30 DAYS"))</f>
        <v>0</v>
      </c>
      <c r="AH9" s="72">
        <f>IF($B9="","",IFERROR(_xlfn.MINIFS('FLEET DOCUMENTS'!$J$5:$J$60,'FLEET DOCUMENTS'!$C$5:$C$60,$B9),""))</f>
        <v>0</v>
      </c>
    </row>
    <row r="10" spans="1:34" x14ac:dyDescent="0.3">
      <c r="A10" t="s">
        <v>3890</v>
      </c>
      <c r="B10" t="s">
        <v>4200</v>
      </c>
      <c r="C10" t="s">
        <v>3891</v>
      </c>
      <c r="D10" t="s">
        <v>3879</v>
      </c>
      <c r="E10" t="s">
        <v>3892</v>
      </c>
      <c r="F10" t="s">
        <v>1491</v>
      </c>
      <c r="G10" t="str">
        <f>IF($F10="","",IFERROR(INDEX(airports!$E:$E,MATCH($F10,airports!$A:$A,0)),"Not in airports"))</f>
        <v>Julius Nyerere International Airport</v>
      </c>
      <c r="H10" s="5">
        <v>79010</v>
      </c>
      <c r="I10">
        <v>189</v>
      </c>
      <c r="J10" t="s">
        <v>108</v>
      </c>
      <c r="K10">
        <v>35012</v>
      </c>
      <c r="L10" t="s">
        <v>3830</v>
      </c>
      <c r="M10" t="b">
        <v>1</v>
      </c>
      <c r="N10" t="s">
        <v>3876</v>
      </c>
      <c r="S10" s="23" t="str">
        <f t="shared" si="0"/>
        <v/>
      </c>
      <c r="T10" t="str">
        <f>IF($N10="","",IFERROR(INDEX(Operators!$B:$B,MATCH($N10,Operators!$A:$A,0))&amp;"","UNKNOWN OPERATOR ID"))</f>
        <v/>
      </c>
      <c r="U10" t="str">
        <f>IF($N10="","",IFERROR(INDEX(Operators!$C:$C,MATCH($N10,Operators!$A:$A,0))&amp;"","UNKNOWN OPERATOR ID"))</f>
        <v/>
      </c>
      <c r="V10" t="str">
        <f>IF($N10="","",IFERROR(INDEX(Operators!$D:$D,MATCH($N10,Operators!$A:$A,0))&amp;"","UNKNOWN OPERATOR ID"))</f>
        <v/>
      </c>
      <c r="W10" t="str">
        <f>IF($N10="","",IFERROR(INDEX(Operators!$E:$E,MATCH($N10,Operators!$A:$A,0))&amp;"","UNKNOWN OPERATOR ID"))</f>
        <v/>
      </c>
      <c r="X10" t="str">
        <f>IF($N10="","",IFERROR(INDEX(Operators!$G:$G,MATCH($N10,Operators!$A:$A,0))&amp;"","UNKNOWN OPERATOR ID"))</f>
        <v/>
      </c>
      <c r="Y10" t="str">
        <f>IF($N10="","",IFERROR(INDEX(Operators!$H:$H,MATCH($N10,Operators!$A:$A,0))&amp;"","UNKNOWN OPERATOR ID"))</f>
        <v/>
      </c>
      <c r="Z10" t="str">
        <f>IF($N10="","",IFERROR(INDEX(Operators!$T:$T,MATCH($N10,Operators!$A:$A,0))&amp;"","UNKNOWN OPERATOR ID"))</f>
        <v>ACTIVE</v>
      </c>
      <c r="AA10" t="str">
        <f>IF($N10="","",IFERROR(INDEX(Operators!$N:$N,MATCH($N10,Operators!$A:$A,0))&amp;"","UNKNOWN OPERATOR ID"))</f>
        <v/>
      </c>
      <c r="AB10" t="str">
        <f>IF($N10="","",IFERROR(INDEX(Operators!$K:$K,MATCH($N10,Operators!$A:$A,0))&amp;"","UNKNOWN OPERATOR ID"))</f>
        <v/>
      </c>
      <c r="AC10" t="str">
        <f>IF($N10="","",IFERROR(INDEX(Operators!$M:$M,MATCH($N10,Operators!$A:$A,0))&amp;"","UNKNOWN OPERATOR ID"))</f>
        <v/>
      </c>
      <c r="AD10" s="1" t="str">
        <f>IF($B10="","",IF($N10="","OPERATOR MISSING",IF(COUNTIF(Operators!$A:$A,$N10)=0,"UNKNOWN OPERATOR ID",IF($T10="","OPERATOR NAME REQUIRED","OK"))))</f>
        <v>OPERATOR NAME REQUIRED</v>
      </c>
      <c r="AE10">
        <f>IF($B10="","",COUNTIFS('FLEET DOCUMENTS'!$C$5:$C$60,$B10))</f>
        <v>0</v>
      </c>
      <c r="AF10">
        <f>IF($B10="","",COUNTIFS('FLEET DOCUMENTS'!$C$5:$C$60,$B10,'FLEET DOCUMENTS'!$S$5:$S$60,"EXPIRED"))</f>
        <v>0</v>
      </c>
      <c r="AG10">
        <f>IF($B10="","",COUNTIFS('FLEET DOCUMENTS'!$C$5:$C$60,$B10,'FLEET DOCUMENTS'!$S$5:$S$60,"EXPIRES WITHIN 90 DAYS")+COUNTIFS('FLEET DOCUMENTS'!$C$5:$C$60,$B10,'FLEET DOCUMENTS'!$S$5:$S$60,"EXPIRES WITHIN 30 DAYS"))</f>
        <v>0</v>
      </c>
      <c r="AH10" s="72">
        <f>IF($B10="","",IFERROR(_xlfn.MINIFS('FLEET DOCUMENTS'!$J$5:$J$60,'FLEET DOCUMENTS'!$C$5:$C$60,$B10),""))</f>
        <v>0</v>
      </c>
    </row>
    <row r="11" spans="1:34" x14ac:dyDescent="0.3">
      <c r="A11" t="s">
        <v>3893</v>
      </c>
      <c r="B11" t="s">
        <v>4201</v>
      </c>
      <c r="C11" t="s">
        <v>3891</v>
      </c>
      <c r="D11" t="s">
        <v>3879</v>
      </c>
      <c r="E11" t="s">
        <v>3892</v>
      </c>
      <c r="F11" t="s">
        <v>1491</v>
      </c>
      <c r="G11" t="str">
        <f>IF($F11="","",IFERROR(INDEX(airports!$E:$E,MATCH($F11,airports!$A:$A,0)),"Not in airports"))</f>
        <v>Julius Nyerere International Airport</v>
      </c>
      <c r="H11" s="5">
        <v>79010</v>
      </c>
      <c r="I11">
        <v>189</v>
      </c>
      <c r="J11" t="s">
        <v>108</v>
      </c>
      <c r="K11">
        <v>35013</v>
      </c>
      <c r="L11" t="s">
        <v>3830</v>
      </c>
      <c r="M11" t="b">
        <v>1</v>
      </c>
      <c r="N11" t="s">
        <v>3876</v>
      </c>
      <c r="S11" s="23" t="str">
        <f t="shared" si="0"/>
        <v/>
      </c>
      <c r="T11" t="str">
        <f>IF($N11="","",IFERROR(INDEX(Operators!$B:$B,MATCH($N11,Operators!$A:$A,0))&amp;"","UNKNOWN OPERATOR ID"))</f>
        <v/>
      </c>
      <c r="U11" t="str">
        <f>IF($N11="","",IFERROR(INDEX(Operators!$C:$C,MATCH($N11,Operators!$A:$A,0))&amp;"","UNKNOWN OPERATOR ID"))</f>
        <v/>
      </c>
      <c r="V11" t="str">
        <f>IF($N11="","",IFERROR(INDEX(Operators!$D:$D,MATCH($N11,Operators!$A:$A,0))&amp;"","UNKNOWN OPERATOR ID"))</f>
        <v/>
      </c>
      <c r="W11" t="str">
        <f>IF($N11="","",IFERROR(INDEX(Operators!$E:$E,MATCH($N11,Operators!$A:$A,0))&amp;"","UNKNOWN OPERATOR ID"))</f>
        <v/>
      </c>
      <c r="X11" t="str">
        <f>IF($N11="","",IFERROR(INDEX(Operators!$G:$G,MATCH($N11,Operators!$A:$A,0))&amp;"","UNKNOWN OPERATOR ID"))</f>
        <v/>
      </c>
      <c r="Y11" t="str">
        <f>IF($N11="","",IFERROR(INDEX(Operators!$H:$H,MATCH($N11,Operators!$A:$A,0))&amp;"","UNKNOWN OPERATOR ID"))</f>
        <v/>
      </c>
      <c r="Z11" t="str">
        <f>IF($N11="","",IFERROR(INDEX(Operators!$T:$T,MATCH($N11,Operators!$A:$A,0))&amp;"","UNKNOWN OPERATOR ID"))</f>
        <v>ACTIVE</v>
      </c>
      <c r="AA11" t="str">
        <f>IF($N11="","",IFERROR(INDEX(Operators!$N:$N,MATCH($N11,Operators!$A:$A,0))&amp;"","UNKNOWN OPERATOR ID"))</f>
        <v/>
      </c>
      <c r="AB11" t="str">
        <f>IF($N11="","",IFERROR(INDEX(Operators!$K:$K,MATCH($N11,Operators!$A:$A,0))&amp;"","UNKNOWN OPERATOR ID"))</f>
        <v/>
      </c>
      <c r="AC11" t="str">
        <f>IF($N11="","",IFERROR(INDEX(Operators!$M:$M,MATCH($N11,Operators!$A:$A,0))&amp;"","UNKNOWN OPERATOR ID"))</f>
        <v/>
      </c>
      <c r="AD11" s="1" t="str">
        <f>IF($B11="","",IF($N11="","OPERATOR MISSING",IF(COUNTIF(Operators!$A:$A,$N11)=0,"UNKNOWN OPERATOR ID",IF($T11="","OPERATOR NAME REQUIRED","OK"))))</f>
        <v>OPERATOR NAME REQUIRED</v>
      </c>
      <c r="AE11">
        <f>IF($B11="","",COUNTIFS('FLEET DOCUMENTS'!$C$5:$C$60,$B11))</f>
        <v>0</v>
      </c>
      <c r="AF11">
        <f>IF($B11="","",COUNTIFS('FLEET DOCUMENTS'!$C$5:$C$60,$B11,'FLEET DOCUMENTS'!$S$5:$S$60,"EXPIRED"))</f>
        <v>0</v>
      </c>
      <c r="AG11">
        <f>IF($B11="","",COUNTIFS('FLEET DOCUMENTS'!$C$5:$C$60,$B11,'FLEET DOCUMENTS'!$S$5:$S$60,"EXPIRES WITHIN 90 DAYS")+COUNTIFS('FLEET DOCUMENTS'!$C$5:$C$60,$B11,'FLEET DOCUMENTS'!$S$5:$S$60,"EXPIRES WITHIN 30 DAYS"))</f>
        <v>0</v>
      </c>
      <c r="AH11" s="72">
        <f>IF($B11="","",IFERROR(_xlfn.MINIFS('FLEET DOCUMENTS'!$J$5:$J$60,'FLEET DOCUMENTS'!$C$5:$C$60,$B11),""))</f>
        <v>0</v>
      </c>
    </row>
    <row r="12" spans="1:34" x14ac:dyDescent="0.3">
      <c r="A12" t="s">
        <v>3894</v>
      </c>
      <c r="B12" t="s">
        <v>4202</v>
      </c>
      <c r="C12" t="s">
        <v>3895</v>
      </c>
      <c r="D12" t="s">
        <v>3896</v>
      </c>
      <c r="E12" t="s">
        <v>3897</v>
      </c>
      <c r="F12" t="s">
        <v>3855</v>
      </c>
      <c r="G12" t="str">
        <f>IF($F12="","",IFERROR(INDEX(airports!$E:$E,MATCH($F12,airports!$A:$A,0)),"Not in airports"))</f>
        <v>Arusha Airport</v>
      </c>
      <c r="H12" s="5">
        <v>3357</v>
      </c>
      <c r="I12">
        <v>9</v>
      </c>
      <c r="J12" t="s">
        <v>108</v>
      </c>
      <c r="K12">
        <v>2123</v>
      </c>
      <c r="L12" t="s">
        <v>3830</v>
      </c>
      <c r="M12" t="b">
        <v>1</v>
      </c>
      <c r="N12" t="s">
        <v>3857</v>
      </c>
      <c r="S12" s="23" t="str">
        <f t="shared" si="0"/>
        <v/>
      </c>
      <c r="T12" t="str">
        <f>IF($N12="","",IFERROR(INDEX(Operators!$B:$B,MATCH($N12,Operators!$A:$A,0))&amp;"","UNKNOWN OPERATOR ID"))</f>
        <v/>
      </c>
      <c r="U12" t="str">
        <f>IF($N12="","",IFERROR(INDEX(Operators!$C:$C,MATCH($N12,Operators!$A:$A,0))&amp;"","UNKNOWN OPERATOR ID"))</f>
        <v/>
      </c>
      <c r="V12" t="str">
        <f>IF($N12="","",IFERROR(INDEX(Operators!$D:$D,MATCH($N12,Operators!$A:$A,0))&amp;"","UNKNOWN OPERATOR ID"))</f>
        <v/>
      </c>
      <c r="W12" t="str">
        <f>IF($N12="","",IFERROR(INDEX(Operators!$E:$E,MATCH($N12,Operators!$A:$A,0))&amp;"","UNKNOWN OPERATOR ID"))</f>
        <v/>
      </c>
      <c r="X12" t="str">
        <f>IF($N12="","",IFERROR(INDEX(Operators!$G:$G,MATCH($N12,Operators!$A:$A,0))&amp;"","UNKNOWN OPERATOR ID"))</f>
        <v/>
      </c>
      <c r="Y12" t="str">
        <f>IF($N12="","",IFERROR(INDEX(Operators!$H:$H,MATCH($N12,Operators!$A:$A,0))&amp;"","UNKNOWN OPERATOR ID"))</f>
        <v/>
      </c>
      <c r="Z12" t="str">
        <f>IF($N12="","",IFERROR(INDEX(Operators!$T:$T,MATCH($N12,Operators!$A:$A,0))&amp;"","UNKNOWN OPERATOR ID"))</f>
        <v>ACTIVE</v>
      </c>
      <c r="AA12" t="str">
        <f>IF($N12="","",IFERROR(INDEX(Operators!$N:$N,MATCH($N12,Operators!$A:$A,0))&amp;"","UNKNOWN OPERATOR ID"))</f>
        <v/>
      </c>
      <c r="AB12" t="str">
        <f>IF($N12="","",IFERROR(INDEX(Operators!$K:$K,MATCH($N12,Operators!$A:$A,0))&amp;"","UNKNOWN OPERATOR ID"))</f>
        <v/>
      </c>
      <c r="AC12" t="str">
        <f>IF($N12="","",IFERROR(INDEX(Operators!$M:$M,MATCH($N12,Operators!$A:$A,0))&amp;"","UNKNOWN OPERATOR ID"))</f>
        <v/>
      </c>
      <c r="AD12" s="1" t="str">
        <f>IF($B12="","",IF($N12="","OPERATOR MISSING",IF(COUNTIF(Operators!$A:$A,$N12)=0,"UNKNOWN OPERATOR ID",IF($T12="","OPERATOR NAME REQUIRED","OK"))))</f>
        <v>OPERATOR NAME REQUIRED</v>
      </c>
      <c r="AE12">
        <f>IF($B12="","",COUNTIFS('FLEET DOCUMENTS'!$C$5:$C$60,$B12))</f>
        <v>0</v>
      </c>
      <c r="AF12">
        <f>IF($B12="","",COUNTIFS('FLEET DOCUMENTS'!$C$5:$C$60,$B12,'FLEET DOCUMENTS'!$S$5:$S$60,"EXPIRED"))</f>
        <v>0</v>
      </c>
      <c r="AG12">
        <f>IF($B12="","",COUNTIFS('FLEET DOCUMENTS'!$C$5:$C$60,$B12,'FLEET DOCUMENTS'!$S$5:$S$60,"EXPIRES WITHIN 90 DAYS")+COUNTIFS('FLEET DOCUMENTS'!$C$5:$C$60,$B12,'FLEET DOCUMENTS'!$S$5:$S$60,"EXPIRES WITHIN 30 DAYS"))</f>
        <v>0</v>
      </c>
      <c r="AH12" s="72">
        <f>IF($B12="","",IFERROR(_xlfn.MINIFS('FLEET DOCUMENTS'!$J$5:$J$60,'FLEET DOCUMENTS'!$C$5:$C$60,$B12),""))</f>
        <v>0</v>
      </c>
    </row>
    <row r="13" spans="1:34" x14ac:dyDescent="0.3">
      <c r="A13" t="s">
        <v>3898</v>
      </c>
      <c r="B13" t="s">
        <v>4203</v>
      </c>
      <c r="C13" t="s">
        <v>3899</v>
      </c>
      <c r="D13" t="s">
        <v>3879</v>
      </c>
      <c r="E13" t="s">
        <v>3900</v>
      </c>
      <c r="F13" t="s">
        <v>1491</v>
      </c>
      <c r="G13" t="str">
        <f>IF($F13="","",IFERROR(INDEX(airports!$E:$E,MATCH($F13,airports!$A:$A,0)),"Not in airports"))</f>
        <v>Julius Nyerere International Airport</v>
      </c>
      <c r="H13" s="5">
        <v>52400</v>
      </c>
      <c r="I13">
        <v>136</v>
      </c>
      <c r="J13" t="s">
        <v>91</v>
      </c>
      <c r="K13">
        <v>22034</v>
      </c>
      <c r="L13" t="s">
        <v>3901</v>
      </c>
      <c r="M13" t="b">
        <v>0</v>
      </c>
      <c r="S13" s="23" t="str">
        <f t="shared" si="0"/>
        <v/>
      </c>
      <c r="T13" t="str">
        <f>IF($N13="","",IFERROR(INDEX(Operators!$B:$B,MATCH($N13,Operators!$A:$A,0))&amp;"","UNKNOWN OPERATOR ID"))</f>
        <v/>
      </c>
      <c r="U13" t="str">
        <f>IF($N13="","",IFERROR(INDEX(Operators!$C:$C,MATCH($N13,Operators!$A:$A,0))&amp;"","UNKNOWN OPERATOR ID"))</f>
        <v/>
      </c>
      <c r="V13" t="str">
        <f>IF($N13="","",IFERROR(INDEX(Operators!$D:$D,MATCH($N13,Operators!$A:$A,0))&amp;"","UNKNOWN OPERATOR ID"))</f>
        <v/>
      </c>
      <c r="W13" t="str">
        <f>IF($N13="","",IFERROR(INDEX(Operators!$E:$E,MATCH($N13,Operators!$A:$A,0))&amp;"","UNKNOWN OPERATOR ID"))</f>
        <v/>
      </c>
      <c r="X13" t="str">
        <f>IF($N13="","",IFERROR(INDEX(Operators!$G:$G,MATCH($N13,Operators!$A:$A,0))&amp;"","UNKNOWN OPERATOR ID"))</f>
        <v/>
      </c>
      <c r="Y13" t="str">
        <f>IF($N13="","",IFERROR(INDEX(Operators!$H:$H,MATCH($N13,Operators!$A:$A,0))&amp;"","UNKNOWN OPERATOR ID"))</f>
        <v/>
      </c>
      <c r="Z13" t="str">
        <f>IF($N13="","",IFERROR(INDEX(Operators!$T:$T,MATCH($N13,Operators!$A:$A,0))&amp;"","UNKNOWN OPERATOR ID"))</f>
        <v/>
      </c>
      <c r="AA13" t="str">
        <f>IF($N13="","",IFERROR(INDEX(Operators!$N:$N,MATCH($N13,Operators!$A:$A,0))&amp;"","UNKNOWN OPERATOR ID"))</f>
        <v/>
      </c>
      <c r="AB13" t="str">
        <f>IF($N13="","",IFERROR(INDEX(Operators!$K:$K,MATCH($N13,Operators!$A:$A,0))&amp;"","UNKNOWN OPERATOR ID"))</f>
        <v/>
      </c>
      <c r="AC13" t="str">
        <f>IF($N13="","",IFERROR(INDEX(Operators!$M:$M,MATCH($N13,Operators!$A:$A,0))&amp;"","UNKNOWN OPERATOR ID"))</f>
        <v/>
      </c>
      <c r="AD13" s="1" t="str">
        <f>IF($B13="","",IF($N13="","OPERATOR MISSING",IF(COUNTIF(Operators!$A:$A,$N13)=0,"UNKNOWN OPERATOR ID",IF($T13="","OPERATOR NAME REQUIRED","OK"))))</f>
        <v>OPERATOR MISSING</v>
      </c>
      <c r="AE13">
        <f>IF($B13="","",COUNTIFS('FLEET DOCUMENTS'!$C$5:$C$60,$B13))</f>
        <v>0</v>
      </c>
      <c r="AF13">
        <f>IF($B13="","",COUNTIFS('FLEET DOCUMENTS'!$C$5:$C$60,$B13,'FLEET DOCUMENTS'!$S$5:$S$60,"EXPIRED"))</f>
        <v>0</v>
      </c>
      <c r="AG13">
        <f>IF($B13="","",COUNTIFS('FLEET DOCUMENTS'!$C$5:$C$60,$B13,'FLEET DOCUMENTS'!$S$5:$S$60,"EXPIRES WITHIN 90 DAYS")+COUNTIFS('FLEET DOCUMENTS'!$C$5:$C$60,$B13,'FLEET DOCUMENTS'!$S$5:$S$60,"EXPIRES WITHIN 30 DAYS"))</f>
        <v>0</v>
      </c>
      <c r="AH13" s="72">
        <f>IF($B13="","",IFERROR(_xlfn.MINIFS('FLEET DOCUMENTS'!$J$5:$J$60,'FLEET DOCUMENTS'!$C$5:$C$60,$B13),""))</f>
        <v>0</v>
      </c>
    </row>
    <row r="14" spans="1:34" x14ac:dyDescent="0.3">
      <c r="A14" t="s">
        <v>3902</v>
      </c>
      <c r="B14" t="s">
        <v>4204</v>
      </c>
      <c r="C14" t="s">
        <v>3903</v>
      </c>
      <c r="D14" t="s">
        <v>3904</v>
      </c>
      <c r="E14" t="s">
        <v>3905</v>
      </c>
      <c r="F14" t="s">
        <v>1491</v>
      </c>
      <c r="G14" t="str">
        <f>IF($F14="","",IFERROR(INDEX(airports!$E:$E,MATCH($F14,airports!$A:$A,0)),"Not in airports"))</f>
        <v>Julius Nyerere International Airport</v>
      </c>
      <c r="H14" s="5">
        <v>77000</v>
      </c>
      <c r="I14">
        <v>180</v>
      </c>
      <c r="J14" t="s">
        <v>108</v>
      </c>
      <c r="K14">
        <v>4521</v>
      </c>
      <c r="L14" t="s">
        <v>3830</v>
      </c>
      <c r="M14" t="b">
        <v>1</v>
      </c>
      <c r="N14" t="s">
        <v>3865</v>
      </c>
      <c r="S14" s="23" t="str">
        <f t="shared" si="0"/>
        <v/>
      </c>
      <c r="T14" t="str">
        <f>IF($N14="","",IFERROR(INDEX(Operators!$B:$B,MATCH($N14,Operators!$A:$A,0))&amp;"","UNKNOWN OPERATOR ID"))</f>
        <v/>
      </c>
      <c r="U14" t="str">
        <f>IF($N14="","",IFERROR(INDEX(Operators!$C:$C,MATCH($N14,Operators!$A:$A,0))&amp;"","UNKNOWN OPERATOR ID"))</f>
        <v/>
      </c>
      <c r="V14" t="str">
        <f>IF($N14="","",IFERROR(INDEX(Operators!$D:$D,MATCH($N14,Operators!$A:$A,0))&amp;"","UNKNOWN OPERATOR ID"))</f>
        <v/>
      </c>
      <c r="W14" t="str">
        <f>IF($N14="","",IFERROR(INDEX(Operators!$E:$E,MATCH($N14,Operators!$A:$A,0))&amp;"","UNKNOWN OPERATOR ID"))</f>
        <v/>
      </c>
      <c r="X14" t="str">
        <f>IF($N14="","",IFERROR(INDEX(Operators!$G:$G,MATCH($N14,Operators!$A:$A,0))&amp;"","UNKNOWN OPERATOR ID"))</f>
        <v/>
      </c>
      <c r="Y14" t="str">
        <f>IF($N14="","",IFERROR(INDEX(Operators!$H:$H,MATCH($N14,Operators!$A:$A,0))&amp;"","UNKNOWN OPERATOR ID"))</f>
        <v/>
      </c>
      <c r="Z14" t="str">
        <f>IF($N14="","",IFERROR(INDEX(Operators!$T:$T,MATCH($N14,Operators!$A:$A,0))&amp;"","UNKNOWN OPERATOR ID"))</f>
        <v>ACTIVE</v>
      </c>
      <c r="AA14" t="str">
        <f>IF($N14="","",IFERROR(INDEX(Operators!$N:$N,MATCH($N14,Operators!$A:$A,0))&amp;"","UNKNOWN OPERATOR ID"))</f>
        <v/>
      </c>
      <c r="AB14" t="str">
        <f>IF($N14="","",IFERROR(INDEX(Operators!$K:$K,MATCH($N14,Operators!$A:$A,0))&amp;"","UNKNOWN OPERATOR ID"))</f>
        <v/>
      </c>
      <c r="AC14" t="str">
        <f>IF($N14="","",IFERROR(INDEX(Operators!$M:$M,MATCH($N14,Operators!$A:$A,0))&amp;"","UNKNOWN OPERATOR ID"))</f>
        <v/>
      </c>
      <c r="AD14" s="1" t="str">
        <f>IF($B14="","",IF($N14="","OPERATOR MISSING",IF(COUNTIF(Operators!$A:$A,$N14)=0,"UNKNOWN OPERATOR ID",IF($T14="","OPERATOR NAME REQUIRED","OK"))))</f>
        <v>OPERATOR NAME REQUIRED</v>
      </c>
      <c r="AE14">
        <f>IF($B14="","",COUNTIFS('FLEET DOCUMENTS'!$C$5:$C$60,$B14))</f>
        <v>0</v>
      </c>
      <c r="AF14">
        <f>IF($B14="","",COUNTIFS('FLEET DOCUMENTS'!$C$5:$C$60,$B14,'FLEET DOCUMENTS'!$S$5:$S$60,"EXPIRED"))</f>
        <v>0</v>
      </c>
      <c r="AG14">
        <f>IF($B14="","",COUNTIFS('FLEET DOCUMENTS'!$C$5:$C$60,$B14,'FLEET DOCUMENTS'!$S$5:$S$60,"EXPIRES WITHIN 90 DAYS")+COUNTIFS('FLEET DOCUMENTS'!$C$5:$C$60,$B14,'FLEET DOCUMENTS'!$S$5:$S$60,"EXPIRES WITHIN 30 DAYS"))</f>
        <v>0</v>
      </c>
      <c r="AH14" s="72">
        <f>IF($B14="","",IFERROR(_xlfn.MINIFS('FLEET DOCUMENTS'!$J$5:$J$60,'FLEET DOCUMENTS'!$C$5:$C$60,$B14),""))</f>
        <v>0</v>
      </c>
    </row>
    <row r="15" spans="1:34" x14ac:dyDescent="0.3">
      <c r="A15" t="s">
        <v>3906</v>
      </c>
      <c r="B15" t="s">
        <v>4205</v>
      </c>
      <c r="C15" t="s">
        <v>3907</v>
      </c>
      <c r="D15" t="s">
        <v>3904</v>
      </c>
      <c r="E15" t="s">
        <v>3908</v>
      </c>
      <c r="F15" t="s">
        <v>3505</v>
      </c>
      <c r="G15" t="str">
        <f>IF($F15="","",IFERROR(INDEX(airports!$E:$E,MATCH($F15,airports!$A:$A,0)),"Not in airports"))</f>
        <v>Murtala Muhammed International Airport</v>
      </c>
      <c r="H15" s="5">
        <v>233000</v>
      </c>
      <c r="I15">
        <v>0</v>
      </c>
      <c r="J15" t="s">
        <v>108</v>
      </c>
      <c r="K15">
        <v>1123</v>
      </c>
      <c r="L15" t="s">
        <v>3830</v>
      </c>
      <c r="M15" t="b">
        <v>1</v>
      </c>
      <c r="N15" t="s">
        <v>3909</v>
      </c>
      <c r="S15" s="23" t="str">
        <f t="shared" si="0"/>
        <v/>
      </c>
      <c r="T15" t="str">
        <f>IF($N15="","",IFERROR(INDEX(Operators!$B:$B,MATCH($N15,Operators!$A:$A,0))&amp;"","UNKNOWN OPERATOR ID"))</f>
        <v/>
      </c>
      <c r="U15" t="str">
        <f>IF($N15="","",IFERROR(INDEX(Operators!$C:$C,MATCH($N15,Operators!$A:$A,0))&amp;"","UNKNOWN OPERATOR ID"))</f>
        <v/>
      </c>
      <c r="V15" t="str">
        <f>IF($N15="","",IFERROR(INDEX(Operators!$D:$D,MATCH($N15,Operators!$A:$A,0))&amp;"","UNKNOWN OPERATOR ID"))</f>
        <v/>
      </c>
      <c r="W15" t="str">
        <f>IF($N15="","",IFERROR(INDEX(Operators!$E:$E,MATCH($N15,Operators!$A:$A,0))&amp;"","UNKNOWN OPERATOR ID"))</f>
        <v/>
      </c>
      <c r="X15" t="str">
        <f>IF($N15="","",IFERROR(INDEX(Operators!$G:$G,MATCH($N15,Operators!$A:$A,0))&amp;"","UNKNOWN OPERATOR ID"))</f>
        <v/>
      </c>
      <c r="Y15" t="str">
        <f>IF($N15="","",IFERROR(INDEX(Operators!$H:$H,MATCH($N15,Operators!$A:$A,0))&amp;"","UNKNOWN OPERATOR ID"))</f>
        <v/>
      </c>
      <c r="Z15" t="str">
        <f>IF($N15="","",IFERROR(INDEX(Operators!$T:$T,MATCH($N15,Operators!$A:$A,0))&amp;"","UNKNOWN OPERATOR ID"))</f>
        <v>ACTIVE</v>
      </c>
      <c r="AA15" t="str">
        <f>IF($N15="","",IFERROR(INDEX(Operators!$N:$N,MATCH($N15,Operators!$A:$A,0))&amp;"","UNKNOWN OPERATOR ID"))</f>
        <v/>
      </c>
      <c r="AB15" t="str">
        <f>IF($N15="","",IFERROR(INDEX(Operators!$K:$K,MATCH($N15,Operators!$A:$A,0))&amp;"","UNKNOWN OPERATOR ID"))</f>
        <v/>
      </c>
      <c r="AC15" t="str">
        <f>IF($N15="","",IFERROR(INDEX(Operators!$M:$M,MATCH($N15,Operators!$A:$A,0))&amp;"","UNKNOWN OPERATOR ID"))</f>
        <v/>
      </c>
      <c r="AD15" s="1" t="str">
        <f>IF($B15="","",IF($N15="","OPERATOR MISSING",IF(COUNTIF(Operators!$A:$A,$N15)=0,"UNKNOWN OPERATOR ID",IF($T15="","OPERATOR NAME REQUIRED","OK"))))</f>
        <v>OPERATOR NAME REQUIRED</v>
      </c>
      <c r="AE15">
        <f>IF($B15="","",COUNTIFS('FLEET DOCUMENTS'!$C$5:$C$60,$B15))</f>
        <v>0</v>
      </c>
      <c r="AF15">
        <f>IF($B15="","",COUNTIFS('FLEET DOCUMENTS'!$C$5:$C$60,$B15,'FLEET DOCUMENTS'!$S$5:$S$60,"EXPIRED"))</f>
        <v>0</v>
      </c>
      <c r="AG15">
        <f>IF($B15="","",COUNTIFS('FLEET DOCUMENTS'!$C$5:$C$60,$B15,'FLEET DOCUMENTS'!$S$5:$S$60,"EXPIRES WITHIN 90 DAYS")+COUNTIFS('FLEET DOCUMENTS'!$C$5:$C$60,$B15,'FLEET DOCUMENTS'!$S$5:$S$60,"EXPIRES WITHIN 30 DAYS"))</f>
        <v>0</v>
      </c>
      <c r="AH15" s="72">
        <f>IF($B15="","",IFERROR(_xlfn.MINIFS('FLEET DOCUMENTS'!$J$5:$J$60,'FLEET DOCUMENTS'!$C$5:$C$60,$B15),""))</f>
        <v>0</v>
      </c>
    </row>
    <row r="16" spans="1:34" x14ac:dyDescent="0.3">
      <c r="A16" t="s">
        <v>3910</v>
      </c>
      <c r="B16" t="s">
        <v>4206</v>
      </c>
      <c r="C16" t="s">
        <v>3911</v>
      </c>
      <c r="D16" t="s">
        <v>3863</v>
      </c>
      <c r="E16" t="s">
        <v>3912</v>
      </c>
      <c r="F16" t="s">
        <v>3505</v>
      </c>
      <c r="G16" t="str">
        <f>IF($F16="","",IFERROR(INDEX(airports!$E:$E,MATCH($F16,airports!$A:$A,0)),"Not in airports"))</f>
        <v>Murtala Muhammed International Airport</v>
      </c>
      <c r="H16" s="5">
        <v>52290</v>
      </c>
      <c r="I16">
        <v>124</v>
      </c>
      <c r="J16" t="s">
        <v>108</v>
      </c>
      <c r="K16">
        <v>19000301</v>
      </c>
      <c r="L16" t="s">
        <v>3830</v>
      </c>
      <c r="M16" t="b">
        <v>1</v>
      </c>
      <c r="N16" t="s">
        <v>3913</v>
      </c>
      <c r="S16" s="23" t="str">
        <f t="shared" si="0"/>
        <v/>
      </c>
      <c r="T16" t="str">
        <f>IF($N16="","",IFERROR(INDEX(Operators!$B:$B,MATCH($N16,Operators!$A:$A,0))&amp;"","UNKNOWN OPERATOR ID"))</f>
        <v/>
      </c>
      <c r="U16" t="str">
        <f>IF($N16="","",IFERROR(INDEX(Operators!$C:$C,MATCH($N16,Operators!$A:$A,0))&amp;"","UNKNOWN OPERATOR ID"))</f>
        <v/>
      </c>
      <c r="V16" t="str">
        <f>IF($N16="","",IFERROR(INDEX(Operators!$D:$D,MATCH($N16,Operators!$A:$A,0))&amp;"","UNKNOWN OPERATOR ID"))</f>
        <v/>
      </c>
      <c r="W16" t="str">
        <f>IF($N16="","",IFERROR(INDEX(Operators!$E:$E,MATCH($N16,Operators!$A:$A,0))&amp;"","UNKNOWN OPERATOR ID"))</f>
        <v/>
      </c>
      <c r="X16" t="str">
        <f>IF($N16="","",IFERROR(INDEX(Operators!$G:$G,MATCH($N16,Operators!$A:$A,0))&amp;"","UNKNOWN OPERATOR ID"))</f>
        <v/>
      </c>
      <c r="Y16" t="str">
        <f>IF($N16="","",IFERROR(INDEX(Operators!$H:$H,MATCH($N16,Operators!$A:$A,0))&amp;"","UNKNOWN OPERATOR ID"))</f>
        <v/>
      </c>
      <c r="Z16" t="str">
        <f>IF($N16="","",IFERROR(INDEX(Operators!$T:$T,MATCH($N16,Operators!$A:$A,0))&amp;"","UNKNOWN OPERATOR ID"))</f>
        <v>ACTIVE</v>
      </c>
      <c r="AA16" t="str">
        <f>IF($N16="","",IFERROR(INDEX(Operators!$N:$N,MATCH($N16,Operators!$A:$A,0))&amp;"","UNKNOWN OPERATOR ID"))</f>
        <v/>
      </c>
      <c r="AB16" t="str">
        <f>IF($N16="","",IFERROR(INDEX(Operators!$K:$K,MATCH($N16,Operators!$A:$A,0))&amp;"","UNKNOWN OPERATOR ID"))</f>
        <v/>
      </c>
      <c r="AC16" t="str">
        <f>IF($N16="","",IFERROR(INDEX(Operators!$M:$M,MATCH($N16,Operators!$A:$A,0))&amp;"","UNKNOWN OPERATOR ID"))</f>
        <v/>
      </c>
      <c r="AD16" s="1" t="str">
        <f>IF($B16="","",IF($N16="","OPERATOR MISSING",IF(COUNTIF(Operators!$A:$A,$N16)=0,"UNKNOWN OPERATOR ID",IF($T16="","OPERATOR NAME REQUIRED","OK"))))</f>
        <v>OPERATOR NAME REQUIRED</v>
      </c>
      <c r="AE16">
        <f>IF($B16="","",COUNTIFS('FLEET DOCUMENTS'!$C$5:$C$60,$B16))</f>
        <v>0</v>
      </c>
      <c r="AF16">
        <f>IF($B16="","",COUNTIFS('FLEET DOCUMENTS'!$C$5:$C$60,$B16,'FLEET DOCUMENTS'!$S$5:$S$60,"EXPIRED"))</f>
        <v>0</v>
      </c>
      <c r="AG16">
        <f>IF($B16="","",COUNTIFS('FLEET DOCUMENTS'!$C$5:$C$60,$B16,'FLEET DOCUMENTS'!$S$5:$S$60,"EXPIRES WITHIN 90 DAYS")+COUNTIFS('FLEET DOCUMENTS'!$C$5:$C$60,$B16,'FLEET DOCUMENTS'!$S$5:$S$60,"EXPIRES WITHIN 30 DAYS"))</f>
        <v>0</v>
      </c>
      <c r="AH16" s="72">
        <f>IF($B16="","",IFERROR(_xlfn.MINIFS('FLEET DOCUMENTS'!$J$5:$J$60,'FLEET DOCUMENTS'!$C$5:$C$60,$B16),""))</f>
        <v>0</v>
      </c>
    </row>
    <row r="17" spans="1:34" x14ac:dyDescent="0.3">
      <c r="A17" t="s">
        <v>3914</v>
      </c>
      <c r="B17" t="s">
        <v>4207</v>
      </c>
      <c r="C17" t="s">
        <v>3915</v>
      </c>
      <c r="D17" t="s">
        <v>3883</v>
      </c>
      <c r="E17" t="s">
        <v>3916</v>
      </c>
      <c r="F17" t="s">
        <v>3505</v>
      </c>
      <c r="G17" t="str">
        <f>IF($F17="","",IFERROR(INDEX(airports!$E:$E,MATCH($F17,airports!$A:$A,0)),"Not in airports"))</f>
        <v>Murtala Muhammed International Airport</v>
      </c>
      <c r="H17" s="5">
        <v>23000</v>
      </c>
      <c r="I17">
        <v>78</v>
      </c>
      <c r="J17" t="s">
        <v>108</v>
      </c>
      <c r="K17">
        <v>1302</v>
      </c>
      <c r="L17" t="s">
        <v>3830</v>
      </c>
      <c r="M17" t="b">
        <v>1</v>
      </c>
      <c r="N17" t="s">
        <v>3913</v>
      </c>
      <c r="S17" s="23" t="str">
        <f t="shared" si="0"/>
        <v/>
      </c>
      <c r="T17" t="str">
        <f>IF($N17="","",IFERROR(INDEX(Operators!$B:$B,MATCH($N17,Operators!$A:$A,0))&amp;"","UNKNOWN OPERATOR ID"))</f>
        <v/>
      </c>
      <c r="U17" t="str">
        <f>IF($N17="","",IFERROR(INDEX(Operators!$C:$C,MATCH($N17,Operators!$A:$A,0))&amp;"","UNKNOWN OPERATOR ID"))</f>
        <v/>
      </c>
      <c r="V17" t="str">
        <f>IF($N17="","",IFERROR(INDEX(Operators!$D:$D,MATCH($N17,Operators!$A:$A,0))&amp;"","UNKNOWN OPERATOR ID"))</f>
        <v/>
      </c>
      <c r="W17" t="str">
        <f>IF($N17="","",IFERROR(INDEX(Operators!$E:$E,MATCH($N17,Operators!$A:$A,0))&amp;"","UNKNOWN OPERATOR ID"))</f>
        <v/>
      </c>
      <c r="X17" t="str">
        <f>IF($N17="","",IFERROR(INDEX(Operators!$G:$G,MATCH($N17,Operators!$A:$A,0))&amp;"","UNKNOWN OPERATOR ID"))</f>
        <v/>
      </c>
      <c r="Y17" t="str">
        <f>IF($N17="","",IFERROR(INDEX(Operators!$H:$H,MATCH($N17,Operators!$A:$A,0))&amp;"","UNKNOWN OPERATOR ID"))</f>
        <v/>
      </c>
      <c r="Z17" t="str">
        <f>IF($N17="","",IFERROR(INDEX(Operators!$T:$T,MATCH($N17,Operators!$A:$A,0))&amp;"","UNKNOWN OPERATOR ID"))</f>
        <v>ACTIVE</v>
      </c>
      <c r="AA17" t="str">
        <f>IF($N17="","",IFERROR(INDEX(Operators!$N:$N,MATCH($N17,Operators!$A:$A,0))&amp;"","UNKNOWN OPERATOR ID"))</f>
        <v/>
      </c>
      <c r="AB17" t="str">
        <f>IF($N17="","",IFERROR(INDEX(Operators!$K:$K,MATCH($N17,Operators!$A:$A,0))&amp;"","UNKNOWN OPERATOR ID"))</f>
        <v/>
      </c>
      <c r="AC17" t="str">
        <f>IF($N17="","",IFERROR(INDEX(Operators!$M:$M,MATCH($N17,Operators!$A:$A,0))&amp;"","UNKNOWN OPERATOR ID"))</f>
        <v/>
      </c>
      <c r="AD17" s="1" t="str">
        <f>IF($B17="","",IF($N17="","OPERATOR MISSING",IF(COUNTIF(Operators!$A:$A,$N17)=0,"UNKNOWN OPERATOR ID",IF($T17="","OPERATOR NAME REQUIRED","OK"))))</f>
        <v>OPERATOR NAME REQUIRED</v>
      </c>
      <c r="AE17">
        <f>IF($B17="","",COUNTIFS('FLEET DOCUMENTS'!$C$5:$C$60,$B17))</f>
        <v>0</v>
      </c>
      <c r="AF17">
        <f>IF($B17="","",COUNTIFS('FLEET DOCUMENTS'!$C$5:$C$60,$B17,'FLEET DOCUMENTS'!$S$5:$S$60,"EXPIRED"))</f>
        <v>0</v>
      </c>
      <c r="AG17">
        <f>IF($B17="","",COUNTIFS('FLEET DOCUMENTS'!$C$5:$C$60,$B17,'FLEET DOCUMENTS'!$S$5:$S$60,"EXPIRES WITHIN 90 DAYS")+COUNTIFS('FLEET DOCUMENTS'!$C$5:$C$60,$B17,'FLEET DOCUMENTS'!$S$5:$S$60,"EXPIRES WITHIN 30 DAYS"))</f>
        <v>0</v>
      </c>
      <c r="AH17" s="72">
        <f>IF($B17="","",IFERROR(_xlfn.MINIFS('FLEET DOCUMENTS'!$J$5:$J$60,'FLEET DOCUMENTS'!$C$5:$C$60,$B17),""))</f>
        <v>0</v>
      </c>
    </row>
    <row r="18" spans="1:34" x14ac:dyDescent="0.3">
      <c r="A18" t="s">
        <v>3917</v>
      </c>
      <c r="B18" t="s">
        <v>4208</v>
      </c>
      <c r="C18" t="s">
        <v>3918</v>
      </c>
      <c r="D18" t="s">
        <v>3879</v>
      </c>
      <c r="E18" t="s">
        <v>3919</v>
      </c>
      <c r="F18" t="s">
        <v>3505</v>
      </c>
      <c r="G18" t="str">
        <f>IF($F18="","",IFERROR(INDEX(airports!$E:$E,MATCH($F18,airports!$A:$A,0)),"Not in airports"))</f>
        <v>Murtala Muhammed International Airport</v>
      </c>
      <c r="H18" s="5">
        <v>351534</v>
      </c>
      <c r="I18">
        <v>396</v>
      </c>
      <c r="J18" t="s">
        <v>108</v>
      </c>
      <c r="K18">
        <v>38801</v>
      </c>
      <c r="L18" t="s">
        <v>3830</v>
      </c>
      <c r="M18" t="b">
        <v>1</v>
      </c>
      <c r="N18" t="s">
        <v>3920</v>
      </c>
      <c r="S18" s="23" t="str">
        <f t="shared" si="0"/>
        <v/>
      </c>
      <c r="T18" t="str">
        <f>IF($N18="","",IFERROR(INDEX(Operators!$B:$B,MATCH($N18,Operators!$A:$A,0))&amp;"","UNKNOWN OPERATOR ID"))</f>
        <v/>
      </c>
      <c r="U18" t="str">
        <f>IF($N18="","",IFERROR(INDEX(Operators!$C:$C,MATCH($N18,Operators!$A:$A,0))&amp;"","UNKNOWN OPERATOR ID"))</f>
        <v/>
      </c>
      <c r="V18" t="str">
        <f>IF($N18="","",IFERROR(INDEX(Operators!$D:$D,MATCH($N18,Operators!$A:$A,0))&amp;"","UNKNOWN OPERATOR ID"))</f>
        <v/>
      </c>
      <c r="W18" t="str">
        <f>IF($N18="","",IFERROR(INDEX(Operators!$E:$E,MATCH($N18,Operators!$A:$A,0))&amp;"","UNKNOWN OPERATOR ID"))</f>
        <v/>
      </c>
      <c r="X18" t="str">
        <f>IF($N18="","",IFERROR(INDEX(Operators!$G:$G,MATCH($N18,Operators!$A:$A,0))&amp;"","UNKNOWN OPERATOR ID"))</f>
        <v/>
      </c>
      <c r="Y18" t="str">
        <f>IF($N18="","",IFERROR(INDEX(Operators!$H:$H,MATCH($N18,Operators!$A:$A,0))&amp;"","UNKNOWN OPERATOR ID"))</f>
        <v/>
      </c>
      <c r="Z18" t="str">
        <f>IF($N18="","",IFERROR(INDEX(Operators!$T:$T,MATCH($N18,Operators!$A:$A,0))&amp;"","UNKNOWN OPERATOR ID"))</f>
        <v>ACTIVE</v>
      </c>
      <c r="AA18" t="str">
        <f>IF($N18="","",IFERROR(INDEX(Operators!$N:$N,MATCH($N18,Operators!$A:$A,0))&amp;"","UNKNOWN OPERATOR ID"))</f>
        <v/>
      </c>
      <c r="AB18" t="str">
        <f>IF($N18="","",IFERROR(INDEX(Operators!$K:$K,MATCH($N18,Operators!$A:$A,0))&amp;"","UNKNOWN OPERATOR ID"))</f>
        <v/>
      </c>
      <c r="AC18" t="str">
        <f>IF($N18="","",IFERROR(INDEX(Operators!$M:$M,MATCH($N18,Operators!$A:$A,0))&amp;"","UNKNOWN OPERATOR ID"))</f>
        <v/>
      </c>
      <c r="AD18" s="1" t="str">
        <f>IF($B18="","",IF($N18="","OPERATOR MISSING",IF(COUNTIF(Operators!$A:$A,$N18)=0,"UNKNOWN OPERATOR ID",IF($T18="","OPERATOR NAME REQUIRED","OK"))))</f>
        <v>OPERATOR NAME REQUIRED</v>
      </c>
      <c r="AE18">
        <f>IF($B18="","",COUNTIFS('FLEET DOCUMENTS'!$C$5:$C$60,$B18))</f>
        <v>0</v>
      </c>
      <c r="AF18">
        <f>IF($B18="","",COUNTIFS('FLEET DOCUMENTS'!$C$5:$C$60,$B18,'FLEET DOCUMENTS'!$S$5:$S$60,"EXPIRED"))</f>
        <v>0</v>
      </c>
      <c r="AG18">
        <f>IF($B18="","",COUNTIFS('FLEET DOCUMENTS'!$C$5:$C$60,$B18,'FLEET DOCUMENTS'!$S$5:$S$60,"EXPIRES WITHIN 90 DAYS")+COUNTIFS('FLEET DOCUMENTS'!$C$5:$C$60,$B18,'FLEET DOCUMENTS'!$S$5:$S$60,"EXPIRES WITHIN 30 DAYS"))</f>
        <v>0</v>
      </c>
      <c r="AH18" s="72">
        <f>IF($B18="","",IFERROR(_xlfn.MINIFS('FLEET DOCUMENTS'!$J$5:$J$60,'FLEET DOCUMENTS'!$C$5:$C$60,$B18),""))</f>
        <v>0</v>
      </c>
    </row>
    <row r="19" spans="1:34" x14ac:dyDescent="0.3">
      <c r="A19" t="s">
        <v>3921</v>
      </c>
      <c r="B19" t="s">
        <v>4209</v>
      </c>
      <c r="C19" t="s">
        <v>3891</v>
      </c>
      <c r="D19" t="s">
        <v>3879</v>
      </c>
      <c r="E19" t="s">
        <v>3892</v>
      </c>
      <c r="F19" t="s">
        <v>3505</v>
      </c>
      <c r="G19" t="str">
        <f>IF($F19="","",IFERROR(INDEX(airports!$E:$E,MATCH($F19,airports!$A:$A,0)),"Not in airports"))</f>
        <v>Murtala Muhammed International Airport</v>
      </c>
      <c r="H19" s="5">
        <v>79010</v>
      </c>
      <c r="I19">
        <v>189</v>
      </c>
      <c r="J19" t="s">
        <v>108</v>
      </c>
      <c r="K19">
        <v>35167</v>
      </c>
      <c r="L19" t="s">
        <v>3830</v>
      </c>
      <c r="M19" t="b">
        <v>1</v>
      </c>
      <c r="N19" t="s">
        <v>3920</v>
      </c>
      <c r="S19" s="23" t="str">
        <f t="shared" si="0"/>
        <v/>
      </c>
      <c r="T19" t="str">
        <f>IF($N19="","",IFERROR(INDEX(Operators!$B:$B,MATCH($N19,Operators!$A:$A,0))&amp;"","UNKNOWN OPERATOR ID"))</f>
        <v/>
      </c>
      <c r="U19" t="str">
        <f>IF($N19="","",IFERROR(INDEX(Operators!$C:$C,MATCH($N19,Operators!$A:$A,0))&amp;"","UNKNOWN OPERATOR ID"))</f>
        <v/>
      </c>
      <c r="V19" t="str">
        <f>IF($N19="","",IFERROR(INDEX(Operators!$D:$D,MATCH($N19,Operators!$A:$A,0))&amp;"","UNKNOWN OPERATOR ID"))</f>
        <v/>
      </c>
      <c r="W19" t="str">
        <f>IF($N19="","",IFERROR(INDEX(Operators!$E:$E,MATCH($N19,Operators!$A:$A,0))&amp;"","UNKNOWN OPERATOR ID"))</f>
        <v/>
      </c>
      <c r="X19" t="str">
        <f>IF($N19="","",IFERROR(INDEX(Operators!$G:$G,MATCH($N19,Operators!$A:$A,0))&amp;"","UNKNOWN OPERATOR ID"))</f>
        <v/>
      </c>
      <c r="Y19" t="str">
        <f>IF($N19="","",IFERROR(INDEX(Operators!$H:$H,MATCH($N19,Operators!$A:$A,0))&amp;"","UNKNOWN OPERATOR ID"))</f>
        <v/>
      </c>
      <c r="Z19" t="str">
        <f>IF($N19="","",IFERROR(INDEX(Operators!$T:$T,MATCH($N19,Operators!$A:$A,0))&amp;"","UNKNOWN OPERATOR ID"))</f>
        <v>ACTIVE</v>
      </c>
      <c r="AA19" t="str">
        <f>IF($N19="","",IFERROR(INDEX(Operators!$N:$N,MATCH($N19,Operators!$A:$A,0))&amp;"","UNKNOWN OPERATOR ID"))</f>
        <v/>
      </c>
      <c r="AB19" t="str">
        <f>IF($N19="","",IFERROR(INDEX(Operators!$K:$K,MATCH($N19,Operators!$A:$A,0))&amp;"","UNKNOWN OPERATOR ID"))</f>
        <v/>
      </c>
      <c r="AC19" t="str">
        <f>IF($N19="","",IFERROR(INDEX(Operators!$M:$M,MATCH($N19,Operators!$A:$A,0))&amp;"","UNKNOWN OPERATOR ID"))</f>
        <v/>
      </c>
      <c r="AD19" s="1" t="str">
        <f>IF($B19="","",IF($N19="","OPERATOR MISSING",IF(COUNTIF(Operators!$A:$A,$N19)=0,"UNKNOWN OPERATOR ID",IF($T19="","OPERATOR NAME REQUIRED","OK"))))</f>
        <v>OPERATOR NAME REQUIRED</v>
      </c>
      <c r="AE19">
        <f>IF($B19="","",COUNTIFS('FLEET DOCUMENTS'!$C$5:$C$60,$B19))</f>
        <v>0</v>
      </c>
      <c r="AF19">
        <f>IF($B19="","",COUNTIFS('FLEET DOCUMENTS'!$C$5:$C$60,$B19,'FLEET DOCUMENTS'!$S$5:$S$60,"EXPIRED"))</f>
        <v>0</v>
      </c>
      <c r="AG19">
        <f>IF($B19="","",COUNTIFS('FLEET DOCUMENTS'!$C$5:$C$60,$B19,'FLEET DOCUMENTS'!$S$5:$S$60,"EXPIRES WITHIN 90 DAYS")+COUNTIFS('FLEET DOCUMENTS'!$C$5:$C$60,$B19,'FLEET DOCUMENTS'!$S$5:$S$60,"EXPIRES WITHIN 30 DAYS"))</f>
        <v>0</v>
      </c>
      <c r="AH19" s="72">
        <f>IF($B19="","",IFERROR(_xlfn.MINIFS('FLEET DOCUMENTS'!$J$5:$J$60,'FLEET DOCUMENTS'!$C$5:$C$60,$B19),""))</f>
        <v>0</v>
      </c>
    </row>
    <row r="20" spans="1:34" x14ac:dyDescent="0.3">
      <c r="A20" t="s">
        <v>3922</v>
      </c>
      <c r="B20" t="s">
        <v>4210</v>
      </c>
      <c r="C20" t="s">
        <v>3903</v>
      </c>
      <c r="D20" t="s">
        <v>3904</v>
      </c>
      <c r="E20" t="s">
        <v>3905</v>
      </c>
      <c r="F20" t="s">
        <v>3505</v>
      </c>
      <c r="G20" t="str">
        <f>IF($F20="","",IFERROR(INDEX(airports!$E:$E,MATCH($F20,airports!$A:$A,0)),"Not in airports"))</f>
        <v>Murtala Muhammed International Airport</v>
      </c>
      <c r="H20" s="5">
        <v>77000</v>
      </c>
      <c r="I20">
        <v>180</v>
      </c>
      <c r="J20" t="s">
        <v>108</v>
      </c>
      <c r="K20">
        <v>4678</v>
      </c>
      <c r="L20" t="s">
        <v>3830</v>
      </c>
      <c r="M20" t="b">
        <v>1</v>
      </c>
      <c r="N20" t="s">
        <v>3920</v>
      </c>
      <c r="S20" s="23" t="str">
        <f t="shared" si="0"/>
        <v/>
      </c>
      <c r="T20" t="str">
        <f>IF($N20="","",IFERROR(INDEX(Operators!$B:$B,MATCH($N20,Operators!$A:$A,0))&amp;"","UNKNOWN OPERATOR ID"))</f>
        <v/>
      </c>
      <c r="U20" t="str">
        <f>IF($N20="","",IFERROR(INDEX(Operators!$C:$C,MATCH($N20,Operators!$A:$A,0))&amp;"","UNKNOWN OPERATOR ID"))</f>
        <v/>
      </c>
      <c r="V20" t="str">
        <f>IF($N20="","",IFERROR(INDEX(Operators!$D:$D,MATCH($N20,Operators!$A:$A,0))&amp;"","UNKNOWN OPERATOR ID"))</f>
        <v/>
      </c>
      <c r="W20" t="str">
        <f>IF($N20="","",IFERROR(INDEX(Operators!$E:$E,MATCH($N20,Operators!$A:$A,0))&amp;"","UNKNOWN OPERATOR ID"))</f>
        <v/>
      </c>
      <c r="X20" t="str">
        <f>IF($N20="","",IFERROR(INDEX(Operators!$G:$G,MATCH($N20,Operators!$A:$A,0))&amp;"","UNKNOWN OPERATOR ID"))</f>
        <v/>
      </c>
      <c r="Y20" t="str">
        <f>IF($N20="","",IFERROR(INDEX(Operators!$H:$H,MATCH($N20,Operators!$A:$A,0))&amp;"","UNKNOWN OPERATOR ID"))</f>
        <v/>
      </c>
      <c r="Z20" t="str">
        <f>IF($N20="","",IFERROR(INDEX(Operators!$T:$T,MATCH($N20,Operators!$A:$A,0))&amp;"","UNKNOWN OPERATOR ID"))</f>
        <v>ACTIVE</v>
      </c>
      <c r="AA20" t="str">
        <f>IF($N20="","",IFERROR(INDEX(Operators!$N:$N,MATCH($N20,Operators!$A:$A,0))&amp;"","UNKNOWN OPERATOR ID"))</f>
        <v/>
      </c>
      <c r="AB20" t="str">
        <f>IF($N20="","",IFERROR(INDEX(Operators!$K:$K,MATCH($N20,Operators!$A:$A,0))&amp;"","UNKNOWN OPERATOR ID"))</f>
        <v/>
      </c>
      <c r="AC20" t="str">
        <f>IF($N20="","",IFERROR(INDEX(Operators!$M:$M,MATCH($N20,Operators!$A:$A,0))&amp;"","UNKNOWN OPERATOR ID"))</f>
        <v/>
      </c>
      <c r="AD20" s="1" t="str">
        <f>IF($B20="","",IF($N20="","OPERATOR MISSING",IF(COUNTIF(Operators!$A:$A,$N20)=0,"UNKNOWN OPERATOR ID",IF($T20="","OPERATOR NAME REQUIRED","OK"))))</f>
        <v>OPERATOR NAME REQUIRED</v>
      </c>
      <c r="AE20">
        <f>IF($B20="","",COUNTIFS('FLEET DOCUMENTS'!$C$5:$C$60,$B20))</f>
        <v>0</v>
      </c>
      <c r="AF20">
        <f>IF($B20="","",COUNTIFS('FLEET DOCUMENTS'!$C$5:$C$60,$B20,'FLEET DOCUMENTS'!$S$5:$S$60,"EXPIRED"))</f>
        <v>0</v>
      </c>
      <c r="AG20">
        <f>IF($B20="","",COUNTIFS('FLEET DOCUMENTS'!$C$5:$C$60,$B20,'FLEET DOCUMENTS'!$S$5:$S$60,"EXPIRES WITHIN 90 DAYS")+COUNTIFS('FLEET DOCUMENTS'!$C$5:$C$60,$B20,'FLEET DOCUMENTS'!$S$5:$S$60,"EXPIRES WITHIN 30 DAYS"))</f>
        <v>0</v>
      </c>
      <c r="AH20" s="72">
        <f>IF($B20="","",IFERROR(_xlfn.MINIFS('FLEET DOCUMENTS'!$J$5:$J$60,'FLEET DOCUMENTS'!$C$5:$C$60,$B20),""))</f>
        <v>0</v>
      </c>
    </row>
    <row r="21" spans="1:34" x14ac:dyDescent="0.3">
      <c r="A21" t="s">
        <v>3923</v>
      </c>
      <c r="B21" t="s">
        <v>4211</v>
      </c>
      <c r="C21" t="s">
        <v>3924</v>
      </c>
      <c r="D21" t="s">
        <v>3925</v>
      </c>
      <c r="E21" t="s">
        <v>3926</v>
      </c>
      <c r="F21" t="s">
        <v>1499</v>
      </c>
      <c r="G21" t="str">
        <f>IF($F21="","",IFERROR(INDEX(airports!$E:$E,MATCH($F21,airports!$A:$A,0)),"Not in airports"))</f>
        <v>Entebbe International Airport</v>
      </c>
      <c r="H21" s="5">
        <v>36500</v>
      </c>
      <c r="I21">
        <v>90</v>
      </c>
      <c r="J21" t="s">
        <v>108</v>
      </c>
      <c r="K21">
        <v>15234</v>
      </c>
      <c r="L21" t="s">
        <v>3830</v>
      </c>
      <c r="M21" t="b">
        <v>1</v>
      </c>
      <c r="N21" t="s">
        <v>3927</v>
      </c>
      <c r="S21" s="23" t="str">
        <f t="shared" si="0"/>
        <v/>
      </c>
      <c r="T21" t="str">
        <f>IF($N21="","",IFERROR(INDEX(Operators!$B:$B,MATCH($N21,Operators!$A:$A,0))&amp;"","UNKNOWN OPERATOR ID"))</f>
        <v/>
      </c>
      <c r="U21" t="str">
        <f>IF($N21="","",IFERROR(INDEX(Operators!$C:$C,MATCH($N21,Operators!$A:$A,0))&amp;"","UNKNOWN OPERATOR ID"))</f>
        <v/>
      </c>
      <c r="V21" t="str">
        <f>IF($N21="","",IFERROR(INDEX(Operators!$D:$D,MATCH($N21,Operators!$A:$A,0))&amp;"","UNKNOWN OPERATOR ID"))</f>
        <v/>
      </c>
      <c r="W21" t="str">
        <f>IF($N21="","",IFERROR(INDEX(Operators!$E:$E,MATCH($N21,Operators!$A:$A,0))&amp;"","UNKNOWN OPERATOR ID"))</f>
        <v/>
      </c>
      <c r="X21" t="str">
        <f>IF($N21="","",IFERROR(INDEX(Operators!$G:$G,MATCH($N21,Operators!$A:$A,0))&amp;"","UNKNOWN OPERATOR ID"))</f>
        <v/>
      </c>
      <c r="Y21" t="str">
        <f>IF($N21="","",IFERROR(INDEX(Operators!$H:$H,MATCH($N21,Operators!$A:$A,0))&amp;"","UNKNOWN OPERATOR ID"))</f>
        <v/>
      </c>
      <c r="Z21" t="str">
        <f>IF($N21="","",IFERROR(INDEX(Operators!$T:$T,MATCH($N21,Operators!$A:$A,0))&amp;"","UNKNOWN OPERATOR ID"))</f>
        <v>ACTIVE</v>
      </c>
      <c r="AA21" t="str">
        <f>IF($N21="","",IFERROR(INDEX(Operators!$N:$N,MATCH($N21,Operators!$A:$A,0))&amp;"","UNKNOWN OPERATOR ID"))</f>
        <v/>
      </c>
      <c r="AB21" t="str">
        <f>IF($N21="","",IFERROR(INDEX(Operators!$K:$K,MATCH($N21,Operators!$A:$A,0))&amp;"","UNKNOWN OPERATOR ID"))</f>
        <v/>
      </c>
      <c r="AC21" t="str">
        <f>IF($N21="","",IFERROR(INDEX(Operators!$M:$M,MATCH($N21,Operators!$A:$A,0))&amp;"","UNKNOWN OPERATOR ID"))</f>
        <v/>
      </c>
      <c r="AD21" s="1" t="str">
        <f>IF($B21="","",IF($N21="","OPERATOR MISSING",IF(COUNTIF(Operators!$A:$A,$N21)=0,"UNKNOWN OPERATOR ID",IF($T21="","OPERATOR NAME REQUIRED","OK"))))</f>
        <v>OPERATOR NAME REQUIRED</v>
      </c>
      <c r="AE21">
        <f>IF($B21="","",COUNTIFS('FLEET DOCUMENTS'!$C$5:$C$60,$B21))</f>
        <v>0</v>
      </c>
      <c r="AF21">
        <f>IF($B21="","",COUNTIFS('FLEET DOCUMENTS'!$C$5:$C$60,$B21,'FLEET DOCUMENTS'!$S$5:$S$60,"EXPIRED"))</f>
        <v>0</v>
      </c>
      <c r="AG21">
        <f>IF($B21="","",COUNTIFS('FLEET DOCUMENTS'!$C$5:$C$60,$B21,'FLEET DOCUMENTS'!$S$5:$S$60,"EXPIRES WITHIN 90 DAYS")+COUNTIFS('FLEET DOCUMENTS'!$C$5:$C$60,$B21,'FLEET DOCUMENTS'!$S$5:$S$60,"EXPIRES WITHIN 30 DAYS"))</f>
        <v>0</v>
      </c>
      <c r="AH21" s="72">
        <f>IF($B21="","",IFERROR(_xlfn.MINIFS('FLEET DOCUMENTS'!$J$5:$J$60,'FLEET DOCUMENTS'!$C$5:$C$60,$B21),""))</f>
        <v>0</v>
      </c>
    </row>
    <row r="22" spans="1:34" x14ac:dyDescent="0.3">
      <c r="A22" t="s">
        <v>3928</v>
      </c>
      <c r="B22" t="s">
        <v>4212</v>
      </c>
      <c r="C22" t="s">
        <v>3903</v>
      </c>
      <c r="D22" t="s">
        <v>3904</v>
      </c>
      <c r="E22" t="s">
        <v>3905</v>
      </c>
      <c r="F22" t="s">
        <v>1499</v>
      </c>
      <c r="G22" t="str">
        <f>IF($F22="","",IFERROR(INDEX(airports!$E:$E,MATCH($F22,airports!$A:$A,0)),"Not in airports"))</f>
        <v>Entebbe International Airport</v>
      </c>
      <c r="H22" s="5">
        <v>77000</v>
      </c>
      <c r="I22">
        <v>180</v>
      </c>
      <c r="J22" t="s">
        <v>108</v>
      </c>
      <c r="K22">
        <v>4567</v>
      </c>
      <c r="L22" t="s">
        <v>3830</v>
      </c>
      <c r="M22" t="b">
        <v>1</v>
      </c>
      <c r="N22" t="s">
        <v>3927</v>
      </c>
      <c r="S22" s="23" t="str">
        <f t="shared" si="0"/>
        <v/>
      </c>
      <c r="T22" t="str">
        <f>IF($N22="","",IFERROR(INDEX(Operators!$B:$B,MATCH($N22,Operators!$A:$A,0))&amp;"","UNKNOWN OPERATOR ID"))</f>
        <v/>
      </c>
      <c r="U22" t="str">
        <f>IF($N22="","",IFERROR(INDEX(Operators!$C:$C,MATCH($N22,Operators!$A:$A,0))&amp;"","UNKNOWN OPERATOR ID"))</f>
        <v/>
      </c>
      <c r="V22" t="str">
        <f>IF($N22="","",IFERROR(INDEX(Operators!$D:$D,MATCH($N22,Operators!$A:$A,0))&amp;"","UNKNOWN OPERATOR ID"))</f>
        <v/>
      </c>
      <c r="W22" t="str">
        <f>IF($N22="","",IFERROR(INDEX(Operators!$E:$E,MATCH($N22,Operators!$A:$A,0))&amp;"","UNKNOWN OPERATOR ID"))</f>
        <v/>
      </c>
      <c r="X22" t="str">
        <f>IF($N22="","",IFERROR(INDEX(Operators!$G:$G,MATCH($N22,Operators!$A:$A,0))&amp;"","UNKNOWN OPERATOR ID"))</f>
        <v/>
      </c>
      <c r="Y22" t="str">
        <f>IF($N22="","",IFERROR(INDEX(Operators!$H:$H,MATCH($N22,Operators!$A:$A,0))&amp;"","UNKNOWN OPERATOR ID"))</f>
        <v/>
      </c>
      <c r="Z22" t="str">
        <f>IF($N22="","",IFERROR(INDEX(Operators!$T:$T,MATCH($N22,Operators!$A:$A,0))&amp;"","UNKNOWN OPERATOR ID"))</f>
        <v>ACTIVE</v>
      </c>
      <c r="AA22" t="str">
        <f>IF($N22="","",IFERROR(INDEX(Operators!$N:$N,MATCH($N22,Operators!$A:$A,0))&amp;"","UNKNOWN OPERATOR ID"))</f>
        <v/>
      </c>
      <c r="AB22" t="str">
        <f>IF($N22="","",IFERROR(INDEX(Operators!$K:$K,MATCH($N22,Operators!$A:$A,0))&amp;"","UNKNOWN OPERATOR ID"))</f>
        <v/>
      </c>
      <c r="AC22" t="str">
        <f>IF($N22="","",IFERROR(INDEX(Operators!$M:$M,MATCH($N22,Operators!$A:$A,0))&amp;"","UNKNOWN OPERATOR ID"))</f>
        <v/>
      </c>
      <c r="AD22" s="1" t="str">
        <f>IF($B22="","",IF($N22="","OPERATOR MISSING",IF(COUNTIF(Operators!$A:$A,$N22)=0,"UNKNOWN OPERATOR ID",IF($T22="","OPERATOR NAME REQUIRED","OK"))))</f>
        <v>OPERATOR NAME REQUIRED</v>
      </c>
      <c r="AE22">
        <f>IF($B22="","",COUNTIFS('FLEET DOCUMENTS'!$C$5:$C$60,$B22))</f>
        <v>0</v>
      </c>
      <c r="AF22">
        <f>IF($B22="","",COUNTIFS('FLEET DOCUMENTS'!$C$5:$C$60,$B22,'FLEET DOCUMENTS'!$S$5:$S$60,"EXPIRED"))</f>
        <v>0</v>
      </c>
      <c r="AG22">
        <f>IF($B22="","",COUNTIFS('FLEET DOCUMENTS'!$C$5:$C$60,$B22,'FLEET DOCUMENTS'!$S$5:$S$60,"EXPIRES WITHIN 90 DAYS")+COUNTIFS('FLEET DOCUMENTS'!$C$5:$C$60,$B22,'FLEET DOCUMENTS'!$S$5:$S$60,"EXPIRES WITHIN 30 DAYS"))</f>
        <v>0</v>
      </c>
      <c r="AH22" s="72">
        <f>IF($B22="","",IFERROR(_xlfn.MINIFS('FLEET DOCUMENTS'!$J$5:$J$60,'FLEET DOCUMENTS'!$C$5:$C$60,$B22),""))</f>
        <v>0</v>
      </c>
    </row>
    <row r="23" spans="1:34" x14ac:dyDescent="0.3">
      <c r="A23" t="s">
        <v>3929</v>
      </c>
      <c r="B23" t="s">
        <v>4213</v>
      </c>
      <c r="C23" t="s">
        <v>3862</v>
      </c>
      <c r="D23" t="s">
        <v>3863</v>
      </c>
      <c r="E23" t="s">
        <v>3864</v>
      </c>
      <c r="F23" t="s">
        <v>1499</v>
      </c>
      <c r="G23" t="str">
        <f>IF($F23="","",IFERROR(INDEX(airports!$E:$E,MATCH($F23,airports!$A:$A,0)),"Not in airports"))</f>
        <v>Entebbe International Airport</v>
      </c>
      <c r="H23" s="5">
        <v>52290</v>
      </c>
      <c r="I23">
        <v>114</v>
      </c>
      <c r="J23" t="s">
        <v>108</v>
      </c>
      <c r="K23">
        <v>19000201</v>
      </c>
      <c r="L23" t="s">
        <v>3830</v>
      </c>
      <c r="M23" t="b">
        <v>1</v>
      </c>
      <c r="N23" t="s">
        <v>3927</v>
      </c>
      <c r="S23" s="23" t="str">
        <f t="shared" si="0"/>
        <v/>
      </c>
      <c r="T23" t="str">
        <f>IF($N23="","",IFERROR(INDEX(Operators!$B:$B,MATCH($N23,Operators!$A:$A,0))&amp;"","UNKNOWN OPERATOR ID"))</f>
        <v/>
      </c>
      <c r="U23" t="str">
        <f>IF($N23="","",IFERROR(INDEX(Operators!$C:$C,MATCH($N23,Operators!$A:$A,0))&amp;"","UNKNOWN OPERATOR ID"))</f>
        <v/>
      </c>
      <c r="V23" t="str">
        <f>IF($N23="","",IFERROR(INDEX(Operators!$D:$D,MATCH($N23,Operators!$A:$A,0))&amp;"","UNKNOWN OPERATOR ID"))</f>
        <v/>
      </c>
      <c r="W23" t="str">
        <f>IF($N23="","",IFERROR(INDEX(Operators!$E:$E,MATCH($N23,Operators!$A:$A,0))&amp;"","UNKNOWN OPERATOR ID"))</f>
        <v/>
      </c>
      <c r="X23" t="str">
        <f>IF($N23="","",IFERROR(INDEX(Operators!$G:$G,MATCH($N23,Operators!$A:$A,0))&amp;"","UNKNOWN OPERATOR ID"))</f>
        <v/>
      </c>
      <c r="Y23" t="str">
        <f>IF($N23="","",IFERROR(INDEX(Operators!$H:$H,MATCH($N23,Operators!$A:$A,0))&amp;"","UNKNOWN OPERATOR ID"))</f>
        <v/>
      </c>
      <c r="Z23" t="str">
        <f>IF($N23="","",IFERROR(INDEX(Operators!$T:$T,MATCH($N23,Operators!$A:$A,0))&amp;"","UNKNOWN OPERATOR ID"))</f>
        <v>ACTIVE</v>
      </c>
      <c r="AA23" t="str">
        <f>IF($N23="","",IFERROR(INDEX(Operators!$N:$N,MATCH($N23,Operators!$A:$A,0))&amp;"","UNKNOWN OPERATOR ID"))</f>
        <v/>
      </c>
      <c r="AB23" t="str">
        <f>IF($N23="","",IFERROR(INDEX(Operators!$K:$K,MATCH($N23,Operators!$A:$A,0))&amp;"","UNKNOWN OPERATOR ID"))</f>
        <v/>
      </c>
      <c r="AC23" t="str">
        <f>IF($N23="","",IFERROR(INDEX(Operators!$M:$M,MATCH($N23,Operators!$A:$A,0))&amp;"","UNKNOWN OPERATOR ID"))</f>
        <v/>
      </c>
      <c r="AD23" s="1" t="str">
        <f>IF($B23="","",IF($N23="","OPERATOR MISSING",IF(COUNTIF(Operators!$A:$A,$N23)=0,"UNKNOWN OPERATOR ID",IF($T23="","OPERATOR NAME REQUIRED","OK"))))</f>
        <v>OPERATOR NAME REQUIRED</v>
      </c>
      <c r="AE23">
        <f>IF($B23="","",COUNTIFS('FLEET DOCUMENTS'!$C$5:$C$60,$B23))</f>
        <v>0</v>
      </c>
      <c r="AF23">
        <f>IF($B23="","",COUNTIFS('FLEET DOCUMENTS'!$C$5:$C$60,$B23,'FLEET DOCUMENTS'!$S$5:$S$60,"EXPIRED"))</f>
        <v>0</v>
      </c>
      <c r="AG23">
        <f>IF($B23="","",COUNTIFS('FLEET DOCUMENTS'!$C$5:$C$60,$B23,'FLEET DOCUMENTS'!$S$5:$S$60,"EXPIRES WITHIN 90 DAYS")+COUNTIFS('FLEET DOCUMENTS'!$C$5:$C$60,$B23,'FLEET DOCUMENTS'!$S$5:$S$60,"EXPIRES WITHIN 30 DAYS"))</f>
        <v>0</v>
      </c>
      <c r="AH23" s="72">
        <f>IF($B23="","",IFERROR(_xlfn.MINIFS('FLEET DOCUMENTS'!$J$5:$J$60,'FLEET DOCUMENTS'!$C$5:$C$60,$B23),""))</f>
        <v>0</v>
      </c>
    </row>
    <row r="24" spans="1:34" x14ac:dyDescent="0.3">
      <c r="A24" t="s">
        <v>3930</v>
      </c>
      <c r="B24" t="s">
        <v>4214</v>
      </c>
      <c r="C24" t="s">
        <v>3872</v>
      </c>
      <c r="D24" t="s">
        <v>3873</v>
      </c>
      <c r="E24" t="s">
        <v>3874</v>
      </c>
      <c r="F24" t="s">
        <v>463</v>
      </c>
      <c r="G24" t="str">
        <f>IF($F24="","",IFERROR(INDEX(airports!$E:$E,MATCH($F24,airports!$A:$A,0)),"Not in airports"))</f>
        <v>Jomo Kenyatta International Airport</v>
      </c>
      <c r="H24" s="5">
        <v>29260</v>
      </c>
      <c r="I24">
        <v>90</v>
      </c>
      <c r="J24" t="s">
        <v>108</v>
      </c>
      <c r="K24">
        <v>4302</v>
      </c>
      <c r="L24" t="s">
        <v>3830</v>
      </c>
      <c r="M24" t="b">
        <v>1</v>
      </c>
      <c r="N24" t="s">
        <v>3931</v>
      </c>
      <c r="S24" s="23" t="str">
        <f t="shared" si="0"/>
        <v/>
      </c>
      <c r="T24" t="str">
        <f>IF($N24="","",IFERROR(INDEX(Operators!$B:$B,MATCH($N24,Operators!$A:$A,0))&amp;"","UNKNOWN OPERATOR ID"))</f>
        <v/>
      </c>
      <c r="U24" t="str">
        <f>IF($N24="","",IFERROR(INDEX(Operators!$C:$C,MATCH($N24,Operators!$A:$A,0))&amp;"","UNKNOWN OPERATOR ID"))</f>
        <v/>
      </c>
      <c r="V24" t="str">
        <f>IF($N24="","",IFERROR(INDEX(Operators!$D:$D,MATCH($N24,Operators!$A:$A,0))&amp;"","UNKNOWN OPERATOR ID"))</f>
        <v/>
      </c>
      <c r="W24" t="str">
        <f>IF($N24="","",IFERROR(INDEX(Operators!$E:$E,MATCH($N24,Operators!$A:$A,0))&amp;"","UNKNOWN OPERATOR ID"))</f>
        <v/>
      </c>
      <c r="X24" t="str">
        <f>IF($N24="","",IFERROR(INDEX(Operators!$G:$G,MATCH($N24,Operators!$A:$A,0))&amp;"","UNKNOWN OPERATOR ID"))</f>
        <v/>
      </c>
      <c r="Y24" t="str">
        <f>IF($N24="","",IFERROR(INDEX(Operators!$H:$H,MATCH($N24,Operators!$A:$A,0))&amp;"","UNKNOWN OPERATOR ID"))</f>
        <v/>
      </c>
      <c r="Z24" t="str">
        <f>IF($N24="","",IFERROR(INDEX(Operators!$T:$T,MATCH($N24,Operators!$A:$A,0))&amp;"","UNKNOWN OPERATOR ID"))</f>
        <v>ACTIVE</v>
      </c>
      <c r="AA24" t="str">
        <f>IF($N24="","",IFERROR(INDEX(Operators!$N:$N,MATCH($N24,Operators!$A:$A,0))&amp;"","UNKNOWN OPERATOR ID"))</f>
        <v/>
      </c>
      <c r="AB24" t="str">
        <f>IF($N24="","",IFERROR(INDEX(Operators!$K:$K,MATCH($N24,Operators!$A:$A,0))&amp;"","UNKNOWN OPERATOR ID"))</f>
        <v/>
      </c>
      <c r="AC24" t="str">
        <f>IF($N24="","",IFERROR(INDEX(Operators!$M:$M,MATCH($N24,Operators!$A:$A,0))&amp;"","UNKNOWN OPERATOR ID"))</f>
        <v/>
      </c>
      <c r="AD24" s="1" t="str">
        <f>IF($B24="","",IF($N24="","OPERATOR MISSING",IF(COUNTIF(Operators!$A:$A,$N24)=0,"UNKNOWN OPERATOR ID",IF($T24="","OPERATOR NAME REQUIRED","OK"))))</f>
        <v>OPERATOR NAME REQUIRED</v>
      </c>
      <c r="AE24">
        <f>IF($B24="","",COUNTIFS('FLEET DOCUMENTS'!$C$5:$C$60,$B24))</f>
        <v>0</v>
      </c>
      <c r="AF24">
        <f>IF($B24="","",COUNTIFS('FLEET DOCUMENTS'!$C$5:$C$60,$B24,'FLEET DOCUMENTS'!$S$5:$S$60,"EXPIRED"))</f>
        <v>0</v>
      </c>
      <c r="AG24">
        <f>IF($B24="","",COUNTIFS('FLEET DOCUMENTS'!$C$5:$C$60,$B24,'FLEET DOCUMENTS'!$S$5:$S$60,"EXPIRES WITHIN 90 DAYS")+COUNTIFS('FLEET DOCUMENTS'!$C$5:$C$60,$B24,'FLEET DOCUMENTS'!$S$5:$S$60,"EXPIRES WITHIN 30 DAYS"))</f>
        <v>0</v>
      </c>
      <c r="AH24" s="72">
        <f>IF($B24="","",IFERROR(_xlfn.MINIFS('FLEET DOCUMENTS'!$J$5:$J$60,'FLEET DOCUMENTS'!$C$5:$C$60,$B24),""))</f>
        <v>0</v>
      </c>
    </row>
    <row r="25" spans="1:34" x14ac:dyDescent="0.3">
      <c r="A25" t="s">
        <v>3932</v>
      </c>
      <c r="B25" t="s">
        <v>4215</v>
      </c>
      <c r="C25" t="s">
        <v>3887</v>
      </c>
      <c r="D25" t="s">
        <v>3888</v>
      </c>
      <c r="E25" t="s">
        <v>3933</v>
      </c>
      <c r="F25" t="s">
        <v>3934</v>
      </c>
      <c r="G25" t="str">
        <f>IF($F25="","",IFERROR(INDEX(airports!$E:$E,MATCH($F25,airports!$A:$A,0)),"Not in airports"))</f>
        <v>Moi International Airport</v>
      </c>
      <c r="H25" s="5">
        <v>4740</v>
      </c>
      <c r="I25">
        <v>9</v>
      </c>
      <c r="J25" t="s">
        <v>108</v>
      </c>
      <c r="K25">
        <v>1423</v>
      </c>
      <c r="L25" t="s">
        <v>3830</v>
      </c>
      <c r="M25" t="b">
        <v>1</v>
      </c>
      <c r="N25" t="s">
        <v>3935</v>
      </c>
      <c r="S25" s="23" t="str">
        <f t="shared" si="0"/>
        <v/>
      </c>
      <c r="T25" t="str">
        <f>IF($N25="","",IFERROR(INDEX(Operators!$B:$B,MATCH($N25,Operators!$A:$A,0))&amp;"","UNKNOWN OPERATOR ID"))</f>
        <v/>
      </c>
      <c r="U25" t="str">
        <f>IF($N25="","",IFERROR(INDEX(Operators!$C:$C,MATCH($N25,Operators!$A:$A,0))&amp;"","UNKNOWN OPERATOR ID"))</f>
        <v/>
      </c>
      <c r="V25" t="str">
        <f>IF($N25="","",IFERROR(INDEX(Operators!$D:$D,MATCH($N25,Operators!$A:$A,0))&amp;"","UNKNOWN OPERATOR ID"))</f>
        <v/>
      </c>
      <c r="W25" t="str">
        <f>IF($N25="","",IFERROR(INDEX(Operators!$E:$E,MATCH($N25,Operators!$A:$A,0))&amp;"","UNKNOWN OPERATOR ID"))</f>
        <v/>
      </c>
      <c r="X25" t="str">
        <f>IF($N25="","",IFERROR(INDEX(Operators!$G:$G,MATCH($N25,Operators!$A:$A,0))&amp;"","UNKNOWN OPERATOR ID"))</f>
        <v/>
      </c>
      <c r="Y25" t="str">
        <f>IF($N25="","",IFERROR(INDEX(Operators!$H:$H,MATCH($N25,Operators!$A:$A,0))&amp;"","UNKNOWN OPERATOR ID"))</f>
        <v/>
      </c>
      <c r="Z25" t="str">
        <f>IF($N25="","",IFERROR(INDEX(Operators!$T:$T,MATCH($N25,Operators!$A:$A,0))&amp;"","UNKNOWN OPERATOR ID"))</f>
        <v>ACTIVE</v>
      </c>
      <c r="AA25" t="str">
        <f>IF($N25="","",IFERROR(INDEX(Operators!$N:$N,MATCH($N25,Operators!$A:$A,0))&amp;"","UNKNOWN OPERATOR ID"))</f>
        <v/>
      </c>
      <c r="AB25" t="str">
        <f>IF($N25="","",IFERROR(INDEX(Operators!$K:$K,MATCH($N25,Operators!$A:$A,0))&amp;"","UNKNOWN OPERATOR ID"))</f>
        <v/>
      </c>
      <c r="AC25" t="str">
        <f>IF($N25="","",IFERROR(INDEX(Operators!$M:$M,MATCH($N25,Operators!$A:$A,0))&amp;"","UNKNOWN OPERATOR ID"))</f>
        <v/>
      </c>
      <c r="AD25" s="1" t="str">
        <f>IF($B25="","",IF($N25="","OPERATOR MISSING",IF(COUNTIF(Operators!$A:$A,$N25)=0,"UNKNOWN OPERATOR ID",IF($T25="","OPERATOR NAME REQUIRED","OK"))))</f>
        <v>OPERATOR NAME REQUIRED</v>
      </c>
      <c r="AE25">
        <f>IF($B25="","",COUNTIFS('FLEET DOCUMENTS'!$C$5:$C$60,$B25))</f>
        <v>0</v>
      </c>
      <c r="AF25">
        <f>IF($B25="","",COUNTIFS('FLEET DOCUMENTS'!$C$5:$C$60,$B25,'FLEET DOCUMENTS'!$S$5:$S$60,"EXPIRED"))</f>
        <v>0</v>
      </c>
      <c r="AG25">
        <f>IF($B25="","",COUNTIFS('FLEET DOCUMENTS'!$C$5:$C$60,$B25,'FLEET DOCUMENTS'!$S$5:$S$60,"EXPIRES WITHIN 90 DAYS")+COUNTIFS('FLEET DOCUMENTS'!$C$5:$C$60,$B25,'FLEET DOCUMENTS'!$S$5:$S$60,"EXPIRES WITHIN 30 DAYS"))</f>
        <v>0</v>
      </c>
      <c r="AH25" s="72">
        <f>IF($B25="","",IFERROR(_xlfn.MINIFS('FLEET DOCUMENTS'!$J$5:$J$60,'FLEET DOCUMENTS'!$C$5:$C$60,$B25),""))</f>
        <v>0</v>
      </c>
    </row>
    <row r="26" spans="1:34" x14ac:dyDescent="0.3">
      <c r="A26" t="s">
        <v>3936</v>
      </c>
      <c r="B26" t="s">
        <v>4216</v>
      </c>
      <c r="C26" t="s">
        <v>3937</v>
      </c>
      <c r="D26" t="s">
        <v>3879</v>
      </c>
      <c r="E26" t="s">
        <v>3938</v>
      </c>
      <c r="F26" t="s">
        <v>463</v>
      </c>
      <c r="G26" t="str">
        <f>IF($F26="","",IFERROR(INDEX(airports!$E:$E,MATCH($F26,airports!$A:$A,0)),"Not in airports"))</f>
        <v>Jomo Kenyatta International Airport</v>
      </c>
      <c r="H26" s="5">
        <v>396893</v>
      </c>
      <c r="I26">
        <v>0</v>
      </c>
      <c r="J26" t="s">
        <v>108</v>
      </c>
      <c r="K26">
        <v>32892</v>
      </c>
      <c r="L26" t="s">
        <v>3830</v>
      </c>
      <c r="M26" t="b">
        <v>1</v>
      </c>
      <c r="N26" t="s">
        <v>3939</v>
      </c>
      <c r="S26" s="23" t="str">
        <f t="shared" si="0"/>
        <v/>
      </c>
      <c r="T26" t="str">
        <f>IF($N26="","",IFERROR(INDEX(Operators!$B:$B,MATCH($N26,Operators!$A:$A,0))&amp;"","UNKNOWN OPERATOR ID"))</f>
        <v/>
      </c>
      <c r="U26" t="str">
        <f>IF($N26="","",IFERROR(INDEX(Operators!$C:$C,MATCH($N26,Operators!$A:$A,0))&amp;"","UNKNOWN OPERATOR ID"))</f>
        <v/>
      </c>
      <c r="V26" t="str">
        <f>IF($N26="","",IFERROR(INDEX(Operators!$D:$D,MATCH($N26,Operators!$A:$A,0))&amp;"","UNKNOWN OPERATOR ID"))</f>
        <v/>
      </c>
      <c r="W26" t="str">
        <f>IF($N26="","",IFERROR(INDEX(Operators!$E:$E,MATCH($N26,Operators!$A:$A,0))&amp;"","UNKNOWN OPERATOR ID"))</f>
        <v/>
      </c>
      <c r="X26" t="str">
        <f>IF($N26="","",IFERROR(INDEX(Operators!$G:$G,MATCH($N26,Operators!$A:$A,0))&amp;"","UNKNOWN OPERATOR ID"))</f>
        <v/>
      </c>
      <c r="Y26" t="str">
        <f>IF($N26="","",IFERROR(INDEX(Operators!$H:$H,MATCH($N26,Operators!$A:$A,0))&amp;"","UNKNOWN OPERATOR ID"))</f>
        <v/>
      </c>
      <c r="Z26" t="str">
        <f>IF($N26="","",IFERROR(INDEX(Operators!$T:$T,MATCH($N26,Operators!$A:$A,0))&amp;"","UNKNOWN OPERATOR ID"))</f>
        <v>ACTIVE</v>
      </c>
      <c r="AA26" t="str">
        <f>IF($N26="","",IFERROR(INDEX(Operators!$N:$N,MATCH($N26,Operators!$A:$A,0))&amp;"","UNKNOWN OPERATOR ID"))</f>
        <v/>
      </c>
      <c r="AB26" t="str">
        <f>IF($N26="","",IFERROR(INDEX(Operators!$K:$K,MATCH($N26,Operators!$A:$A,0))&amp;"","UNKNOWN OPERATOR ID"))</f>
        <v/>
      </c>
      <c r="AC26" t="str">
        <f>IF($N26="","",IFERROR(INDEX(Operators!$M:$M,MATCH($N26,Operators!$A:$A,0))&amp;"","UNKNOWN OPERATOR ID"))</f>
        <v/>
      </c>
      <c r="AD26" s="1" t="str">
        <f>IF($B26="","",IF($N26="","OPERATOR MISSING",IF(COUNTIF(Operators!$A:$A,$N26)=0,"UNKNOWN OPERATOR ID",IF($T26="","OPERATOR NAME REQUIRED","OK"))))</f>
        <v>OPERATOR NAME REQUIRED</v>
      </c>
      <c r="AE26">
        <f>IF($B26="","",COUNTIFS('FLEET DOCUMENTS'!$C$5:$C$60,$B26))</f>
        <v>0</v>
      </c>
      <c r="AF26">
        <f>IF($B26="","",COUNTIFS('FLEET DOCUMENTS'!$C$5:$C$60,$B26,'FLEET DOCUMENTS'!$S$5:$S$60,"EXPIRED"))</f>
        <v>0</v>
      </c>
      <c r="AG26">
        <f>IF($B26="","",COUNTIFS('FLEET DOCUMENTS'!$C$5:$C$60,$B26,'FLEET DOCUMENTS'!$S$5:$S$60,"EXPIRES WITHIN 90 DAYS")+COUNTIFS('FLEET DOCUMENTS'!$C$5:$C$60,$B26,'FLEET DOCUMENTS'!$S$5:$S$60,"EXPIRES WITHIN 30 DAYS"))</f>
        <v>0</v>
      </c>
      <c r="AH26" s="72">
        <f>IF($B26="","",IFERROR(_xlfn.MINIFS('FLEET DOCUMENTS'!$J$5:$J$60,'FLEET DOCUMENTS'!$C$5:$C$60,$B26),""))</f>
        <v>0</v>
      </c>
    </row>
    <row r="27" spans="1:34" x14ac:dyDescent="0.3">
      <c r="A27" t="s">
        <v>3940</v>
      </c>
      <c r="B27" t="s">
        <v>4217</v>
      </c>
      <c r="C27" t="s">
        <v>3852</v>
      </c>
      <c r="D27" t="s">
        <v>3853</v>
      </c>
      <c r="E27" t="s">
        <v>3854</v>
      </c>
      <c r="F27" t="s">
        <v>3934</v>
      </c>
      <c r="G27" t="str">
        <f>IF($F27="","",IFERROR(INDEX(airports!$E:$E,MATCH($F27,airports!$A:$A,0)),"Not in airports"))</f>
        <v>Moi International Airport</v>
      </c>
      <c r="H27" s="5">
        <v>3969</v>
      </c>
      <c r="I27">
        <v>14</v>
      </c>
      <c r="J27" t="s">
        <v>108</v>
      </c>
      <c r="K27" t="s">
        <v>3941</v>
      </c>
      <c r="L27" t="s">
        <v>3830</v>
      </c>
      <c r="M27" t="b">
        <v>1</v>
      </c>
      <c r="N27" t="s">
        <v>3935</v>
      </c>
      <c r="S27" s="23" t="str">
        <f t="shared" si="0"/>
        <v/>
      </c>
      <c r="T27" t="str">
        <f>IF($N27="","",IFERROR(INDEX(Operators!$B:$B,MATCH($N27,Operators!$A:$A,0))&amp;"","UNKNOWN OPERATOR ID"))</f>
        <v/>
      </c>
      <c r="U27" t="str">
        <f>IF($N27="","",IFERROR(INDEX(Operators!$C:$C,MATCH($N27,Operators!$A:$A,0))&amp;"","UNKNOWN OPERATOR ID"))</f>
        <v/>
      </c>
      <c r="V27" t="str">
        <f>IF($N27="","",IFERROR(INDEX(Operators!$D:$D,MATCH($N27,Operators!$A:$A,0))&amp;"","UNKNOWN OPERATOR ID"))</f>
        <v/>
      </c>
      <c r="W27" t="str">
        <f>IF($N27="","",IFERROR(INDEX(Operators!$E:$E,MATCH($N27,Operators!$A:$A,0))&amp;"","UNKNOWN OPERATOR ID"))</f>
        <v/>
      </c>
      <c r="X27" t="str">
        <f>IF($N27="","",IFERROR(INDEX(Operators!$G:$G,MATCH($N27,Operators!$A:$A,0))&amp;"","UNKNOWN OPERATOR ID"))</f>
        <v/>
      </c>
      <c r="Y27" t="str">
        <f>IF($N27="","",IFERROR(INDEX(Operators!$H:$H,MATCH($N27,Operators!$A:$A,0))&amp;"","UNKNOWN OPERATOR ID"))</f>
        <v/>
      </c>
      <c r="Z27" t="str">
        <f>IF($N27="","",IFERROR(INDEX(Operators!$T:$T,MATCH($N27,Operators!$A:$A,0))&amp;"","UNKNOWN OPERATOR ID"))</f>
        <v>ACTIVE</v>
      </c>
      <c r="AA27" t="str">
        <f>IF($N27="","",IFERROR(INDEX(Operators!$N:$N,MATCH($N27,Operators!$A:$A,0))&amp;"","UNKNOWN OPERATOR ID"))</f>
        <v/>
      </c>
      <c r="AB27" t="str">
        <f>IF($N27="","",IFERROR(INDEX(Operators!$K:$K,MATCH($N27,Operators!$A:$A,0))&amp;"","UNKNOWN OPERATOR ID"))</f>
        <v/>
      </c>
      <c r="AC27" t="str">
        <f>IF($N27="","",IFERROR(INDEX(Operators!$M:$M,MATCH($N27,Operators!$A:$A,0))&amp;"","UNKNOWN OPERATOR ID"))</f>
        <v/>
      </c>
      <c r="AD27" s="1" t="str">
        <f>IF($B27="","",IF($N27="","OPERATOR MISSING",IF(COUNTIF(Operators!$A:$A,$N27)=0,"UNKNOWN OPERATOR ID",IF($T27="","OPERATOR NAME REQUIRED","OK"))))</f>
        <v>OPERATOR NAME REQUIRED</v>
      </c>
      <c r="AE27">
        <f>IF($B27="","",COUNTIFS('FLEET DOCUMENTS'!$C$5:$C$60,$B27))</f>
        <v>0</v>
      </c>
      <c r="AF27">
        <f>IF($B27="","",COUNTIFS('FLEET DOCUMENTS'!$C$5:$C$60,$B27,'FLEET DOCUMENTS'!$S$5:$S$60,"EXPIRED"))</f>
        <v>0</v>
      </c>
      <c r="AG27">
        <f>IF($B27="","",COUNTIFS('FLEET DOCUMENTS'!$C$5:$C$60,$B27,'FLEET DOCUMENTS'!$S$5:$S$60,"EXPIRES WITHIN 90 DAYS")+COUNTIFS('FLEET DOCUMENTS'!$C$5:$C$60,$B27,'FLEET DOCUMENTS'!$S$5:$S$60,"EXPIRES WITHIN 30 DAYS"))</f>
        <v>0</v>
      </c>
      <c r="AH27" s="72">
        <f>IF($B27="","",IFERROR(_xlfn.MINIFS('FLEET DOCUMENTS'!$J$5:$J$60,'FLEET DOCUMENTS'!$C$5:$C$60,$B27),""))</f>
        <v>0</v>
      </c>
    </row>
    <row r="28" spans="1:34" x14ac:dyDescent="0.3">
      <c r="A28" t="s">
        <v>3942</v>
      </c>
      <c r="B28" t="s">
        <v>4218</v>
      </c>
      <c r="C28" t="s">
        <v>3882</v>
      </c>
      <c r="D28" t="s">
        <v>3883</v>
      </c>
      <c r="E28" t="s">
        <v>3916</v>
      </c>
      <c r="F28" t="s">
        <v>463</v>
      </c>
      <c r="G28" t="str">
        <f>IF($F28="","",IFERROR(INDEX(airports!$E:$E,MATCH($F28,airports!$A:$A,0)),"Not in airports"))</f>
        <v>Jomo Kenyatta International Airport</v>
      </c>
      <c r="H28" s="5">
        <v>23000</v>
      </c>
      <c r="I28">
        <v>78</v>
      </c>
      <c r="J28" t="s">
        <v>108</v>
      </c>
      <c r="K28">
        <v>1281</v>
      </c>
      <c r="L28" t="s">
        <v>3830</v>
      </c>
      <c r="M28" t="b">
        <v>1</v>
      </c>
      <c r="N28" t="s">
        <v>3931</v>
      </c>
      <c r="S28" s="23" t="str">
        <f t="shared" si="0"/>
        <v/>
      </c>
      <c r="T28" t="str">
        <f>IF($N28="","",IFERROR(INDEX(Operators!$B:$B,MATCH($N28,Operators!$A:$A,0))&amp;"","UNKNOWN OPERATOR ID"))</f>
        <v/>
      </c>
      <c r="U28" t="str">
        <f>IF($N28="","",IFERROR(INDEX(Operators!$C:$C,MATCH($N28,Operators!$A:$A,0))&amp;"","UNKNOWN OPERATOR ID"))</f>
        <v/>
      </c>
      <c r="V28" t="str">
        <f>IF($N28="","",IFERROR(INDEX(Operators!$D:$D,MATCH($N28,Operators!$A:$A,0))&amp;"","UNKNOWN OPERATOR ID"))</f>
        <v/>
      </c>
      <c r="W28" t="str">
        <f>IF($N28="","",IFERROR(INDEX(Operators!$E:$E,MATCH($N28,Operators!$A:$A,0))&amp;"","UNKNOWN OPERATOR ID"))</f>
        <v/>
      </c>
      <c r="X28" t="str">
        <f>IF($N28="","",IFERROR(INDEX(Operators!$G:$G,MATCH($N28,Operators!$A:$A,0))&amp;"","UNKNOWN OPERATOR ID"))</f>
        <v/>
      </c>
      <c r="Y28" t="str">
        <f>IF($N28="","",IFERROR(INDEX(Operators!$H:$H,MATCH($N28,Operators!$A:$A,0))&amp;"","UNKNOWN OPERATOR ID"))</f>
        <v/>
      </c>
      <c r="Z28" t="str">
        <f>IF($N28="","",IFERROR(INDEX(Operators!$T:$T,MATCH($N28,Operators!$A:$A,0))&amp;"","UNKNOWN OPERATOR ID"))</f>
        <v>ACTIVE</v>
      </c>
      <c r="AA28" t="str">
        <f>IF($N28="","",IFERROR(INDEX(Operators!$N:$N,MATCH($N28,Operators!$A:$A,0))&amp;"","UNKNOWN OPERATOR ID"))</f>
        <v/>
      </c>
      <c r="AB28" t="str">
        <f>IF($N28="","",IFERROR(INDEX(Operators!$K:$K,MATCH($N28,Operators!$A:$A,0))&amp;"","UNKNOWN OPERATOR ID"))</f>
        <v/>
      </c>
      <c r="AC28" t="str">
        <f>IF($N28="","",IFERROR(INDEX(Operators!$M:$M,MATCH($N28,Operators!$A:$A,0))&amp;"","UNKNOWN OPERATOR ID"))</f>
        <v/>
      </c>
      <c r="AD28" s="1" t="str">
        <f>IF($B28="","",IF($N28="","OPERATOR MISSING",IF(COUNTIF(Operators!$A:$A,$N28)=0,"UNKNOWN OPERATOR ID",IF($T28="","OPERATOR NAME REQUIRED","OK"))))</f>
        <v>OPERATOR NAME REQUIRED</v>
      </c>
      <c r="AE28">
        <f>IF($B28="","",COUNTIFS('FLEET DOCUMENTS'!$C$5:$C$60,$B28))</f>
        <v>0</v>
      </c>
      <c r="AF28">
        <f>IF($B28="","",COUNTIFS('FLEET DOCUMENTS'!$C$5:$C$60,$B28,'FLEET DOCUMENTS'!$S$5:$S$60,"EXPIRED"))</f>
        <v>0</v>
      </c>
      <c r="AG28">
        <f>IF($B28="","",COUNTIFS('FLEET DOCUMENTS'!$C$5:$C$60,$B28,'FLEET DOCUMENTS'!$S$5:$S$60,"EXPIRES WITHIN 90 DAYS")+COUNTIFS('FLEET DOCUMENTS'!$C$5:$C$60,$B28,'FLEET DOCUMENTS'!$S$5:$S$60,"EXPIRES WITHIN 30 DAYS"))</f>
        <v>0</v>
      </c>
      <c r="AH28" s="72">
        <f>IF($B28="","",IFERROR(_xlfn.MINIFS('FLEET DOCUMENTS'!$J$5:$J$60,'FLEET DOCUMENTS'!$C$5:$C$60,$B28),""))</f>
        <v>0</v>
      </c>
    </row>
    <row r="29" spans="1:34" x14ac:dyDescent="0.3">
      <c r="A29" t="s">
        <v>3943</v>
      </c>
      <c r="B29" t="s">
        <v>4219</v>
      </c>
      <c r="C29" t="s">
        <v>3891</v>
      </c>
      <c r="D29" t="s">
        <v>3879</v>
      </c>
      <c r="E29" t="s">
        <v>3892</v>
      </c>
      <c r="F29" t="s">
        <v>463</v>
      </c>
      <c r="G29" t="str">
        <f>IF($F29="","",IFERROR(INDEX(airports!$E:$E,MATCH($F29,airports!$A:$A,0)),"Not in airports"))</f>
        <v>Jomo Kenyatta International Airport</v>
      </c>
      <c r="H29" s="5">
        <v>79010</v>
      </c>
      <c r="I29">
        <v>189</v>
      </c>
      <c r="J29" t="s">
        <v>108</v>
      </c>
      <c r="K29">
        <v>35045</v>
      </c>
      <c r="L29" t="s">
        <v>3830</v>
      </c>
      <c r="M29" t="b">
        <v>1</v>
      </c>
      <c r="N29" t="s">
        <v>3944</v>
      </c>
      <c r="S29" s="23" t="str">
        <f t="shared" si="0"/>
        <v/>
      </c>
      <c r="T29" t="str">
        <f>IF($N29="","",IFERROR(INDEX(Operators!$B:$B,MATCH($N29,Operators!$A:$A,0))&amp;"","UNKNOWN OPERATOR ID"))</f>
        <v/>
      </c>
      <c r="U29" t="str">
        <f>IF($N29="","",IFERROR(INDEX(Operators!$C:$C,MATCH($N29,Operators!$A:$A,0))&amp;"","UNKNOWN OPERATOR ID"))</f>
        <v/>
      </c>
      <c r="V29" t="str">
        <f>IF($N29="","",IFERROR(INDEX(Operators!$D:$D,MATCH($N29,Operators!$A:$A,0))&amp;"","UNKNOWN OPERATOR ID"))</f>
        <v/>
      </c>
      <c r="W29" t="str">
        <f>IF($N29="","",IFERROR(INDEX(Operators!$E:$E,MATCH($N29,Operators!$A:$A,0))&amp;"","UNKNOWN OPERATOR ID"))</f>
        <v/>
      </c>
      <c r="X29" t="str">
        <f>IF($N29="","",IFERROR(INDEX(Operators!$G:$G,MATCH($N29,Operators!$A:$A,0))&amp;"","UNKNOWN OPERATOR ID"))</f>
        <v/>
      </c>
      <c r="Y29" t="str">
        <f>IF($N29="","",IFERROR(INDEX(Operators!$H:$H,MATCH($N29,Operators!$A:$A,0))&amp;"","UNKNOWN OPERATOR ID"))</f>
        <v/>
      </c>
      <c r="Z29" t="str">
        <f>IF($N29="","",IFERROR(INDEX(Operators!$T:$T,MATCH($N29,Operators!$A:$A,0))&amp;"","UNKNOWN OPERATOR ID"))</f>
        <v>ACTIVE</v>
      </c>
      <c r="AA29" t="str">
        <f>IF($N29="","",IFERROR(INDEX(Operators!$N:$N,MATCH($N29,Operators!$A:$A,0))&amp;"","UNKNOWN OPERATOR ID"))</f>
        <v/>
      </c>
      <c r="AB29" t="str">
        <f>IF($N29="","",IFERROR(INDEX(Operators!$K:$K,MATCH($N29,Operators!$A:$A,0))&amp;"","UNKNOWN OPERATOR ID"))</f>
        <v/>
      </c>
      <c r="AC29" t="str">
        <f>IF($N29="","",IFERROR(INDEX(Operators!$M:$M,MATCH($N29,Operators!$A:$A,0))&amp;"","UNKNOWN OPERATOR ID"))</f>
        <v/>
      </c>
      <c r="AD29" s="1" t="str">
        <f>IF($B29="","",IF($N29="","OPERATOR MISSING",IF(COUNTIF(Operators!$A:$A,$N29)=0,"UNKNOWN OPERATOR ID",IF($T29="","OPERATOR NAME REQUIRED","OK"))))</f>
        <v>OPERATOR NAME REQUIRED</v>
      </c>
      <c r="AE29">
        <f>IF($B29="","",COUNTIFS('FLEET DOCUMENTS'!$C$5:$C$60,$B29))</f>
        <v>0</v>
      </c>
      <c r="AF29">
        <f>IF($B29="","",COUNTIFS('FLEET DOCUMENTS'!$C$5:$C$60,$B29,'FLEET DOCUMENTS'!$S$5:$S$60,"EXPIRED"))</f>
        <v>0</v>
      </c>
      <c r="AG29">
        <f>IF($B29="","",COUNTIFS('FLEET DOCUMENTS'!$C$5:$C$60,$B29,'FLEET DOCUMENTS'!$S$5:$S$60,"EXPIRES WITHIN 90 DAYS")+COUNTIFS('FLEET DOCUMENTS'!$C$5:$C$60,$B29,'FLEET DOCUMENTS'!$S$5:$S$60,"EXPIRES WITHIN 30 DAYS"))</f>
        <v>0</v>
      </c>
      <c r="AH29" s="72">
        <f>IF($B29="","",IFERROR(_xlfn.MINIFS('FLEET DOCUMENTS'!$J$5:$J$60,'FLEET DOCUMENTS'!$C$5:$C$60,$B29),""))</f>
        <v>0</v>
      </c>
    </row>
    <row r="30" spans="1:34" x14ac:dyDescent="0.3">
      <c r="A30" t="s">
        <v>3945</v>
      </c>
      <c r="B30" t="s">
        <v>4220</v>
      </c>
      <c r="C30" t="s">
        <v>3891</v>
      </c>
      <c r="D30" t="s">
        <v>3879</v>
      </c>
      <c r="E30" t="s">
        <v>3892</v>
      </c>
      <c r="F30" t="s">
        <v>463</v>
      </c>
      <c r="G30" t="str">
        <f>IF($F30="","",IFERROR(INDEX(airports!$E:$E,MATCH($F30,airports!$A:$A,0)),"Not in airports"))</f>
        <v>Jomo Kenyatta International Airport</v>
      </c>
      <c r="H30" s="5">
        <v>79010</v>
      </c>
      <c r="I30">
        <v>189</v>
      </c>
      <c r="J30" t="s">
        <v>108</v>
      </c>
      <c r="K30">
        <v>35046</v>
      </c>
      <c r="L30" t="s">
        <v>3830</v>
      </c>
      <c r="M30" t="b">
        <v>1</v>
      </c>
      <c r="N30" t="s">
        <v>3944</v>
      </c>
      <c r="S30" s="23" t="str">
        <f t="shared" si="0"/>
        <v/>
      </c>
      <c r="T30" t="str">
        <f>IF($N30="","",IFERROR(INDEX(Operators!$B:$B,MATCH($N30,Operators!$A:$A,0))&amp;"","UNKNOWN OPERATOR ID"))</f>
        <v/>
      </c>
      <c r="U30" t="str">
        <f>IF($N30="","",IFERROR(INDEX(Operators!$C:$C,MATCH($N30,Operators!$A:$A,0))&amp;"","UNKNOWN OPERATOR ID"))</f>
        <v/>
      </c>
      <c r="V30" t="str">
        <f>IF($N30="","",IFERROR(INDEX(Operators!$D:$D,MATCH($N30,Operators!$A:$A,0))&amp;"","UNKNOWN OPERATOR ID"))</f>
        <v/>
      </c>
      <c r="W30" t="str">
        <f>IF($N30="","",IFERROR(INDEX(Operators!$E:$E,MATCH($N30,Operators!$A:$A,0))&amp;"","UNKNOWN OPERATOR ID"))</f>
        <v/>
      </c>
      <c r="X30" t="str">
        <f>IF($N30="","",IFERROR(INDEX(Operators!$G:$G,MATCH($N30,Operators!$A:$A,0))&amp;"","UNKNOWN OPERATOR ID"))</f>
        <v/>
      </c>
      <c r="Y30" t="str">
        <f>IF($N30="","",IFERROR(INDEX(Operators!$H:$H,MATCH($N30,Operators!$A:$A,0))&amp;"","UNKNOWN OPERATOR ID"))</f>
        <v/>
      </c>
      <c r="Z30" t="str">
        <f>IF($N30="","",IFERROR(INDEX(Operators!$T:$T,MATCH($N30,Operators!$A:$A,0))&amp;"","UNKNOWN OPERATOR ID"))</f>
        <v>ACTIVE</v>
      </c>
      <c r="AA30" t="str">
        <f>IF($N30="","",IFERROR(INDEX(Operators!$N:$N,MATCH($N30,Operators!$A:$A,0))&amp;"","UNKNOWN OPERATOR ID"))</f>
        <v/>
      </c>
      <c r="AB30" t="str">
        <f>IF($N30="","",IFERROR(INDEX(Operators!$K:$K,MATCH($N30,Operators!$A:$A,0))&amp;"","UNKNOWN OPERATOR ID"))</f>
        <v/>
      </c>
      <c r="AC30" t="str">
        <f>IF($N30="","",IFERROR(INDEX(Operators!$M:$M,MATCH($N30,Operators!$A:$A,0))&amp;"","UNKNOWN OPERATOR ID"))</f>
        <v/>
      </c>
      <c r="AD30" s="1" t="str">
        <f>IF($B30="","",IF($N30="","OPERATOR MISSING",IF(COUNTIF(Operators!$A:$A,$N30)=0,"UNKNOWN OPERATOR ID",IF($T30="","OPERATOR NAME REQUIRED","OK"))))</f>
        <v>OPERATOR NAME REQUIRED</v>
      </c>
      <c r="AE30">
        <f>IF($B30="","",COUNTIFS('FLEET DOCUMENTS'!$C$5:$C$60,$B30))</f>
        <v>0</v>
      </c>
      <c r="AF30">
        <f>IF($B30="","",COUNTIFS('FLEET DOCUMENTS'!$C$5:$C$60,$B30,'FLEET DOCUMENTS'!$S$5:$S$60,"EXPIRED"))</f>
        <v>0</v>
      </c>
      <c r="AG30">
        <f>IF($B30="","",COUNTIFS('FLEET DOCUMENTS'!$C$5:$C$60,$B30,'FLEET DOCUMENTS'!$S$5:$S$60,"EXPIRES WITHIN 90 DAYS")+COUNTIFS('FLEET DOCUMENTS'!$C$5:$C$60,$B30,'FLEET DOCUMENTS'!$S$5:$S$60,"EXPIRES WITHIN 30 DAYS"))</f>
        <v>0</v>
      </c>
      <c r="AH30" s="72">
        <f>IF($B30="","",IFERROR(_xlfn.MINIFS('FLEET DOCUMENTS'!$J$5:$J$60,'FLEET DOCUMENTS'!$C$5:$C$60,$B30),""))</f>
        <v>0</v>
      </c>
    </row>
    <row r="31" spans="1:34" x14ac:dyDescent="0.3">
      <c r="A31" t="s">
        <v>3946</v>
      </c>
      <c r="B31" t="s">
        <v>4221</v>
      </c>
      <c r="C31" t="s">
        <v>3947</v>
      </c>
      <c r="D31" t="s">
        <v>3879</v>
      </c>
      <c r="E31" t="s">
        <v>3948</v>
      </c>
      <c r="F31" t="s">
        <v>463</v>
      </c>
      <c r="G31" t="str">
        <f>IF($F31="","",IFERROR(INDEX(airports!$E:$E,MATCH($F31,airports!$A:$A,0)),"Not in airports"))</f>
        <v>Jomo Kenyatta International Airport</v>
      </c>
      <c r="H31" s="5">
        <v>227930</v>
      </c>
      <c r="I31">
        <v>248</v>
      </c>
      <c r="J31" t="s">
        <v>108</v>
      </c>
      <c r="K31">
        <v>35510</v>
      </c>
      <c r="L31" t="s">
        <v>3830</v>
      </c>
      <c r="M31" t="b">
        <v>1</v>
      </c>
      <c r="N31" t="s">
        <v>3944</v>
      </c>
      <c r="S31" s="23" t="str">
        <f t="shared" si="0"/>
        <v/>
      </c>
      <c r="T31" t="str">
        <f>IF($N31="","",IFERROR(INDEX(Operators!$B:$B,MATCH($N31,Operators!$A:$A,0))&amp;"","UNKNOWN OPERATOR ID"))</f>
        <v/>
      </c>
      <c r="U31" t="str">
        <f>IF($N31="","",IFERROR(INDEX(Operators!$C:$C,MATCH($N31,Operators!$A:$A,0))&amp;"","UNKNOWN OPERATOR ID"))</f>
        <v/>
      </c>
      <c r="V31" t="str">
        <f>IF($N31="","",IFERROR(INDEX(Operators!$D:$D,MATCH($N31,Operators!$A:$A,0))&amp;"","UNKNOWN OPERATOR ID"))</f>
        <v/>
      </c>
      <c r="W31" t="str">
        <f>IF($N31="","",IFERROR(INDEX(Operators!$E:$E,MATCH($N31,Operators!$A:$A,0))&amp;"","UNKNOWN OPERATOR ID"))</f>
        <v/>
      </c>
      <c r="X31" t="str">
        <f>IF($N31="","",IFERROR(INDEX(Operators!$G:$G,MATCH($N31,Operators!$A:$A,0))&amp;"","UNKNOWN OPERATOR ID"))</f>
        <v/>
      </c>
      <c r="Y31" t="str">
        <f>IF($N31="","",IFERROR(INDEX(Operators!$H:$H,MATCH($N31,Operators!$A:$A,0))&amp;"","UNKNOWN OPERATOR ID"))</f>
        <v/>
      </c>
      <c r="Z31" t="str">
        <f>IF($N31="","",IFERROR(INDEX(Operators!$T:$T,MATCH($N31,Operators!$A:$A,0))&amp;"","UNKNOWN OPERATOR ID"))</f>
        <v>ACTIVE</v>
      </c>
      <c r="AA31" t="str">
        <f>IF($N31="","",IFERROR(INDEX(Operators!$N:$N,MATCH($N31,Operators!$A:$A,0))&amp;"","UNKNOWN OPERATOR ID"))</f>
        <v/>
      </c>
      <c r="AB31" t="str">
        <f>IF($N31="","",IFERROR(INDEX(Operators!$K:$K,MATCH($N31,Operators!$A:$A,0))&amp;"","UNKNOWN OPERATOR ID"))</f>
        <v/>
      </c>
      <c r="AC31" t="str">
        <f>IF($N31="","",IFERROR(INDEX(Operators!$M:$M,MATCH($N31,Operators!$A:$A,0))&amp;"","UNKNOWN OPERATOR ID"))</f>
        <v/>
      </c>
      <c r="AD31" s="1" t="str">
        <f>IF($B31="","",IF($N31="","OPERATOR MISSING",IF(COUNTIF(Operators!$A:$A,$N31)=0,"UNKNOWN OPERATOR ID",IF($T31="","OPERATOR NAME REQUIRED","OK"))))</f>
        <v>OPERATOR NAME REQUIRED</v>
      </c>
      <c r="AE31">
        <f>IF($B31="","",COUNTIFS('FLEET DOCUMENTS'!$C$5:$C$60,$B31))</f>
        <v>0</v>
      </c>
      <c r="AF31">
        <f>IF($B31="","",COUNTIFS('FLEET DOCUMENTS'!$C$5:$C$60,$B31,'FLEET DOCUMENTS'!$S$5:$S$60,"EXPIRED"))</f>
        <v>0</v>
      </c>
      <c r="AG31">
        <f>IF($B31="","",COUNTIFS('FLEET DOCUMENTS'!$C$5:$C$60,$B31,'FLEET DOCUMENTS'!$S$5:$S$60,"EXPIRES WITHIN 90 DAYS")+COUNTIFS('FLEET DOCUMENTS'!$C$5:$C$60,$B31,'FLEET DOCUMENTS'!$S$5:$S$60,"EXPIRES WITHIN 30 DAYS"))</f>
        <v>0</v>
      </c>
      <c r="AH31" s="72">
        <f>IF($B31="","",IFERROR(_xlfn.MINIFS('FLEET DOCUMENTS'!$J$5:$J$60,'FLEET DOCUMENTS'!$C$5:$C$60,$B31),""))</f>
        <v>0</v>
      </c>
    </row>
    <row r="32" spans="1:34" x14ac:dyDescent="0.3">
      <c r="A32" t="s">
        <v>3949</v>
      </c>
      <c r="B32" t="s">
        <v>4222</v>
      </c>
      <c r="C32" t="s">
        <v>3950</v>
      </c>
      <c r="D32" t="s">
        <v>3904</v>
      </c>
      <c r="E32" t="s">
        <v>3951</v>
      </c>
      <c r="F32" t="s">
        <v>463</v>
      </c>
      <c r="G32" t="str">
        <f>IF($F32="","",IFERROR(INDEX(airports!$E:$E,MATCH($F32,airports!$A:$A,0)),"Not in airports"))</f>
        <v>Jomo Kenyatta International Airport</v>
      </c>
      <c r="H32" s="5">
        <v>280000</v>
      </c>
      <c r="I32">
        <v>350</v>
      </c>
      <c r="J32" t="s">
        <v>108</v>
      </c>
      <c r="K32">
        <v>112</v>
      </c>
      <c r="L32" t="s">
        <v>3830</v>
      </c>
      <c r="M32" t="b">
        <v>1</v>
      </c>
      <c r="N32" t="s">
        <v>3944</v>
      </c>
      <c r="S32" s="23" t="str">
        <f t="shared" si="0"/>
        <v/>
      </c>
      <c r="T32" t="str">
        <f>IF($N32="","",IFERROR(INDEX(Operators!$B:$B,MATCH($N32,Operators!$A:$A,0))&amp;"","UNKNOWN OPERATOR ID"))</f>
        <v/>
      </c>
      <c r="U32" t="str">
        <f>IF($N32="","",IFERROR(INDEX(Operators!$C:$C,MATCH($N32,Operators!$A:$A,0))&amp;"","UNKNOWN OPERATOR ID"))</f>
        <v/>
      </c>
      <c r="V32" t="str">
        <f>IF($N32="","",IFERROR(INDEX(Operators!$D:$D,MATCH($N32,Operators!$A:$A,0))&amp;"","UNKNOWN OPERATOR ID"))</f>
        <v/>
      </c>
      <c r="W32" t="str">
        <f>IF($N32="","",IFERROR(INDEX(Operators!$E:$E,MATCH($N32,Operators!$A:$A,0))&amp;"","UNKNOWN OPERATOR ID"))</f>
        <v/>
      </c>
      <c r="X32" t="str">
        <f>IF($N32="","",IFERROR(INDEX(Operators!$G:$G,MATCH($N32,Operators!$A:$A,0))&amp;"","UNKNOWN OPERATOR ID"))</f>
        <v/>
      </c>
      <c r="Y32" t="str">
        <f>IF($N32="","",IFERROR(INDEX(Operators!$H:$H,MATCH($N32,Operators!$A:$A,0))&amp;"","UNKNOWN OPERATOR ID"))</f>
        <v/>
      </c>
      <c r="Z32" t="str">
        <f>IF($N32="","",IFERROR(INDEX(Operators!$T:$T,MATCH($N32,Operators!$A:$A,0))&amp;"","UNKNOWN OPERATOR ID"))</f>
        <v>ACTIVE</v>
      </c>
      <c r="AA32" t="str">
        <f>IF($N32="","",IFERROR(INDEX(Operators!$N:$N,MATCH($N32,Operators!$A:$A,0))&amp;"","UNKNOWN OPERATOR ID"))</f>
        <v/>
      </c>
      <c r="AB32" t="str">
        <f>IF($N32="","",IFERROR(INDEX(Operators!$K:$K,MATCH($N32,Operators!$A:$A,0))&amp;"","UNKNOWN OPERATOR ID"))</f>
        <v/>
      </c>
      <c r="AC32" t="str">
        <f>IF($N32="","",IFERROR(INDEX(Operators!$M:$M,MATCH($N32,Operators!$A:$A,0))&amp;"","UNKNOWN OPERATOR ID"))</f>
        <v/>
      </c>
      <c r="AD32" s="1" t="str">
        <f>IF($B32="","",IF($N32="","OPERATOR MISSING",IF(COUNTIF(Operators!$A:$A,$N32)=0,"UNKNOWN OPERATOR ID",IF($T32="","OPERATOR NAME REQUIRED","OK"))))</f>
        <v>OPERATOR NAME REQUIRED</v>
      </c>
      <c r="AE32">
        <f>IF($B32="","",COUNTIFS('FLEET DOCUMENTS'!$C$5:$C$60,$B32))</f>
        <v>0</v>
      </c>
      <c r="AF32">
        <f>IF($B32="","",COUNTIFS('FLEET DOCUMENTS'!$C$5:$C$60,$B32,'FLEET DOCUMENTS'!$S$5:$S$60,"EXPIRED"))</f>
        <v>0</v>
      </c>
      <c r="AG32">
        <f>IF($B32="","",COUNTIFS('FLEET DOCUMENTS'!$C$5:$C$60,$B32,'FLEET DOCUMENTS'!$S$5:$S$60,"EXPIRES WITHIN 90 DAYS")+COUNTIFS('FLEET DOCUMENTS'!$C$5:$C$60,$B32,'FLEET DOCUMENTS'!$S$5:$S$60,"EXPIRES WITHIN 30 DAYS"))</f>
        <v>0</v>
      </c>
      <c r="AH32" s="72">
        <f>IF($B32="","",IFERROR(_xlfn.MINIFS('FLEET DOCUMENTS'!$J$5:$J$60,'FLEET DOCUMENTS'!$C$5:$C$60,$B32),""))</f>
        <v>0</v>
      </c>
    </row>
    <row r="33" spans="1:34" x14ac:dyDescent="0.3">
      <c r="A33" t="s">
        <v>3952</v>
      </c>
      <c r="B33" t="s">
        <v>4223</v>
      </c>
      <c r="C33" t="s">
        <v>3862</v>
      </c>
      <c r="D33" t="s">
        <v>3863</v>
      </c>
      <c r="E33" t="s">
        <v>3864</v>
      </c>
      <c r="F33" t="s">
        <v>463</v>
      </c>
      <c r="G33" t="str">
        <f>IF($F33="","",IFERROR(INDEX(airports!$E:$E,MATCH($F33,airports!$A:$A,0)),"Not in airports"))</f>
        <v>Jomo Kenyatta International Airport</v>
      </c>
      <c r="H33" s="5">
        <v>52290</v>
      </c>
      <c r="I33">
        <v>114</v>
      </c>
      <c r="J33" t="s">
        <v>108</v>
      </c>
      <c r="K33">
        <v>19000156</v>
      </c>
      <c r="L33" t="s">
        <v>3830</v>
      </c>
      <c r="M33" t="b">
        <v>1</v>
      </c>
      <c r="N33" t="s">
        <v>3944</v>
      </c>
      <c r="S33" s="23" t="str">
        <f t="shared" si="0"/>
        <v/>
      </c>
      <c r="T33" t="str">
        <f>IF($N33="","",IFERROR(INDEX(Operators!$B:$B,MATCH($N33,Operators!$A:$A,0))&amp;"","UNKNOWN OPERATOR ID"))</f>
        <v/>
      </c>
      <c r="U33" t="str">
        <f>IF($N33="","",IFERROR(INDEX(Operators!$C:$C,MATCH($N33,Operators!$A:$A,0))&amp;"","UNKNOWN OPERATOR ID"))</f>
        <v/>
      </c>
      <c r="V33" t="str">
        <f>IF($N33="","",IFERROR(INDEX(Operators!$D:$D,MATCH($N33,Operators!$A:$A,0))&amp;"","UNKNOWN OPERATOR ID"))</f>
        <v/>
      </c>
      <c r="W33" t="str">
        <f>IF($N33="","",IFERROR(INDEX(Operators!$E:$E,MATCH($N33,Operators!$A:$A,0))&amp;"","UNKNOWN OPERATOR ID"))</f>
        <v/>
      </c>
      <c r="X33" t="str">
        <f>IF($N33="","",IFERROR(INDEX(Operators!$G:$G,MATCH($N33,Operators!$A:$A,0))&amp;"","UNKNOWN OPERATOR ID"))</f>
        <v/>
      </c>
      <c r="Y33" t="str">
        <f>IF($N33="","",IFERROR(INDEX(Operators!$H:$H,MATCH($N33,Operators!$A:$A,0))&amp;"","UNKNOWN OPERATOR ID"))</f>
        <v/>
      </c>
      <c r="Z33" t="str">
        <f>IF($N33="","",IFERROR(INDEX(Operators!$T:$T,MATCH($N33,Operators!$A:$A,0))&amp;"","UNKNOWN OPERATOR ID"))</f>
        <v>ACTIVE</v>
      </c>
      <c r="AA33" t="str">
        <f>IF($N33="","",IFERROR(INDEX(Operators!$N:$N,MATCH($N33,Operators!$A:$A,0))&amp;"","UNKNOWN OPERATOR ID"))</f>
        <v/>
      </c>
      <c r="AB33" t="str">
        <f>IF($N33="","",IFERROR(INDEX(Operators!$K:$K,MATCH($N33,Operators!$A:$A,0))&amp;"","UNKNOWN OPERATOR ID"))</f>
        <v/>
      </c>
      <c r="AC33" t="str">
        <f>IF($N33="","",IFERROR(INDEX(Operators!$M:$M,MATCH($N33,Operators!$A:$A,0))&amp;"","UNKNOWN OPERATOR ID"))</f>
        <v/>
      </c>
      <c r="AD33" s="1" t="str">
        <f>IF($B33="","",IF($N33="","OPERATOR MISSING",IF(COUNTIF(Operators!$A:$A,$N33)=0,"UNKNOWN OPERATOR ID",IF($T33="","OPERATOR NAME REQUIRED","OK"))))</f>
        <v>OPERATOR NAME REQUIRED</v>
      </c>
      <c r="AE33">
        <f>IF($B33="","",COUNTIFS('FLEET DOCUMENTS'!$C$5:$C$60,$B33))</f>
        <v>0</v>
      </c>
      <c r="AF33">
        <f>IF($B33="","",COUNTIFS('FLEET DOCUMENTS'!$C$5:$C$60,$B33,'FLEET DOCUMENTS'!$S$5:$S$60,"EXPIRED"))</f>
        <v>0</v>
      </c>
      <c r="AG33">
        <f>IF($B33="","",COUNTIFS('FLEET DOCUMENTS'!$C$5:$C$60,$B33,'FLEET DOCUMENTS'!$S$5:$S$60,"EXPIRES WITHIN 90 DAYS")+COUNTIFS('FLEET DOCUMENTS'!$C$5:$C$60,$B33,'FLEET DOCUMENTS'!$S$5:$S$60,"EXPIRES WITHIN 30 DAYS"))</f>
        <v>0</v>
      </c>
      <c r="AH33" s="72">
        <f>IF($B33="","",IFERROR(_xlfn.MINIFS('FLEET DOCUMENTS'!$J$5:$J$60,'FLEET DOCUMENTS'!$C$5:$C$60,$B33),""))</f>
        <v>0</v>
      </c>
    </row>
    <row r="34" spans="1:34" x14ac:dyDescent="0.3">
      <c r="A34" t="s">
        <v>3953</v>
      </c>
      <c r="B34" t="s">
        <v>4224</v>
      </c>
      <c r="C34" t="s">
        <v>3954</v>
      </c>
      <c r="D34" t="s">
        <v>3955</v>
      </c>
      <c r="E34" t="s">
        <v>3956</v>
      </c>
      <c r="F34" t="s">
        <v>463</v>
      </c>
      <c r="G34" t="str">
        <f>IF($F34="","",IFERROR(INDEX(airports!$E:$E,MATCH($F34,airports!$A:$A,0)),"Not in airports"))</f>
        <v>Jomo Kenyatta International Airport</v>
      </c>
      <c r="H34" s="5">
        <v>36741</v>
      </c>
      <c r="I34">
        <v>85</v>
      </c>
      <c r="J34" t="s">
        <v>108</v>
      </c>
      <c r="K34">
        <v>11567</v>
      </c>
      <c r="L34" t="s">
        <v>3957</v>
      </c>
      <c r="M34" t="b">
        <v>0</v>
      </c>
      <c r="S34" s="23" t="str">
        <f t="shared" si="0"/>
        <v/>
      </c>
      <c r="T34" t="str">
        <f>IF($N34="","",IFERROR(INDEX(Operators!$B:$B,MATCH($N34,Operators!$A:$A,0))&amp;"","UNKNOWN OPERATOR ID"))</f>
        <v/>
      </c>
      <c r="U34" t="str">
        <f>IF($N34="","",IFERROR(INDEX(Operators!$C:$C,MATCH($N34,Operators!$A:$A,0))&amp;"","UNKNOWN OPERATOR ID"))</f>
        <v/>
      </c>
      <c r="V34" t="str">
        <f>IF($N34="","",IFERROR(INDEX(Operators!$D:$D,MATCH($N34,Operators!$A:$A,0))&amp;"","UNKNOWN OPERATOR ID"))</f>
        <v/>
      </c>
      <c r="W34" t="str">
        <f>IF($N34="","",IFERROR(INDEX(Operators!$E:$E,MATCH($N34,Operators!$A:$A,0))&amp;"","UNKNOWN OPERATOR ID"))</f>
        <v/>
      </c>
      <c r="X34" t="str">
        <f>IF($N34="","",IFERROR(INDEX(Operators!$G:$G,MATCH($N34,Operators!$A:$A,0))&amp;"","UNKNOWN OPERATOR ID"))</f>
        <v/>
      </c>
      <c r="Y34" t="str">
        <f>IF($N34="","",IFERROR(INDEX(Operators!$H:$H,MATCH($N34,Operators!$A:$A,0))&amp;"","UNKNOWN OPERATOR ID"))</f>
        <v/>
      </c>
      <c r="Z34" t="str">
        <f>IF($N34="","",IFERROR(INDEX(Operators!$T:$T,MATCH($N34,Operators!$A:$A,0))&amp;"","UNKNOWN OPERATOR ID"))</f>
        <v/>
      </c>
      <c r="AA34" t="str">
        <f>IF($N34="","",IFERROR(INDEX(Operators!$N:$N,MATCH($N34,Operators!$A:$A,0))&amp;"","UNKNOWN OPERATOR ID"))</f>
        <v/>
      </c>
      <c r="AB34" t="str">
        <f>IF($N34="","",IFERROR(INDEX(Operators!$K:$K,MATCH($N34,Operators!$A:$A,0))&amp;"","UNKNOWN OPERATOR ID"))</f>
        <v/>
      </c>
      <c r="AC34" t="str">
        <f>IF($N34="","",IFERROR(INDEX(Operators!$M:$M,MATCH($N34,Operators!$A:$A,0))&amp;"","UNKNOWN OPERATOR ID"))</f>
        <v/>
      </c>
      <c r="AD34" s="1" t="str">
        <f>IF($B34="","",IF($N34="","OPERATOR MISSING",IF(COUNTIF(Operators!$A:$A,$N34)=0,"UNKNOWN OPERATOR ID",IF($T34="","OPERATOR NAME REQUIRED","OK"))))</f>
        <v>OPERATOR MISSING</v>
      </c>
      <c r="AE34">
        <f>IF($B34="","",COUNTIFS('FLEET DOCUMENTS'!$C$5:$C$60,$B34))</f>
        <v>0</v>
      </c>
      <c r="AF34">
        <f>IF($B34="","",COUNTIFS('FLEET DOCUMENTS'!$C$5:$C$60,$B34,'FLEET DOCUMENTS'!$S$5:$S$60,"EXPIRED"))</f>
        <v>0</v>
      </c>
      <c r="AG34">
        <f>IF($B34="","",COUNTIFS('FLEET DOCUMENTS'!$C$5:$C$60,$B34,'FLEET DOCUMENTS'!$S$5:$S$60,"EXPIRES WITHIN 90 DAYS")+COUNTIFS('FLEET DOCUMENTS'!$C$5:$C$60,$B34,'FLEET DOCUMENTS'!$S$5:$S$60,"EXPIRES WITHIN 30 DAYS"))</f>
        <v>0</v>
      </c>
      <c r="AH34" s="72">
        <f>IF($B34="","",IFERROR(_xlfn.MINIFS('FLEET DOCUMENTS'!$J$5:$J$60,'FLEET DOCUMENTS'!$C$5:$C$60,$B34),""))</f>
        <v>0</v>
      </c>
    </row>
    <row r="35" spans="1:34" x14ac:dyDescent="0.3">
      <c r="A35" t="s">
        <v>3958</v>
      </c>
      <c r="B35" t="s">
        <v>4225</v>
      </c>
      <c r="C35" t="s">
        <v>3852</v>
      </c>
      <c r="D35" t="s">
        <v>3853</v>
      </c>
      <c r="E35" t="s">
        <v>3854</v>
      </c>
      <c r="F35" t="s">
        <v>3934</v>
      </c>
      <c r="G35" t="str">
        <f>IF($F35="","",IFERROR(INDEX(airports!$E:$E,MATCH($F35,airports!$A:$A,0)),"Not in airports"))</f>
        <v>Moi International Airport</v>
      </c>
      <c r="H35" s="5">
        <v>3969</v>
      </c>
      <c r="I35">
        <v>14</v>
      </c>
      <c r="J35" t="s">
        <v>108</v>
      </c>
      <c r="K35" t="s">
        <v>3959</v>
      </c>
      <c r="L35" t="s">
        <v>3830</v>
      </c>
      <c r="M35" t="b">
        <v>1</v>
      </c>
      <c r="N35" t="s">
        <v>3935</v>
      </c>
      <c r="S35" s="23" t="str">
        <f t="shared" si="0"/>
        <v/>
      </c>
      <c r="T35" t="str">
        <f>IF($N35="","",IFERROR(INDEX(Operators!$B:$B,MATCH($N35,Operators!$A:$A,0))&amp;"","UNKNOWN OPERATOR ID"))</f>
        <v/>
      </c>
      <c r="U35" t="str">
        <f>IF($N35="","",IFERROR(INDEX(Operators!$C:$C,MATCH($N35,Operators!$A:$A,0))&amp;"","UNKNOWN OPERATOR ID"))</f>
        <v/>
      </c>
      <c r="V35" t="str">
        <f>IF($N35="","",IFERROR(INDEX(Operators!$D:$D,MATCH($N35,Operators!$A:$A,0))&amp;"","UNKNOWN OPERATOR ID"))</f>
        <v/>
      </c>
      <c r="W35" t="str">
        <f>IF($N35="","",IFERROR(INDEX(Operators!$E:$E,MATCH($N35,Operators!$A:$A,0))&amp;"","UNKNOWN OPERATOR ID"))</f>
        <v/>
      </c>
      <c r="X35" t="str">
        <f>IF($N35="","",IFERROR(INDEX(Operators!$G:$G,MATCH($N35,Operators!$A:$A,0))&amp;"","UNKNOWN OPERATOR ID"))</f>
        <v/>
      </c>
      <c r="Y35" t="str">
        <f>IF($N35="","",IFERROR(INDEX(Operators!$H:$H,MATCH($N35,Operators!$A:$A,0))&amp;"","UNKNOWN OPERATOR ID"))</f>
        <v/>
      </c>
      <c r="Z35" t="str">
        <f>IF($N35="","",IFERROR(INDEX(Operators!$T:$T,MATCH($N35,Operators!$A:$A,0))&amp;"","UNKNOWN OPERATOR ID"))</f>
        <v>ACTIVE</v>
      </c>
      <c r="AA35" t="str">
        <f>IF($N35="","",IFERROR(INDEX(Operators!$N:$N,MATCH($N35,Operators!$A:$A,0))&amp;"","UNKNOWN OPERATOR ID"))</f>
        <v/>
      </c>
      <c r="AB35" t="str">
        <f>IF($N35="","",IFERROR(INDEX(Operators!$K:$K,MATCH($N35,Operators!$A:$A,0))&amp;"","UNKNOWN OPERATOR ID"))</f>
        <v/>
      </c>
      <c r="AC35" t="str">
        <f>IF($N35="","",IFERROR(INDEX(Operators!$M:$M,MATCH($N35,Operators!$A:$A,0))&amp;"","UNKNOWN OPERATOR ID"))</f>
        <v/>
      </c>
      <c r="AD35" s="1" t="str">
        <f>IF($B35="","",IF($N35="","OPERATOR MISSING",IF(COUNTIF(Operators!$A:$A,$N35)=0,"UNKNOWN OPERATOR ID",IF($T35="","OPERATOR NAME REQUIRED","OK"))))</f>
        <v>OPERATOR NAME REQUIRED</v>
      </c>
      <c r="AE35">
        <f>IF($B35="","",COUNTIFS('FLEET DOCUMENTS'!$C$5:$C$60,$B35))</f>
        <v>0</v>
      </c>
      <c r="AF35">
        <f>IF($B35="","",COUNTIFS('FLEET DOCUMENTS'!$C$5:$C$60,$B35,'FLEET DOCUMENTS'!$S$5:$S$60,"EXPIRED"))</f>
        <v>0</v>
      </c>
      <c r="AG35">
        <f>IF($B35="","",COUNTIFS('FLEET DOCUMENTS'!$C$5:$C$60,$B35,'FLEET DOCUMENTS'!$S$5:$S$60,"EXPIRES WITHIN 90 DAYS")+COUNTIFS('FLEET DOCUMENTS'!$C$5:$C$60,$B35,'FLEET DOCUMENTS'!$S$5:$S$60,"EXPIRES WITHIN 30 DAYS"))</f>
        <v>0</v>
      </c>
      <c r="AH35" s="72">
        <f>IF($B35="","",IFERROR(_xlfn.MINIFS('FLEET DOCUMENTS'!$J$5:$J$60,'FLEET DOCUMENTS'!$C$5:$C$60,$B35),""))</f>
        <v>0</v>
      </c>
    </row>
    <row r="36" spans="1:34" x14ac:dyDescent="0.3">
      <c r="A36" t="s">
        <v>3960</v>
      </c>
      <c r="B36" t="s">
        <v>4226</v>
      </c>
      <c r="C36" t="s">
        <v>3961</v>
      </c>
      <c r="D36" t="s">
        <v>3853</v>
      </c>
      <c r="E36" t="s">
        <v>3962</v>
      </c>
      <c r="F36" t="s">
        <v>3934</v>
      </c>
      <c r="G36" t="str">
        <f>IF($F36="","",IFERROR(INDEX(airports!$E:$E,MATCH($F36,airports!$A:$A,0)),"Not in airports"))</f>
        <v>Moi International Airport</v>
      </c>
      <c r="H36" s="5">
        <v>1157</v>
      </c>
      <c r="I36">
        <v>4</v>
      </c>
      <c r="J36" t="s">
        <v>108</v>
      </c>
      <c r="K36" t="s">
        <v>3963</v>
      </c>
      <c r="L36" t="s">
        <v>3830</v>
      </c>
      <c r="M36" t="b">
        <v>1</v>
      </c>
      <c r="N36" t="s">
        <v>3935</v>
      </c>
      <c r="S36" s="23" t="str">
        <f t="shared" si="0"/>
        <v/>
      </c>
      <c r="T36" t="str">
        <f>IF($N36="","",IFERROR(INDEX(Operators!$B:$B,MATCH($N36,Operators!$A:$A,0))&amp;"","UNKNOWN OPERATOR ID"))</f>
        <v/>
      </c>
      <c r="U36" t="str">
        <f>IF($N36="","",IFERROR(INDEX(Operators!$C:$C,MATCH($N36,Operators!$A:$A,0))&amp;"","UNKNOWN OPERATOR ID"))</f>
        <v/>
      </c>
      <c r="V36" t="str">
        <f>IF($N36="","",IFERROR(INDEX(Operators!$D:$D,MATCH($N36,Operators!$A:$A,0))&amp;"","UNKNOWN OPERATOR ID"))</f>
        <v/>
      </c>
      <c r="W36" t="str">
        <f>IF($N36="","",IFERROR(INDEX(Operators!$E:$E,MATCH($N36,Operators!$A:$A,0))&amp;"","UNKNOWN OPERATOR ID"))</f>
        <v/>
      </c>
      <c r="X36" t="str">
        <f>IF($N36="","",IFERROR(INDEX(Operators!$G:$G,MATCH($N36,Operators!$A:$A,0))&amp;"","UNKNOWN OPERATOR ID"))</f>
        <v/>
      </c>
      <c r="Y36" t="str">
        <f>IF($N36="","",IFERROR(INDEX(Operators!$H:$H,MATCH($N36,Operators!$A:$A,0))&amp;"","UNKNOWN OPERATOR ID"))</f>
        <v/>
      </c>
      <c r="Z36" t="str">
        <f>IF($N36="","",IFERROR(INDEX(Operators!$T:$T,MATCH($N36,Operators!$A:$A,0))&amp;"","UNKNOWN OPERATOR ID"))</f>
        <v>ACTIVE</v>
      </c>
      <c r="AA36" t="str">
        <f>IF($N36="","",IFERROR(INDEX(Operators!$N:$N,MATCH($N36,Operators!$A:$A,0))&amp;"","UNKNOWN OPERATOR ID"))</f>
        <v/>
      </c>
      <c r="AB36" t="str">
        <f>IF($N36="","",IFERROR(INDEX(Operators!$K:$K,MATCH($N36,Operators!$A:$A,0))&amp;"","UNKNOWN OPERATOR ID"))</f>
        <v/>
      </c>
      <c r="AC36" t="str">
        <f>IF($N36="","",IFERROR(INDEX(Operators!$M:$M,MATCH($N36,Operators!$A:$A,0))&amp;"","UNKNOWN OPERATOR ID"))</f>
        <v/>
      </c>
      <c r="AD36" s="1" t="str">
        <f>IF($B36="","",IF($N36="","OPERATOR MISSING",IF(COUNTIF(Operators!$A:$A,$N36)=0,"UNKNOWN OPERATOR ID",IF($T36="","OPERATOR NAME REQUIRED","OK"))))</f>
        <v>OPERATOR NAME REQUIRED</v>
      </c>
      <c r="AE36">
        <f>IF($B36="","",COUNTIFS('FLEET DOCUMENTS'!$C$5:$C$60,$B36))</f>
        <v>0</v>
      </c>
      <c r="AF36">
        <f>IF($B36="","",COUNTIFS('FLEET DOCUMENTS'!$C$5:$C$60,$B36,'FLEET DOCUMENTS'!$S$5:$S$60,"EXPIRED"))</f>
        <v>0</v>
      </c>
      <c r="AG36">
        <f>IF($B36="","",COUNTIFS('FLEET DOCUMENTS'!$C$5:$C$60,$B36,'FLEET DOCUMENTS'!$S$5:$S$60,"EXPIRES WITHIN 90 DAYS")+COUNTIFS('FLEET DOCUMENTS'!$C$5:$C$60,$B36,'FLEET DOCUMENTS'!$S$5:$S$60,"EXPIRES WITHIN 30 DAYS"))</f>
        <v>0</v>
      </c>
      <c r="AH36" s="72">
        <f>IF($B36="","",IFERROR(_xlfn.MINIFS('FLEET DOCUMENTS'!$J$5:$J$60,'FLEET DOCUMENTS'!$C$5:$C$60,$B36),""))</f>
        <v>0</v>
      </c>
    </row>
    <row r="37" spans="1:34" x14ac:dyDescent="0.3">
      <c r="A37" t="s">
        <v>3964</v>
      </c>
      <c r="B37" t="s">
        <v>4227</v>
      </c>
      <c r="C37" t="s">
        <v>3882</v>
      </c>
      <c r="D37" t="s">
        <v>3883</v>
      </c>
      <c r="E37" t="s">
        <v>3916</v>
      </c>
      <c r="F37" t="s">
        <v>367</v>
      </c>
      <c r="G37" t="str">
        <f>IF($F37="","",IFERROR(INDEX(airports!$E:$E,MATCH($F37,airports!$A:$A,0)),"Not in airports"))</f>
        <v>Kotoka International Airport</v>
      </c>
      <c r="H37" s="5">
        <v>23000</v>
      </c>
      <c r="I37">
        <v>78</v>
      </c>
      <c r="J37" t="s">
        <v>108</v>
      </c>
      <c r="K37">
        <v>1312</v>
      </c>
      <c r="L37" t="s">
        <v>3830</v>
      </c>
      <c r="M37" t="b">
        <v>1</v>
      </c>
      <c r="N37" t="s">
        <v>3965</v>
      </c>
      <c r="S37" s="23" t="str">
        <f t="shared" si="0"/>
        <v/>
      </c>
      <c r="T37" t="str">
        <f>IF($N37="","",IFERROR(INDEX(Operators!$B:$B,MATCH($N37,Operators!$A:$A,0))&amp;"","UNKNOWN OPERATOR ID"))</f>
        <v/>
      </c>
      <c r="U37" t="str">
        <f>IF($N37="","",IFERROR(INDEX(Operators!$C:$C,MATCH($N37,Operators!$A:$A,0))&amp;"","UNKNOWN OPERATOR ID"))</f>
        <v/>
      </c>
      <c r="V37" t="str">
        <f>IF($N37="","",IFERROR(INDEX(Operators!$D:$D,MATCH($N37,Operators!$A:$A,0))&amp;"","UNKNOWN OPERATOR ID"))</f>
        <v/>
      </c>
      <c r="W37" t="str">
        <f>IF($N37="","",IFERROR(INDEX(Operators!$E:$E,MATCH($N37,Operators!$A:$A,0))&amp;"","UNKNOWN OPERATOR ID"))</f>
        <v/>
      </c>
      <c r="X37" t="str">
        <f>IF($N37="","",IFERROR(INDEX(Operators!$G:$G,MATCH($N37,Operators!$A:$A,0))&amp;"","UNKNOWN OPERATOR ID"))</f>
        <v/>
      </c>
      <c r="Y37" t="str">
        <f>IF($N37="","",IFERROR(INDEX(Operators!$H:$H,MATCH($N37,Operators!$A:$A,0))&amp;"","UNKNOWN OPERATOR ID"))</f>
        <v/>
      </c>
      <c r="Z37" t="str">
        <f>IF($N37="","",IFERROR(INDEX(Operators!$T:$T,MATCH($N37,Operators!$A:$A,0))&amp;"","UNKNOWN OPERATOR ID"))</f>
        <v>ACTIVE</v>
      </c>
      <c r="AA37" t="str">
        <f>IF($N37="","",IFERROR(INDEX(Operators!$N:$N,MATCH($N37,Operators!$A:$A,0))&amp;"","UNKNOWN OPERATOR ID"))</f>
        <v/>
      </c>
      <c r="AB37" t="str">
        <f>IF($N37="","",IFERROR(INDEX(Operators!$K:$K,MATCH($N37,Operators!$A:$A,0))&amp;"","UNKNOWN OPERATOR ID"))</f>
        <v/>
      </c>
      <c r="AC37" t="str">
        <f>IF($N37="","",IFERROR(INDEX(Operators!$M:$M,MATCH($N37,Operators!$A:$A,0))&amp;"","UNKNOWN OPERATOR ID"))</f>
        <v/>
      </c>
      <c r="AD37" s="1" t="str">
        <f>IF($B37="","",IF($N37="","OPERATOR MISSING",IF(COUNTIF(Operators!$A:$A,$N37)=0,"UNKNOWN OPERATOR ID",IF($T37="","OPERATOR NAME REQUIRED","OK"))))</f>
        <v>OPERATOR NAME REQUIRED</v>
      </c>
      <c r="AE37">
        <f>IF($B37="","",COUNTIFS('FLEET DOCUMENTS'!$C$5:$C$60,$B37))</f>
        <v>0</v>
      </c>
      <c r="AF37">
        <f>IF($B37="","",COUNTIFS('FLEET DOCUMENTS'!$C$5:$C$60,$B37,'FLEET DOCUMENTS'!$S$5:$S$60,"EXPIRED"))</f>
        <v>0</v>
      </c>
      <c r="AG37">
        <f>IF($B37="","",COUNTIFS('FLEET DOCUMENTS'!$C$5:$C$60,$B37,'FLEET DOCUMENTS'!$S$5:$S$60,"EXPIRES WITHIN 90 DAYS")+COUNTIFS('FLEET DOCUMENTS'!$C$5:$C$60,$B37,'FLEET DOCUMENTS'!$S$5:$S$60,"EXPIRES WITHIN 30 DAYS"))</f>
        <v>0</v>
      </c>
      <c r="AH37" s="72">
        <f>IF($B37="","",IFERROR(_xlfn.MINIFS('FLEET DOCUMENTS'!$J$5:$J$60,'FLEET DOCUMENTS'!$C$5:$C$60,$B37),""))</f>
        <v>0</v>
      </c>
    </row>
    <row r="38" spans="1:34" x14ac:dyDescent="0.3">
      <c r="A38" t="s">
        <v>3966</v>
      </c>
      <c r="B38" t="s">
        <v>4228</v>
      </c>
      <c r="C38" t="s">
        <v>3891</v>
      </c>
      <c r="D38" t="s">
        <v>3879</v>
      </c>
      <c r="E38" t="s">
        <v>3892</v>
      </c>
      <c r="F38" t="s">
        <v>367</v>
      </c>
      <c r="G38" t="str">
        <f>IF($F38="","",IFERROR(INDEX(airports!$E:$E,MATCH($F38,airports!$A:$A,0)),"Not in airports"))</f>
        <v>Kotoka International Airport</v>
      </c>
      <c r="H38" s="5">
        <v>79010</v>
      </c>
      <c r="I38">
        <v>189</v>
      </c>
      <c r="J38" t="s">
        <v>108</v>
      </c>
      <c r="K38">
        <v>35189</v>
      </c>
      <c r="L38" t="s">
        <v>3830</v>
      </c>
      <c r="M38" t="b">
        <v>1</v>
      </c>
      <c r="N38" t="s">
        <v>3965</v>
      </c>
      <c r="S38" s="23" t="str">
        <f t="shared" si="0"/>
        <v/>
      </c>
      <c r="T38" t="str">
        <f>IF($N38="","",IFERROR(INDEX(Operators!$B:$B,MATCH($N38,Operators!$A:$A,0))&amp;"","UNKNOWN OPERATOR ID"))</f>
        <v/>
      </c>
      <c r="U38" t="str">
        <f>IF($N38="","",IFERROR(INDEX(Operators!$C:$C,MATCH($N38,Operators!$A:$A,0))&amp;"","UNKNOWN OPERATOR ID"))</f>
        <v/>
      </c>
      <c r="V38" t="str">
        <f>IF($N38="","",IFERROR(INDEX(Operators!$D:$D,MATCH($N38,Operators!$A:$A,0))&amp;"","UNKNOWN OPERATOR ID"))</f>
        <v/>
      </c>
      <c r="W38" t="str">
        <f>IF($N38="","",IFERROR(INDEX(Operators!$E:$E,MATCH($N38,Operators!$A:$A,0))&amp;"","UNKNOWN OPERATOR ID"))</f>
        <v/>
      </c>
      <c r="X38" t="str">
        <f>IF($N38="","",IFERROR(INDEX(Operators!$G:$G,MATCH($N38,Operators!$A:$A,0))&amp;"","UNKNOWN OPERATOR ID"))</f>
        <v/>
      </c>
      <c r="Y38" t="str">
        <f>IF($N38="","",IFERROR(INDEX(Operators!$H:$H,MATCH($N38,Operators!$A:$A,0))&amp;"","UNKNOWN OPERATOR ID"))</f>
        <v/>
      </c>
      <c r="Z38" t="str">
        <f>IF($N38="","",IFERROR(INDEX(Operators!$T:$T,MATCH($N38,Operators!$A:$A,0))&amp;"","UNKNOWN OPERATOR ID"))</f>
        <v>ACTIVE</v>
      </c>
      <c r="AA38" t="str">
        <f>IF($N38="","",IFERROR(INDEX(Operators!$N:$N,MATCH($N38,Operators!$A:$A,0))&amp;"","UNKNOWN OPERATOR ID"))</f>
        <v/>
      </c>
      <c r="AB38" t="str">
        <f>IF($N38="","",IFERROR(INDEX(Operators!$K:$K,MATCH($N38,Operators!$A:$A,0))&amp;"","UNKNOWN OPERATOR ID"))</f>
        <v/>
      </c>
      <c r="AC38" t="str">
        <f>IF($N38="","",IFERROR(INDEX(Operators!$M:$M,MATCH($N38,Operators!$A:$A,0))&amp;"","UNKNOWN OPERATOR ID"))</f>
        <v/>
      </c>
      <c r="AD38" s="1" t="str">
        <f>IF($B38="","",IF($N38="","OPERATOR MISSING",IF(COUNTIF(Operators!$A:$A,$N38)=0,"UNKNOWN OPERATOR ID",IF($T38="","OPERATOR NAME REQUIRED","OK"))))</f>
        <v>OPERATOR NAME REQUIRED</v>
      </c>
      <c r="AE38">
        <f>IF($B38="","",COUNTIFS('FLEET DOCUMENTS'!$C$5:$C$60,$B38))</f>
        <v>0</v>
      </c>
      <c r="AF38">
        <f>IF($B38="","",COUNTIFS('FLEET DOCUMENTS'!$C$5:$C$60,$B38,'FLEET DOCUMENTS'!$S$5:$S$60,"EXPIRED"))</f>
        <v>0</v>
      </c>
      <c r="AG38">
        <f>IF($B38="","",COUNTIFS('FLEET DOCUMENTS'!$C$5:$C$60,$B38,'FLEET DOCUMENTS'!$S$5:$S$60,"EXPIRES WITHIN 90 DAYS")+COUNTIFS('FLEET DOCUMENTS'!$C$5:$C$60,$B38,'FLEET DOCUMENTS'!$S$5:$S$60,"EXPIRES WITHIN 30 DAYS"))</f>
        <v>0</v>
      </c>
      <c r="AH38" s="72">
        <f>IF($B38="","",IFERROR(_xlfn.MINIFS('FLEET DOCUMENTS'!$J$5:$J$60,'FLEET DOCUMENTS'!$C$5:$C$60,$B38),""))</f>
        <v>0</v>
      </c>
    </row>
    <row r="39" spans="1:34" x14ac:dyDescent="0.3">
      <c r="A39" t="s">
        <v>3967</v>
      </c>
      <c r="B39" t="s">
        <v>4229</v>
      </c>
      <c r="C39" t="s">
        <v>3872</v>
      </c>
      <c r="D39" t="s">
        <v>3873</v>
      </c>
      <c r="E39" t="s">
        <v>3874</v>
      </c>
      <c r="F39" t="s">
        <v>367</v>
      </c>
      <c r="G39" t="str">
        <f>IF($F39="","",IFERROR(INDEX(airports!$E:$E,MATCH($F39,airports!$A:$A,0)),"Not in airports"))</f>
        <v>Kotoka International Airport</v>
      </c>
      <c r="H39" s="5">
        <v>29260</v>
      </c>
      <c r="I39">
        <v>90</v>
      </c>
      <c r="J39" t="s">
        <v>108</v>
      </c>
      <c r="K39">
        <v>4334</v>
      </c>
      <c r="L39" t="s">
        <v>3830</v>
      </c>
      <c r="M39" t="b">
        <v>1</v>
      </c>
      <c r="N39" t="s">
        <v>3965</v>
      </c>
      <c r="S39" s="23" t="str">
        <f t="shared" si="0"/>
        <v/>
      </c>
      <c r="T39" t="str">
        <f>IF($N39="","",IFERROR(INDEX(Operators!$B:$B,MATCH($N39,Operators!$A:$A,0))&amp;"","UNKNOWN OPERATOR ID"))</f>
        <v/>
      </c>
      <c r="U39" t="str">
        <f>IF($N39="","",IFERROR(INDEX(Operators!$C:$C,MATCH($N39,Operators!$A:$A,0))&amp;"","UNKNOWN OPERATOR ID"))</f>
        <v/>
      </c>
      <c r="V39" t="str">
        <f>IF($N39="","",IFERROR(INDEX(Operators!$D:$D,MATCH($N39,Operators!$A:$A,0))&amp;"","UNKNOWN OPERATOR ID"))</f>
        <v/>
      </c>
      <c r="W39" t="str">
        <f>IF($N39="","",IFERROR(INDEX(Operators!$E:$E,MATCH($N39,Operators!$A:$A,0))&amp;"","UNKNOWN OPERATOR ID"))</f>
        <v/>
      </c>
      <c r="X39" t="str">
        <f>IF($N39="","",IFERROR(INDEX(Operators!$G:$G,MATCH($N39,Operators!$A:$A,0))&amp;"","UNKNOWN OPERATOR ID"))</f>
        <v/>
      </c>
      <c r="Y39" t="str">
        <f>IF($N39="","",IFERROR(INDEX(Operators!$H:$H,MATCH($N39,Operators!$A:$A,0))&amp;"","UNKNOWN OPERATOR ID"))</f>
        <v/>
      </c>
      <c r="Z39" t="str">
        <f>IF($N39="","",IFERROR(INDEX(Operators!$T:$T,MATCH($N39,Operators!$A:$A,0))&amp;"","UNKNOWN OPERATOR ID"))</f>
        <v>ACTIVE</v>
      </c>
      <c r="AA39" t="str">
        <f>IF($N39="","",IFERROR(INDEX(Operators!$N:$N,MATCH($N39,Operators!$A:$A,0))&amp;"","UNKNOWN OPERATOR ID"))</f>
        <v/>
      </c>
      <c r="AB39" t="str">
        <f>IF($N39="","",IFERROR(INDEX(Operators!$K:$K,MATCH($N39,Operators!$A:$A,0))&amp;"","UNKNOWN OPERATOR ID"))</f>
        <v/>
      </c>
      <c r="AC39" t="str">
        <f>IF($N39="","",IFERROR(INDEX(Operators!$M:$M,MATCH($N39,Operators!$A:$A,0))&amp;"","UNKNOWN OPERATOR ID"))</f>
        <v/>
      </c>
      <c r="AD39" s="1" t="str">
        <f>IF($B39="","",IF($N39="","OPERATOR MISSING",IF(COUNTIF(Operators!$A:$A,$N39)=0,"UNKNOWN OPERATOR ID",IF($T39="","OPERATOR NAME REQUIRED","OK"))))</f>
        <v>OPERATOR NAME REQUIRED</v>
      </c>
      <c r="AE39">
        <f>IF($B39="","",COUNTIFS('FLEET DOCUMENTS'!$C$5:$C$60,$B39))</f>
        <v>0</v>
      </c>
      <c r="AF39">
        <f>IF($B39="","",COUNTIFS('FLEET DOCUMENTS'!$C$5:$C$60,$B39,'FLEET DOCUMENTS'!$S$5:$S$60,"EXPIRED"))</f>
        <v>0</v>
      </c>
      <c r="AG39">
        <f>IF($B39="","",COUNTIFS('FLEET DOCUMENTS'!$C$5:$C$60,$B39,'FLEET DOCUMENTS'!$S$5:$S$60,"EXPIRES WITHIN 90 DAYS")+COUNTIFS('FLEET DOCUMENTS'!$C$5:$C$60,$B39,'FLEET DOCUMENTS'!$S$5:$S$60,"EXPIRES WITHIN 30 DAYS"))</f>
        <v>0</v>
      </c>
      <c r="AH39" s="72">
        <f>IF($B39="","",IFERROR(_xlfn.MINIFS('FLEET DOCUMENTS'!$J$5:$J$60,'FLEET DOCUMENTS'!$C$5:$C$60,$B39),""))</f>
        <v>0</v>
      </c>
    </row>
    <row r="40" spans="1:34" x14ac:dyDescent="0.3">
      <c r="A40" t="s">
        <v>3968</v>
      </c>
      <c r="B40" t="s">
        <v>4230</v>
      </c>
      <c r="C40" t="s">
        <v>3969</v>
      </c>
      <c r="D40" t="s">
        <v>3904</v>
      </c>
      <c r="E40" t="s">
        <v>3970</v>
      </c>
      <c r="F40" t="s">
        <v>1397</v>
      </c>
      <c r="G40" t="str">
        <f>IF($F40="","",IFERROR(INDEX(airports!$E:$E,MATCH($F40,airports!$A:$A,0)),"Not in airports"))</f>
        <v>Kigali International Airport</v>
      </c>
      <c r="H40" s="5">
        <v>242000</v>
      </c>
      <c r="I40">
        <v>345</v>
      </c>
      <c r="J40" t="s">
        <v>108</v>
      </c>
      <c r="K40">
        <v>1759</v>
      </c>
      <c r="L40" t="s">
        <v>3830</v>
      </c>
      <c r="M40" t="b">
        <v>1</v>
      </c>
      <c r="N40" t="s">
        <v>3971</v>
      </c>
      <c r="S40" s="23" t="str">
        <f t="shared" si="0"/>
        <v/>
      </c>
      <c r="T40" t="str">
        <f>IF($N40="","",IFERROR(INDEX(Operators!$B:$B,MATCH($N40,Operators!$A:$A,0))&amp;"","UNKNOWN OPERATOR ID"))</f>
        <v/>
      </c>
      <c r="U40" t="str">
        <f>IF($N40="","",IFERROR(INDEX(Operators!$C:$C,MATCH($N40,Operators!$A:$A,0))&amp;"","UNKNOWN OPERATOR ID"))</f>
        <v/>
      </c>
      <c r="V40" t="str">
        <f>IF($N40="","",IFERROR(INDEX(Operators!$D:$D,MATCH($N40,Operators!$A:$A,0))&amp;"","UNKNOWN OPERATOR ID"))</f>
        <v/>
      </c>
      <c r="W40" t="str">
        <f>IF($N40="","",IFERROR(INDEX(Operators!$E:$E,MATCH($N40,Operators!$A:$A,0))&amp;"","UNKNOWN OPERATOR ID"))</f>
        <v/>
      </c>
      <c r="X40" t="str">
        <f>IF($N40="","",IFERROR(INDEX(Operators!$G:$G,MATCH($N40,Operators!$A:$A,0))&amp;"","UNKNOWN OPERATOR ID"))</f>
        <v/>
      </c>
      <c r="Y40" t="str">
        <f>IF($N40="","",IFERROR(INDEX(Operators!$H:$H,MATCH($N40,Operators!$A:$A,0))&amp;"","UNKNOWN OPERATOR ID"))</f>
        <v/>
      </c>
      <c r="Z40" t="str">
        <f>IF($N40="","",IFERROR(INDEX(Operators!$T:$T,MATCH($N40,Operators!$A:$A,0))&amp;"","UNKNOWN OPERATOR ID"))</f>
        <v>ACTIVE</v>
      </c>
      <c r="AA40" t="str">
        <f>IF($N40="","",IFERROR(INDEX(Operators!$N:$N,MATCH($N40,Operators!$A:$A,0))&amp;"","UNKNOWN OPERATOR ID"))</f>
        <v/>
      </c>
      <c r="AB40" t="str">
        <f>IF($N40="","",IFERROR(INDEX(Operators!$K:$K,MATCH($N40,Operators!$A:$A,0))&amp;"","UNKNOWN OPERATOR ID"))</f>
        <v/>
      </c>
      <c r="AC40" t="str">
        <f>IF($N40="","",IFERROR(INDEX(Operators!$M:$M,MATCH($N40,Operators!$A:$A,0))&amp;"","UNKNOWN OPERATOR ID"))</f>
        <v/>
      </c>
      <c r="AD40" s="1" t="str">
        <f>IF($B40="","",IF($N40="","OPERATOR MISSING",IF(COUNTIF(Operators!$A:$A,$N40)=0,"UNKNOWN OPERATOR ID",IF($T40="","OPERATOR NAME REQUIRED","OK"))))</f>
        <v>OPERATOR NAME REQUIRED</v>
      </c>
      <c r="AE40">
        <f>IF($B40="","",COUNTIFS('FLEET DOCUMENTS'!$C$5:$C$60,$B40))</f>
        <v>0</v>
      </c>
      <c r="AF40">
        <f>IF($B40="","",COUNTIFS('FLEET DOCUMENTS'!$C$5:$C$60,$B40,'FLEET DOCUMENTS'!$S$5:$S$60,"EXPIRED"))</f>
        <v>0</v>
      </c>
      <c r="AG40">
        <f>IF($B40="","",COUNTIFS('FLEET DOCUMENTS'!$C$5:$C$60,$B40,'FLEET DOCUMENTS'!$S$5:$S$60,"EXPIRES WITHIN 90 DAYS")+COUNTIFS('FLEET DOCUMENTS'!$C$5:$C$60,$B40,'FLEET DOCUMENTS'!$S$5:$S$60,"EXPIRES WITHIN 30 DAYS"))</f>
        <v>0</v>
      </c>
      <c r="AH40" s="72">
        <f>IF($B40="","",IFERROR(_xlfn.MINIFS('FLEET DOCUMENTS'!$J$5:$J$60,'FLEET DOCUMENTS'!$C$5:$C$60,$B40),""))</f>
        <v>0</v>
      </c>
    </row>
    <row r="41" spans="1:34" x14ac:dyDescent="0.3">
      <c r="A41" t="s">
        <v>3972</v>
      </c>
      <c r="B41" t="s">
        <v>4231</v>
      </c>
      <c r="C41" t="s">
        <v>3969</v>
      </c>
      <c r="D41" t="s">
        <v>3904</v>
      </c>
      <c r="E41" t="s">
        <v>3970</v>
      </c>
      <c r="F41" t="s">
        <v>1397</v>
      </c>
      <c r="G41" t="str">
        <f>IF($F41="","",IFERROR(INDEX(airports!$E:$E,MATCH($F41,airports!$A:$A,0)),"Not in airports"))</f>
        <v>Kigali International Airport</v>
      </c>
      <c r="H41" s="5">
        <v>242000</v>
      </c>
      <c r="I41">
        <v>345</v>
      </c>
      <c r="J41" t="s">
        <v>108</v>
      </c>
      <c r="K41">
        <v>1847</v>
      </c>
      <c r="L41" t="s">
        <v>3830</v>
      </c>
      <c r="M41" t="b">
        <v>1</v>
      </c>
      <c r="N41" t="s">
        <v>3971</v>
      </c>
      <c r="S41" s="23" t="str">
        <f t="shared" si="0"/>
        <v/>
      </c>
      <c r="T41" t="str">
        <f>IF($N41="","",IFERROR(INDEX(Operators!$B:$B,MATCH($N41,Operators!$A:$A,0))&amp;"","UNKNOWN OPERATOR ID"))</f>
        <v/>
      </c>
      <c r="U41" t="str">
        <f>IF($N41="","",IFERROR(INDEX(Operators!$C:$C,MATCH($N41,Operators!$A:$A,0))&amp;"","UNKNOWN OPERATOR ID"))</f>
        <v/>
      </c>
      <c r="V41" t="str">
        <f>IF($N41="","",IFERROR(INDEX(Operators!$D:$D,MATCH($N41,Operators!$A:$A,0))&amp;"","UNKNOWN OPERATOR ID"))</f>
        <v/>
      </c>
      <c r="W41" t="str">
        <f>IF($N41="","",IFERROR(INDEX(Operators!$E:$E,MATCH($N41,Operators!$A:$A,0))&amp;"","UNKNOWN OPERATOR ID"))</f>
        <v/>
      </c>
      <c r="X41" t="str">
        <f>IF($N41="","",IFERROR(INDEX(Operators!$G:$G,MATCH($N41,Operators!$A:$A,0))&amp;"","UNKNOWN OPERATOR ID"))</f>
        <v/>
      </c>
      <c r="Y41" t="str">
        <f>IF($N41="","",IFERROR(INDEX(Operators!$H:$H,MATCH($N41,Operators!$A:$A,0))&amp;"","UNKNOWN OPERATOR ID"))</f>
        <v/>
      </c>
      <c r="Z41" t="str">
        <f>IF($N41="","",IFERROR(INDEX(Operators!$T:$T,MATCH($N41,Operators!$A:$A,0))&amp;"","UNKNOWN OPERATOR ID"))</f>
        <v>ACTIVE</v>
      </c>
      <c r="AA41" t="str">
        <f>IF($N41="","",IFERROR(INDEX(Operators!$N:$N,MATCH($N41,Operators!$A:$A,0))&amp;"","UNKNOWN OPERATOR ID"))</f>
        <v/>
      </c>
      <c r="AB41" t="str">
        <f>IF($N41="","",IFERROR(INDEX(Operators!$K:$K,MATCH($N41,Operators!$A:$A,0))&amp;"","UNKNOWN OPERATOR ID"))</f>
        <v/>
      </c>
      <c r="AC41" t="str">
        <f>IF($N41="","",IFERROR(INDEX(Operators!$M:$M,MATCH($N41,Operators!$A:$A,0))&amp;"","UNKNOWN OPERATOR ID"))</f>
        <v/>
      </c>
      <c r="AD41" s="1" t="str">
        <f>IF($B41="","",IF($N41="","OPERATOR MISSING",IF(COUNTIF(Operators!$A:$A,$N41)=0,"UNKNOWN OPERATOR ID",IF($T41="","OPERATOR NAME REQUIRED","OK"))))</f>
        <v>OPERATOR NAME REQUIRED</v>
      </c>
      <c r="AE41">
        <f>IF($B41="","",COUNTIFS('FLEET DOCUMENTS'!$C$5:$C$60,$B41))</f>
        <v>0</v>
      </c>
      <c r="AF41">
        <f>IF($B41="","",COUNTIFS('FLEET DOCUMENTS'!$C$5:$C$60,$B41,'FLEET DOCUMENTS'!$S$5:$S$60,"EXPIRED"))</f>
        <v>0</v>
      </c>
      <c r="AG41">
        <f>IF($B41="","",COUNTIFS('FLEET DOCUMENTS'!$C$5:$C$60,$B41,'FLEET DOCUMENTS'!$S$5:$S$60,"EXPIRES WITHIN 90 DAYS")+COUNTIFS('FLEET DOCUMENTS'!$C$5:$C$60,$B41,'FLEET DOCUMENTS'!$S$5:$S$60,"EXPIRES WITHIN 30 DAYS"))</f>
        <v>0</v>
      </c>
      <c r="AH41" s="72">
        <f>IF($B41="","",IFERROR(_xlfn.MINIFS('FLEET DOCUMENTS'!$J$5:$J$60,'FLEET DOCUMENTS'!$C$5:$C$60,$B41),""))</f>
        <v>0</v>
      </c>
    </row>
    <row r="42" spans="1:34" x14ac:dyDescent="0.3">
      <c r="A42" t="s">
        <v>3973</v>
      </c>
      <c r="B42" t="s">
        <v>4232</v>
      </c>
      <c r="C42" t="s">
        <v>3891</v>
      </c>
      <c r="D42" t="s">
        <v>3879</v>
      </c>
      <c r="E42" t="s">
        <v>3892</v>
      </c>
      <c r="F42" t="s">
        <v>1397</v>
      </c>
      <c r="G42" t="str">
        <f>IF($F42="","",IFERROR(INDEX(airports!$E:$E,MATCH($F42,airports!$A:$A,0)),"Not in airports"))</f>
        <v>Kigali International Airport</v>
      </c>
      <c r="H42" s="5">
        <v>79010</v>
      </c>
      <c r="I42">
        <v>189</v>
      </c>
      <c r="J42" t="s">
        <v>108</v>
      </c>
      <c r="K42">
        <v>35102</v>
      </c>
      <c r="L42" t="s">
        <v>3830</v>
      </c>
      <c r="M42" t="b">
        <v>1</v>
      </c>
      <c r="N42" t="s">
        <v>3971</v>
      </c>
      <c r="S42" s="23" t="str">
        <f t="shared" si="0"/>
        <v/>
      </c>
      <c r="T42" t="str">
        <f>IF($N42="","",IFERROR(INDEX(Operators!$B:$B,MATCH($N42,Operators!$A:$A,0))&amp;"","UNKNOWN OPERATOR ID"))</f>
        <v/>
      </c>
      <c r="U42" t="str">
        <f>IF($N42="","",IFERROR(INDEX(Operators!$C:$C,MATCH($N42,Operators!$A:$A,0))&amp;"","UNKNOWN OPERATOR ID"))</f>
        <v/>
      </c>
      <c r="V42" t="str">
        <f>IF($N42="","",IFERROR(INDEX(Operators!$D:$D,MATCH($N42,Operators!$A:$A,0))&amp;"","UNKNOWN OPERATOR ID"))</f>
        <v/>
      </c>
      <c r="W42" t="str">
        <f>IF($N42="","",IFERROR(INDEX(Operators!$E:$E,MATCH($N42,Operators!$A:$A,0))&amp;"","UNKNOWN OPERATOR ID"))</f>
        <v/>
      </c>
      <c r="X42" t="str">
        <f>IF($N42="","",IFERROR(INDEX(Operators!$G:$G,MATCH($N42,Operators!$A:$A,0))&amp;"","UNKNOWN OPERATOR ID"))</f>
        <v/>
      </c>
      <c r="Y42" t="str">
        <f>IF($N42="","",IFERROR(INDEX(Operators!$H:$H,MATCH($N42,Operators!$A:$A,0))&amp;"","UNKNOWN OPERATOR ID"))</f>
        <v/>
      </c>
      <c r="Z42" t="str">
        <f>IF($N42="","",IFERROR(INDEX(Operators!$T:$T,MATCH($N42,Operators!$A:$A,0))&amp;"","UNKNOWN OPERATOR ID"))</f>
        <v>ACTIVE</v>
      </c>
      <c r="AA42" t="str">
        <f>IF($N42="","",IFERROR(INDEX(Operators!$N:$N,MATCH($N42,Operators!$A:$A,0))&amp;"","UNKNOWN OPERATOR ID"))</f>
        <v/>
      </c>
      <c r="AB42" t="str">
        <f>IF($N42="","",IFERROR(INDEX(Operators!$K:$K,MATCH($N42,Operators!$A:$A,0))&amp;"","UNKNOWN OPERATOR ID"))</f>
        <v/>
      </c>
      <c r="AC42" t="str">
        <f>IF($N42="","",IFERROR(INDEX(Operators!$M:$M,MATCH($N42,Operators!$A:$A,0))&amp;"","UNKNOWN OPERATOR ID"))</f>
        <v/>
      </c>
      <c r="AD42" s="1" t="str">
        <f>IF($B42="","",IF($N42="","OPERATOR MISSING",IF(COUNTIF(Operators!$A:$A,$N42)=0,"UNKNOWN OPERATOR ID",IF($T42="","OPERATOR NAME REQUIRED","OK"))))</f>
        <v>OPERATOR NAME REQUIRED</v>
      </c>
      <c r="AE42">
        <f>IF($B42="","",COUNTIFS('FLEET DOCUMENTS'!$C$5:$C$60,$B42))</f>
        <v>0</v>
      </c>
      <c r="AF42">
        <f>IF($B42="","",COUNTIFS('FLEET DOCUMENTS'!$C$5:$C$60,$B42,'FLEET DOCUMENTS'!$S$5:$S$60,"EXPIRED"))</f>
        <v>0</v>
      </c>
      <c r="AG42">
        <f>IF($B42="","",COUNTIFS('FLEET DOCUMENTS'!$C$5:$C$60,$B42,'FLEET DOCUMENTS'!$S$5:$S$60,"EXPIRES WITHIN 90 DAYS")+COUNTIFS('FLEET DOCUMENTS'!$C$5:$C$60,$B42,'FLEET DOCUMENTS'!$S$5:$S$60,"EXPIRES WITHIN 30 DAYS"))</f>
        <v>0</v>
      </c>
      <c r="AH42" s="72">
        <f>IF($B42="","",IFERROR(_xlfn.MINIFS('FLEET DOCUMENTS'!$J$5:$J$60,'FLEET DOCUMENTS'!$C$5:$C$60,$B42),""))</f>
        <v>0</v>
      </c>
    </row>
    <row r="43" spans="1:34" x14ac:dyDescent="0.3">
      <c r="A43" t="s">
        <v>3974</v>
      </c>
      <c r="B43" t="s">
        <v>4233</v>
      </c>
      <c r="C43" t="s">
        <v>3891</v>
      </c>
      <c r="D43" t="s">
        <v>3879</v>
      </c>
      <c r="E43" t="s">
        <v>3892</v>
      </c>
      <c r="F43" t="s">
        <v>1397</v>
      </c>
      <c r="G43" t="str">
        <f>IF($F43="","",IFERROR(INDEX(airports!$E:$E,MATCH($F43,airports!$A:$A,0)),"Not in airports"))</f>
        <v>Kigali International Airport</v>
      </c>
      <c r="H43" s="5">
        <v>79010</v>
      </c>
      <c r="I43">
        <v>189</v>
      </c>
      <c r="J43" t="s">
        <v>108</v>
      </c>
      <c r="K43">
        <v>35103</v>
      </c>
      <c r="L43" t="s">
        <v>3830</v>
      </c>
      <c r="M43" t="b">
        <v>1</v>
      </c>
      <c r="N43" t="s">
        <v>3971</v>
      </c>
      <c r="S43" s="23" t="str">
        <f t="shared" si="0"/>
        <v/>
      </c>
      <c r="T43" t="str">
        <f>IF($N43="","",IFERROR(INDEX(Operators!$B:$B,MATCH($N43,Operators!$A:$A,0))&amp;"","UNKNOWN OPERATOR ID"))</f>
        <v/>
      </c>
      <c r="U43" t="str">
        <f>IF($N43="","",IFERROR(INDEX(Operators!$C:$C,MATCH($N43,Operators!$A:$A,0))&amp;"","UNKNOWN OPERATOR ID"))</f>
        <v/>
      </c>
      <c r="V43" t="str">
        <f>IF($N43="","",IFERROR(INDEX(Operators!$D:$D,MATCH($N43,Operators!$A:$A,0))&amp;"","UNKNOWN OPERATOR ID"))</f>
        <v/>
      </c>
      <c r="W43" t="str">
        <f>IF($N43="","",IFERROR(INDEX(Operators!$E:$E,MATCH($N43,Operators!$A:$A,0))&amp;"","UNKNOWN OPERATOR ID"))</f>
        <v/>
      </c>
      <c r="X43" t="str">
        <f>IF($N43="","",IFERROR(INDEX(Operators!$G:$G,MATCH($N43,Operators!$A:$A,0))&amp;"","UNKNOWN OPERATOR ID"))</f>
        <v/>
      </c>
      <c r="Y43" t="str">
        <f>IF($N43="","",IFERROR(INDEX(Operators!$H:$H,MATCH($N43,Operators!$A:$A,0))&amp;"","UNKNOWN OPERATOR ID"))</f>
        <v/>
      </c>
      <c r="Z43" t="str">
        <f>IF($N43="","",IFERROR(INDEX(Operators!$T:$T,MATCH($N43,Operators!$A:$A,0))&amp;"","UNKNOWN OPERATOR ID"))</f>
        <v>ACTIVE</v>
      </c>
      <c r="AA43" t="str">
        <f>IF($N43="","",IFERROR(INDEX(Operators!$N:$N,MATCH($N43,Operators!$A:$A,0))&amp;"","UNKNOWN OPERATOR ID"))</f>
        <v/>
      </c>
      <c r="AB43" t="str">
        <f>IF($N43="","",IFERROR(INDEX(Operators!$K:$K,MATCH($N43,Operators!$A:$A,0))&amp;"","UNKNOWN OPERATOR ID"))</f>
        <v/>
      </c>
      <c r="AC43" t="str">
        <f>IF($N43="","",IFERROR(INDEX(Operators!$M:$M,MATCH($N43,Operators!$A:$A,0))&amp;"","UNKNOWN OPERATOR ID"))</f>
        <v/>
      </c>
      <c r="AD43" s="1" t="str">
        <f>IF($B43="","",IF($N43="","OPERATOR MISSING",IF(COUNTIF(Operators!$A:$A,$N43)=0,"UNKNOWN OPERATOR ID",IF($T43="","OPERATOR NAME REQUIRED","OK"))))</f>
        <v>OPERATOR NAME REQUIRED</v>
      </c>
      <c r="AE43">
        <f>IF($B43="","",COUNTIFS('FLEET DOCUMENTS'!$C$5:$C$60,$B43))</f>
        <v>0</v>
      </c>
      <c r="AF43">
        <f>IF($B43="","",COUNTIFS('FLEET DOCUMENTS'!$C$5:$C$60,$B43,'FLEET DOCUMENTS'!$S$5:$S$60,"EXPIRED"))</f>
        <v>0</v>
      </c>
      <c r="AG43">
        <f>IF($B43="","",COUNTIFS('FLEET DOCUMENTS'!$C$5:$C$60,$B43,'FLEET DOCUMENTS'!$S$5:$S$60,"EXPIRES WITHIN 90 DAYS")+COUNTIFS('FLEET DOCUMENTS'!$C$5:$C$60,$B43,'FLEET DOCUMENTS'!$S$5:$S$60,"EXPIRES WITHIN 30 DAYS"))</f>
        <v>0</v>
      </c>
      <c r="AH43" s="72">
        <f>IF($B43="","",IFERROR(_xlfn.MINIFS('FLEET DOCUMENTS'!$J$5:$J$60,'FLEET DOCUMENTS'!$C$5:$C$60,$B43),""))</f>
        <v>0</v>
      </c>
    </row>
    <row r="44" spans="1:34" x14ac:dyDescent="0.3">
      <c r="A44" t="s">
        <v>3975</v>
      </c>
      <c r="B44" t="s">
        <v>4234</v>
      </c>
      <c r="C44" t="s">
        <v>3924</v>
      </c>
      <c r="D44" t="s">
        <v>3925</v>
      </c>
      <c r="E44" t="s">
        <v>3926</v>
      </c>
      <c r="F44" t="s">
        <v>1397</v>
      </c>
      <c r="G44" t="str">
        <f>IF($F44="","",IFERROR(INDEX(airports!$E:$E,MATCH($F44,airports!$A:$A,0)),"Not in airports"))</f>
        <v>Kigali International Airport</v>
      </c>
      <c r="H44" s="5">
        <v>36500</v>
      </c>
      <c r="I44">
        <v>90</v>
      </c>
      <c r="J44" t="s">
        <v>108</v>
      </c>
      <c r="K44">
        <v>15278</v>
      </c>
      <c r="L44" t="s">
        <v>3830</v>
      </c>
      <c r="M44" t="b">
        <v>1</v>
      </c>
      <c r="N44" t="s">
        <v>3971</v>
      </c>
      <c r="S44" s="23" t="str">
        <f t="shared" si="0"/>
        <v/>
      </c>
      <c r="T44" t="str">
        <f>IF($N44="","",IFERROR(INDEX(Operators!$B:$B,MATCH($N44,Operators!$A:$A,0))&amp;"","UNKNOWN OPERATOR ID"))</f>
        <v/>
      </c>
      <c r="U44" t="str">
        <f>IF($N44="","",IFERROR(INDEX(Operators!$C:$C,MATCH($N44,Operators!$A:$A,0))&amp;"","UNKNOWN OPERATOR ID"))</f>
        <v/>
      </c>
      <c r="V44" t="str">
        <f>IF($N44="","",IFERROR(INDEX(Operators!$D:$D,MATCH($N44,Operators!$A:$A,0))&amp;"","UNKNOWN OPERATOR ID"))</f>
        <v/>
      </c>
      <c r="W44" t="str">
        <f>IF($N44="","",IFERROR(INDEX(Operators!$E:$E,MATCH($N44,Operators!$A:$A,0))&amp;"","UNKNOWN OPERATOR ID"))</f>
        <v/>
      </c>
      <c r="X44" t="str">
        <f>IF($N44="","",IFERROR(INDEX(Operators!$G:$G,MATCH($N44,Operators!$A:$A,0))&amp;"","UNKNOWN OPERATOR ID"))</f>
        <v/>
      </c>
      <c r="Y44" t="str">
        <f>IF($N44="","",IFERROR(INDEX(Operators!$H:$H,MATCH($N44,Operators!$A:$A,0))&amp;"","UNKNOWN OPERATOR ID"))</f>
        <v/>
      </c>
      <c r="Z44" t="str">
        <f>IF($N44="","",IFERROR(INDEX(Operators!$T:$T,MATCH($N44,Operators!$A:$A,0))&amp;"","UNKNOWN OPERATOR ID"))</f>
        <v>ACTIVE</v>
      </c>
      <c r="AA44" t="str">
        <f>IF($N44="","",IFERROR(INDEX(Operators!$N:$N,MATCH($N44,Operators!$A:$A,0))&amp;"","UNKNOWN OPERATOR ID"))</f>
        <v/>
      </c>
      <c r="AB44" t="str">
        <f>IF($N44="","",IFERROR(INDEX(Operators!$K:$K,MATCH($N44,Operators!$A:$A,0))&amp;"","UNKNOWN OPERATOR ID"))</f>
        <v/>
      </c>
      <c r="AC44" t="str">
        <f>IF($N44="","",IFERROR(INDEX(Operators!$M:$M,MATCH($N44,Operators!$A:$A,0))&amp;"","UNKNOWN OPERATOR ID"))</f>
        <v/>
      </c>
      <c r="AD44" s="1" t="str">
        <f>IF($B44="","",IF($N44="","OPERATOR MISSING",IF(COUNTIF(Operators!$A:$A,$N44)=0,"UNKNOWN OPERATOR ID",IF($T44="","OPERATOR NAME REQUIRED","OK"))))</f>
        <v>OPERATOR NAME REQUIRED</v>
      </c>
      <c r="AE44">
        <f>IF($B44="","",COUNTIFS('FLEET DOCUMENTS'!$C$5:$C$60,$B44))</f>
        <v>0</v>
      </c>
      <c r="AF44">
        <f>IF($B44="","",COUNTIFS('FLEET DOCUMENTS'!$C$5:$C$60,$B44,'FLEET DOCUMENTS'!$S$5:$S$60,"EXPIRED"))</f>
        <v>0</v>
      </c>
      <c r="AG44">
        <f>IF($B44="","",COUNTIFS('FLEET DOCUMENTS'!$C$5:$C$60,$B44,'FLEET DOCUMENTS'!$S$5:$S$60,"EXPIRES WITHIN 90 DAYS")+COUNTIFS('FLEET DOCUMENTS'!$C$5:$C$60,$B44,'FLEET DOCUMENTS'!$S$5:$S$60,"EXPIRES WITHIN 30 DAYS"))</f>
        <v>0</v>
      </c>
      <c r="AH44" s="72">
        <f>IF($B44="","",IFERROR(_xlfn.MINIFS('FLEET DOCUMENTS'!$J$5:$J$60,'FLEET DOCUMENTS'!$C$5:$C$60,$B44),""))</f>
        <v>0</v>
      </c>
    </row>
    <row r="45" spans="1:34" x14ac:dyDescent="0.3">
      <c r="A45" t="s">
        <v>3976</v>
      </c>
      <c r="B45" t="s">
        <v>4235</v>
      </c>
      <c r="C45" t="s">
        <v>3977</v>
      </c>
      <c r="D45" t="s">
        <v>3879</v>
      </c>
      <c r="E45" t="s">
        <v>3978</v>
      </c>
      <c r="F45" t="s">
        <v>1397</v>
      </c>
      <c r="G45" t="str">
        <f>IF($F45="","",IFERROR(INDEX(airports!$E:$E,MATCH($F45,airports!$A:$A,0)),"Not in airports"))</f>
        <v>Kigali International Airport</v>
      </c>
      <c r="H45" s="5">
        <v>61230</v>
      </c>
      <c r="I45">
        <v>149</v>
      </c>
      <c r="J45" t="s">
        <v>108</v>
      </c>
      <c r="K45">
        <v>25102</v>
      </c>
      <c r="L45" t="s">
        <v>3957</v>
      </c>
      <c r="M45" t="b">
        <v>0</v>
      </c>
      <c r="S45" s="23" t="str">
        <f t="shared" si="0"/>
        <v/>
      </c>
      <c r="T45" t="str">
        <f>IF($N45="","",IFERROR(INDEX(Operators!$B:$B,MATCH($N45,Operators!$A:$A,0))&amp;"","UNKNOWN OPERATOR ID"))</f>
        <v/>
      </c>
      <c r="U45" t="str">
        <f>IF($N45="","",IFERROR(INDEX(Operators!$C:$C,MATCH($N45,Operators!$A:$A,0))&amp;"","UNKNOWN OPERATOR ID"))</f>
        <v/>
      </c>
      <c r="V45" t="str">
        <f>IF($N45="","",IFERROR(INDEX(Operators!$D:$D,MATCH($N45,Operators!$A:$A,0))&amp;"","UNKNOWN OPERATOR ID"))</f>
        <v/>
      </c>
      <c r="W45" t="str">
        <f>IF($N45="","",IFERROR(INDEX(Operators!$E:$E,MATCH($N45,Operators!$A:$A,0))&amp;"","UNKNOWN OPERATOR ID"))</f>
        <v/>
      </c>
      <c r="X45" t="str">
        <f>IF($N45="","",IFERROR(INDEX(Operators!$G:$G,MATCH($N45,Operators!$A:$A,0))&amp;"","UNKNOWN OPERATOR ID"))</f>
        <v/>
      </c>
      <c r="Y45" t="str">
        <f>IF($N45="","",IFERROR(INDEX(Operators!$H:$H,MATCH($N45,Operators!$A:$A,0))&amp;"","UNKNOWN OPERATOR ID"))</f>
        <v/>
      </c>
      <c r="Z45" t="str">
        <f>IF($N45="","",IFERROR(INDEX(Operators!$T:$T,MATCH($N45,Operators!$A:$A,0))&amp;"","UNKNOWN OPERATOR ID"))</f>
        <v/>
      </c>
      <c r="AA45" t="str">
        <f>IF($N45="","",IFERROR(INDEX(Operators!$N:$N,MATCH($N45,Operators!$A:$A,0))&amp;"","UNKNOWN OPERATOR ID"))</f>
        <v/>
      </c>
      <c r="AB45" t="str">
        <f>IF($N45="","",IFERROR(INDEX(Operators!$K:$K,MATCH($N45,Operators!$A:$A,0))&amp;"","UNKNOWN OPERATOR ID"))</f>
        <v/>
      </c>
      <c r="AC45" t="str">
        <f>IF($N45="","",IFERROR(INDEX(Operators!$M:$M,MATCH($N45,Operators!$A:$A,0))&amp;"","UNKNOWN OPERATOR ID"))</f>
        <v/>
      </c>
      <c r="AD45" s="1" t="str">
        <f>IF($B45="","",IF($N45="","OPERATOR MISSING",IF(COUNTIF(Operators!$A:$A,$N45)=0,"UNKNOWN OPERATOR ID",IF($T45="","OPERATOR NAME REQUIRED","OK"))))</f>
        <v>OPERATOR MISSING</v>
      </c>
      <c r="AE45">
        <f>IF($B45="","",COUNTIFS('FLEET DOCUMENTS'!$C$5:$C$60,$B45))</f>
        <v>0</v>
      </c>
      <c r="AF45">
        <f>IF($B45="","",COUNTIFS('FLEET DOCUMENTS'!$C$5:$C$60,$B45,'FLEET DOCUMENTS'!$S$5:$S$60,"EXPIRED"))</f>
        <v>0</v>
      </c>
      <c r="AG45">
        <f>IF($B45="","",COUNTIFS('FLEET DOCUMENTS'!$C$5:$C$60,$B45,'FLEET DOCUMENTS'!$S$5:$S$60,"EXPIRES WITHIN 90 DAYS")+COUNTIFS('FLEET DOCUMENTS'!$C$5:$C$60,$B45,'FLEET DOCUMENTS'!$S$5:$S$60,"EXPIRES WITHIN 30 DAYS"))</f>
        <v>0</v>
      </c>
      <c r="AH45" s="72">
        <f>IF($B45="","",IFERROR(_xlfn.MINIFS('FLEET DOCUMENTS'!$J$5:$J$60,'FLEET DOCUMENTS'!$C$5:$C$60,$B45),""))</f>
        <v>0</v>
      </c>
    </row>
    <row r="46" spans="1:34" x14ac:dyDescent="0.3">
      <c r="A46" t="s">
        <v>3979</v>
      </c>
      <c r="B46" t="s">
        <v>4236</v>
      </c>
      <c r="C46" t="s">
        <v>3980</v>
      </c>
      <c r="D46" t="s">
        <v>3981</v>
      </c>
      <c r="E46" t="s">
        <v>3982</v>
      </c>
      <c r="F46" t="s">
        <v>3651</v>
      </c>
      <c r="G46" t="str">
        <f>IF($F46="","",IFERROR(INDEX(airports!$E:$E,MATCH($F46,airports!$A:$A,0)),"Not in airports"))</f>
        <v>Dubai International Airport</v>
      </c>
      <c r="H46" s="5">
        <v>41277</v>
      </c>
      <c r="I46">
        <v>19</v>
      </c>
      <c r="J46" t="s">
        <v>108</v>
      </c>
      <c r="K46">
        <v>5512</v>
      </c>
      <c r="L46" t="s">
        <v>3830</v>
      </c>
      <c r="M46" t="b">
        <v>1</v>
      </c>
      <c r="N46" t="s">
        <v>3983</v>
      </c>
      <c r="S46" s="23" t="str">
        <f t="shared" si="0"/>
        <v/>
      </c>
      <c r="T46" t="str">
        <f>IF($N46="","",IFERROR(INDEX(Operators!$B:$B,MATCH($N46,Operators!$A:$A,0))&amp;"","UNKNOWN OPERATOR ID"))</f>
        <v/>
      </c>
      <c r="U46" t="str">
        <f>IF($N46="","",IFERROR(INDEX(Operators!$C:$C,MATCH($N46,Operators!$A:$A,0))&amp;"","UNKNOWN OPERATOR ID"))</f>
        <v/>
      </c>
      <c r="V46" t="str">
        <f>IF($N46="","",IFERROR(INDEX(Operators!$D:$D,MATCH($N46,Operators!$A:$A,0))&amp;"","UNKNOWN OPERATOR ID"))</f>
        <v/>
      </c>
      <c r="W46" t="str">
        <f>IF($N46="","",IFERROR(INDEX(Operators!$E:$E,MATCH($N46,Operators!$A:$A,0))&amp;"","UNKNOWN OPERATOR ID"))</f>
        <v/>
      </c>
      <c r="X46" t="str">
        <f>IF($N46="","",IFERROR(INDEX(Operators!$G:$G,MATCH($N46,Operators!$A:$A,0))&amp;"","UNKNOWN OPERATOR ID"))</f>
        <v/>
      </c>
      <c r="Y46" t="str">
        <f>IF($N46="","",IFERROR(INDEX(Operators!$H:$H,MATCH($N46,Operators!$A:$A,0))&amp;"","UNKNOWN OPERATOR ID"))</f>
        <v/>
      </c>
      <c r="Z46" t="str">
        <f>IF($N46="","",IFERROR(INDEX(Operators!$T:$T,MATCH($N46,Operators!$A:$A,0))&amp;"","UNKNOWN OPERATOR ID"))</f>
        <v>ACTIVE</v>
      </c>
      <c r="AA46" t="str">
        <f>IF($N46="","",IFERROR(INDEX(Operators!$N:$N,MATCH($N46,Operators!$A:$A,0))&amp;"","UNKNOWN OPERATOR ID"))</f>
        <v/>
      </c>
      <c r="AB46" t="str">
        <f>IF($N46="","",IFERROR(INDEX(Operators!$K:$K,MATCH($N46,Operators!$A:$A,0))&amp;"","UNKNOWN OPERATOR ID"))</f>
        <v/>
      </c>
      <c r="AC46" t="str">
        <f>IF($N46="","",IFERROR(INDEX(Operators!$M:$M,MATCH($N46,Operators!$A:$A,0))&amp;"","UNKNOWN OPERATOR ID"))</f>
        <v/>
      </c>
      <c r="AD46" s="1" t="str">
        <f>IF($B46="","",IF($N46="","OPERATOR MISSING",IF(COUNTIF(Operators!$A:$A,$N46)=0,"UNKNOWN OPERATOR ID",IF($T46="","OPERATOR NAME REQUIRED","OK"))))</f>
        <v>OPERATOR NAME REQUIRED</v>
      </c>
      <c r="AE46">
        <f>IF($B46="","",COUNTIFS('FLEET DOCUMENTS'!$C$5:$C$60,$B46))</f>
        <v>0</v>
      </c>
      <c r="AF46">
        <f>IF($B46="","",COUNTIFS('FLEET DOCUMENTS'!$C$5:$C$60,$B46,'FLEET DOCUMENTS'!$S$5:$S$60,"EXPIRED"))</f>
        <v>0</v>
      </c>
      <c r="AG46">
        <f>IF($B46="","",COUNTIFS('FLEET DOCUMENTS'!$C$5:$C$60,$B46,'FLEET DOCUMENTS'!$S$5:$S$60,"EXPIRES WITHIN 90 DAYS")+COUNTIFS('FLEET DOCUMENTS'!$C$5:$C$60,$B46,'FLEET DOCUMENTS'!$S$5:$S$60,"EXPIRES WITHIN 30 DAYS"))</f>
        <v>0</v>
      </c>
      <c r="AH46" s="72">
        <f>IF($B46="","",IFERROR(_xlfn.MINIFS('FLEET DOCUMENTS'!$J$5:$J$60,'FLEET DOCUMENTS'!$C$5:$C$60,$B46),""))</f>
        <v>0</v>
      </c>
    </row>
    <row r="47" spans="1:34" x14ac:dyDescent="0.3">
      <c r="A47" t="s">
        <v>3984</v>
      </c>
      <c r="B47" t="s">
        <v>4237</v>
      </c>
      <c r="C47" t="s">
        <v>3985</v>
      </c>
      <c r="D47" t="s">
        <v>3879</v>
      </c>
      <c r="E47" t="s">
        <v>3986</v>
      </c>
      <c r="F47" t="s">
        <v>3651</v>
      </c>
      <c r="G47" t="str">
        <f>IF($F47="","",IFERROR(INDEX(airports!$E:$E,MATCH($F47,airports!$A:$A,0)),"Not in airports"))</f>
        <v>Dubai International Airport</v>
      </c>
      <c r="H47" s="5">
        <v>254011</v>
      </c>
      <c r="I47">
        <v>296</v>
      </c>
      <c r="J47" t="s">
        <v>108</v>
      </c>
      <c r="K47">
        <v>38756</v>
      </c>
      <c r="L47" t="s">
        <v>3830</v>
      </c>
      <c r="M47" t="b">
        <v>1</v>
      </c>
      <c r="N47" t="s">
        <v>3987</v>
      </c>
      <c r="S47" s="23" t="str">
        <f t="shared" si="0"/>
        <v/>
      </c>
      <c r="T47" t="str">
        <f>IF($N47="","",IFERROR(INDEX(Operators!$B:$B,MATCH($N47,Operators!$A:$A,0))&amp;"","UNKNOWN OPERATOR ID"))</f>
        <v/>
      </c>
      <c r="U47" t="str">
        <f>IF($N47="","",IFERROR(INDEX(Operators!$C:$C,MATCH($N47,Operators!$A:$A,0))&amp;"","UNKNOWN OPERATOR ID"))</f>
        <v/>
      </c>
      <c r="V47" t="str">
        <f>IF($N47="","",IFERROR(INDEX(Operators!$D:$D,MATCH($N47,Operators!$A:$A,0))&amp;"","UNKNOWN OPERATOR ID"))</f>
        <v/>
      </c>
      <c r="W47" t="str">
        <f>IF($N47="","",IFERROR(INDEX(Operators!$E:$E,MATCH($N47,Operators!$A:$A,0))&amp;"","UNKNOWN OPERATOR ID"))</f>
        <v/>
      </c>
      <c r="X47" t="str">
        <f>IF($N47="","",IFERROR(INDEX(Operators!$G:$G,MATCH($N47,Operators!$A:$A,0))&amp;"","UNKNOWN OPERATOR ID"))</f>
        <v/>
      </c>
      <c r="Y47" t="str">
        <f>IF($N47="","",IFERROR(INDEX(Operators!$H:$H,MATCH($N47,Operators!$A:$A,0))&amp;"","UNKNOWN OPERATOR ID"))</f>
        <v/>
      </c>
      <c r="Z47" t="str">
        <f>IF($N47="","",IFERROR(INDEX(Operators!$T:$T,MATCH($N47,Operators!$A:$A,0))&amp;"","UNKNOWN OPERATOR ID"))</f>
        <v>ACTIVE</v>
      </c>
      <c r="AA47" t="str">
        <f>IF($N47="","",IFERROR(INDEX(Operators!$N:$N,MATCH($N47,Operators!$A:$A,0))&amp;"","UNKNOWN OPERATOR ID"))</f>
        <v/>
      </c>
      <c r="AB47" t="str">
        <f>IF($N47="","",IFERROR(INDEX(Operators!$K:$K,MATCH($N47,Operators!$A:$A,0))&amp;"","UNKNOWN OPERATOR ID"))</f>
        <v/>
      </c>
      <c r="AC47" t="str">
        <f>IF($N47="","",IFERROR(INDEX(Operators!$M:$M,MATCH($N47,Operators!$A:$A,0))&amp;"","UNKNOWN OPERATOR ID"))</f>
        <v/>
      </c>
      <c r="AD47" s="1" t="str">
        <f>IF($B47="","",IF($N47="","OPERATOR MISSING",IF(COUNTIF(Operators!$A:$A,$N47)=0,"UNKNOWN OPERATOR ID",IF($T47="","OPERATOR NAME REQUIRED","OK"))))</f>
        <v>OPERATOR NAME REQUIRED</v>
      </c>
      <c r="AE47">
        <f>IF($B47="","",COUNTIFS('FLEET DOCUMENTS'!$C$5:$C$60,$B47))</f>
        <v>0</v>
      </c>
      <c r="AF47">
        <f>IF($B47="","",COUNTIFS('FLEET DOCUMENTS'!$C$5:$C$60,$B47,'FLEET DOCUMENTS'!$S$5:$S$60,"EXPIRED"))</f>
        <v>0</v>
      </c>
      <c r="AG47">
        <f>IF($B47="","",COUNTIFS('FLEET DOCUMENTS'!$C$5:$C$60,$B47,'FLEET DOCUMENTS'!$S$5:$S$60,"EXPIRES WITHIN 90 DAYS")+COUNTIFS('FLEET DOCUMENTS'!$C$5:$C$60,$B47,'FLEET DOCUMENTS'!$S$5:$S$60,"EXPIRES WITHIN 30 DAYS"))</f>
        <v>0</v>
      </c>
      <c r="AH47" s="72">
        <f>IF($B47="","",IFERROR(_xlfn.MINIFS('FLEET DOCUMENTS'!$J$5:$J$60,'FLEET DOCUMENTS'!$C$5:$C$60,$B47),""))</f>
        <v>0</v>
      </c>
    </row>
    <row r="48" spans="1:34" x14ac:dyDescent="0.3">
      <c r="A48" t="s">
        <v>3988</v>
      </c>
      <c r="B48" t="s">
        <v>4238</v>
      </c>
      <c r="C48" t="s">
        <v>3918</v>
      </c>
      <c r="D48" t="s">
        <v>3879</v>
      </c>
      <c r="E48" t="s">
        <v>3919</v>
      </c>
      <c r="F48" t="s">
        <v>3651</v>
      </c>
      <c r="G48" t="str">
        <f>IF($F48="","",IFERROR(INDEX(airports!$E:$E,MATCH($F48,airports!$A:$A,0)),"Not in airports"))</f>
        <v>Dubai International Airport</v>
      </c>
      <c r="H48" s="5">
        <v>351534</v>
      </c>
      <c r="I48">
        <v>396</v>
      </c>
      <c r="J48" t="s">
        <v>108</v>
      </c>
      <c r="K48">
        <v>38845</v>
      </c>
      <c r="L48" t="s">
        <v>3830</v>
      </c>
      <c r="M48" t="b">
        <v>1</v>
      </c>
      <c r="N48" t="s">
        <v>3987</v>
      </c>
      <c r="S48" s="23" t="str">
        <f t="shared" si="0"/>
        <v/>
      </c>
      <c r="T48" t="str">
        <f>IF($N48="","",IFERROR(INDEX(Operators!$B:$B,MATCH($N48,Operators!$A:$A,0))&amp;"","UNKNOWN OPERATOR ID"))</f>
        <v/>
      </c>
      <c r="U48" t="str">
        <f>IF($N48="","",IFERROR(INDEX(Operators!$C:$C,MATCH($N48,Operators!$A:$A,0))&amp;"","UNKNOWN OPERATOR ID"))</f>
        <v/>
      </c>
      <c r="V48" t="str">
        <f>IF($N48="","",IFERROR(INDEX(Operators!$D:$D,MATCH($N48,Operators!$A:$A,0))&amp;"","UNKNOWN OPERATOR ID"))</f>
        <v/>
      </c>
      <c r="W48" t="str">
        <f>IF($N48="","",IFERROR(INDEX(Operators!$E:$E,MATCH($N48,Operators!$A:$A,0))&amp;"","UNKNOWN OPERATOR ID"))</f>
        <v/>
      </c>
      <c r="X48" t="str">
        <f>IF($N48="","",IFERROR(INDEX(Operators!$G:$G,MATCH($N48,Operators!$A:$A,0))&amp;"","UNKNOWN OPERATOR ID"))</f>
        <v/>
      </c>
      <c r="Y48" t="str">
        <f>IF($N48="","",IFERROR(INDEX(Operators!$H:$H,MATCH($N48,Operators!$A:$A,0))&amp;"","UNKNOWN OPERATOR ID"))</f>
        <v/>
      </c>
      <c r="Z48" t="str">
        <f>IF($N48="","",IFERROR(INDEX(Operators!$T:$T,MATCH($N48,Operators!$A:$A,0))&amp;"","UNKNOWN OPERATOR ID"))</f>
        <v>ACTIVE</v>
      </c>
      <c r="AA48" t="str">
        <f>IF($N48="","",IFERROR(INDEX(Operators!$N:$N,MATCH($N48,Operators!$A:$A,0))&amp;"","UNKNOWN OPERATOR ID"))</f>
        <v/>
      </c>
      <c r="AB48" t="str">
        <f>IF($N48="","",IFERROR(INDEX(Operators!$K:$K,MATCH($N48,Operators!$A:$A,0))&amp;"","UNKNOWN OPERATOR ID"))</f>
        <v/>
      </c>
      <c r="AC48" t="str">
        <f>IF($N48="","",IFERROR(INDEX(Operators!$M:$M,MATCH($N48,Operators!$A:$A,0))&amp;"","UNKNOWN OPERATOR ID"))</f>
        <v/>
      </c>
      <c r="AD48" s="1" t="str">
        <f>IF($B48="","",IF($N48="","OPERATOR MISSING",IF(COUNTIF(Operators!$A:$A,$N48)=0,"UNKNOWN OPERATOR ID",IF($T48="","OPERATOR NAME REQUIRED","OK"))))</f>
        <v>OPERATOR NAME REQUIRED</v>
      </c>
      <c r="AE48">
        <f>IF($B48="","",COUNTIFS('FLEET DOCUMENTS'!$C$5:$C$60,$B48))</f>
        <v>0</v>
      </c>
      <c r="AF48">
        <f>IF($B48="","",COUNTIFS('FLEET DOCUMENTS'!$C$5:$C$60,$B48,'FLEET DOCUMENTS'!$S$5:$S$60,"EXPIRED"))</f>
        <v>0</v>
      </c>
      <c r="AG48">
        <f>IF($B48="","",COUNTIFS('FLEET DOCUMENTS'!$C$5:$C$60,$B48,'FLEET DOCUMENTS'!$S$5:$S$60,"EXPIRES WITHIN 90 DAYS")+COUNTIFS('FLEET DOCUMENTS'!$C$5:$C$60,$B48,'FLEET DOCUMENTS'!$S$5:$S$60,"EXPIRES WITHIN 30 DAYS"))</f>
        <v>0</v>
      </c>
      <c r="AH48" s="72">
        <f>IF($B48="","",IFERROR(_xlfn.MINIFS('FLEET DOCUMENTS'!$J$5:$J$60,'FLEET DOCUMENTS'!$C$5:$C$60,$B48),""))</f>
        <v>0</v>
      </c>
    </row>
    <row r="49" spans="1:34" x14ac:dyDescent="0.3">
      <c r="A49" t="s">
        <v>3989</v>
      </c>
      <c r="B49" t="s">
        <v>4239</v>
      </c>
      <c r="C49" t="s">
        <v>3990</v>
      </c>
      <c r="D49" t="s">
        <v>3879</v>
      </c>
      <c r="E49" t="s">
        <v>3991</v>
      </c>
      <c r="F49" t="s">
        <v>3651</v>
      </c>
      <c r="G49" t="str">
        <f>IF($F49="","",IFERROR(INDEX(airports!$E:$E,MATCH($F49,airports!$A:$A,0)),"Not in airports"))</f>
        <v>Dubai International Airport</v>
      </c>
      <c r="H49" s="5">
        <v>447696</v>
      </c>
      <c r="I49">
        <v>100</v>
      </c>
      <c r="J49" t="s">
        <v>108</v>
      </c>
      <c r="K49">
        <v>37867</v>
      </c>
      <c r="L49" t="s">
        <v>3830</v>
      </c>
      <c r="M49" t="b">
        <v>1</v>
      </c>
      <c r="N49" t="s">
        <v>3987</v>
      </c>
      <c r="S49" s="23" t="str">
        <f t="shared" si="0"/>
        <v/>
      </c>
      <c r="T49" t="str">
        <f>IF($N49="","",IFERROR(INDEX(Operators!$B:$B,MATCH($N49,Operators!$A:$A,0))&amp;"","UNKNOWN OPERATOR ID"))</f>
        <v/>
      </c>
      <c r="U49" t="str">
        <f>IF($N49="","",IFERROR(INDEX(Operators!$C:$C,MATCH($N49,Operators!$A:$A,0))&amp;"","UNKNOWN OPERATOR ID"))</f>
        <v/>
      </c>
      <c r="V49" t="str">
        <f>IF($N49="","",IFERROR(INDEX(Operators!$D:$D,MATCH($N49,Operators!$A:$A,0))&amp;"","UNKNOWN OPERATOR ID"))</f>
        <v/>
      </c>
      <c r="W49" t="str">
        <f>IF($N49="","",IFERROR(INDEX(Operators!$E:$E,MATCH($N49,Operators!$A:$A,0))&amp;"","UNKNOWN OPERATOR ID"))</f>
        <v/>
      </c>
      <c r="X49" t="str">
        <f>IF($N49="","",IFERROR(INDEX(Operators!$G:$G,MATCH($N49,Operators!$A:$A,0))&amp;"","UNKNOWN OPERATOR ID"))</f>
        <v/>
      </c>
      <c r="Y49" t="str">
        <f>IF($N49="","",IFERROR(INDEX(Operators!$H:$H,MATCH($N49,Operators!$A:$A,0))&amp;"","UNKNOWN OPERATOR ID"))</f>
        <v/>
      </c>
      <c r="Z49" t="str">
        <f>IF($N49="","",IFERROR(INDEX(Operators!$T:$T,MATCH($N49,Operators!$A:$A,0))&amp;"","UNKNOWN OPERATOR ID"))</f>
        <v>ACTIVE</v>
      </c>
      <c r="AA49" t="str">
        <f>IF($N49="","",IFERROR(INDEX(Operators!$N:$N,MATCH($N49,Operators!$A:$A,0))&amp;"","UNKNOWN OPERATOR ID"))</f>
        <v/>
      </c>
      <c r="AB49" t="str">
        <f>IF($N49="","",IFERROR(INDEX(Operators!$K:$K,MATCH($N49,Operators!$A:$A,0))&amp;"","UNKNOWN OPERATOR ID"))</f>
        <v/>
      </c>
      <c r="AC49" t="str">
        <f>IF($N49="","",IFERROR(INDEX(Operators!$M:$M,MATCH($N49,Operators!$A:$A,0))&amp;"","UNKNOWN OPERATOR ID"))</f>
        <v/>
      </c>
      <c r="AD49" s="1" t="str">
        <f>IF($B49="","",IF($N49="","OPERATOR MISSING",IF(COUNTIF(Operators!$A:$A,$N49)=0,"UNKNOWN OPERATOR ID",IF($T49="","OPERATOR NAME REQUIRED","OK"))))</f>
        <v>OPERATOR NAME REQUIRED</v>
      </c>
      <c r="AE49">
        <f>IF($B49="","",COUNTIFS('FLEET DOCUMENTS'!$C$5:$C$60,$B49))</f>
        <v>0</v>
      </c>
      <c r="AF49">
        <f>IF($B49="","",COUNTIFS('FLEET DOCUMENTS'!$C$5:$C$60,$B49,'FLEET DOCUMENTS'!$S$5:$S$60,"EXPIRED"))</f>
        <v>0</v>
      </c>
      <c r="AG49">
        <f>IF($B49="","",COUNTIFS('FLEET DOCUMENTS'!$C$5:$C$60,$B49,'FLEET DOCUMENTS'!$S$5:$S$60,"EXPIRES WITHIN 90 DAYS")+COUNTIFS('FLEET DOCUMENTS'!$C$5:$C$60,$B49,'FLEET DOCUMENTS'!$S$5:$S$60,"EXPIRES WITHIN 30 DAYS"))</f>
        <v>0</v>
      </c>
      <c r="AH49" s="72">
        <f>IF($B49="","",IFERROR(_xlfn.MINIFS('FLEET DOCUMENTS'!$J$5:$J$60,'FLEET DOCUMENTS'!$C$5:$C$60,$B49),""))</f>
        <v>0</v>
      </c>
    </row>
    <row r="50" spans="1:34" x14ac:dyDescent="0.3">
      <c r="A50" t="s">
        <v>3992</v>
      </c>
      <c r="B50" t="s">
        <v>4240</v>
      </c>
      <c r="C50" t="s">
        <v>3993</v>
      </c>
      <c r="D50" t="s">
        <v>3904</v>
      </c>
      <c r="E50" t="s">
        <v>3994</v>
      </c>
      <c r="F50" t="s">
        <v>3651</v>
      </c>
      <c r="G50" t="str">
        <f>IF($F50="","",IFERROR(INDEX(airports!$E:$E,MATCH($F50,airports!$A:$A,0)),"Not in airports"))</f>
        <v>Dubai International Airport</v>
      </c>
      <c r="H50" s="5">
        <v>75500</v>
      </c>
      <c r="I50">
        <v>39</v>
      </c>
      <c r="J50" t="s">
        <v>108</v>
      </c>
      <c r="K50">
        <v>3567</v>
      </c>
      <c r="L50" t="s">
        <v>3830</v>
      </c>
      <c r="M50" t="b">
        <v>1</v>
      </c>
      <c r="N50" t="s">
        <v>3995</v>
      </c>
      <c r="S50" s="23" t="str">
        <f t="shared" si="0"/>
        <v/>
      </c>
      <c r="T50" t="str">
        <f>IF($N50="","",IFERROR(INDEX(Operators!$B:$B,MATCH($N50,Operators!$A:$A,0))&amp;"","UNKNOWN OPERATOR ID"))</f>
        <v/>
      </c>
      <c r="U50" t="str">
        <f>IF($N50="","",IFERROR(INDEX(Operators!$C:$C,MATCH($N50,Operators!$A:$A,0))&amp;"","UNKNOWN OPERATOR ID"))</f>
        <v/>
      </c>
      <c r="V50" t="str">
        <f>IF($N50="","",IFERROR(INDEX(Operators!$D:$D,MATCH($N50,Operators!$A:$A,0))&amp;"","UNKNOWN OPERATOR ID"))</f>
        <v/>
      </c>
      <c r="W50" t="str">
        <f>IF($N50="","",IFERROR(INDEX(Operators!$E:$E,MATCH($N50,Operators!$A:$A,0))&amp;"","UNKNOWN OPERATOR ID"))</f>
        <v/>
      </c>
      <c r="X50" t="str">
        <f>IF($N50="","",IFERROR(INDEX(Operators!$G:$G,MATCH($N50,Operators!$A:$A,0))&amp;"","UNKNOWN OPERATOR ID"))</f>
        <v/>
      </c>
      <c r="Y50" t="str">
        <f>IF($N50="","",IFERROR(INDEX(Operators!$H:$H,MATCH($N50,Operators!$A:$A,0))&amp;"","UNKNOWN OPERATOR ID"))</f>
        <v/>
      </c>
      <c r="Z50" t="str">
        <f>IF($N50="","",IFERROR(INDEX(Operators!$T:$T,MATCH($N50,Operators!$A:$A,0))&amp;"","UNKNOWN OPERATOR ID"))</f>
        <v>ACTIVE</v>
      </c>
      <c r="AA50" t="str">
        <f>IF($N50="","",IFERROR(INDEX(Operators!$N:$N,MATCH($N50,Operators!$A:$A,0))&amp;"","UNKNOWN OPERATOR ID"))</f>
        <v/>
      </c>
      <c r="AB50" t="str">
        <f>IF($N50="","",IFERROR(INDEX(Operators!$K:$K,MATCH($N50,Operators!$A:$A,0))&amp;"","UNKNOWN OPERATOR ID"))</f>
        <v/>
      </c>
      <c r="AC50" t="str">
        <f>IF($N50="","",IFERROR(INDEX(Operators!$M:$M,MATCH($N50,Operators!$A:$A,0))&amp;"","UNKNOWN OPERATOR ID"))</f>
        <v/>
      </c>
      <c r="AD50" s="1" t="str">
        <f>IF($B50="","",IF($N50="","OPERATOR MISSING",IF(COUNTIF(Operators!$A:$A,$N50)=0,"UNKNOWN OPERATOR ID",IF($T50="","OPERATOR NAME REQUIRED","OK"))))</f>
        <v>OPERATOR NAME REQUIRED</v>
      </c>
      <c r="AE50">
        <f>IF($B50="","",COUNTIFS('FLEET DOCUMENTS'!$C$5:$C$60,$B50))</f>
        <v>0</v>
      </c>
      <c r="AF50">
        <f>IF($B50="","",COUNTIFS('FLEET DOCUMENTS'!$C$5:$C$60,$B50,'FLEET DOCUMENTS'!$S$5:$S$60,"EXPIRED"))</f>
        <v>0</v>
      </c>
      <c r="AG50">
        <f>IF($B50="","",COUNTIFS('FLEET DOCUMENTS'!$C$5:$C$60,$B50,'FLEET DOCUMENTS'!$S$5:$S$60,"EXPIRES WITHIN 90 DAYS")+COUNTIFS('FLEET DOCUMENTS'!$C$5:$C$60,$B50,'FLEET DOCUMENTS'!$S$5:$S$60,"EXPIRES WITHIN 30 DAYS"))</f>
        <v>0</v>
      </c>
      <c r="AH50" s="72">
        <f>IF($B50="","",IFERROR(_xlfn.MINIFS('FLEET DOCUMENTS'!$J$5:$J$60,'FLEET DOCUMENTS'!$C$5:$C$60,$B50),""))</f>
        <v>0</v>
      </c>
    </row>
    <row r="51" spans="1:34" x14ac:dyDescent="0.3">
      <c r="A51" t="s">
        <v>3996</v>
      </c>
      <c r="B51" t="s">
        <v>4241</v>
      </c>
      <c r="C51" t="s">
        <v>3997</v>
      </c>
      <c r="D51" t="s">
        <v>3981</v>
      </c>
      <c r="E51" t="s">
        <v>3998</v>
      </c>
      <c r="F51" t="s">
        <v>3651</v>
      </c>
      <c r="G51" t="str">
        <f>IF($F51="","",IFERROR(INDEX(airports!$E:$E,MATCH($F51,airports!$A:$A,0)),"Not in airports"))</f>
        <v>Dubai International Airport</v>
      </c>
      <c r="H51" s="5">
        <v>45178</v>
      </c>
      <c r="I51">
        <v>19</v>
      </c>
      <c r="J51" t="s">
        <v>108</v>
      </c>
      <c r="K51">
        <v>6323</v>
      </c>
      <c r="L51" t="s">
        <v>3830</v>
      </c>
      <c r="M51" t="b">
        <v>1</v>
      </c>
      <c r="N51" t="s">
        <v>3999</v>
      </c>
      <c r="S51" s="23" t="str">
        <f t="shared" si="0"/>
        <v/>
      </c>
      <c r="T51" t="str">
        <f>IF($N51="","",IFERROR(INDEX(Operators!$B:$B,MATCH($N51,Operators!$A:$A,0))&amp;"","UNKNOWN OPERATOR ID"))</f>
        <v/>
      </c>
      <c r="U51" t="str">
        <f>IF($N51="","",IFERROR(INDEX(Operators!$C:$C,MATCH($N51,Operators!$A:$A,0))&amp;"","UNKNOWN OPERATOR ID"))</f>
        <v/>
      </c>
      <c r="V51" t="str">
        <f>IF($N51="","",IFERROR(INDEX(Operators!$D:$D,MATCH($N51,Operators!$A:$A,0))&amp;"","UNKNOWN OPERATOR ID"))</f>
        <v/>
      </c>
      <c r="W51" t="str">
        <f>IF($N51="","",IFERROR(INDEX(Operators!$E:$E,MATCH($N51,Operators!$A:$A,0))&amp;"","UNKNOWN OPERATOR ID"))</f>
        <v/>
      </c>
      <c r="X51" t="str">
        <f>IF($N51="","",IFERROR(INDEX(Operators!$G:$G,MATCH($N51,Operators!$A:$A,0))&amp;"","UNKNOWN OPERATOR ID"))</f>
        <v/>
      </c>
      <c r="Y51" t="str">
        <f>IF($N51="","",IFERROR(INDEX(Operators!$H:$H,MATCH($N51,Operators!$A:$A,0))&amp;"","UNKNOWN OPERATOR ID"))</f>
        <v/>
      </c>
      <c r="Z51" t="str">
        <f>IF($N51="","",IFERROR(INDEX(Operators!$T:$T,MATCH($N51,Operators!$A:$A,0))&amp;"","UNKNOWN OPERATOR ID"))</f>
        <v>ACTIVE</v>
      </c>
      <c r="AA51" t="str">
        <f>IF($N51="","",IFERROR(INDEX(Operators!$N:$N,MATCH($N51,Operators!$A:$A,0))&amp;"","UNKNOWN OPERATOR ID"))</f>
        <v/>
      </c>
      <c r="AB51" t="str">
        <f>IF($N51="","",IFERROR(INDEX(Operators!$K:$K,MATCH($N51,Operators!$A:$A,0))&amp;"","UNKNOWN OPERATOR ID"))</f>
        <v/>
      </c>
      <c r="AC51" t="str">
        <f>IF($N51="","",IFERROR(INDEX(Operators!$M:$M,MATCH($N51,Operators!$A:$A,0))&amp;"","UNKNOWN OPERATOR ID"))</f>
        <v/>
      </c>
      <c r="AD51" s="1" t="str">
        <f>IF($B51="","",IF($N51="","OPERATOR MISSING",IF(COUNTIF(Operators!$A:$A,$N51)=0,"UNKNOWN OPERATOR ID",IF($T51="","OPERATOR NAME REQUIRED","OK"))))</f>
        <v>OPERATOR NAME REQUIRED</v>
      </c>
      <c r="AE51">
        <f>IF($B51="","",COUNTIFS('FLEET DOCUMENTS'!$C$5:$C$60,$B51))</f>
        <v>0</v>
      </c>
      <c r="AF51">
        <f>IF($B51="","",COUNTIFS('FLEET DOCUMENTS'!$C$5:$C$60,$B51,'FLEET DOCUMENTS'!$S$5:$S$60,"EXPIRED"))</f>
        <v>0</v>
      </c>
      <c r="AG51">
        <f>IF($B51="","",COUNTIFS('FLEET DOCUMENTS'!$C$5:$C$60,$B51,'FLEET DOCUMENTS'!$S$5:$S$60,"EXPIRES WITHIN 90 DAYS")+COUNTIFS('FLEET DOCUMENTS'!$C$5:$C$60,$B51,'FLEET DOCUMENTS'!$S$5:$S$60,"EXPIRES WITHIN 30 DAYS"))</f>
        <v>0</v>
      </c>
      <c r="AH51" s="72">
        <f>IF($B51="","",IFERROR(_xlfn.MINIFS('FLEET DOCUMENTS'!$J$5:$J$60,'FLEET DOCUMENTS'!$C$5:$C$60,$B51),""))</f>
        <v>0</v>
      </c>
    </row>
    <row r="52" spans="1:34" x14ac:dyDescent="0.3">
      <c r="A52" t="s">
        <v>4000</v>
      </c>
      <c r="B52" t="s">
        <v>4242</v>
      </c>
      <c r="C52" t="s">
        <v>3903</v>
      </c>
      <c r="D52" t="s">
        <v>3904</v>
      </c>
      <c r="E52" t="s">
        <v>3905</v>
      </c>
      <c r="F52" t="s">
        <v>3449</v>
      </c>
      <c r="G52" t="str">
        <f>IF($F52="","",IFERROR(INDEX(airports!$E:$E,MATCH($F52,airports!$A:$A,0)),"Not in airports"))</f>
        <v>Mohammed V International Airport</v>
      </c>
      <c r="H52" s="5">
        <v>77000</v>
      </c>
      <c r="I52">
        <v>180</v>
      </c>
      <c r="J52" t="s">
        <v>108</v>
      </c>
      <c r="K52">
        <v>4712</v>
      </c>
      <c r="L52" t="s">
        <v>3830</v>
      </c>
      <c r="M52" t="b">
        <v>1</v>
      </c>
      <c r="N52" t="s">
        <v>4001</v>
      </c>
      <c r="S52" s="23" t="str">
        <f t="shared" si="0"/>
        <v/>
      </c>
      <c r="T52" t="str">
        <f>IF($N52="","",IFERROR(INDEX(Operators!$B:$B,MATCH($N52,Operators!$A:$A,0))&amp;"","UNKNOWN OPERATOR ID"))</f>
        <v/>
      </c>
      <c r="U52" t="str">
        <f>IF($N52="","",IFERROR(INDEX(Operators!$C:$C,MATCH($N52,Operators!$A:$A,0))&amp;"","UNKNOWN OPERATOR ID"))</f>
        <v/>
      </c>
      <c r="V52" t="str">
        <f>IF($N52="","",IFERROR(INDEX(Operators!$D:$D,MATCH($N52,Operators!$A:$A,0))&amp;"","UNKNOWN OPERATOR ID"))</f>
        <v/>
      </c>
      <c r="W52" t="str">
        <f>IF($N52="","",IFERROR(INDEX(Operators!$E:$E,MATCH($N52,Operators!$A:$A,0))&amp;"","UNKNOWN OPERATOR ID"))</f>
        <v/>
      </c>
      <c r="X52" t="str">
        <f>IF($N52="","",IFERROR(INDEX(Operators!$G:$G,MATCH($N52,Operators!$A:$A,0))&amp;"","UNKNOWN OPERATOR ID"))</f>
        <v/>
      </c>
      <c r="Y52" t="str">
        <f>IF($N52="","",IFERROR(INDEX(Operators!$H:$H,MATCH($N52,Operators!$A:$A,0))&amp;"","UNKNOWN OPERATOR ID"))</f>
        <v/>
      </c>
      <c r="Z52" t="str">
        <f>IF($N52="","",IFERROR(INDEX(Operators!$T:$T,MATCH($N52,Operators!$A:$A,0))&amp;"","UNKNOWN OPERATOR ID"))</f>
        <v>ACTIVE</v>
      </c>
      <c r="AA52" t="str">
        <f>IF($N52="","",IFERROR(INDEX(Operators!$N:$N,MATCH($N52,Operators!$A:$A,0))&amp;"","UNKNOWN OPERATOR ID"))</f>
        <v/>
      </c>
      <c r="AB52" t="str">
        <f>IF($N52="","",IFERROR(INDEX(Operators!$K:$K,MATCH($N52,Operators!$A:$A,0))&amp;"","UNKNOWN OPERATOR ID"))</f>
        <v/>
      </c>
      <c r="AC52" t="str">
        <f>IF($N52="","",IFERROR(INDEX(Operators!$M:$M,MATCH($N52,Operators!$A:$A,0))&amp;"","UNKNOWN OPERATOR ID"))</f>
        <v/>
      </c>
      <c r="AD52" s="1" t="str">
        <f>IF($B52="","",IF($N52="","OPERATOR MISSING",IF(COUNTIF(Operators!$A:$A,$N52)=0,"UNKNOWN OPERATOR ID",IF($T52="","OPERATOR NAME REQUIRED","OK"))))</f>
        <v>OPERATOR NAME REQUIRED</v>
      </c>
      <c r="AE52">
        <f>IF($B52="","",COUNTIFS('FLEET DOCUMENTS'!$C$5:$C$60,$B52))</f>
        <v>0</v>
      </c>
      <c r="AF52">
        <f>IF($B52="","",COUNTIFS('FLEET DOCUMENTS'!$C$5:$C$60,$B52,'FLEET DOCUMENTS'!$S$5:$S$60,"EXPIRED"))</f>
        <v>0</v>
      </c>
      <c r="AG52">
        <f>IF($B52="","",COUNTIFS('FLEET DOCUMENTS'!$C$5:$C$60,$B52,'FLEET DOCUMENTS'!$S$5:$S$60,"EXPIRES WITHIN 90 DAYS")+COUNTIFS('FLEET DOCUMENTS'!$C$5:$C$60,$B52,'FLEET DOCUMENTS'!$S$5:$S$60,"EXPIRES WITHIN 30 DAYS"))</f>
        <v>0</v>
      </c>
      <c r="AH52" s="72">
        <f>IF($B52="","",IFERROR(_xlfn.MINIFS('FLEET DOCUMENTS'!$J$5:$J$60,'FLEET DOCUMENTS'!$C$5:$C$60,$B52),""))</f>
        <v>0</v>
      </c>
    </row>
    <row r="53" spans="1:34" x14ac:dyDescent="0.3">
      <c r="A53" t="s">
        <v>4002</v>
      </c>
      <c r="B53" t="s">
        <v>4243</v>
      </c>
      <c r="C53" t="s">
        <v>3862</v>
      </c>
      <c r="D53" t="s">
        <v>3863</v>
      </c>
      <c r="E53" t="s">
        <v>3864</v>
      </c>
      <c r="F53" t="s">
        <v>3449</v>
      </c>
      <c r="G53" t="str">
        <f>IF($F53="","",IFERROR(INDEX(airports!$E:$E,MATCH($F53,airports!$A:$A,0)),"Not in airports"))</f>
        <v>Mohammed V International Airport</v>
      </c>
      <c r="H53" s="5">
        <v>52290</v>
      </c>
      <c r="I53">
        <v>114</v>
      </c>
      <c r="J53" t="s">
        <v>108</v>
      </c>
      <c r="K53">
        <v>19000345</v>
      </c>
      <c r="L53" t="s">
        <v>3830</v>
      </c>
      <c r="M53" t="b">
        <v>1</v>
      </c>
      <c r="N53" t="s">
        <v>4003</v>
      </c>
      <c r="S53" s="23" t="str">
        <f t="shared" si="0"/>
        <v/>
      </c>
      <c r="T53" t="str">
        <f>IF($N53="","",IFERROR(INDEX(Operators!$B:$B,MATCH($N53,Operators!$A:$A,0))&amp;"","UNKNOWN OPERATOR ID"))</f>
        <v/>
      </c>
      <c r="U53" t="str">
        <f>IF($N53="","",IFERROR(INDEX(Operators!$C:$C,MATCH($N53,Operators!$A:$A,0))&amp;"","UNKNOWN OPERATOR ID"))</f>
        <v/>
      </c>
      <c r="V53" t="str">
        <f>IF($N53="","",IFERROR(INDEX(Operators!$D:$D,MATCH($N53,Operators!$A:$A,0))&amp;"","UNKNOWN OPERATOR ID"))</f>
        <v/>
      </c>
      <c r="W53" t="str">
        <f>IF($N53="","",IFERROR(INDEX(Operators!$E:$E,MATCH($N53,Operators!$A:$A,0))&amp;"","UNKNOWN OPERATOR ID"))</f>
        <v/>
      </c>
      <c r="X53" t="str">
        <f>IF($N53="","",IFERROR(INDEX(Operators!$G:$G,MATCH($N53,Operators!$A:$A,0))&amp;"","UNKNOWN OPERATOR ID"))</f>
        <v/>
      </c>
      <c r="Y53" t="str">
        <f>IF($N53="","",IFERROR(INDEX(Operators!$H:$H,MATCH($N53,Operators!$A:$A,0))&amp;"","UNKNOWN OPERATOR ID"))</f>
        <v/>
      </c>
      <c r="Z53" t="str">
        <f>IF($N53="","",IFERROR(INDEX(Operators!$T:$T,MATCH($N53,Operators!$A:$A,0))&amp;"","UNKNOWN OPERATOR ID"))</f>
        <v>ACTIVE</v>
      </c>
      <c r="AA53" t="str">
        <f>IF($N53="","",IFERROR(INDEX(Operators!$N:$N,MATCH($N53,Operators!$A:$A,0))&amp;"","UNKNOWN OPERATOR ID"))</f>
        <v/>
      </c>
      <c r="AB53" t="str">
        <f>IF($N53="","",IFERROR(INDEX(Operators!$K:$K,MATCH($N53,Operators!$A:$A,0))&amp;"","UNKNOWN OPERATOR ID"))</f>
        <v/>
      </c>
      <c r="AC53" t="str">
        <f>IF($N53="","",IFERROR(INDEX(Operators!$M:$M,MATCH($N53,Operators!$A:$A,0))&amp;"","UNKNOWN OPERATOR ID"))</f>
        <v/>
      </c>
      <c r="AD53" s="1" t="str">
        <f>IF($B53="","",IF($N53="","OPERATOR MISSING",IF(COUNTIF(Operators!$A:$A,$N53)=0,"UNKNOWN OPERATOR ID",IF($T53="","OPERATOR NAME REQUIRED","OK"))))</f>
        <v>OPERATOR NAME REQUIRED</v>
      </c>
      <c r="AE53">
        <f>IF($B53="","",COUNTIFS('FLEET DOCUMENTS'!$C$5:$C$60,$B53))</f>
        <v>0</v>
      </c>
      <c r="AF53">
        <f>IF($B53="","",COUNTIFS('FLEET DOCUMENTS'!$C$5:$C$60,$B53,'FLEET DOCUMENTS'!$S$5:$S$60,"EXPIRED"))</f>
        <v>0</v>
      </c>
      <c r="AG53">
        <f>IF($B53="","",COUNTIFS('FLEET DOCUMENTS'!$C$5:$C$60,$B53,'FLEET DOCUMENTS'!$S$5:$S$60,"EXPIRES WITHIN 90 DAYS")+COUNTIFS('FLEET DOCUMENTS'!$C$5:$C$60,$B53,'FLEET DOCUMENTS'!$S$5:$S$60,"EXPIRES WITHIN 30 DAYS"))</f>
        <v>0</v>
      </c>
      <c r="AH53" s="72">
        <f>IF($B53="","",IFERROR(_xlfn.MINIFS('FLEET DOCUMENTS'!$J$5:$J$60,'FLEET DOCUMENTS'!$C$5:$C$60,$B53),""))</f>
        <v>0</v>
      </c>
    </row>
    <row r="54" spans="1:34" x14ac:dyDescent="0.3">
      <c r="A54" t="s">
        <v>4004</v>
      </c>
      <c r="B54" t="s">
        <v>4244</v>
      </c>
      <c r="C54" t="s">
        <v>3891</v>
      </c>
      <c r="D54" t="s">
        <v>3879</v>
      </c>
      <c r="E54" t="s">
        <v>3892</v>
      </c>
      <c r="F54" t="s">
        <v>3449</v>
      </c>
      <c r="G54" t="str">
        <f>IF($F54="","",IFERROR(INDEX(airports!$E:$E,MATCH($F54,airports!$A:$A,0)),"Not in airports"))</f>
        <v>Mohammed V International Airport</v>
      </c>
      <c r="H54" s="5">
        <v>79010</v>
      </c>
      <c r="I54">
        <v>189</v>
      </c>
      <c r="J54" t="s">
        <v>108</v>
      </c>
      <c r="K54">
        <v>35201</v>
      </c>
      <c r="L54" t="s">
        <v>3830</v>
      </c>
      <c r="M54" t="b">
        <v>1</v>
      </c>
      <c r="N54" t="s">
        <v>4001</v>
      </c>
      <c r="S54" s="23" t="str">
        <f t="shared" si="0"/>
        <v/>
      </c>
      <c r="T54" t="str">
        <f>IF($N54="","",IFERROR(INDEX(Operators!$B:$B,MATCH($N54,Operators!$A:$A,0))&amp;"","UNKNOWN OPERATOR ID"))</f>
        <v/>
      </c>
      <c r="U54" t="str">
        <f>IF($N54="","",IFERROR(INDEX(Operators!$C:$C,MATCH($N54,Operators!$A:$A,0))&amp;"","UNKNOWN OPERATOR ID"))</f>
        <v/>
      </c>
      <c r="V54" t="str">
        <f>IF($N54="","",IFERROR(INDEX(Operators!$D:$D,MATCH($N54,Operators!$A:$A,0))&amp;"","UNKNOWN OPERATOR ID"))</f>
        <v/>
      </c>
      <c r="W54" t="str">
        <f>IF($N54="","",IFERROR(INDEX(Operators!$E:$E,MATCH($N54,Operators!$A:$A,0))&amp;"","UNKNOWN OPERATOR ID"))</f>
        <v/>
      </c>
      <c r="X54" t="str">
        <f>IF($N54="","",IFERROR(INDEX(Operators!$G:$G,MATCH($N54,Operators!$A:$A,0))&amp;"","UNKNOWN OPERATOR ID"))</f>
        <v/>
      </c>
      <c r="Y54" t="str">
        <f>IF($N54="","",IFERROR(INDEX(Operators!$H:$H,MATCH($N54,Operators!$A:$A,0))&amp;"","UNKNOWN OPERATOR ID"))</f>
        <v/>
      </c>
      <c r="Z54" t="str">
        <f>IF($N54="","",IFERROR(INDEX(Operators!$T:$T,MATCH($N54,Operators!$A:$A,0))&amp;"","UNKNOWN OPERATOR ID"))</f>
        <v>ACTIVE</v>
      </c>
      <c r="AA54" t="str">
        <f>IF($N54="","",IFERROR(INDEX(Operators!$N:$N,MATCH($N54,Operators!$A:$A,0))&amp;"","UNKNOWN OPERATOR ID"))</f>
        <v/>
      </c>
      <c r="AB54" t="str">
        <f>IF($N54="","",IFERROR(INDEX(Operators!$K:$K,MATCH($N54,Operators!$A:$A,0))&amp;"","UNKNOWN OPERATOR ID"))</f>
        <v/>
      </c>
      <c r="AC54" t="str">
        <f>IF($N54="","",IFERROR(INDEX(Operators!$M:$M,MATCH($N54,Operators!$A:$A,0))&amp;"","UNKNOWN OPERATOR ID"))</f>
        <v/>
      </c>
      <c r="AD54" s="1" t="str">
        <f>IF($B54="","",IF($N54="","OPERATOR MISSING",IF(COUNTIF(Operators!$A:$A,$N54)=0,"UNKNOWN OPERATOR ID",IF($T54="","OPERATOR NAME REQUIRED","OK"))))</f>
        <v>OPERATOR NAME REQUIRED</v>
      </c>
      <c r="AE54">
        <f>IF($B54="","",COUNTIFS('FLEET DOCUMENTS'!$C$5:$C$60,$B54))</f>
        <v>0</v>
      </c>
      <c r="AF54">
        <f>IF($B54="","",COUNTIFS('FLEET DOCUMENTS'!$C$5:$C$60,$B54,'FLEET DOCUMENTS'!$S$5:$S$60,"EXPIRED"))</f>
        <v>0</v>
      </c>
      <c r="AG54">
        <f>IF($B54="","",COUNTIFS('FLEET DOCUMENTS'!$C$5:$C$60,$B54,'FLEET DOCUMENTS'!$S$5:$S$60,"EXPIRES WITHIN 90 DAYS")+COUNTIFS('FLEET DOCUMENTS'!$C$5:$C$60,$B54,'FLEET DOCUMENTS'!$S$5:$S$60,"EXPIRES WITHIN 30 DAYS"))</f>
        <v>0</v>
      </c>
      <c r="AH54" s="72">
        <f>IF($B54="","",IFERROR(_xlfn.MINIFS('FLEET DOCUMENTS'!$J$5:$J$60,'FLEET DOCUMENTS'!$C$5:$C$60,$B54),""))</f>
        <v>0</v>
      </c>
    </row>
    <row r="55" spans="1:34" x14ac:dyDescent="0.3">
      <c r="A55" t="s">
        <v>4005</v>
      </c>
      <c r="B55" t="s">
        <v>4245</v>
      </c>
      <c r="C55" t="s">
        <v>3947</v>
      </c>
      <c r="D55" t="s">
        <v>3879</v>
      </c>
      <c r="E55" t="s">
        <v>4006</v>
      </c>
      <c r="F55" t="s">
        <v>3449</v>
      </c>
      <c r="G55" t="str">
        <f>IF($F55="","",IFERROR(INDEX(airports!$E:$E,MATCH($F55,airports!$A:$A,0)),"Not in airports"))</f>
        <v>Mohammed V International Airport</v>
      </c>
      <c r="H55" s="5">
        <v>227930</v>
      </c>
      <c r="I55">
        <v>248</v>
      </c>
      <c r="J55" t="s">
        <v>108</v>
      </c>
      <c r="K55">
        <v>34512</v>
      </c>
      <c r="L55" t="s">
        <v>3830</v>
      </c>
      <c r="M55" t="b">
        <v>1</v>
      </c>
      <c r="N55" t="s">
        <v>4001</v>
      </c>
      <c r="S55" s="23" t="str">
        <f t="shared" si="0"/>
        <v/>
      </c>
      <c r="T55" t="str">
        <f>IF($N55="","",IFERROR(INDEX(Operators!$B:$B,MATCH($N55,Operators!$A:$A,0))&amp;"","UNKNOWN OPERATOR ID"))</f>
        <v/>
      </c>
      <c r="U55" t="str">
        <f>IF($N55="","",IFERROR(INDEX(Operators!$C:$C,MATCH($N55,Operators!$A:$A,0))&amp;"","UNKNOWN OPERATOR ID"))</f>
        <v/>
      </c>
      <c r="V55" t="str">
        <f>IF($N55="","",IFERROR(INDEX(Operators!$D:$D,MATCH($N55,Operators!$A:$A,0))&amp;"","UNKNOWN OPERATOR ID"))</f>
        <v/>
      </c>
      <c r="W55" t="str">
        <f>IF($N55="","",IFERROR(INDEX(Operators!$E:$E,MATCH($N55,Operators!$A:$A,0))&amp;"","UNKNOWN OPERATOR ID"))</f>
        <v/>
      </c>
      <c r="X55" t="str">
        <f>IF($N55="","",IFERROR(INDEX(Operators!$G:$G,MATCH($N55,Operators!$A:$A,0))&amp;"","UNKNOWN OPERATOR ID"))</f>
        <v/>
      </c>
      <c r="Y55" t="str">
        <f>IF($N55="","",IFERROR(INDEX(Operators!$H:$H,MATCH($N55,Operators!$A:$A,0))&amp;"","UNKNOWN OPERATOR ID"))</f>
        <v/>
      </c>
      <c r="Z55" t="str">
        <f>IF($N55="","",IFERROR(INDEX(Operators!$T:$T,MATCH($N55,Operators!$A:$A,0))&amp;"","UNKNOWN OPERATOR ID"))</f>
        <v>ACTIVE</v>
      </c>
      <c r="AA55" t="str">
        <f>IF($N55="","",IFERROR(INDEX(Operators!$N:$N,MATCH($N55,Operators!$A:$A,0))&amp;"","UNKNOWN OPERATOR ID"))</f>
        <v/>
      </c>
      <c r="AB55" t="str">
        <f>IF($N55="","",IFERROR(INDEX(Operators!$K:$K,MATCH($N55,Operators!$A:$A,0))&amp;"","UNKNOWN OPERATOR ID"))</f>
        <v/>
      </c>
      <c r="AC55" t="str">
        <f>IF($N55="","",IFERROR(INDEX(Operators!$M:$M,MATCH($N55,Operators!$A:$A,0))&amp;"","UNKNOWN OPERATOR ID"))</f>
        <v/>
      </c>
      <c r="AD55" s="1" t="str">
        <f>IF($B55="","",IF($N55="","OPERATOR MISSING",IF(COUNTIF(Operators!$A:$A,$N55)=0,"UNKNOWN OPERATOR ID",IF($T55="","OPERATOR NAME REQUIRED","OK"))))</f>
        <v>OPERATOR NAME REQUIRED</v>
      </c>
      <c r="AE55">
        <f>IF($B55="","",COUNTIFS('FLEET DOCUMENTS'!$C$5:$C$60,$B55))</f>
        <v>0</v>
      </c>
      <c r="AF55">
        <f>IF($B55="","",COUNTIFS('FLEET DOCUMENTS'!$C$5:$C$60,$B55,'FLEET DOCUMENTS'!$S$5:$S$60,"EXPIRED"))</f>
        <v>0</v>
      </c>
      <c r="AG55">
        <f>IF($B55="","",COUNTIFS('FLEET DOCUMENTS'!$C$5:$C$60,$B55,'FLEET DOCUMENTS'!$S$5:$S$60,"EXPIRES WITHIN 90 DAYS")+COUNTIFS('FLEET DOCUMENTS'!$C$5:$C$60,$B55,'FLEET DOCUMENTS'!$S$5:$S$60,"EXPIRES WITHIN 30 DAYS"))</f>
        <v>0</v>
      </c>
      <c r="AH55" s="72">
        <f>IF($B55="","",IFERROR(_xlfn.MINIFS('FLEET DOCUMENTS'!$J$5:$J$60,'FLEET DOCUMENTS'!$C$5:$C$60,$B55),""))</f>
        <v>0</v>
      </c>
    </row>
    <row r="56" spans="1:34" x14ac:dyDescent="0.3">
      <c r="A56" t="s">
        <v>4007</v>
      </c>
      <c r="B56" t="s">
        <v>4246</v>
      </c>
      <c r="C56" t="s">
        <v>4008</v>
      </c>
      <c r="D56" t="s">
        <v>3879</v>
      </c>
      <c r="E56" t="s">
        <v>4009</v>
      </c>
      <c r="F56" t="s">
        <v>327</v>
      </c>
      <c r="G56" t="str">
        <f>IF($F56="","",IFERROR(INDEX(airports!$E:$E,MATCH($F56,airports!$A:$A,0)),"Not in airports"))</f>
        <v>Addis Ababa Bole International Airport</v>
      </c>
      <c r="H56" s="5">
        <v>179170</v>
      </c>
      <c r="I56">
        <v>245</v>
      </c>
      <c r="J56" t="s">
        <v>108</v>
      </c>
      <c r="K56">
        <v>23912</v>
      </c>
      <c r="L56" t="s">
        <v>3875</v>
      </c>
      <c r="M56" t="b">
        <v>0</v>
      </c>
      <c r="N56" t="s">
        <v>4010</v>
      </c>
      <c r="S56" s="23" t="str">
        <f t="shared" si="0"/>
        <v/>
      </c>
      <c r="T56" t="str">
        <f>IF($N56="","",IFERROR(INDEX(Operators!$B:$B,MATCH($N56,Operators!$A:$A,0))&amp;"","UNKNOWN OPERATOR ID"))</f>
        <v/>
      </c>
      <c r="U56" t="str">
        <f>IF($N56="","",IFERROR(INDEX(Operators!$C:$C,MATCH($N56,Operators!$A:$A,0))&amp;"","UNKNOWN OPERATOR ID"))</f>
        <v/>
      </c>
      <c r="V56" t="str">
        <f>IF($N56="","",IFERROR(INDEX(Operators!$D:$D,MATCH($N56,Operators!$A:$A,0))&amp;"","UNKNOWN OPERATOR ID"))</f>
        <v/>
      </c>
      <c r="W56" t="str">
        <f>IF($N56="","",IFERROR(INDEX(Operators!$E:$E,MATCH($N56,Operators!$A:$A,0))&amp;"","UNKNOWN OPERATOR ID"))</f>
        <v/>
      </c>
      <c r="X56" t="str">
        <f>IF($N56="","",IFERROR(INDEX(Operators!$G:$G,MATCH($N56,Operators!$A:$A,0))&amp;"","UNKNOWN OPERATOR ID"))</f>
        <v/>
      </c>
      <c r="Y56" t="str">
        <f>IF($N56="","",IFERROR(INDEX(Operators!$H:$H,MATCH($N56,Operators!$A:$A,0))&amp;"","UNKNOWN OPERATOR ID"))</f>
        <v/>
      </c>
      <c r="Z56" t="str">
        <f>IF($N56="","",IFERROR(INDEX(Operators!$T:$T,MATCH($N56,Operators!$A:$A,0))&amp;"","UNKNOWN OPERATOR ID"))</f>
        <v>ACTIVE</v>
      </c>
      <c r="AA56" t="str">
        <f>IF($N56="","",IFERROR(INDEX(Operators!$N:$N,MATCH($N56,Operators!$A:$A,0))&amp;"","UNKNOWN OPERATOR ID"))</f>
        <v/>
      </c>
      <c r="AB56" t="str">
        <f>IF($N56="","",IFERROR(INDEX(Operators!$K:$K,MATCH($N56,Operators!$A:$A,0))&amp;"","UNKNOWN OPERATOR ID"))</f>
        <v/>
      </c>
      <c r="AC56" t="str">
        <f>IF($N56="","",IFERROR(INDEX(Operators!$M:$M,MATCH($N56,Operators!$A:$A,0))&amp;"","UNKNOWN OPERATOR ID"))</f>
        <v/>
      </c>
      <c r="AD56" s="1" t="str">
        <f>IF($B56="","",IF($N56="","OPERATOR MISSING",IF(COUNTIF(Operators!$A:$A,$N56)=0,"UNKNOWN OPERATOR ID",IF($T56="","OPERATOR NAME REQUIRED","OK"))))</f>
        <v>OPERATOR NAME REQUIRED</v>
      </c>
      <c r="AE56">
        <f>IF($B56="","",COUNTIFS('FLEET DOCUMENTS'!$C$5:$C$60,$B56))</f>
        <v>0</v>
      </c>
      <c r="AF56">
        <f>IF($B56="","",COUNTIFS('FLEET DOCUMENTS'!$C$5:$C$60,$B56,'FLEET DOCUMENTS'!$S$5:$S$60,"EXPIRED"))</f>
        <v>0</v>
      </c>
      <c r="AG56">
        <f>IF($B56="","",COUNTIFS('FLEET DOCUMENTS'!$C$5:$C$60,$B56,'FLEET DOCUMENTS'!$S$5:$S$60,"EXPIRES WITHIN 90 DAYS")+COUNTIFS('FLEET DOCUMENTS'!$C$5:$C$60,$B56,'FLEET DOCUMENTS'!$S$5:$S$60,"EXPIRES WITHIN 30 DAYS"))</f>
        <v>0</v>
      </c>
      <c r="AH56" s="72">
        <f>IF($B56="","",IFERROR(_xlfn.MINIFS('FLEET DOCUMENTS'!$J$5:$J$60,'FLEET DOCUMENTS'!$C$5:$C$60,$B56),""))</f>
        <v>0</v>
      </c>
    </row>
    <row r="57" spans="1:34" x14ac:dyDescent="0.3">
      <c r="A57" t="s">
        <v>4011</v>
      </c>
      <c r="B57" t="s">
        <v>4247</v>
      </c>
      <c r="C57" t="s">
        <v>3947</v>
      </c>
      <c r="D57" t="s">
        <v>3879</v>
      </c>
      <c r="E57" t="s">
        <v>4006</v>
      </c>
      <c r="F57" t="s">
        <v>327</v>
      </c>
      <c r="G57" t="str">
        <f>IF($F57="","",IFERROR(INDEX(airports!$E:$E,MATCH($F57,airports!$A:$A,0)),"Not in airports"))</f>
        <v>Addis Ababa Bole International Airport</v>
      </c>
      <c r="H57" s="5">
        <v>227930</v>
      </c>
      <c r="I57">
        <v>248</v>
      </c>
      <c r="J57" t="s">
        <v>108</v>
      </c>
      <c r="K57">
        <v>34486</v>
      </c>
      <c r="L57" t="s">
        <v>3830</v>
      </c>
      <c r="M57" t="b">
        <v>1</v>
      </c>
      <c r="N57" t="s">
        <v>4010</v>
      </c>
      <c r="S57" s="23" t="str">
        <f t="shared" si="0"/>
        <v/>
      </c>
      <c r="T57" t="str">
        <f>IF($N57="","",IFERROR(INDEX(Operators!$B:$B,MATCH($N57,Operators!$A:$A,0))&amp;"","UNKNOWN OPERATOR ID"))</f>
        <v/>
      </c>
      <c r="U57" t="str">
        <f>IF($N57="","",IFERROR(INDEX(Operators!$C:$C,MATCH($N57,Operators!$A:$A,0))&amp;"","UNKNOWN OPERATOR ID"))</f>
        <v/>
      </c>
      <c r="V57" t="str">
        <f>IF($N57="","",IFERROR(INDEX(Operators!$D:$D,MATCH($N57,Operators!$A:$A,0))&amp;"","UNKNOWN OPERATOR ID"))</f>
        <v/>
      </c>
      <c r="W57" t="str">
        <f>IF($N57="","",IFERROR(INDEX(Operators!$E:$E,MATCH($N57,Operators!$A:$A,0))&amp;"","UNKNOWN OPERATOR ID"))</f>
        <v/>
      </c>
      <c r="X57" t="str">
        <f>IF($N57="","",IFERROR(INDEX(Operators!$G:$G,MATCH($N57,Operators!$A:$A,0))&amp;"","UNKNOWN OPERATOR ID"))</f>
        <v/>
      </c>
      <c r="Y57" t="str">
        <f>IF($N57="","",IFERROR(INDEX(Operators!$H:$H,MATCH($N57,Operators!$A:$A,0))&amp;"","UNKNOWN OPERATOR ID"))</f>
        <v/>
      </c>
      <c r="Z57" t="str">
        <f>IF($N57="","",IFERROR(INDEX(Operators!$T:$T,MATCH($N57,Operators!$A:$A,0))&amp;"","UNKNOWN OPERATOR ID"))</f>
        <v>ACTIVE</v>
      </c>
      <c r="AA57" t="str">
        <f>IF($N57="","",IFERROR(INDEX(Operators!$N:$N,MATCH($N57,Operators!$A:$A,0))&amp;"","UNKNOWN OPERATOR ID"))</f>
        <v/>
      </c>
      <c r="AB57" t="str">
        <f>IF($N57="","",IFERROR(INDEX(Operators!$K:$K,MATCH($N57,Operators!$A:$A,0))&amp;"","UNKNOWN OPERATOR ID"))</f>
        <v/>
      </c>
      <c r="AC57" t="str">
        <f>IF($N57="","",IFERROR(INDEX(Operators!$M:$M,MATCH($N57,Operators!$A:$A,0))&amp;"","UNKNOWN OPERATOR ID"))</f>
        <v/>
      </c>
      <c r="AD57" s="1" t="str">
        <f>IF($B57="","",IF($N57="","OPERATOR MISSING",IF(COUNTIF(Operators!$A:$A,$N57)=0,"UNKNOWN OPERATOR ID",IF($T57="","OPERATOR NAME REQUIRED","OK"))))</f>
        <v>OPERATOR NAME REQUIRED</v>
      </c>
      <c r="AE57">
        <f>IF($B57="","",COUNTIFS('FLEET DOCUMENTS'!$C$5:$C$60,$B57))</f>
        <v>0</v>
      </c>
      <c r="AF57">
        <f>IF($B57="","",COUNTIFS('FLEET DOCUMENTS'!$C$5:$C$60,$B57,'FLEET DOCUMENTS'!$S$5:$S$60,"EXPIRED"))</f>
        <v>0</v>
      </c>
      <c r="AG57">
        <f>IF($B57="","",COUNTIFS('FLEET DOCUMENTS'!$C$5:$C$60,$B57,'FLEET DOCUMENTS'!$S$5:$S$60,"EXPIRES WITHIN 90 DAYS")+COUNTIFS('FLEET DOCUMENTS'!$C$5:$C$60,$B57,'FLEET DOCUMENTS'!$S$5:$S$60,"EXPIRES WITHIN 30 DAYS"))</f>
        <v>0</v>
      </c>
      <c r="AH57" s="72">
        <f>IF($B57="","",IFERROR(_xlfn.MINIFS('FLEET DOCUMENTS'!$J$5:$J$60,'FLEET DOCUMENTS'!$C$5:$C$60,$B57),""))</f>
        <v>0</v>
      </c>
    </row>
    <row r="58" spans="1:34" x14ac:dyDescent="0.3">
      <c r="A58" t="s">
        <v>4012</v>
      </c>
      <c r="B58" t="s">
        <v>4248</v>
      </c>
      <c r="C58" t="s">
        <v>4013</v>
      </c>
      <c r="D58" t="s">
        <v>3879</v>
      </c>
      <c r="E58" t="s">
        <v>4014</v>
      </c>
      <c r="F58" t="s">
        <v>327</v>
      </c>
      <c r="G58" t="str">
        <f>IF($F58="","",IFERROR(INDEX(airports!$E:$E,MATCH($F58,airports!$A:$A,0)),"Not in airports"))</f>
        <v>Addis Ababa Bole International Airport</v>
      </c>
      <c r="H58" s="5">
        <v>347450</v>
      </c>
      <c r="I58">
        <v>0</v>
      </c>
      <c r="J58" t="s">
        <v>108</v>
      </c>
      <c r="K58">
        <v>38901</v>
      </c>
      <c r="L58" t="s">
        <v>3830</v>
      </c>
      <c r="M58" t="b">
        <v>1</v>
      </c>
      <c r="N58" t="s">
        <v>4015</v>
      </c>
      <c r="S58" s="23" t="str">
        <f t="shared" si="0"/>
        <v/>
      </c>
      <c r="T58" t="str">
        <f>IF($N58="","",IFERROR(INDEX(Operators!$B:$B,MATCH($N58,Operators!$A:$A,0))&amp;"","UNKNOWN OPERATOR ID"))</f>
        <v/>
      </c>
      <c r="U58" t="str">
        <f>IF($N58="","",IFERROR(INDEX(Operators!$C:$C,MATCH($N58,Operators!$A:$A,0))&amp;"","UNKNOWN OPERATOR ID"))</f>
        <v/>
      </c>
      <c r="V58" t="str">
        <f>IF($N58="","",IFERROR(INDEX(Operators!$D:$D,MATCH($N58,Operators!$A:$A,0))&amp;"","UNKNOWN OPERATOR ID"))</f>
        <v/>
      </c>
      <c r="W58" t="str">
        <f>IF($N58="","",IFERROR(INDEX(Operators!$E:$E,MATCH($N58,Operators!$A:$A,0))&amp;"","UNKNOWN OPERATOR ID"))</f>
        <v/>
      </c>
      <c r="X58" t="str">
        <f>IF($N58="","",IFERROR(INDEX(Operators!$G:$G,MATCH($N58,Operators!$A:$A,0))&amp;"","UNKNOWN OPERATOR ID"))</f>
        <v/>
      </c>
      <c r="Y58" t="str">
        <f>IF($N58="","",IFERROR(INDEX(Operators!$H:$H,MATCH($N58,Operators!$A:$A,0))&amp;"","UNKNOWN OPERATOR ID"))</f>
        <v/>
      </c>
      <c r="Z58" t="str">
        <f>IF($N58="","",IFERROR(INDEX(Operators!$T:$T,MATCH($N58,Operators!$A:$A,0))&amp;"","UNKNOWN OPERATOR ID"))</f>
        <v>ACTIVE</v>
      </c>
      <c r="AA58" t="str">
        <f>IF($N58="","",IFERROR(INDEX(Operators!$N:$N,MATCH($N58,Operators!$A:$A,0))&amp;"","UNKNOWN OPERATOR ID"))</f>
        <v/>
      </c>
      <c r="AB58" t="str">
        <f>IF($N58="","",IFERROR(INDEX(Operators!$K:$K,MATCH($N58,Operators!$A:$A,0))&amp;"","UNKNOWN OPERATOR ID"))</f>
        <v/>
      </c>
      <c r="AC58" t="str">
        <f>IF($N58="","",IFERROR(INDEX(Operators!$M:$M,MATCH($N58,Operators!$A:$A,0))&amp;"","UNKNOWN OPERATOR ID"))</f>
        <v/>
      </c>
      <c r="AD58" s="1" t="str">
        <f>IF($B58="","",IF($N58="","OPERATOR MISSING",IF(COUNTIF(Operators!$A:$A,$N58)=0,"UNKNOWN OPERATOR ID",IF($T58="","OPERATOR NAME REQUIRED","OK"))))</f>
        <v>OPERATOR NAME REQUIRED</v>
      </c>
      <c r="AE58">
        <f>IF($B58="","",COUNTIFS('FLEET DOCUMENTS'!$C$5:$C$60,$B58))</f>
        <v>0</v>
      </c>
      <c r="AF58">
        <f>IF($B58="","",COUNTIFS('FLEET DOCUMENTS'!$C$5:$C$60,$B58,'FLEET DOCUMENTS'!$S$5:$S$60,"EXPIRED"))</f>
        <v>0</v>
      </c>
      <c r="AG58">
        <f>IF($B58="","",COUNTIFS('FLEET DOCUMENTS'!$C$5:$C$60,$B58,'FLEET DOCUMENTS'!$S$5:$S$60,"EXPIRES WITHIN 90 DAYS")+COUNTIFS('FLEET DOCUMENTS'!$C$5:$C$60,$B58,'FLEET DOCUMENTS'!$S$5:$S$60,"EXPIRES WITHIN 30 DAYS"))</f>
        <v>0</v>
      </c>
      <c r="AH58" s="72">
        <f>IF($B58="","",IFERROR(_xlfn.MINIFS('FLEET DOCUMENTS'!$J$5:$J$60,'FLEET DOCUMENTS'!$C$5:$C$60,$B58),""))</f>
        <v>0</v>
      </c>
    </row>
    <row r="59" spans="1:34" x14ac:dyDescent="0.3">
      <c r="A59" t="s">
        <v>4016</v>
      </c>
      <c r="B59" t="s">
        <v>4249</v>
      </c>
      <c r="C59" t="s">
        <v>3882</v>
      </c>
      <c r="D59" t="s">
        <v>3883</v>
      </c>
      <c r="E59" t="s">
        <v>3884</v>
      </c>
      <c r="F59" t="s">
        <v>327</v>
      </c>
      <c r="G59" t="str">
        <f>IF($F59="","",IFERROR(INDEX(airports!$E:$E,MATCH($F59,airports!$A:$A,0)),"Not in airports"))</f>
        <v>Addis Ababa Bole International Airport</v>
      </c>
      <c r="H59" s="5">
        <v>22800</v>
      </c>
      <c r="I59">
        <v>74</v>
      </c>
      <c r="J59" t="s">
        <v>108</v>
      </c>
      <c r="K59" t="s">
        <v>4017</v>
      </c>
      <c r="L59" t="s">
        <v>3830</v>
      </c>
      <c r="M59" t="b">
        <v>1</v>
      </c>
      <c r="N59" t="s">
        <v>4010</v>
      </c>
      <c r="S59" s="23" t="str">
        <f t="shared" si="0"/>
        <v/>
      </c>
      <c r="T59" t="str">
        <f>IF($N59="","",IFERROR(INDEX(Operators!$B:$B,MATCH($N59,Operators!$A:$A,0))&amp;"","UNKNOWN OPERATOR ID"))</f>
        <v/>
      </c>
      <c r="U59" t="str">
        <f>IF($N59="","",IFERROR(INDEX(Operators!$C:$C,MATCH($N59,Operators!$A:$A,0))&amp;"","UNKNOWN OPERATOR ID"))</f>
        <v/>
      </c>
      <c r="V59" t="str">
        <f>IF($N59="","",IFERROR(INDEX(Operators!$D:$D,MATCH($N59,Operators!$A:$A,0))&amp;"","UNKNOWN OPERATOR ID"))</f>
        <v/>
      </c>
      <c r="W59" t="str">
        <f>IF($N59="","",IFERROR(INDEX(Operators!$E:$E,MATCH($N59,Operators!$A:$A,0))&amp;"","UNKNOWN OPERATOR ID"))</f>
        <v/>
      </c>
      <c r="X59" t="str">
        <f>IF($N59="","",IFERROR(INDEX(Operators!$G:$G,MATCH($N59,Operators!$A:$A,0))&amp;"","UNKNOWN OPERATOR ID"))</f>
        <v/>
      </c>
      <c r="Y59" t="str">
        <f>IF($N59="","",IFERROR(INDEX(Operators!$H:$H,MATCH($N59,Operators!$A:$A,0))&amp;"","UNKNOWN OPERATOR ID"))</f>
        <v/>
      </c>
      <c r="Z59" t="str">
        <f>IF($N59="","",IFERROR(INDEX(Operators!$T:$T,MATCH($N59,Operators!$A:$A,0))&amp;"","UNKNOWN OPERATOR ID"))</f>
        <v>ACTIVE</v>
      </c>
      <c r="AA59" t="str">
        <f>IF($N59="","",IFERROR(INDEX(Operators!$N:$N,MATCH($N59,Operators!$A:$A,0))&amp;"","UNKNOWN OPERATOR ID"))</f>
        <v/>
      </c>
      <c r="AB59" t="str">
        <f>IF($N59="","",IFERROR(INDEX(Operators!$K:$K,MATCH($N59,Operators!$A:$A,0))&amp;"","UNKNOWN OPERATOR ID"))</f>
        <v/>
      </c>
      <c r="AC59" t="str">
        <f>IF($N59="","",IFERROR(INDEX(Operators!$M:$M,MATCH($N59,Operators!$A:$A,0))&amp;"","UNKNOWN OPERATOR ID"))</f>
        <v/>
      </c>
      <c r="AD59" s="1" t="str">
        <f>IF($B59="","",IF($N59="","OPERATOR MISSING",IF(COUNTIF(Operators!$A:$A,$N59)=0,"UNKNOWN OPERATOR ID",IF($T59="","OPERATOR NAME REQUIRED","OK"))))</f>
        <v>OPERATOR NAME REQUIRED</v>
      </c>
      <c r="AE59">
        <f>IF($B59="","",COUNTIFS('FLEET DOCUMENTS'!$C$5:$C$60,$B59))</f>
        <v>0</v>
      </c>
      <c r="AF59">
        <f>IF($B59="","",COUNTIFS('FLEET DOCUMENTS'!$C$5:$C$60,$B59,'FLEET DOCUMENTS'!$S$5:$S$60,"EXPIRED"))</f>
        <v>0</v>
      </c>
      <c r="AG59">
        <f>IF($B59="","",COUNTIFS('FLEET DOCUMENTS'!$C$5:$C$60,$B59,'FLEET DOCUMENTS'!$S$5:$S$60,"EXPIRES WITHIN 90 DAYS")+COUNTIFS('FLEET DOCUMENTS'!$C$5:$C$60,$B59,'FLEET DOCUMENTS'!$S$5:$S$60,"EXPIRES WITHIN 30 DAYS"))</f>
        <v>0</v>
      </c>
      <c r="AH59" s="72">
        <f>IF($B59="","",IFERROR(_xlfn.MINIFS('FLEET DOCUMENTS'!$J$5:$J$60,'FLEET DOCUMENTS'!$C$5:$C$60,$B59),""))</f>
        <v>0</v>
      </c>
    </row>
    <row r="60" spans="1:34" x14ac:dyDescent="0.3">
      <c r="A60" t="s">
        <v>4018</v>
      </c>
      <c r="B60" t="s">
        <v>4250</v>
      </c>
      <c r="C60" t="s">
        <v>3891</v>
      </c>
      <c r="D60" t="s">
        <v>3879</v>
      </c>
      <c r="E60" t="s">
        <v>3892</v>
      </c>
      <c r="F60" t="s">
        <v>327</v>
      </c>
      <c r="G60" t="str">
        <f>IF($F60="","",IFERROR(INDEX(airports!$E:$E,MATCH($F60,airports!$A:$A,0)),"Not in airports"))</f>
        <v>Addis Ababa Bole International Airport</v>
      </c>
      <c r="H60" s="5">
        <v>79010</v>
      </c>
      <c r="I60">
        <v>189</v>
      </c>
      <c r="J60" t="s">
        <v>108</v>
      </c>
      <c r="K60">
        <v>35078</v>
      </c>
      <c r="L60" t="s">
        <v>3830</v>
      </c>
      <c r="M60" t="b">
        <v>1</v>
      </c>
      <c r="N60" t="s">
        <v>4010</v>
      </c>
      <c r="S60" s="23" t="str">
        <f t="shared" si="0"/>
        <v/>
      </c>
      <c r="T60" t="str">
        <f>IF($N60="","",IFERROR(INDEX(Operators!$B:$B,MATCH($N60,Operators!$A:$A,0))&amp;"","UNKNOWN OPERATOR ID"))</f>
        <v/>
      </c>
      <c r="U60" t="str">
        <f>IF($N60="","",IFERROR(INDEX(Operators!$C:$C,MATCH($N60,Operators!$A:$A,0))&amp;"","UNKNOWN OPERATOR ID"))</f>
        <v/>
      </c>
      <c r="V60" t="str">
        <f>IF($N60="","",IFERROR(INDEX(Operators!$D:$D,MATCH($N60,Operators!$A:$A,0))&amp;"","UNKNOWN OPERATOR ID"))</f>
        <v/>
      </c>
      <c r="W60" t="str">
        <f>IF($N60="","",IFERROR(INDEX(Operators!$E:$E,MATCH($N60,Operators!$A:$A,0))&amp;"","UNKNOWN OPERATOR ID"))</f>
        <v/>
      </c>
      <c r="X60" t="str">
        <f>IF($N60="","",IFERROR(INDEX(Operators!$G:$G,MATCH($N60,Operators!$A:$A,0))&amp;"","UNKNOWN OPERATOR ID"))</f>
        <v/>
      </c>
      <c r="Y60" t="str">
        <f>IF($N60="","",IFERROR(INDEX(Operators!$H:$H,MATCH($N60,Operators!$A:$A,0))&amp;"","UNKNOWN OPERATOR ID"))</f>
        <v/>
      </c>
      <c r="Z60" t="str">
        <f>IF($N60="","",IFERROR(INDEX(Operators!$T:$T,MATCH($N60,Operators!$A:$A,0))&amp;"","UNKNOWN OPERATOR ID"))</f>
        <v>ACTIVE</v>
      </c>
      <c r="AA60" t="str">
        <f>IF($N60="","",IFERROR(INDEX(Operators!$N:$N,MATCH($N60,Operators!$A:$A,0))&amp;"","UNKNOWN OPERATOR ID"))</f>
        <v/>
      </c>
      <c r="AB60" t="str">
        <f>IF($N60="","",IFERROR(INDEX(Operators!$K:$K,MATCH($N60,Operators!$A:$A,0))&amp;"","UNKNOWN OPERATOR ID"))</f>
        <v/>
      </c>
      <c r="AC60" t="str">
        <f>IF($N60="","",IFERROR(INDEX(Operators!$M:$M,MATCH($N60,Operators!$A:$A,0))&amp;"","UNKNOWN OPERATOR ID"))</f>
        <v/>
      </c>
      <c r="AD60" s="1" t="str">
        <f>IF($B60="","",IF($N60="","OPERATOR MISSING",IF(COUNTIF(Operators!$A:$A,$N60)=0,"UNKNOWN OPERATOR ID",IF($T60="","OPERATOR NAME REQUIRED","OK"))))</f>
        <v>OPERATOR NAME REQUIRED</v>
      </c>
      <c r="AE60">
        <f>IF($B60="","",COUNTIFS('FLEET DOCUMENTS'!$C$5:$C$60,$B60))</f>
        <v>0</v>
      </c>
      <c r="AF60">
        <f>IF($B60="","",COUNTIFS('FLEET DOCUMENTS'!$C$5:$C$60,$B60,'FLEET DOCUMENTS'!$S$5:$S$60,"EXPIRED"))</f>
        <v>0</v>
      </c>
      <c r="AG60">
        <f>IF($B60="","",COUNTIFS('FLEET DOCUMENTS'!$C$5:$C$60,$B60,'FLEET DOCUMENTS'!$S$5:$S$60,"EXPIRES WITHIN 90 DAYS")+COUNTIFS('FLEET DOCUMENTS'!$C$5:$C$60,$B60,'FLEET DOCUMENTS'!$S$5:$S$60,"EXPIRES WITHIN 30 DAYS"))</f>
        <v>0</v>
      </c>
      <c r="AH60" s="72">
        <f>IF($B60="","",IFERROR(_xlfn.MINIFS('FLEET DOCUMENTS'!$J$5:$J$60,'FLEET DOCUMENTS'!$C$5:$C$60,$B60),""))</f>
        <v>0</v>
      </c>
    </row>
    <row r="61" spans="1:34" x14ac:dyDescent="0.3">
      <c r="A61" t="s">
        <v>4019</v>
      </c>
      <c r="B61" t="s">
        <v>4251</v>
      </c>
      <c r="C61" t="s">
        <v>3950</v>
      </c>
      <c r="D61" t="s">
        <v>3904</v>
      </c>
      <c r="E61" t="s">
        <v>3951</v>
      </c>
      <c r="F61" t="s">
        <v>327</v>
      </c>
      <c r="G61" t="str">
        <f>IF($F61="","",IFERROR(INDEX(airports!$E:$E,MATCH($F61,airports!$A:$A,0)),"Not in airports"))</f>
        <v>Addis Ababa Bole International Airport</v>
      </c>
      <c r="H61" s="5">
        <v>280000</v>
      </c>
      <c r="I61">
        <v>350</v>
      </c>
      <c r="J61" t="s">
        <v>108</v>
      </c>
      <c r="K61">
        <v>89</v>
      </c>
      <c r="L61" t="s">
        <v>3830</v>
      </c>
      <c r="M61" t="b">
        <v>1</v>
      </c>
      <c r="N61" t="s">
        <v>4010</v>
      </c>
      <c r="S61" s="23" t="str">
        <f t="shared" si="0"/>
        <v/>
      </c>
      <c r="T61" t="str">
        <f>IF($N61="","",IFERROR(INDEX(Operators!$B:$B,MATCH($N61,Operators!$A:$A,0))&amp;"","UNKNOWN OPERATOR ID"))</f>
        <v/>
      </c>
      <c r="U61" t="str">
        <f>IF($N61="","",IFERROR(INDEX(Operators!$C:$C,MATCH($N61,Operators!$A:$A,0))&amp;"","UNKNOWN OPERATOR ID"))</f>
        <v/>
      </c>
      <c r="V61" t="str">
        <f>IF($N61="","",IFERROR(INDEX(Operators!$D:$D,MATCH($N61,Operators!$A:$A,0))&amp;"","UNKNOWN OPERATOR ID"))</f>
        <v/>
      </c>
      <c r="W61" t="str">
        <f>IF($N61="","",IFERROR(INDEX(Operators!$E:$E,MATCH($N61,Operators!$A:$A,0))&amp;"","UNKNOWN OPERATOR ID"))</f>
        <v/>
      </c>
      <c r="X61" t="str">
        <f>IF($N61="","",IFERROR(INDEX(Operators!$G:$G,MATCH($N61,Operators!$A:$A,0))&amp;"","UNKNOWN OPERATOR ID"))</f>
        <v/>
      </c>
      <c r="Y61" t="str">
        <f>IF($N61="","",IFERROR(INDEX(Operators!$H:$H,MATCH($N61,Operators!$A:$A,0))&amp;"","UNKNOWN OPERATOR ID"))</f>
        <v/>
      </c>
      <c r="Z61" t="str">
        <f>IF($N61="","",IFERROR(INDEX(Operators!$T:$T,MATCH($N61,Operators!$A:$A,0))&amp;"","UNKNOWN OPERATOR ID"))</f>
        <v>ACTIVE</v>
      </c>
      <c r="AA61" t="str">
        <f>IF($N61="","",IFERROR(INDEX(Operators!$N:$N,MATCH($N61,Operators!$A:$A,0))&amp;"","UNKNOWN OPERATOR ID"))</f>
        <v/>
      </c>
      <c r="AB61" t="str">
        <f>IF($N61="","",IFERROR(INDEX(Operators!$K:$K,MATCH($N61,Operators!$A:$A,0))&amp;"","UNKNOWN OPERATOR ID"))</f>
        <v/>
      </c>
      <c r="AC61" t="str">
        <f>IF($N61="","",IFERROR(INDEX(Operators!$M:$M,MATCH($N61,Operators!$A:$A,0))&amp;"","UNKNOWN OPERATOR ID"))</f>
        <v/>
      </c>
      <c r="AD61" s="1" t="str">
        <f>IF($B61="","",IF($N61="","OPERATOR MISSING",IF(COUNTIF(Operators!$A:$A,$N61)=0,"UNKNOWN OPERATOR ID",IF($T61="","OPERATOR NAME REQUIRED","OK"))))</f>
        <v>OPERATOR NAME REQUIRED</v>
      </c>
      <c r="AE61">
        <f>IF($B61="","",COUNTIFS('FLEET DOCUMENTS'!$C$5:$C$60,$B61))</f>
        <v>0</v>
      </c>
      <c r="AF61">
        <f>IF($B61="","",COUNTIFS('FLEET DOCUMENTS'!$C$5:$C$60,$B61,'FLEET DOCUMENTS'!$S$5:$S$60,"EXPIRED"))</f>
        <v>0</v>
      </c>
      <c r="AG61">
        <f>IF($B61="","",COUNTIFS('FLEET DOCUMENTS'!$C$5:$C$60,$B61,'FLEET DOCUMENTS'!$S$5:$S$60,"EXPIRES WITHIN 90 DAYS")+COUNTIFS('FLEET DOCUMENTS'!$C$5:$C$60,$B61,'FLEET DOCUMENTS'!$S$5:$S$60,"EXPIRES WITHIN 30 DAYS"))</f>
        <v>0</v>
      </c>
      <c r="AH61" s="72">
        <f>IF($B61="","",IFERROR(_xlfn.MINIFS('FLEET DOCUMENTS'!$J$5:$J$60,'FLEET DOCUMENTS'!$C$5:$C$60,$B61),""))</f>
        <v>0</v>
      </c>
    </row>
    <row r="62" spans="1:34" x14ac:dyDescent="0.3">
      <c r="A62" t="s">
        <v>4020</v>
      </c>
      <c r="B62" t="s">
        <v>4252</v>
      </c>
      <c r="C62" t="s">
        <v>3872</v>
      </c>
      <c r="D62" t="s">
        <v>3873</v>
      </c>
      <c r="E62" t="s">
        <v>3874</v>
      </c>
      <c r="F62" t="s">
        <v>327</v>
      </c>
      <c r="G62" t="str">
        <f>IF($F62="","",IFERROR(INDEX(airports!$E:$E,MATCH($F62,airports!$A:$A,0)),"Not in airports"))</f>
        <v>Addis Ababa Bole International Airport</v>
      </c>
      <c r="H62" s="5">
        <v>29260</v>
      </c>
      <c r="I62">
        <v>90</v>
      </c>
      <c r="J62" t="s">
        <v>108</v>
      </c>
      <c r="K62">
        <v>4312</v>
      </c>
      <c r="L62" t="s">
        <v>3830</v>
      </c>
      <c r="M62" t="b">
        <v>1</v>
      </c>
      <c r="N62" t="s">
        <v>4010</v>
      </c>
      <c r="S62" s="23" t="str">
        <f t="shared" si="0"/>
        <v/>
      </c>
      <c r="T62" t="str">
        <f>IF($N62="","",IFERROR(INDEX(Operators!$B:$B,MATCH($N62,Operators!$A:$A,0))&amp;"","UNKNOWN OPERATOR ID"))</f>
        <v/>
      </c>
      <c r="U62" t="str">
        <f>IF($N62="","",IFERROR(INDEX(Operators!$C:$C,MATCH($N62,Operators!$A:$A,0))&amp;"","UNKNOWN OPERATOR ID"))</f>
        <v/>
      </c>
      <c r="V62" t="str">
        <f>IF($N62="","",IFERROR(INDEX(Operators!$D:$D,MATCH($N62,Operators!$A:$A,0))&amp;"","UNKNOWN OPERATOR ID"))</f>
        <v/>
      </c>
      <c r="W62" t="str">
        <f>IF($N62="","",IFERROR(INDEX(Operators!$E:$E,MATCH($N62,Operators!$A:$A,0))&amp;"","UNKNOWN OPERATOR ID"))</f>
        <v/>
      </c>
      <c r="X62" t="str">
        <f>IF($N62="","",IFERROR(INDEX(Operators!$G:$G,MATCH($N62,Operators!$A:$A,0))&amp;"","UNKNOWN OPERATOR ID"))</f>
        <v/>
      </c>
      <c r="Y62" t="str">
        <f>IF($N62="","",IFERROR(INDEX(Operators!$H:$H,MATCH($N62,Operators!$A:$A,0))&amp;"","UNKNOWN OPERATOR ID"))</f>
        <v/>
      </c>
      <c r="Z62" t="str">
        <f>IF($N62="","",IFERROR(INDEX(Operators!$T:$T,MATCH($N62,Operators!$A:$A,0))&amp;"","UNKNOWN OPERATOR ID"))</f>
        <v>ACTIVE</v>
      </c>
      <c r="AA62" t="str">
        <f>IF($N62="","",IFERROR(INDEX(Operators!$N:$N,MATCH($N62,Operators!$A:$A,0))&amp;"","UNKNOWN OPERATOR ID"))</f>
        <v/>
      </c>
      <c r="AB62" t="str">
        <f>IF($N62="","",IFERROR(INDEX(Operators!$K:$K,MATCH($N62,Operators!$A:$A,0))&amp;"","UNKNOWN OPERATOR ID"))</f>
        <v/>
      </c>
      <c r="AC62" t="str">
        <f>IF($N62="","",IFERROR(INDEX(Operators!$M:$M,MATCH($N62,Operators!$A:$A,0))&amp;"","UNKNOWN OPERATOR ID"))</f>
        <v/>
      </c>
      <c r="AD62" s="1" t="str">
        <f>IF($B62="","",IF($N62="","OPERATOR MISSING",IF(COUNTIF(Operators!$A:$A,$N62)=0,"UNKNOWN OPERATOR ID",IF($T62="","OPERATOR NAME REQUIRED","OK"))))</f>
        <v>OPERATOR NAME REQUIRED</v>
      </c>
      <c r="AE62">
        <f>IF($B62="","",COUNTIFS('FLEET DOCUMENTS'!$C$5:$C$60,$B62))</f>
        <v>0</v>
      </c>
      <c r="AF62">
        <f>IF($B62="","",COUNTIFS('FLEET DOCUMENTS'!$C$5:$C$60,$B62,'FLEET DOCUMENTS'!$S$5:$S$60,"EXPIRED"))</f>
        <v>0</v>
      </c>
      <c r="AG62">
        <f>IF($B62="","",COUNTIFS('FLEET DOCUMENTS'!$C$5:$C$60,$B62,'FLEET DOCUMENTS'!$S$5:$S$60,"EXPIRES WITHIN 90 DAYS")+COUNTIFS('FLEET DOCUMENTS'!$C$5:$C$60,$B62,'FLEET DOCUMENTS'!$S$5:$S$60,"EXPIRES WITHIN 30 DAYS"))</f>
        <v>0</v>
      </c>
      <c r="AH62" s="72">
        <f>IF($B62="","",IFERROR(_xlfn.MINIFS('FLEET DOCUMENTS'!$J$5:$J$60,'FLEET DOCUMENTS'!$C$5:$C$60,$B62),""))</f>
        <v>0</v>
      </c>
    </row>
    <row r="63" spans="1:34" x14ac:dyDescent="0.3">
      <c r="A63" t="s">
        <v>4021</v>
      </c>
      <c r="B63" t="s">
        <v>4253</v>
      </c>
      <c r="C63" t="s">
        <v>3891</v>
      </c>
      <c r="D63" t="s">
        <v>3879</v>
      </c>
      <c r="E63" t="s">
        <v>3892</v>
      </c>
      <c r="F63" t="s">
        <v>327</v>
      </c>
      <c r="G63" t="str">
        <f>IF($F63="","",IFERROR(INDEX(airports!$E:$E,MATCH($F63,airports!$A:$A,0)),"Not in airports"))</f>
        <v>Addis Ababa Bole International Airport</v>
      </c>
      <c r="H63" s="5">
        <v>79010</v>
      </c>
      <c r="I63">
        <v>189</v>
      </c>
      <c r="J63" t="s">
        <v>108</v>
      </c>
      <c r="K63">
        <v>35089</v>
      </c>
      <c r="L63" t="s">
        <v>3830</v>
      </c>
      <c r="M63" t="b">
        <v>1</v>
      </c>
      <c r="N63" t="s">
        <v>4010</v>
      </c>
      <c r="S63" s="23" t="str">
        <f t="shared" si="0"/>
        <v/>
      </c>
      <c r="T63" t="str">
        <f>IF($N63="","",IFERROR(INDEX(Operators!$B:$B,MATCH($N63,Operators!$A:$A,0))&amp;"","UNKNOWN OPERATOR ID"))</f>
        <v/>
      </c>
      <c r="U63" t="str">
        <f>IF($N63="","",IFERROR(INDEX(Operators!$C:$C,MATCH($N63,Operators!$A:$A,0))&amp;"","UNKNOWN OPERATOR ID"))</f>
        <v/>
      </c>
      <c r="V63" t="str">
        <f>IF($N63="","",IFERROR(INDEX(Operators!$D:$D,MATCH($N63,Operators!$A:$A,0))&amp;"","UNKNOWN OPERATOR ID"))</f>
        <v/>
      </c>
      <c r="W63" t="str">
        <f>IF($N63="","",IFERROR(INDEX(Operators!$E:$E,MATCH($N63,Operators!$A:$A,0))&amp;"","UNKNOWN OPERATOR ID"))</f>
        <v/>
      </c>
      <c r="X63" t="str">
        <f>IF($N63="","",IFERROR(INDEX(Operators!$G:$G,MATCH($N63,Operators!$A:$A,0))&amp;"","UNKNOWN OPERATOR ID"))</f>
        <v/>
      </c>
      <c r="Y63" t="str">
        <f>IF($N63="","",IFERROR(INDEX(Operators!$H:$H,MATCH($N63,Operators!$A:$A,0))&amp;"","UNKNOWN OPERATOR ID"))</f>
        <v/>
      </c>
      <c r="Z63" t="str">
        <f>IF($N63="","",IFERROR(INDEX(Operators!$T:$T,MATCH($N63,Operators!$A:$A,0))&amp;"","UNKNOWN OPERATOR ID"))</f>
        <v>ACTIVE</v>
      </c>
      <c r="AA63" t="str">
        <f>IF($N63="","",IFERROR(INDEX(Operators!$N:$N,MATCH($N63,Operators!$A:$A,0))&amp;"","UNKNOWN OPERATOR ID"))</f>
        <v/>
      </c>
      <c r="AB63" t="str">
        <f>IF($N63="","",IFERROR(INDEX(Operators!$K:$K,MATCH($N63,Operators!$A:$A,0))&amp;"","UNKNOWN OPERATOR ID"))</f>
        <v/>
      </c>
      <c r="AC63" t="str">
        <f>IF($N63="","",IFERROR(INDEX(Operators!$M:$M,MATCH($N63,Operators!$A:$A,0))&amp;"","UNKNOWN OPERATOR ID"))</f>
        <v/>
      </c>
      <c r="AD63" s="1" t="str">
        <f>IF($B63="","",IF($N63="","OPERATOR MISSING",IF(COUNTIF(Operators!$A:$A,$N63)=0,"UNKNOWN OPERATOR ID",IF($T63="","OPERATOR NAME REQUIRED","OK"))))</f>
        <v>OPERATOR NAME REQUIRED</v>
      </c>
      <c r="AE63">
        <f>IF($B63="","",COUNTIFS('FLEET DOCUMENTS'!$C$5:$C$60,$B63))</f>
        <v>0</v>
      </c>
      <c r="AF63">
        <f>IF($B63="","",COUNTIFS('FLEET DOCUMENTS'!$C$5:$C$60,$B63,'FLEET DOCUMENTS'!$S$5:$S$60,"EXPIRED"))</f>
        <v>0</v>
      </c>
      <c r="AG63">
        <f>IF($B63="","",COUNTIFS('FLEET DOCUMENTS'!$C$5:$C$60,$B63,'FLEET DOCUMENTS'!$S$5:$S$60,"EXPIRES WITHIN 90 DAYS")+COUNTIFS('FLEET DOCUMENTS'!$C$5:$C$60,$B63,'FLEET DOCUMENTS'!$S$5:$S$60,"EXPIRES WITHIN 30 DAYS"))</f>
        <v>0</v>
      </c>
      <c r="AH63" s="72">
        <f>IF($B63="","",IFERROR(_xlfn.MINIFS('FLEET DOCUMENTS'!$J$5:$J$60,'FLEET DOCUMENTS'!$C$5:$C$60,$B63),""))</f>
        <v>0</v>
      </c>
    </row>
    <row r="64" spans="1:34" x14ac:dyDescent="0.3">
      <c r="A64" t="s">
        <v>4022</v>
      </c>
      <c r="B64" t="s">
        <v>4254</v>
      </c>
      <c r="C64" t="s">
        <v>3918</v>
      </c>
      <c r="D64" t="s">
        <v>3879</v>
      </c>
      <c r="E64" t="s">
        <v>3919</v>
      </c>
      <c r="F64" t="s">
        <v>327</v>
      </c>
      <c r="G64" t="str">
        <f>IF($F64="","",IFERROR(INDEX(airports!$E:$E,MATCH($F64,airports!$A:$A,0)),"Not in airports"))</f>
        <v>Addis Ababa Bole International Airport</v>
      </c>
      <c r="H64" s="5">
        <v>351534</v>
      </c>
      <c r="I64">
        <v>396</v>
      </c>
      <c r="J64" t="s">
        <v>108</v>
      </c>
      <c r="K64">
        <v>38772</v>
      </c>
      <c r="L64" t="s">
        <v>3830</v>
      </c>
      <c r="M64" t="b">
        <v>1</v>
      </c>
      <c r="N64" t="s">
        <v>4010</v>
      </c>
      <c r="S64" s="23" t="str">
        <f t="shared" si="0"/>
        <v/>
      </c>
      <c r="T64" t="str">
        <f>IF($N64="","",IFERROR(INDEX(Operators!$B:$B,MATCH($N64,Operators!$A:$A,0))&amp;"","UNKNOWN OPERATOR ID"))</f>
        <v/>
      </c>
      <c r="U64" t="str">
        <f>IF($N64="","",IFERROR(INDEX(Operators!$C:$C,MATCH($N64,Operators!$A:$A,0))&amp;"","UNKNOWN OPERATOR ID"))</f>
        <v/>
      </c>
      <c r="V64" t="str">
        <f>IF($N64="","",IFERROR(INDEX(Operators!$D:$D,MATCH($N64,Operators!$A:$A,0))&amp;"","UNKNOWN OPERATOR ID"))</f>
        <v/>
      </c>
      <c r="W64" t="str">
        <f>IF($N64="","",IFERROR(INDEX(Operators!$E:$E,MATCH($N64,Operators!$A:$A,0))&amp;"","UNKNOWN OPERATOR ID"))</f>
        <v/>
      </c>
      <c r="X64" t="str">
        <f>IF($N64="","",IFERROR(INDEX(Operators!$G:$G,MATCH($N64,Operators!$A:$A,0))&amp;"","UNKNOWN OPERATOR ID"))</f>
        <v/>
      </c>
      <c r="Y64" t="str">
        <f>IF($N64="","",IFERROR(INDEX(Operators!$H:$H,MATCH($N64,Operators!$A:$A,0))&amp;"","UNKNOWN OPERATOR ID"))</f>
        <v/>
      </c>
      <c r="Z64" t="str">
        <f>IF($N64="","",IFERROR(INDEX(Operators!$T:$T,MATCH($N64,Operators!$A:$A,0))&amp;"","UNKNOWN OPERATOR ID"))</f>
        <v>ACTIVE</v>
      </c>
      <c r="AA64" t="str">
        <f>IF($N64="","",IFERROR(INDEX(Operators!$N:$N,MATCH($N64,Operators!$A:$A,0))&amp;"","UNKNOWN OPERATOR ID"))</f>
        <v/>
      </c>
      <c r="AB64" t="str">
        <f>IF($N64="","",IFERROR(INDEX(Operators!$K:$K,MATCH($N64,Operators!$A:$A,0))&amp;"","UNKNOWN OPERATOR ID"))</f>
        <v/>
      </c>
      <c r="AC64" t="str">
        <f>IF($N64="","",IFERROR(INDEX(Operators!$M:$M,MATCH($N64,Operators!$A:$A,0))&amp;"","UNKNOWN OPERATOR ID"))</f>
        <v/>
      </c>
      <c r="AD64" s="1" t="str">
        <f>IF($B64="","",IF($N64="","OPERATOR MISSING",IF(COUNTIF(Operators!$A:$A,$N64)=0,"UNKNOWN OPERATOR ID",IF($T64="","OPERATOR NAME REQUIRED","OK"))))</f>
        <v>OPERATOR NAME REQUIRED</v>
      </c>
      <c r="AE64">
        <f>IF($B64="","",COUNTIFS('FLEET DOCUMENTS'!$C$5:$C$60,$B64))</f>
        <v>0</v>
      </c>
      <c r="AF64">
        <f>IF($B64="","",COUNTIFS('FLEET DOCUMENTS'!$C$5:$C$60,$B64,'FLEET DOCUMENTS'!$S$5:$S$60,"EXPIRED"))</f>
        <v>0</v>
      </c>
      <c r="AG64">
        <f>IF($B64="","",COUNTIFS('FLEET DOCUMENTS'!$C$5:$C$60,$B64,'FLEET DOCUMENTS'!$S$5:$S$60,"EXPIRES WITHIN 90 DAYS")+COUNTIFS('FLEET DOCUMENTS'!$C$5:$C$60,$B64,'FLEET DOCUMENTS'!$S$5:$S$60,"EXPIRES WITHIN 30 DAYS"))</f>
        <v>0</v>
      </c>
      <c r="AH64" s="72">
        <f>IF($B64="","",IFERROR(_xlfn.MINIFS('FLEET DOCUMENTS'!$J$5:$J$60,'FLEET DOCUMENTS'!$C$5:$C$60,$B64),""))</f>
        <v>0</v>
      </c>
    </row>
    <row r="65" spans="1:34" x14ac:dyDescent="0.3">
      <c r="A65" t="s">
        <v>4023</v>
      </c>
      <c r="B65" t="s">
        <v>4255</v>
      </c>
      <c r="C65" t="s">
        <v>3997</v>
      </c>
      <c r="D65" t="s">
        <v>3981</v>
      </c>
      <c r="E65" t="s">
        <v>3998</v>
      </c>
      <c r="F65" t="s">
        <v>4024</v>
      </c>
      <c r="G65" t="str">
        <f>IF($F65="","",IFERROR(INDEX(airports!$E:$E,MATCH($F65,airports!$A:$A,0)),"Not in airports"))</f>
        <v>London Luton Airport</v>
      </c>
      <c r="H65" s="5">
        <v>45178</v>
      </c>
      <c r="I65">
        <v>19</v>
      </c>
      <c r="J65" t="s">
        <v>108</v>
      </c>
      <c r="K65">
        <v>6312</v>
      </c>
      <c r="L65" t="s">
        <v>3830</v>
      </c>
      <c r="M65" t="b">
        <v>1</v>
      </c>
      <c r="N65" t="s">
        <v>4025</v>
      </c>
      <c r="S65" s="23" t="str">
        <f t="shared" si="0"/>
        <v/>
      </c>
      <c r="T65" t="str">
        <f>IF($N65="","",IFERROR(INDEX(Operators!$B:$B,MATCH($N65,Operators!$A:$A,0))&amp;"","UNKNOWN OPERATOR ID"))</f>
        <v/>
      </c>
      <c r="U65" t="str">
        <f>IF($N65="","",IFERROR(INDEX(Operators!$C:$C,MATCH($N65,Operators!$A:$A,0))&amp;"","UNKNOWN OPERATOR ID"))</f>
        <v/>
      </c>
      <c r="V65" t="str">
        <f>IF($N65="","",IFERROR(INDEX(Operators!$D:$D,MATCH($N65,Operators!$A:$A,0))&amp;"","UNKNOWN OPERATOR ID"))</f>
        <v/>
      </c>
      <c r="W65" t="str">
        <f>IF($N65="","",IFERROR(INDEX(Operators!$E:$E,MATCH($N65,Operators!$A:$A,0))&amp;"","UNKNOWN OPERATOR ID"))</f>
        <v/>
      </c>
      <c r="X65" t="str">
        <f>IF($N65="","",IFERROR(INDEX(Operators!$G:$G,MATCH($N65,Operators!$A:$A,0))&amp;"","UNKNOWN OPERATOR ID"))</f>
        <v/>
      </c>
      <c r="Y65" t="str">
        <f>IF($N65="","",IFERROR(INDEX(Operators!$H:$H,MATCH($N65,Operators!$A:$A,0))&amp;"","UNKNOWN OPERATOR ID"))</f>
        <v/>
      </c>
      <c r="Z65" t="str">
        <f>IF($N65="","",IFERROR(INDEX(Operators!$T:$T,MATCH($N65,Operators!$A:$A,0))&amp;"","UNKNOWN OPERATOR ID"))</f>
        <v>ACTIVE</v>
      </c>
      <c r="AA65" t="str">
        <f>IF($N65="","",IFERROR(INDEX(Operators!$N:$N,MATCH($N65,Operators!$A:$A,0))&amp;"","UNKNOWN OPERATOR ID"))</f>
        <v/>
      </c>
      <c r="AB65" t="str">
        <f>IF($N65="","",IFERROR(INDEX(Operators!$K:$K,MATCH($N65,Operators!$A:$A,0))&amp;"","UNKNOWN OPERATOR ID"))</f>
        <v/>
      </c>
      <c r="AC65" t="str">
        <f>IF($N65="","",IFERROR(INDEX(Operators!$M:$M,MATCH($N65,Operators!$A:$A,0))&amp;"","UNKNOWN OPERATOR ID"))</f>
        <v/>
      </c>
      <c r="AD65" s="1" t="str">
        <f>IF($B65="","",IF($N65="","OPERATOR MISSING",IF(COUNTIF(Operators!$A:$A,$N65)=0,"UNKNOWN OPERATOR ID",IF($T65="","OPERATOR NAME REQUIRED","OK"))))</f>
        <v>OPERATOR NAME REQUIRED</v>
      </c>
      <c r="AE65">
        <f>IF($B65="","",COUNTIFS('FLEET DOCUMENTS'!$C$5:$C$60,$B65))</f>
        <v>0</v>
      </c>
      <c r="AF65">
        <f>IF($B65="","",COUNTIFS('FLEET DOCUMENTS'!$C$5:$C$60,$B65,'FLEET DOCUMENTS'!$S$5:$S$60,"EXPIRED"))</f>
        <v>0</v>
      </c>
      <c r="AG65">
        <f>IF($B65="","",COUNTIFS('FLEET DOCUMENTS'!$C$5:$C$60,$B65,'FLEET DOCUMENTS'!$S$5:$S$60,"EXPIRES WITHIN 90 DAYS")+COUNTIFS('FLEET DOCUMENTS'!$C$5:$C$60,$B65,'FLEET DOCUMENTS'!$S$5:$S$60,"EXPIRES WITHIN 30 DAYS"))</f>
        <v>0</v>
      </c>
      <c r="AH65" s="72">
        <f>IF($B65="","",IFERROR(_xlfn.MINIFS('FLEET DOCUMENTS'!$J$5:$J$60,'FLEET DOCUMENTS'!$C$5:$C$60,$B65),""))</f>
        <v>0</v>
      </c>
    </row>
    <row r="66" spans="1:34" x14ac:dyDescent="0.3">
      <c r="A66" t="s">
        <v>4026</v>
      </c>
      <c r="B66" t="s">
        <v>4256</v>
      </c>
      <c r="C66" t="s">
        <v>3980</v>
      </c>
      <c r="D66" t="s">
        <v>3981</v>
      </c>
      <c r="E66" t="s">
        <v>3982</v>
      </c>
      <c r="F66" t="s">
        <v>4024</v>
      </c>
      <c r="G66" t="str">
        <f>IF($F66="","",IFERROR(INDEX(airports!$E:$E,MATCH($F66,airports!$A:$A,0)),"Not in airports"))</f>
        <v>London Luton Airport</v>
      </c>
      <c r="H66" s="5">
        <v>41277</v>
      </c>
      <c r="I66">
        <v>19</v>
      </c>
      <c r="J66" t="s">
        <v>108</v>
      </c>
      <c r="K66">
        <v>5501</v>
      </c>
      <c r="L66" t="s">
        <v>3830</v>
      </c>
      <c r="M66" t="b">
        <v>1</v>
      </c>
      <c r="N66" t="s">
        <v>4027</v>
      </c>
      <c r="S66" s="23" t="str">
        <f t="shared" si="0"/>
        <v/>
      </c>
      <c r="T66" t="str">
        <f>IF($N66="","",IFERROR(INDEX(Operators!$B:$B,MATCH($N66,Operators!$A:$A,0))&amp;"","UNKNOWN OPERATOR ID"))</f>
        <v/>
      </c>
      <c r="U66" t="str">
        <f>IF($N66="","",IFERROR(INDEX(Operators!$C:$C,MATCH($N66,Operators!$A:$A,0))&amp;"","UNKNOWN OPERATOR ID"))</f>
        <v/>
      </c>
      <c r="V66" t="str">
        <f>IF($N66="","",IFERROR(INDEX(Operators!$D:$D,MATCH($N66,Operators!$A:$A,0))&amp;"","UNKNOWN OPERATOR ID"))</f>
        <v/>
      </c>
      <c r="W66" t="str">
        <f>IF($N66="","",IFERROR(INDEX(Operators!$E:$E,MATCH($N66,Operators!$A:$A,0))&amp;"","UNKNOWN OPERATOR ID"))</f>
        <v/>
      </c>
      <c r="X66" t="str">
        <f>IF($N66="","",IFERROR(INDEX(Operators!$G:$G,MATCH($N66,Operators!$A:$A,0))&amp;"","UNKNOWN OPERATOR ID"))</f>
        <v/>
      </c>
      <c r="Y66" t="str">
        <f>IF($N66="","",IFERROR(INDEX(Operators!$H:$H,MATCH($N66,Operators!$A:$A,0))&amp;"","UNKNOWN OPERATOR ID"))</f>
        <v/>
      </c>
      <c r="Z66" t="str">
        <f>IF($N66="","",IFERROR(INDEX(Operators!$T:$T,MATCH($N66,Operators!$A:$A,0))&amp;"","UNKNOWN OPERATOR ID"))</f>
        <v>ACTIVE</v>
      </c>
      <c r="AA66" t="str">
        <f>IF($N66="","",IFERROR(INDEX(Operators!$N:$N,MATCH($N66,Operators!$A:$A,0))&amp;"","UNKNOWN OPERATOR ID"))</f>
        <v/>
      </c>
      <c r="AB66" t="str">
        <f>IF($N66="","",IFERROR(INDEX(Operators!$K:$K,MATCH($N66,Operators!$A:$A,0))&amp;"","UNKNOWN OPERATOR ID"))</f>
        <v/>
      </c>
      <c r="AC66" t="str">
        <f>IF($N66="","",IFERROR(INDEX(Operators!$M:$M,MATCH($N66,Operators!$A:$A,0))&amp;"","UNKNOWN OPERATOR ID"))</f>
        <v/>
      </c>
      <c r="AD66" s="1" t="str">
        <f>IF($B66="","",IF($N66="","OPERATOR MISSING",IF(COUNTIF(Operators!$A:$A,$N66)=0,"UNKNOWN OPERATOR ID",IF($T66="","OPERATOR NAME REQUIRED","OK"))))</f>
        <v>OPERATOR NAME REQUIRED</v>
      </c>
      <c r="AE66">
        <f>IF($B66="","",COUNTIFS('FLEET DOCUMENTS'!$C$5:$C$60,$B66))</f>
        <v>0</v>
      </c>
      <c r="AF66">
        <f>IF($B66="","",COUNTIFS('FLEET DOCUMENTS'!$C$5:$C$60,$B66,'FLEET DOCUMENTS'!$S$5:$S$60,"EXPIRED"))</f>
        <v>0</v>
      </c>
      <c r="AG66">
        <f>IF($B66="","",COUNTIFS('FLEET DOCUMENTS'!$C$5:$C$60,$B66,'FLEET DOCUMENTS'!$S$5:$S$60,"EXPIRES WITHIN 90 DAYS")+COUNTIFS('FLEET DOCUMENTS'!$C$5:$C$60,$B66,'FLEET DOCUMENTS'!$S$5:$S$60,"EXPIRES WITHIN 30 DAYS"))</f>
        <v>0</v>
      </c>
      <c r="AH66" s="72">
        <f>IF($B66="","",IFERROR(_xlfn.MINIFS('FLEET DOCUMENTS'!$J$5:$J$60,'FLEET DOCUMENTS'!$C$5:$C$60,$B66),""))</f>
        <v>0</v>
      </c>
    </row>
    <row r="67" spans="1:34" x14ac:dyDescent="0.3">
      <c r="A67" t="s">
        <v>4028</v>
      </c>
      <c r="B67" t="s">
        <v>4257</v>
      </c>
      <c r="C67" t="s">
        <v>4029</v>
      </c>
      <c r="D67" t="s">
        <v>4030</v>
      </c>
      <c r="E67" t="s">
        <v>4031</v>
      </c>
      <c r="F67" t="s">
        <v>4032</v>
      </c>
      <c r="G67" t="str">
        <f>IF($F67="","",IFERROR(INDEX(airports!$E:$E,MATCH($F67,airports!$A:$A,0)),"Not in airports"))</f>
        <v>Farnborough Airport</v>
      </c>
      <c r="H67" s="5">
        <v>33113</v>
      </c>
      <c r="I67">
        <v>19</v>
      </c>
      <c r="J67" t="s">
        <v>108</v>
      </c>
      <c r="K67">
        <v>456</v>
      </c>
      <c r="L67" t="s">
        <v>3830</v>
      </c>
      <c r="M67" t="b">
        <v>1</v>
      </c>
      <c r="N67" t="s">
        <v>4033</v>
      </c>
      <c r="S67" s="23" t="str">
        <f t="shared" ref="S67:S111" si="1">IF($B67="","",IF(COUNTIF($B$2:$B$111,$B67)&gt;1,"DUPLICATE REGISTRATION - verify",""))</f>
        <v/>
      </c>
      <c r="T67" t="str">
        <f>IF($N67="","",IFERROR(INDEX(Operators!$B:$B,MATCH($N67,Operators!$A:$A,0))&amp;"","UNKNOWN OPERATOR ID"))</f>
        <v/>
      </c>
      <c r="U67" t="str">
        <f>IF($N67="","",IFERROR(INDEX(Operators!$C:$C,MATCH($N67,Operators!$A:$A,0))&amp;"","UNKNOWN OPERATOR ID"))</f>
        <v/>
      </c>
      <c r="V67" t="str">
        <f>IF($N67="","",IFERROR(INDEX(Operators!$D:$D,MATCH($N67,Operators!$A:$A,0))&amp;"","UNKNOWN OPERATOR ID"))</f>
        <v/>
      </c>
      <c r="W67" t="str">
        <f>IF($N67="","",IFERROR(INDEX(Operators!$E:$E,MATCH($N67,Operators!$A:$A,0))&amp;"","UNKNOWN OPERATOR ID"))</f>
        <v/>
      </c>
      <c r="X67" t="str">
        <f>IF($N67="","",IFERROR(INDEX(Operators!$G:$G,MATCH($N67,Operators!$A:$A,0))&amp;"","UNKNOWN OPERATOR ID"))</f>
        <v/>
      </c>
      <c r="Y67" t="str">
        <f>IF($N67="","",IFERROR(INDEX(Operators!$H:$H,MATCH($N67,Operators!$A:$A,0))&amp;"","UNKNOWN OPERATOR ID"))</f>
        <v/>
      </c>
      <c r="Z67" t="str">
        <f>IF($N67="","",IFERROR(INDEX(Operators!$T:$T,MATCH($N67,Operators!$A:$A,0))&amp;"","UNKNOWN OPERATOR ID"))</f>
        <v>ACTIVE</v>
      </c>
      <c r="AA67" t="str">
        <f>IF($N67="","",IFERROR(INDEX(Operators!$N:$N,MATCH($N67,Operators!$A:$A,0))&amp;"","UNKNOWN OPERATOR ID"))</f>
        <v/>
      </c>
      <c r="AB67" t="str">
        <f>IF($N67="","",IFERROR(INDEX(Operators!$K:$K,MATCH($N67,Operators!$A:$A,0))&amp;"","UNKNOWN OPERATOR ID"))</f>
        <v/>
      </c>
      <c r="AC67" t="str">
        <f>IF($N67="","",IFERROR(INDEX(Operators!$M:$M,MATCH($N67,Operators!$A:$A,0))&amp;"","UNKNOWN OPERATOR ID"))</f>
        <v/>
      </c>
      <c r="AD67" s="1" t="str">
        <f>IF($B67="","",IF($N67="","OPERATOR MISSING",IF(COUNTIF(Operators!$A:$A,$N67)=0,"UNKNOWN OPERATOR ID",IF($T67="","OPERATOR NAME REQUIRED","OK"))))</f>
        <v>OPERATOR NAME REQUIRED</v>
      </c>
      <c r="AE67">
        <f>IF($B67="","",COUNTIFS('FLEET DOCUMENTS'!$C$5:$C$60,$B67))</f>
        <v>0</v>
      </c>
      <c r="AF67">
        <f>IF($B67="","",COUNTIFS('FLEET DOCUMENTS'!$C$5:$C$60,$B67,'FLEET DOCUMENTS'!$S$5:$S$60,"EXPIRED"))</f>
        <v>0</v>
      </c>
      <c r="AG67">
        <f>IF($B67="","",COUNTIFS('FLEET DOCUMENTS'!$C$5:$C$60,$B67,'FLEET DOCUMENTS'!$S$5:$S$60,"EXPIRES WITHIN 90 DAYS")+COUNTIFS('FLEET DOCUMENTS'!$C$5:$C$60,$B67,'FLEET DOCUMENTS'!$S$5:$S$60,"EXPIRES WITHIN 30 DAYS"))</f>
        <v>0</v>
      </c>
      <c r="AH67" s="72">
        <f>IF($B67="","",IFERROR(_xlfn.MINIFS('FLEET DOCUMENTS'!$J$5:$J$60,'FLEET DOCUMENTS'!$C$5:$C$60,$B67),""))</f>
        <v>0</v>
      </c>
    </row>
    <row r="68" spans="1:34" x14ac:dyDescent="0.3">
      <c r="A68" t="s">
        <v>4034</v>
      </c>
      <c r="B68" t="s">
        <v>4258</v>
      </c>
      <c r="C68" t="s">
        <v>3993</v>
      </c>
      <c r="D68" t="s">
        <v>3904</v>
      </c>
      <c r="E68" t="s">
        <v>3994</v>
      </c>
      <c r="F68" t="s">
        <v>4032</v>
      </c>
      <c r="G68" t="str">
        <f>IF($F68="","",IFERROR(INDEX(airports!$E:$E,MATCH($F68,airports!$A:$A,0)),"Not in airports"))</f>
        <v>Farnborough Airport</v>
      </c>
      <c r="H68" s="5">
        <v>75500</v>
      </c>
      <c r="I68">
        <v>39</v>
      </c>
      <c r="J68" t="s">
        <v>108</v>
      </c>
      <c r="K68">
        <v>3545</v>
      </c>
      <c r="L68" t="s">
        <v>3830</v>
      </c>
      <c r="M68" t="b">
        <v>1</v>
      </c>
      <c r="N68" t="s">
        <v>4035</v>
      </c>
      <c r="S68" s="23" t="str">
        <f t="shared" si="1"/>
        <v/>
      </c>
      <c r="T68" t="str">
        <f>IF($N68="","",IFERROR(INDEX(Operators!$B:$B,MATCH($N68,Operators!$A:$A,0))&amp;"","UNKNOWN OPERATOR ID"))</f>
        <v/>
      </c>
      <c r="U68" t="str">
        <f>IF($N68="","",IFERROR(INDEX(Operators!$C:$C,MATCH($N68,Operators!$A:$A,0))&amp;"","UNKNOWN OPERATOR ID"))</f>
        <v/>
      </c>
      <c r="V68" t="str">
        <f>IF($N68="","",IFERROR(INDEX(Operators!$D:$D,MATCH($N68,Operators!$A:$A,0))&amp;"","UNKNOWN OPERATOR ID"))</f>
        <v/>
      </c>
      <c r="W68" t="str">
        <f>IF($N68="","",IFERROR(INDEX(Operators!$E:$E,MATCH($N68,Operators!$A:$A,0))&amp;"","UNKNOWN OPERATOR ID"))</f>
        <v/>
      </c>
      <c r="X68" t="str">
        <f>IF($N68="","",IFERROR(INDEX(Operators!$G:$G,MATCH($N68,Operators!$A:$A,0))&amp;"","UNKNOWN OPERATOR ID"))</f>
        <v/>
      </c>
      <c r="Y68" t="str">
        <f>IF($N68="","",IFERROR(INDEX(Operators!$H:$H,MATCH($N68,Operators!$A:$A,0))&amp;"","UNKNOWN OPERATOR ID"))</f>
        <v/>
      </c>
      <c r="Z68" t="str">
        <f>IF($N68="","",IFERROR(INDEX(Operators!$T:$T,MATCH($N68,Operators!$A:$A,0))&amp;"","UNKNOWN OPERATOR ID"))</f>
        <v>ACTIVE</v>
      </c>
      <c r="AA68" t="str">
        <f>IF($N68="","",IFERROR(INDEX(Operators!$N:$N,MATCH($N68,Operators!$A:$A,0))&amp;"","UNKNOWN OPERATOR ID"))</f>
        <v/>
      </c>
      <c r="AB68" t="str">
        <f>IF($N68="","",IFERROR(INDEX(Operators!$K:$K,MATCH($N68,Operators!$A:$A,0))&amp;"","UNKNOWN OPERATOR ID"))</f>
        <v/>
      </c>
      <c r="AC68" t="str">
        <f>IF($N68="","",IFERROR(INDEX(Operators!$M:$M,MATCH($N68,Operators!$A:$A,0))&amp;"","UNKNOWN OPERATOR ID"))</f>
        <v/>
      </c>
      <c r="AD68" s="1" t="str">
        <f>IF($B68="","",IF($N68="","OPERATOR MISSING",IF(COUNTIF(Operators!$A:$A,$N68)=0,"UNKNOWN OPERATOR ID",IF($T68="","OPERATOR NAME REQUIRED","OK"))))</f>
        <v>OPERATOR NAME REQUIRED</v>
      </c>
      <c r="AE68">
        <f>IF($B68="","",COUNTIFS('FLEET DOCUMENTS'!$C$5:$C$60,$B68))</f>
        <v>0</v>
      </c>
      <c r="AF68">
        <f>IF($B68="","",COUNTIFS('FLEET DOCUMENTS'!$C$5:$C$60,$B68,'FLEET DOCUMENTS'!$S$5:$S$60,"EXPIRED"))</f>
        <v>0</v>
      </c>
      <c r="AG68">
        <f>IF($B68="","",COUNTIFS('FLEET DOCUMENTS'!$C$5:$C$60,$B68,'FLEET DOCUMENTS'!$S$5:$S$60,"EXPIRES WITHIN 90 DAYS")+COUNTIFS('FLEET DOCUMENTS'!$C$5:$C$60,$B68,'FLEET DOCUMENTS'!$S$5:$S$60,"EXPIRES WITHIN 30 DAYS"))</f>
        <v>0</v>
      </c>
      <c r="AH68" s="72">
        <f>IF($B68="","",IFERROR(_xlfn.MINIFS('FLEET DOCUMENTS'!$J$5:$J$60,'FLEET DOCUMENTS'!$C$5:$C$60,$B68),""))</f>
        <v>0</v>
      </c>
    </row>
    <row r="69" spans="1:34" x14ac:dyDescent="0.3">
      <c r="A69" t="s">
        <v>4036</v>
      </c>
      <c r="B69" t="s">
        <v>4259</v>
      </c>
      <c r="C69" t="s">
        <v>4037</v>
      </c>
      <c r="D69" t="s">
        <v>3925</v>
      </c>
      <c r="E69" t="s">
        <v>4038</v>
      </c>
      <c r="F69" t="s">
        <v>4032</v>
      </c>
      <c r="G69" t="str">
        <f>IF($F69="","",IFERROR(INDEX(airports!$E:$E,MATCH($F69,airports!$A:$A,0)),"Not in airports"))</f>
        <v>Farnborough Airport</v>
      </c>
      <c r="H69" s="5">
        <v>52157</v>
      </c>
      <c r="I69">
        <v>19</v>
      </c>
      <c r="J69" t="s">
        <v>108</v>
      </c>
      <c r="K69">
        <v>70034</v>
      </c>
      <c r="L69" t="s">
        <v>3830</v>
      </c>
      <c r="M69" t="b">
        <v>1</v>
      </c>
      <c r="N69" t="s">
        <v>4039</v>
      </c>
      <c r="S69" s="23" t="str">
        <f t="shared" si="1"/>
        <v/>
      </c>
      <c r="T69" t="str">
        <f>IF($N69="","",IFERROR(INDEX(Operators!$B:$B,MATCH($N69,Operators!$A:$A,0))&amp;"","UNKNOWN OPERATOR ID"))</f>
        <v/>
      </c>
      <c r="U69" t="str">
        <f>IF($N69="","",IFERROR(INDEX(Operators!$C:$C,MATCH($N69,Operators!$A:$A,0))&amp;"","UNKNOWN OPERATOR ID"))</f>
        <v/>
      </c>
      <c r="V69" t="str">
        <f>IF($N69="","",IFERROR(INDEX(Operators!$D:$D,MATCH($N69,Operators!$A:$A,0))&amp;"","UNKNOWN OPERATOR ID"))</f>
        <v/>
      </c>
      <c r="W69" t="str">
        <f>IF($N69="","",IFERROR(INDEX(Operators!$E:$E,MATCH($N69,Operators!$A:$A,0))&amp;"","UNKNOWN OPERATOR ID"))</f>
        <v/>
      </c>
      <c r="X69" t="str">
        <f>IF($N69="","",IFERROR(INDEX(Operators!$G:$G,MATCH($N69,Operators!$A:$A,0))&amp;"","UNKNOWN OPERATOR ID"))</f>
        <v/>
      </c>
      <c r="Y69" t="str">
        <f>IF($N69="","",IFERROR(INDEX(Operators!$H:$H,MATCH($N69,Operators!$A:$A,0))&amp;"","UNKNOWN OPERATOR ID"))</f>
        <v/>
      </c>
      <c r="Z69" t="str">
        <f>IF($N69="","",IFERROR(INDEX(Operators!$T:$T,MATCH($N69,Operators!$A:$A,0))&amp;"","UNKNOWN OPERATOR ID"))</f>
        <v>ACTIVE</v>
      </c>
      <c r="AA69" t="str">
        <f>IF($N69="","",IFERROR(INDEX(Operators!$N:$N,MATCH($N69,Operators!$A:$A,0))&amp;"","UNKNOWN OPERATOR ID"))</f>
        <v/>
      </c>
      <c r="AB69" t="str">
        <f>IF($N69="","",IFERROR(INDEX(Operators!$K:$K,MATCH($N69,Operators!$A:$A,0))&amp;"","UNKNOWN OPERATOR ID"))</f>
        <v/>
      </c>
      <c r="AC69" t="str">
        <f>IF($N69="","",IFERROR(INDEX(Operators!$M:$M,MATCH($N69,Operators!$A:$A,0))&amp;"","UNKNOWN OPERATOR ID"))</f>
        <v/>
      </c>
      <c r="AD69" s="1" t="str">
        <f>IF($B69="","",IF($N69="","OPERATOR MISSING",IF(COUNTIF(Operators!$A:$A,$N69)=0,"UNKNOWN OPERATOR ID",IF($T69="","OPERATOR NAME REQUIRED","OK"))))</f>
        <v>OPERATOR NAME REQUIRED</v>
      </c>
      <c r="AE69">
        <f>IF($B69="","",COUNTIFS('FLEET DOCUMENTS'!$C$5:$C$60,$B69))</f>
        <v>0</v>
      </c>
      <c r="AF69">
        <f>IF($B69="","",COUNTIFS('FLEET DOCUMENTS'!$C$5:$C$60,$B69,'FLEET DOCUMENTS'!$S$5:$S$60,"EXPIRED"))</f>
        <v>0</v>
      </c>
      <c r="AG69">
        <f>IF($B69="","",COUNTIFS('FLEET DOCUMENTS'!$C$5:$C$60,$B69,'FLEET DOCUMENTS'!$S$5:$S$60,"EXPIRES WITHIN 90 DAYS")+COUNTIFS('FLEET DOCUMENTS'!$C$5:$C$60,$B69,'FLEET DOCUMENTS'!$S$5:$S$60,"EXPIRES WITHIN 30 DAYS"))</f>
        <v>0</v>
      </c>
      <c r="AH69" s="72">
        <f>IF($B69="","",IFERROR(_xlfn.MINIFS('FLEET DOCUMENTS'!$J$5:$J$60,'FLEET DOCUMENTS'!$C$5:$C$60,$B69),""))</f>
        <v>0</v>
      </c>
    </row>
    <row r="70" spans="1:34" x14ac:dyDescent="0.3">
      <c r="A70" t="s">
        <v>4040</v>
      </c>
      <c r="B70" t="s">
        <v>4260</v>
      </c>
      <c r="C70" t="s">
        <v>3990</v>
      </c>
      <c r="D70" t="s">
        <v>3879</v>
      </c>
      <c r="E70" t="s">
        <v>4041</v>
      </c>
      <c r="F70" t="s">
        <v>4032</v>
      </c>
      <c r="G70" t="str">
        <f>IF($F70="","",IFERROR(INDEX(airports!$E:$E,MATCH($F70,airports!$A:$A,0)),"Not in airports"))</f>
        <v>Farnborough Airport</v>
      </c>
      <c r="H70" s="5">
        <v>447696</v>
      </c>
      <c r="I70">
        <v>100</v>
      </c>
      <c r="J70" t="s">
        <v>108</v>
      </c>
      <c r="K70">
        <v>37845</v>
      </c>
      <c r="L70" t="s">
        <v>3830</v>
      </c>
      <c r="M70" t="b">
        <v>1</v>
      </c>
      <c r="N70" t="s">
        <v>4042</v>
      </c>
      <c r="S70" s="23" t="str">
        <f t="shared" si="1"/>
        <v/>
      </c>
      <c r="T70" t="str">
        <f>IF($N70="","",IFERROR(INDEX(Operators!$B:$B,MATCH($N70,Operators!$A:$A,0))&amp;"","UNKNOWN OPERATOR ID"))</f>
        <v/>
      </c>
      <c r="U70" t="str">
        <f>IF($N70="","",IFERROR(INDEX(Operators!$C:$C,MATCH($N70,Operators!$A:$A,0))&amp;"","UNKNOWN OPERATOR ID"))</f>
        <v/>
      </c>
      <c r="V70" t="str">
        <f>IF($N70="","",IFERROR(INDEX(Operators!$D:$D,MATCH($N70,Operators!$A:$A,0))&amp;"","UNKNOWN OPERATOR ID"))</f>
        <v/>
      </c>
      <c r="W70" t="str">
        <f>IF($N70="","",IFERROR(INDEX(Operators!$E:$E,MATCH($N70,Operators!$A:$A,0))&amp;"","UNKNOWN OPERATOR ID"))</f>
        <v/>
      </c>
      <c r="X70" t="str">
        <f>IF($N70="","",IFERROR(INDEX(Operators!$G:$G,MATCH($N70,Operators!$A:$A,0))&amp;"","UNKNOWN OPERATOR ID"))</f>
        <v/>
      </c>
      <c r="Y70" t="str">
        <f>IF($N70="","",IFERROR(INDEX(Operators!$H:$H,MATCH($N70,Operators!$A:$A,0))&amp;"","UNKNOWN OPERATOR ID"))</f>
        <v/>
      </c>
      <c r="Z70" t="str">
        <f>IF($N70="","",IFERROR(INDEX(Operators!$T:$T,MATCH($N70,Operators!$A:$A,0))&amp;"","UNKNOWN OPERATOR ID"))</f>
        <v>ACTIVE</v>
      </c>
      <c r="AA70" t="str">
        <f>IF($N70="","",IFERROR(INDEX(Operators!$N:$N,MATCH($N70,Operators!$A:$A,0))&amp;"","UNKNOWN OPERATOR ID"))</f>
        <v/>
      </c>
      <c r="AB70" t="str">
        <f>IF($N70="","",IFERROR(INDEX(Operators!$K:$K,MATCH($N70,Operators!$A:$A,0))&amp;"","UNKNOWN OPERATOR ID"))</f>
        <v/>
      </c>
      <c r="AC70" t="str">
        <f>IF($N70="","",IFERROR(INDEX(Operators!$M:$M,MATCH($N70,Operators!$A:$A,0))&amp;"","UNKNOWN OPERATOR ID"))</f>
        <v/>
      </c>
      <c r="AD70" s="1" t="str">
        <f>IF($B70="","",IF($N70="","OPERATOR MISSING",IF(COUNTIF(Operators!$A:$A,$N70)=0,"UNKNOWN OPERATOR ID",IF($T70="","OPERATOR NAME REQUIRED","OK"))))</f>
        <v>OPERATOR NAME REQUIRED</v>
      </c>
      <c r="AE70">
        <f>IF($B70="","",COUNTIFS('FLEET DOCUMENTS'!$C$5:$C$60,$B70))</f>
        <v>0</v>
      </c>
      <c r="AF70">
        <f>IF($B70="","",COUNTIFS('FLEET DOCUMENTS'!$C$5:$C$60,$B70,'FLEET DOCUMENTS'!$S$5:$S$60,"EXPIRED"))</f>
        <v>0</v>
      </c>
      <c r="AG70">
        <f>IF($B70="","",COUNTIFS('FLEET DOCUMENTS'!$C$5:$C$60,$B70,'FLEET DOCUMENTS'!$S$5:$S$60,"EXPIRES WITHIN 90 DAYS")+COUNTIFS('FLEET DOCUMENTS'!$C$5:$C$60,$B70,'FLEET DOCUMENTS'!$S$5:$S$60,"EXPIRES WITHIN 30 DAYS"))</f>
        <v>0</v>
      </c>
      <c r="AH70" s="72">
        <f>IF($B70="","",IFERROR(_xlfn.MINIFS('FLEET DOCUMENTS'!$J$5:$J$60,'FLEET DOCUMENTS'!$C$5:$C$60,$B70),""))</f>
        <v>0</v>
      </c>
    </row>
    <row r="71" spans="1:34" x14ac:dyDescent="0.3">
      <c r="A71" t="s">
        <v>4043</v>
      </c>
      <c r="B71" t="s">
        <v>4044</v>
      </c>
      <c r="C71" t="s">
        <v>4045</v>
      </c>
      <c r="D71" t="s">
        <v>3888</v>
      </c>
      <c r="E71" t="s">
        <v>4046</v>
      </c>
      <c r="F71" t="s">
        <v>4047</v>
      </c>
      <c r="G71" t="str">
        <f>IF($F71="","",IFERROR(INDEX(airports!$E:$E,MATCH($F71,airports!$A:$A,0)),"Not in airports"))</f>
        <v>Teterboro Airport</v>
      </c>
      <c r="H71" s="5">
        <v>8300</v>
      </c>
      <c r="I71">
        <v>11</v>
      </c>
      <c r="J71" t="s">
        <v>108</v>
      </c>
      <c r="K71">
        <v>234</v>
      </c>
      <c r="L71" t="s">
        <v>3830</v>
      </c>
      <c r="M71" t="b">
        <v>1</v>
      </c>
      <c r="N71" t="s">
        <v>4048</v>
      </c>
      <c r="S71" s="23" t="str">
        <f t="shared" si="1"/>
        <v/>
      </c>
      <c r="T71" t="str">
        <f>IF($N71="","",IFERROR(INDEX(Operators!$B:$B,MATCH($N71,Operators!$A:$A,0))&amp;"","UNKNOWN OPERATOR ID"))</f>
        <v/>
      </c>
      <c r="U71" t="str">
        <f>IF($N71="","",IFERROR(INDEX(Operators!$C:$C,MATCH($N71,Operators!$A:$A,0))&amp;"","UNKNOWN OPERATOR ID"))</f>
        <v/>
      </c>
      <c r="V71" t="str">
        <f>IF($N71="","",IFERROR(INDEX(Operators!$D:$D,MATCH($N71,Operators!$A:$A,0))&amp;"","UNKNOWN OPERATOR ID"))</f>
        <v/>
      </c>
      <c r="W71" t="str">
        <f>IF($N71="","",IFERROR(INDEX(Operators!$E:$E,MATCH($N71,Operators!$A:$A,0))&amp;"","UNKNOWN OPERATOR ID"))</f>
        <v/>
      </c>
      <c r="X71" t="str">
        <f>IF($N71="","",IFERROR(INDEX(Operators!$G:$G,MATCH($N71,Operators!$A:$A,0))&amp;"","UNKNOWN OPERATOR ID"))</f>
        <v/>
      </c>
      <c r="Y71" t="str">
        <f>IF($N71="","",IFERROR(INDEX(Operators!$H:$H,MATCH($N71,Operators!$A:$A,0))&amp;"","UNKNOWN OPERATOR ID"))</f>
        <v/>
      </c>
      <c r="Z71" t="str">
        <f>IF($N71="","",IFERROR(INDEX(Operators!$T:$T,MATCH($N71,Operators!$A:$A,0))&amp;"","UNKNOWN OPERATOR ID"))</f>
        <v>ACTIVE</v>
      </c>
      <c r="AA71" t="str">
        <f>IF($N71="","",IFERROR(INDEX(Operators!$N:$N,MATCH($N71,Operators!$A:$A,0))&amp;"","UNKNOWN OPERATOR ID"))</f>
        <v/>
      </c>
      <c r="AB71" t="str">
        <f>IF($N71="","",IFERROR(INDEX(Operators!$K:$K,MATCH($N71,Operators!$A:$A,0))&amp;"","UNKNOWN OPERATOR ID"))</f>
        <v/>
      </c>
      <c r="AC71" t="str">
        <f>IF($N71="","",IFERROR(INDEX(Operators!$M:$M,MATCH($N71,Operators!$A:$A,0))&amp;"","UNKNOWN OPERATOR ID"))</f>
        <v/>
      </c>
      <c r="AD71" s="1" t="str">
        <f>IF($B71="","",IF($N71="","OPERATOR MISSING",IF(COUNTIF(Operators!$A:$A,$N71)=0,"UNKNOWN OPERATOR ID",IF($T71="","OPERATOR NAME REQUIRED","OK"))))</f>
        <v>OPERATOR NAME REQUIRED</v>
      </c>
      <c r="AE71">
        <f>IF($B71="","",COUNTIFS('FLEET DOCUMENTS'!$C$5:$C$60,$B71))</f>
        <v>0</v>
      </c>
      <c r="AF71">
        <f>IF($B71="","",COUNTIFS('FLEET DOCUMENTS'!$C$5:$C$60,$B71,'FLEET DOCUMENTS'!$S$5:$S$60,"EXPIRED"))</f>
        <v>0</v>
      </c>
      <c r="AG71">
        <f>IF($B71="","",COUNTIFS('FLEET DOCUMENTS'!$C$5:$C$60,$B71,'FLEET DOCUMENTS'!$S$5:$S$60,"EXPIRES WITHIN 90 DAYS")+COUNTIFS('FLEET DOCUMENTS'!$C$5:$C$60,$B71,'FLEET DOCUMENTS'!$S$5:$S$60,"EXPIRES WITHIN 30 DAYS"))</f>
        <v>0</v>
      </c>
      <c r="AH71" s="72">
        <f>IF($B71="","",IFERROR(_xlfn.MINIFS('FLEET DOCUMENTS'!$J$5:$J$60,'FLEET DOCUMENTS'!$C$5:$C$60,$B71),""))</f>
        <v>0</v>
      </c>
    </row>
    <row r="72" spans="1:34" x14ac:dyDescent="0.3">
      <c r="A72" t="s">
        <v>4049</v>
      </c>
      <c r="B72" t="s">
        <v>4050</v>
      </c>
      <c r="C72" t="s">
        <v>3997</v>
      </c>
      <c r="D72" t="s">
        <v>3981</v>
      </c>
      <c r="E72" t="s">
        <v>4051</v>
      </c>
      <c r="F72" t="s">
        <v>4052</v>
      </c>
      <c r="G72" t="str">
        <f>IF($F72="","",IFERROR(INDEX(airports!$E:$E,MATCH($F72,airports!$A:$A,0)),"Not in airports"))</f>
        <v>William P. Hobby Airport</v>
      </c>
      <c r="H72" s="5">
        <v>45178</v>
      </c>
      <c r="I72">
        <v>19</v>
      </c>
      <c r="J72" t="s">
        <v>108</v>
      </c>
      <c r="K72">
        <v>6167</v>
      </c>
      <c r="L72" t="s">
        <v>3830</v>
      </c>
      <c r="M72" t="b">
        <v>1</v>
      </c>
      <c r="S72" s="23" t="str">
        <f t="shared" si="1"/>
        <v/>
      </c>
      <c r="T72" t="str">
        <f>IF($N72="","",IFERROR(INDEX(Operators!$B:$B,MATCH($N72,Operators!$A:$A,0))&amp;"","UNKNOWN OPERATOR ID"))</f>
        <v/>
      </c>
      <c r="U72" t="str">
        <f>IF($N72="","",IFERROR(INDEX(Operators!$C:$C,MATCH($N72,Operators!$A:$A,0))&amp;"","UNKNOWN OPERATOR ID"))</f>
        <v/>
      </c>
      <c r="V72" t="str">
        <f>IF($N72="","",IFERROR(INDEX(Operators!$D:$D,MATCH($N72,Operators!$A:$A,0))&amp;"","UNKNOWN OPERATOR ID"))</f>
        <v/>
      </c>
      <c r="W72" t="str">
        <f>IF($N72="","",IFERROR(INDEX(Operators!$E:$E,MATCH($N72,Operators!$A:$A,0))&amp;"","UNKNOWN OPERATOR ID"))</f>
        <v/>
      </c>
      <c r="X72" t="str">
        <f>IF($N72="","",IFERROR(INDEX(Operators!$G:$G,MATCH($N72,Operators!$A:$A,0))&amp;"","UNKNOWN OPERATOR ID"))</f>
        <v/>
      </c>
      <c r="Y72" t="str">
        <f>IF($N72="","",IFERROR(INDEX(Operators!$H:$H,MATCH($N72,Operators!$A:$A,0))&amp;"","UNKNOWN OPERATOR ID"))</f>
        <v/>
      </c>
      <c r="Z72" t="str">
        <f>IF($N72="","",IFERROR(INDEX(Operators!$T:$T,MATCH($N72,Operators!$A:$A,0))&amp;"","UNKNOWN OPERATOR ID"))</f>
        <v/>
      </c>
      <c r="AA72" t="str">
        <f>IF($N72="","",IFERROR(INDEX(Operators!$N:$N,MATCH($N72,Operators!$A:$A,0))&amp;"","UNKNOWN OPERATOR ID"))</f>
        <v/>
      </c>
      <c r="AB72" t="str">
        <f>IF($N72="","",IFERROR(INDEX(Operators!$K:$K,MATCH($N72,Operators!$A:$A,0))&amp;"","UNKNOWN OPERATOR ID"))</f>
        <v/>
      </c>
      <c r="AC72" t="str">
        <f>IF($N72="","",IFERROR(INDEX(Operators!$M:$M,MATCH($N72,Operators!$A:$A,0))&amp;"","UNKNOWN OPERATOR ID"))</f>
        <v/>
      </c>
      <c r="AD72" s="1" t="str">
        <f>IF($B72="","",IF($N72="","OPERATOR MISSING",IF(COUNTIF(Operators!$A:$A,$N72)=0,"UNKNOWN OPERATOR ID",IF($T72="","OPERATOR NAME REQUIRED","OK"))))</f>
        <v>OPERATOR MISSING</v>
      </c>
      <c r="AE72">
        <f>IF($B72="","",COUNTIFS('FLEET DOCUMENTS'!$C$5:$C$60,$B72))</f>
        <v>0</v>
      </c>
      <c r="AF72">
        <f>IF($B72="","",COUNTIFS('FLEET DOCUMENTS'!$C$5:$C$60,$B72,'FLEET DOCUMENTS'!$S$5:$S$60,"EXPIRED"))</f>
        <v>0</v>
      </c>
      <c r="AG72">
        <f>IF($B72="","",COUNTIFS('FLEET DOCUMENTS'!$C$5:$C$60,$B72,'FLEET DOCUMENTS'!$S$5:$S$60,"EXPIRES WITHIN 90 DAYS")+COUNTIFS('FLEET DOCUMENTS'!$C$5:$C$60,$B72,'FLEET DOCUMENTS'!$S$5:$S$60,"EXPIRES WITHIN 30 DAYS"))</f>
        <v>0</v>
      </c>
      <c r="AH72" s="72">
        <f>IF($B72="","",IFERROR(_xlfn.MINIFS('FLEET DOCUMENTS'!$J$5:$J$60,'FLEET DOCUMENTS'!$C$5:$C$60,$B72),""))</f>
        <v>0</v>
      </c>
    </row>
    <row r="73" spans="1:34" x14ac:dyDescent="0.3">
      <c r="A73" t="s">
        <v>4053</v>
      </c>
      <c r="B73" t="s">
        <v>4054</v>
      </c>
      <c r="C73" t="s">
        <v>3997</v>
      </c>
      <c r="D73" t="s">
        <v>4055</v>
      </c>
      <c r="E73" t="s">
        <v>3998</v>
      </c>
      <c r="F73" t="s">
        <v>4047</v>
      </c>
      <c r="G73" t="str">
        <f>IF($F73="","",IFERROR(INDEX(airports!$E:$E,MATCH($F73,airports!$A:$A,0)),"Not in airports"))</f>
        <v>Teterboro Airport</v>
      </c>
      <c r="H73" s="5">
        <v>45178</v>
      </c>
      <c r="I73">
        <v>19</v>
      </c>
      <c r="J73" t="s">
        <v>108</v>
      </c>
      <c r="K73">
        <v>6168</v>
      </c>
      <c r="L73" t="s">
        <v>3830</v>
      </c>
      <c r="M73" t="b">
        <v>1</v>
      </c>
      <c r="S73" s="23" t="str">
        <f t="shared" si="1"/>
        <v/>
      </c>
      <c r="T73" t="str">
        <f>IF($N73="","",IFERROR(INDEX(Operators!$B:$B,MATCH($N73,Operators!$A:$A,0))&amp;"","UNKNOWN OPERATOR ID"))</f>
        <v/>
      </c>
      <c r="U73" t="str">
        <f>IF($N73="","",IFERROR(INDEX(Operators!$C:$C,MATCH($N73,Operators!$A:$A,0))&amp;"","UNKNOWN OPERATOR ID"))</f>
        <v/>
      </c>
      <c r="V73" t="str">
        <f>IF($N73="","",IFERROR(INDEX(Operators!$D:$D,MATCH($N73,Operators!$A:$A,0))&amp;"","UNKNOWN OPERATOR ID"))</f>
        <v/>
      </c>
      <c r="W73" t="str">
        <f>IF($N73="","",IFERROR(INDEX(Operators!$E:$E,MATCH($N73,Operators!$A:$A,0))&amp;"","UNKNOWN OPERATOR ID"))</f>
        <v/>
      </c>
      <c r="X73" t="str">
        <f>IF($N73="","",IFERROR(INDEX(Operators!$G:$G,MATCH($N73,Operators!$A:$A,0))&amp;"","UNKNOWN OPERATOR ID"))</f>
        <v/>
      </c>
      <c r="Y73" t="str">
        <f>IF($N73="","",IFERROR(INDEX(Operators!$H:$H,MATCH($N73,Operators!$A:$A,0))&amp;"","UNKNOWN OPERATOR ID"))</f>
        <v/>
      </c>
      <c r="Z73" t="str">
        <f>IF($N73="","",IFERROR(INDEX(Operators!$T:$T,MATCH($N73,Operators!$A:$A,0))&amp;"","UNKNOWN OPERATOR ID"))</f>
        <v/>
      </c>
      <c r="AA73" t="str">
        <f>IF($N73="","",IFERROR(INDEX(Operators!$N:$N,MATCH($N73,Operators!$A:$A,0))&amp;"","UNKNOWN OPERATOR ID"))</f>
        <v/>
      </c>
      <c r="AB73" t="str">
        <f>IF($N73="","",IFERROR(INDEX(Operators!$K:$K,MATCH($N73,Operators!$A:$A,0))&amp;"","UNKNOWN OPERATOR ID"))</f>
        <v/>
      </c>
      <c r="AC73" t="str">
        <f>IF($N73="","",IFERROR(INDEX(Operators!$M:$M,MATCH($N73,Operators!$A:$A,0))&amp;"","UNKNOWN OPERATOR ID"))</f>
        <v/>
      </c>
      <c r="AD73" s="1" t="str">
        <f>IF($B73="","",IF($N73="","OPERATOR MISSING",IF(COUNTIF(Operators!$A:$A,$N73)=0,"UNKNOWN OPERATOR ID",IF($T73="","OPERATOR NAME REQUIRED","OK"))))</f>
        <v>OPERATOR MISSING</v>
      </c>
      <c r="AE73">
        <f>IF($B73="","",COUNTIFS('FLEET DOCUMENTS'!$C$5:$C$60,$B73))</f>
        <v>0</v>
      </c>
      <c r="AF73">
        <f>IF($B73="","",COUNTIFS('FLEET DOCUMENTS'!$C$5:$C$60,$B73,'FLEET DOCUMENTS'!$S$5:$S$60,"EXPIRED"))</f>
        <v>0</v>
      </c>
      <c r="AG73">
        <f>IF($B73="","",COUNTIFS('FLEET DOCUMENTS'!$C$5:$C$60,$B73,'FLEET DOCUMENTS'!$S$5:$S$60,"EXPIRES WITHIN 90 DAYS")+COUNTIFS('FLEET DOCUMENTS'!$C$5:$C$60,$B73,'FLEET DOCUMENTS'!$S$5:$S$60,"EXPIRES WITHIN 30 DAYS"))</f>
        <v>0</v>
      </c>
      <c r="AH73" s="72">
        <f>IF($B73="","",IFERROR(_xlfn.MINIFS('FLEET DOCUMENTS'!$J$5:$J$60,'FLEET DOCUMENTS'!$C$5:$C$60,$B73),""))</f>
        <v>0</v>
      </c>
    </row>
    <row r="74" spans="1:34" x14ac:dyDescent="0.3">
      <c r="A74" t="s">
        <v>4056</v>
      </c>
      <c r="B74" t="s">
        <v>4057</v>
      </c>
      <c r="C74" t="s">
        <v>4037</v>
      </c>
      <c r="D74" t="s">
        <v>3925</v>
      </c>
      <c r="E74" t="s">
        <v>4038</v>
      </c>
      <c r="F74" t="s">
        <v>4047</v>
      </c>
      <c r="G74" t="str">
        <f>IF($F74="","",IFERROR(INDEX(airports!$E:$E,MATCH($F74,airports!$A:$A,0)),"Not in airports"))</f>
        <v>Teterboro Airport</v>
      </c>
      <c r="H74" s="5">
        <v>52157</v>
      </c>
      <c r="I74">
        <v>19</v>
      </c>
      <c r="J74" t="s">
        <v>108</v>
      </c>
      <c r="K74">
        <v>70012</v>
      </c>
      <c r="L74" t="s">
        <v>3830</v>
      </c>
      <c r="M74" t="b">
        <v>1</v>
      </c>
      <c r="N74" t="s">
        <v>4058</v>
      </c>
      <c r="S74" s="23" t="str">
        <f t="shared" si="1"/>
        <v/>
      </c>
      <c r="T74" t="str">
        <f>IF($N74="","",IFERROR(INDEX(Operators!$B:$B,MATCH($N74,Operators!$A:$A,0))&amp;"","UNKNOWN OPERATOR ID"))</f>
        <v/>
      </c>
      <c r="U74" t="str">
        <f>IF($N74="","",IFERROR(INDEX(Operators!$C:$C,MATCH($N74,Operators!$A:$A,0))&amp;"","UNKNOWN OPERATOR ID"))</f>
        <v/>
      </c>
      <c r="V74" t="str">
        <f>IF($N74="","",IFERROR(INDEX(Operators!$D:$D,MATCH($N74,Operators!$A:$A,0))&amp;"","UNKNOWN OPERATOR ID"))</f>
        <v/>
      </c>
      <c r="W74" t="str">
        <f>IF($N74="","",IFERROR(INDEX(Operators!$E:$E,MATCH($N74,Operators!$A:$A,0))&amp;"","UNKNOWN OPERATOR ID"))</f>
        <v/>
      </c>
      <c r="X74" t="str">
        <f>IF($N74="","",IFERROR(INDEX(Operators!$G:$G,MATCH($N74,Operators!$A:$A,0))&amp;"","UNKNOWN OPERATOR ID"))</f>
        <v/>
      </c>
      <c r="Y74" t="str">
        <f>IF($N74="","",IFERROR(INDEX(Operators!$H:$H,MATCH($N74,Operators!$A:$A,0))&amp;"","UNKNOWN OPERATOR ID"))</f>
        <v/>
      </c>
      <c r="Z74" t="str">
        <f>IF($N74="","",IFERROR(INDEX(Operators!$T:$T,MATCH($N74,Operators!$A:$A,0))&amp;"","UNKNOWN OPERATOR ID"))</f>
        <v>ACTIVE</v>
      </c>
      <c r="AA74" t="str">
        <f>IF($N74="","",IFERROR(INDEX(Operators!$N:$N,MATCH($N74,Operators!$A:$A,0))&amp;"","UNKNOWN OPERATOR ID"))</f>
        <v/>
      </c>
      <c r="AB74" t="str">
        <f>IF($N74="","",IFERROR(INDEX(Operators!$K:$K,MATCH($N74,Operators!$A:$A,0))&amp;"","UNKNOWN OPERATOR ID"))</f>
        <v/>
      </c>
      <c r="AC74" t="str">
        <f>IF($N74="","",IFERROR(INDEX(Operators!$M:$M,MATCH($N74,Operators!$A:$A,0))&amp;"","UNKNOWN OPERATOR ID"))</f>
        <v/>
      </c>
      <c r="AD74" s="1" t="str">
        <f>IF($B74="","",IF($N74="","OPERATOR MISSING",IF(COUNTIF(Operators!$A:$A,$N74)=0,"UNKNOWN OPERATOR ID",IF($T74="","OPERATOR NAME REQUIRED","OK"))))</f>
        <v>OPERATOR NAME REQUIRED</v>
      </c>
      <c r="AE74">
        <f>IF($B74="","",COUNTIFS('FLEET DOCUMENTS'!$C$5:$C$60,$B74))</f>
        <v>0</v>
      </c>
      <c r="AF74">
        <f>IF($B74="","",COUNTIFS('FLEET DOCUMENTS'!$C$5:$C$60,$B74,'FLEET DOCUMENTS'!$S$5:$S$60,"EXPIRED"))</f>
        <v>0</v>
      </c>
      <c r="AG74">
        <f>IF($B74="","",COUNTIFS('FLEET DOCUMENTS'!$C$5:$C$60,$B74,'FLEET DOCUMENTS'!$S$5:$S$60,"EXPIRES WITHIN 90 DAYS")+COUNTIFS('FLEET DOCUMENTS'!$C$5:$C$60,$B74,'FLEET DOCUMENTS'!$S$5:$S$60,"EXPIRES WITHIN 30 DAYS"))</f>
        <v>0</v>
      </c>
      <c r="AH74" s="72">
        <f>IF($B74="","",IFERROR(_xlfn.MINIFS('FLEET DOCUMENTS'!$J$5:$J$60,'FLEET DOCUMENTS'!$C$5:$C$60,$B74),""))</f>
        <v>0</v>
      </c>
    </row>
    <row r="75" spans="1:34" x14ac:dyDescent="0.3">
      <c r="A75" t="s">
        <v>4059</v>
      </c>
      <c r="B75" t="s">
        <v>4060</v>
      </c>
      <c r="C75" t="s">
        <v>4061</v>
      </c>
      <c r="D75" t="s">
        <v>3853</v>
      </c>
      <c r="E75" t="s">
        <v>4062</v>
      </c>
      <c r="F75" t="s">
        <v>4047</v>
      </c>
      <c r="G75" t="str">
        <f>IF($F75="","",IFERROR(INDEX(airports!$E:$E,MATCH($F75,airports!$A:$A,0)),"Not in airports"))</f>
        <v>Teterboro Airport</v>
      </c>
      <c r="H75" s="5">
        <v>9304</v>
      </c>
      <c r="I75">
        <v>12</v>
      </c>
      <c r="J75" t="s">
        <v>108</v>
      </c>
      <c r="K75" t="s">
        <v>4063</v>
      </c>
      <c r="L75" t="s">
        <v>3830</v>
      </c>
      <c r="M75" t="b">
        <v>1</v>
      </c>
      <c r="N75" t="s">
        <v>4064</v>
      </c>
      <c r="S75" s="23" t="str">
        <f t="shared" si="1"/>
        <v/>
      </c>
      <c r="T75" t="str">
        <f>IF($N75="","",IFERROR(INDEX(Operators!$B:$B,MATCH($N75,Operators!$A:$A,0))&amp;"","UNKNOWN OPERATOR ID"))</f>
        <v/>
      </c>
      <c r="U75" t="str">
        <f>IF($N75="","",IFERROR(INDEX(Operators!$C:$C,MATCH($N75,Operators!$A:$A,0))&amp;"","UNKNOWN OPERATOR ID"))</f>
        <v/>
      </c>
      <c r="V75" t="str">
        <f>IF($N75="","",IFERROR(INDEX(Operators!$D:$D,MATCH($N75,Operators!$A:$A,0))&amp;"","UNKNOWN OPERATOR ID"))</f>
        <v/>
      </c>
      <c r="W75" t="str">
        <f>IF($N75="","",IFERROR(INDEX(Operators!$E:$E,MATCH($N75,Operators!$A:$A,0))&amp;"","UNKNOWN OPERATOR ID"))</f>
        <v/>
      </c>
      <c r="X75" t="str">
        <f>IF($N75="","",IFERROR(INDEX(Operators!$G:$G,MATCH($N75,Operators!$A:$A,0))&amp;"","UNKNOWN OPERATOR ID"))</f>
        <v/>
      </c>
      <c r="Y75" t="str">
        <f>IF($N75="","",IFERROR(INDEX(Operators!$H:$H,MATCH($N75,Operators!$A:$A,0))&amp;"","UNKNOWN OPERATOR ID"))</f>
        <v/>
      </c>
      <c r="Z75" t="str">
        <f>IF($N75="","",IFERROR(INDEX(Operators!$T:$T,MATCH($N75,Operators!$A:$A,0))&amp;"","UNKNOWN OPERATOR ID"))</f>
        <v>ACTIVE</v>
      </c>
      <c r="AA75" t="str">
        <f>IF($N75="","",IFERROR(INDEX(Operators!$N:$N,MATCH($N75,Operators!$A:$A,0))&amp;"","UNKNOWN OPERATOR ID"))</f>
        <v/>
      </c>
      <c r="AB75" t="str">
        <f>IF($N75="","",IFERROR(INDEX(Operators!$K:$K,MATCH($N75,Operators!$A:$A,0))&amp;"","UNKNOWN OPERATOR ID"))</f>
        <v/>
      </c>
      <c r="AC75" t="str">
        <f>IF($N75="","",IFERROR(INDEX(Operators!$M:$M,MATCH($N75,Operators!$A:$A,0))&amp;"","UNKNOWN OPERATOR ID"))</f>
        <v/>
      </c>
      <c r="AD75" s="1" t="str">
        <f>IF($B75="","",IF($N75="","OPERATOR MISSING",IF(COUNTIF(Operators!$A:$A,$N75)=0,"UNKNOWN OPERATOR ID",IF($T75="","OPERATOR NAME REQUIRED","OK"))))</f>
        <v>OPERATOR NAME REQUIRED</v>
      </c>
      <c r="AE75">
        <f>IF($B75="","",COUNTIFS('FLEET DOCUMENTS'!$C$5:$C$60,$B75))</f>
        <v>0</v>
      </c>
      <c r="AF75">
        <f>IF($B75="","",COUNTIFS('FLEET DOCUMENTS'!$C$5:$C$60,$B75,'FLEET DOCUMENTS'!$S$5:$S$60,"EXPIRED"))</f>
        <v>0</v>
      </c>
      <c r="AG75">
        <f>IF($B75="","",COUNTIFS('FLEET DOCUMENTS'!$C$5:$C$60,$B75,'FLEET DOCUMENTS'!$S$5:$S$60,"EXPIRES WITHIN 90 DAYS")+COUNTIFS('FLEET DOCUMENTS'!$C$5:$C$60,$B75,'FLEET DOCUMENTS'!$S$5:$S$60,"EXPIRES WITHIN 30 DAYS"))</f>
        <v>0</v>
      </c>
      <c r="AH75" s="72">
        <f>IF($B75="","",IFERROR(_xlfn.MINIFS('FLEET DOCUMENTS'!$J$5:$J$60,'FLEET DOCUMENTS'!$C$5:$C$60,$B75),""))</f>
        <v>0</v>
      </c>
    </row>
    <row r="76" spans="1:34" x14ac:dyDescent="0.3">
      <c r="A76" t="s">
        <v>4065</v>
      </c>
      <c r="B76" t="s">
        <v>4066</v>
      </c>
      <c r="C76" t="s">
        <v>4067</v>
      </c>
      <c r="D76" t="s">
        <v>4030</v>
      </c>
      <c r="E76" t="s">
        <v>4068</v>
      </c>
      <c r="F76" t="s">
        <v>4047</v>
      </c>
      <c r="G76" t="str">
        <f>IF($F76="","",IFERROR(INDEX(airports!$E:$E,MATCH($F76,airports!$A:$A,0)),"Not in airports"))</f>
        <v>Teterboro Airport</v>
      </c>
      <c r="H76" s="5">
        <v>31751</v>
      </c>
      <c r="I76">
        <v>19</v>
      </c>
      <c r="J76" t="s">
        <v>108</v>
      </c>
      <c r="K76">
        <v>189</v>
      </c>
      <c r="L76" t="s">
        <v>3830</v>
      </c>
      <c r="M76" t="b">
        <v>1</v>
      </c>
      <c r="N76" t="s">
        <v>4058</v>
      </c>
      <c r="S76" s="23" t="str">
        <f t="shared" si="1"/>
        <v/>
      </c>
      <c r="T76" t="str">
        <f>IF($N76="","",IFERROR(INDEX(Operators!$B:$B,MATCH($N76,Operators!$A:$A,0))&amp;"","UNKNOWN OPERATOR ID"))</f>
        <v/>
      </c>
      <c r="U76" t="str">
        <f>IF($N76="","",IFERROR(INDEX(Operators!$C:$C,MATCH($N76,Operators!$A:$A,0))&amp;"","UNKNOWN OPERATOR ID"))</f>
        <v/>
      </c>
      <c r="V76" t="str">
        <f>IF($N76="","",IFERROR(INDEX(Operators!$D:$D,MATCH($N76,Operators!$A:$A,0))&amp;"","UNKNOWN OPERATOR ID"))</f>
        <v/>
      </c>
      <c r="W76" t="str">
        <f>IF($N76="","",IFERROR(INDEX(Operators!$E:$E,MATCH($N76,Operators!$A:$A,0))&amp;"","UNKNOWN OPERATOR ID"))</f>
        <v/>
      </c>
      <c r="X76" t="str">
        <f>IF($N76="","",IFERROR(INDEX(Operators!$G:$G,MATCH($N76,Operators!$A:$A,0))&amp;"","UNKNOWN OPERATOR ID"))</f>
        <v/>
      </c>
      <c r="Y76" t="str">
        <f>IF($N76="","",IFERROR(INDEX(Operators!$H:$H,MATCH($N76,Operators!$A:$A,0))&amp;"","UNKNOWN OPERATOR ID"))</f>
        <v/>
      </c>
      <c r="Z76" t="str">
        <f>IF($N76="","",IFERROR(INDEX(Operators!$T:$T,MATCH($N76,Operators!$A:$A,0))&amp;"","UNKNOWN OPERATOR ID"))</f>
        <v>ACTIVE</v>
      </c>
      <c r="AA76" t="str">
        <f>IF($N76="","",IFERROR(INDEX(Operators!$N:$N,MATCH($N76,Operators!$A:$A,0))&amp;"","UNKNOWN OPERATOR ID"))</f>
        <v/>
      </c>
      <c r="AB76" t="str">
        <f>IF($N76="","",IFERROR(INDEX(Operators!$K:$K,MATCH($N76,Operators!$A:$A,0))&amp;"","UNKNOWN OPERATOR ID"))</f>
        <v/>
      </c>
      <c r="AC76" t="str">
        <f>IF($N76="","",IFERROR(INDEX(Operators!$M:$M,MATCH($N76,Operators!$A:$A,0))&amp;"","UNKNOWN OPERATOR ID"))</f>
        <v/>
      </c>
      <c r="AD76" s="1" t="str">
        <f>IF($B76="","",IF($N76="","OPERATOR MISSING",IF(COUNTIF(Operators!$A:$A,$N76)=0,"UNKNOWN OPERATOR ID",IF($T76="","OPERATOR NAME REQUIRED","OK"))))</f>
        <v>OPERATOR NAME REQUIRED</v>
      </c>
      <c r="AE76">
        <f>IF($B76="","",COUNTIFS('FLEET DOCUMENTS'!$C$5:$C$60,$B76))</f>
        <v>0</v>
      </c>
      <c r="AF76">
        <f>IF($B76="","",COUNTIFS('FLEET DOCUMENTS'!$C$5:$C$60,$B76,'FLEET DOCUMENTS'!$S$5:$S$60,"EXPIRED"))</f>
        <v>0</v>
      </c>
      <c r="AG76">
        <f>IF($B76="","",COUNTIFS('FLEET DOCUMENTS'!$C$5:$C$60,$B76,'FLEET DOCUMENTS'!$S$5:$S$60,"EXPIRES WITHIN 90 DAYS")+COUNTIFS('FLEET DOCUMENTS'!$C$5:$C$60,$B76,'FLEET DOCUMENTS'!$S$5:$S$60,"EXPIRES WITHIN 30 DAYS"))</f>
        <v>0</v>
      </c>
      <c r="AH76" s="72">
        <f>IF($B76="","",IFERROR(_xlfn.MINIFS('FLEET DOCUMENTS'!$J$5:$J$60,'FLEET DOCUMENTS'!$C$5:$C$60,$B76),""))</f>
        <v>0</v>
      </c>
    </row>
    <row r="77" spans="1:34" x14ac:dyDescent="0.3">
      <c r="A77" t="s">
        <v>4069</v>
      </c>
      <c r="B77" t="s">
        <v>4070</v>
      </c>
      <c r="C77" t="s">
        <v>3997</v>
      </c>
      <c r="D77" t="s">
        <v>3981</v>
      </c>
      <c r="E77" t="s">
        <v>3998</v>
      </c>
      <c r="F77" t="s">
        <v>4047</v>
      </c>
      <c r="G77" t="str">
        <f>IF($F77="","",IFERROR(INDEX(airports!$E:$E,MATCH($F77,airports!$A:$A,0)),"Not in airports"))</f>
        <v>Teterboro Airport</v>
      </c>
      <c r="H77" s="5">
        <v>45178</v>
      </c>
      <c r="I77">
        <v>19</v>
      </c>
      <c r="J77" t="s">
        <v>108</v>
      </c>
      <c r="K77">
        <v>6234</v>
      </c>
      <c r="L77" t="s">
        <v>3830</v>
      </c>
      <c r="M77" t="b">
        <v>1</v>
      </c>
      <c r="N77" t="s">
        <v>4071</v>
      </c>
      <c r="S77" s="23" t="str">
        <f t="shared" si="1"/>
        <v/>
      </c>
      <c r="T77" t="str">
        <f>IF($N77="","",IFERROR(INDEX(Operators!$B:$B,MATCH($N77,Operators!$A:$A,0))&amp;"","UNKNOWN OPERATOR ID"))</f>
        <v/>
      </c>
      <c r="U77" t="str">
        <f>IF($N77="","",IFERROR(INDEX(Operators!$C:$C,MATCH($N77,Operators!$A:$A,0))&amp;"","UNKNOWN OPERATOR ID"))</f>
        <v/>
      </c>
      <c r="V77" t="str">
        <f>IF($N77="","",IFERROR(INDEX(Operators!$D:$D,MATCH($N77,Operators!$A:$A,0))&amp;"","UNKNOWN OPERATOR ID"))</f>
        <v/>
      </c>
      <c r="W77" t="str">
        <f>IF($N77="","",IFERROR(INDEX(Operators!$E:$E,MATCH($N77,Operators!$A:$A,0))&amp;"","UNKNOWN OPERATOR ID"))</f>
        <v/>
      </c>
      <c r="X77" t="str">
        <f>IF($N77="","",IFERROR(INDEX(Operators!$G:$G,MATCH($N77,Operators!$A:$A,0))&amp;"","UNKNOWN OPERATOR ID"))</f>
        <v/>
      </c>
      <c r="Y77" t="str">
        <f>IF($N77="","",IFERROR(INDEX(Operators!$H:$H,MATCH($N77,Operators!$A:$A,0))&amp;"","UNKNOWN OPERATOR ID"))</f>
        <v/>
      </c>
      <c r="Z77" t="str">
        <f>IF($N77="","",IFERROR(INDEX(Operators!$T:$T,MATCH($N77,Operators!$A:$A,0))&amp;"","UNKNOWN OPERATOR ID"))</f>
        <v>ACTIVE</v>
      </c>
      <c r="AA77" t="str">
        <f>IF($N77="","",IFERROR(INDEX(Operators!$N:$N,MATCH($N77,Operators!$A:$A,0))&amp;"","UNKNOWN OPERATOR ID"))</f>
        <v/>
      </c>
      <c r="AB77" t="str">
        <f>IF($N77="","",IFERROR(INDEX(Operators!$K:$K,MATCH($N77,Operators!$A:$A,0))&amp;"","UNKNOWN OPERATOR ID"))</f>
        <v/>
      </c>
      <c r="AC77" t="str">
        <f>IF($N77="","",IFERROR(INDEX(Operators!$M:$M,MATCH($N77,Operators!$A:$A,0))&amp;"","UNKNOWN OPERATOR ID"))</f>
        <v/>
      </c>
      <c r="AD77" s="1" t="str">
        <f>IF($B77="","",IF($N77="","OPERATOR MISSING",IF(COUNTIF(Operators!$A:$A,$N77)=0,"UNKNOWN OPERATOR ID",IF($T77="","OPERATOR NAME REQUIRED","OK"))))</f>
        <v>OPERATOR NAME REQUIRED</v>
      </c>
      <c r="AE77">
        <f>IF($B77="","",COUNTIFS('FLEET DOCUMENTS'!$C$5:$C$60,$B77))</f>
        <v>3</v>
      </c>
      <c r="AF77">
        <f ca="1">IF($B77="","",COUNTIFS('FLEET DOCUMENTS'!$C$5:$C$60,$B77,'FLEET DOCUMENTS'!$S$5:$S$60,"EXPIRED"))</f>
        <v>1</v>
      </c>
      <c r="AG77">
        <f ca="1">IF($B77="","",COUNTIFS('FLEET DOCUMENTS'!$C$5:$C$60,$B77,'FLEET DOCUMENTS'!$S$5:$S$60,"EXPIRES WITHIN 90 DAYS")+COUNTIFS('FLEET DOCUMENTS'!$C$5:$C$60,$B77,'FLEET DOCUMENTS'!$S$5:$S$60,"EXPIRES WITHIN 30 DAYS"))</f>
        <v>0</v>
      </c>
      <c r="AH77" s="72">
        <f>IF($B77="","",IFERROR(_xlfn.MINIFS('FLEET DOCUMENTS'!$J$5:$J$60,'FLEET DOCUMENTS'!$C$5:$C$60,$B77),""))</f>
        <v>46023</v>
      </c>
    </row>
    <row r="78" spans="1:34" x14ac:dyDescent="0.3">
      <c r="A78" t="s">
        <v>4072</v>
      </c>
      <c r="B78" t="s">
        <v>4073</v>
      </c>
      <c r="C78" t="s">
        <v>3997</v>
      </c>
      <c r="D78" t="s">
        <v>3981</v>
      </c>
      <c r="E78" t="s">
        <v>4051</v>
      </c>
      <c r="F78" t="s">
        <v>4074</v>
      </c>
      <c r="G78" t="str">
        <f>IF($F78="","",IFERROR(INDEX(airports!$E:$E,MATCH($F78,airports!$A:$A,0)),"Not in airports"))</f>
        <v>Fort Lauderdale Executive Airport</v>
      </c>
      <c r="H78" s="5">
        <v>45178</v>
      </c>
      <c r="I78">
        <v>19</v>
      </c>
      <c r="J78" t="s">
        <v>108</v>
      </c>
      <c r="K78">
        <v>6102</v>
      </c>
      <c r="L78" t="s">
        <v>3830</v>
      </c>
      <c r="M78" t="b">
        <v>1</v>
      </c>
      <c r="N78" t="s">
        <v>4075</v>
      </c>
      <c r="S78" s="23" t="str">
        <f t="shared" si="1"/>
        <v/>
      </c>
      <c r="T78" t="str">
        <f>IF($N78="","",IFERROR(INDEX(Operators!$B:$B,MATCH($N78,Operators!$A:$A,0))&amp;"","UNKNOWN OPERATOR ID"))</f>
        <v/>
      </c>
      <c r="U78" t="str">
        <f>IF($N78="","",IFERROR(INDEX(Operators!$C:$C,MATCH($N78,Operators!$A:$A,0))&amp;"","UNKNOWN OPERATOR ID"))</f>
        <v/>
      </c>
      <c r="V78" t="str">
        <f>IF($N78="","",IFERROR(INDEX(Operators!$D:$D,MATCH($N78,Operators!$A:$A,0))&amp;"","UNKNOWN OPERATOR ID"))</f>
        <v/>
      </c>
      <c r="W78" t="str">
        <f>IF($N78="","",IFERROR(INDEX(Operators!$E:$E,MATCH($N78,Operators!$A:$A,0))&amp;"","UNKNOWN OPERATOR ID"))</f>
        <v/>
      </c>
      <c r="X78" t="str">
        <f>IF($N78="","",IFERROR(INDEX(Operators!$G:$G,MATCH($N78,Operators!$A:$A,0))&amp;"","UNKNOWN OPERATOR ID"))</f>
        <v/>
      </c>
      <c r="Y78" t="str">
        <f>IF($N78="","",IFERROR(INDEX(Operators!$H:$H,MATCH($N78,Operators!$A:$A,0))&amp;"","UNKNOWN OPERATOR ID"))</f>
        <v/>
      </c>
      <c r="Z78" t="str">
        <f>IF($N78="","",IFERROR(INDEX(Operators!$T:$T,MATCH($N78,Operators!$A:$A,0))&amp;"","UNKNOWN OPERATOR ID"))</f>
        <v>ACTIVE</v>
      </c>
      <c r="AA78" t="str">
        <f>IF($N78="","",IFERROR(INDEX(Operators!$N:$N,MATCH($N78,Operators!$A:$A,0))&amp;"","UNKNOWN OPERATOR ID"))</f>
        <v/>
      </c>
      <c r="AB78" t="str">
        <f>IF($N78="","",IFERROR(INDEX(Operators!$K:$K,MATCH($N78,Operators!$A:$A,0))&amp;"","UNKNOWN OPERATOR ID"))</f>
        <v/>
      </c>
      <c r="AC78" t="str">
        <f>IF($N78="","",IFERROR(INDEX(Operators!$M:$M,MATCH($N78,Operators!$A:$A,0))&amp;"","UNKNOWN OPERATOR ID"))</f>
        <v/>
      </c>
      <c r="AD78" s="1" t="str">
        <f>IF($B78="","",IF($N78="","OPERATOR MISSING",IF(COUNTIF(Operators!$A:$A,$N78)=0,"UNKNOWN OPERATOR ID",IF($T78="","OPERATOR NAME REQUIRED","OK"))))</f>
        <v>OPERATOR NAME REQUIRED</v>
      </c>
      <c r="AE78">
        <f>IF($B78="","",COUNTIFS('FLEET DOCUMENTS'!$C$5:$C$60,$B78))</f>
        <v>0</v>
      </c>
      <c r="AF78">
        <f>IF($B78="","",COUNTIFS('FLEET DOCUMENTS'!$C$5:$C$60,$B78,'FLEET DOCUMENTS'!$S$5:$S$60,"EXPIRED"))</f>
        <v>0</v>
      </c>
      <c r="AG78">
        <f>IF($B78="","",COUNTIFS('FLEET DOCUMENTS'!$C$5:$C$60,$B78,'FLEET DOCUMENTS'!$S$5:$S$60,"EXPIRES WITHIN 90 DAYS")+COUNTIFS('FLEET DOCUMENTS'!$C$5:$C$60,$B78,'FLEET DOCUMENTS'!$S$5:$S$60,"EXPIRES WITHIN 30 DAYS"))</f>
        <v>0</v>
      </c>
      <c r="AH78" s="72">
        <f>IF($B78="","",IFERROR(_xlfn.MINIFS('FLEET DOCUMENTS'!$J$5:$J$60,'FLEET DOCUMENTS'!$C$5:$C$60,$B78),""))</f>
        <v>0</v>
      </c>
    </row>
    <row r="79" spans="1:34" x14ac:dyDescent="0.3">
      <c r="A79" t="s">
        <v>4076</v>
      </c>
      <c r="B79" t="s">
        <v>4077</v>
      </c>
      <c r="C79" t="s">
        <v>4078</v>
      </c>
      <c r="D79" t="s">
        <v>3981</v>
      </c>
      <c r="E79" t="s">
        <v>4078</v>
      </c>
      <c r="F79" t="s">
        <v>4047</v>
      </c>
      <c r="G79" t="str">
        <f>IF($F79="","",IFERROR(INDEX(airports!$E:$E,MATCH($F79,airports!$A:$A,0)),"Not in airports"))</f>
        <v>Teterboro Airport</v>
      </c>
      <c r="H79" s="5">
        <v>33390</v>
      </c>
      <c r="I79">
        <v>16</v>
      </c>
      <c r="J79" t="s">
        <v>108</v>
      </c>
      <c r="K79">
        <v>4212</v>
      </c>
      <c r="L79" t="s">
        <v>3830</v>
      </c>
      <c r="M79" t="b">
        <v>1</v>
      </c>
      <c r="N79" t="s">
        <v>4079</v>
      </c>
      <c r="S79" s="23" t="str">
        <f t="shared" si="1"/>
        <v/>
      </c>
      <c r="T79" t="str">
        <f>IF($N79="","",IFERROR(INDEX(Operators!$B:$B,MATCH($N79,Operators!$A:$A,0))&amp;"","UNKNOWN OPERATOR ID"))</f>
        <v/>
      </c>
      <c r="U79" t="str">
        <f>IF($N79="","",IFERROR(INDEX(Operators!$C:$C,MATCH($N79,Operators!$A:$A,0))&amp;"","UNKNOWN OPERATOR ID"))</f>
        <v/>
      </c>
      <c r="V79" t="str">
        <f>IF($N79="","",IFERROR(INDEX(Operators!$D:$D,MATCH($N79,Operators!$A:$A,0))&amp;"","UNKNOWN OPERATOR ID"))</f>
        <v/>
      </c>
      <c r="W79" t="str">
        <f>IF($N79="","",IFERROR(INDEX(Operators!$E:$E,MATCH($N79,Operators!$A:$A,0))&amp;"","UNKNOWN OPERATOR ID"))</f>
        <v/>
      </c>
      <c r="X79" t="str">
        <f>IF($N79="","",IFERROR(INDEX(Operators!$G:$G,MATCH($N79,Operators!$A:$A,0))&amp;"","UNKNOWN OPERATOR ID"))</f>
        <v/>
      </c>
      <c r="Y79" t="str">
        <f>IF($N79="","",IFERROR(INDEX(Operators!$H:$H,MATCH($N79,Operators!$A:$A,0))&amp;"","UNKNOWN OPERATOR ID"))</f>
        <v/>
      </c>
      <c r="Z79" t="str">
        <f>IF($N79="","",IFERROR(INDEX(Operators!$T:$T,MATCH($N79,Operators!$A:$A,0))&amp;"","UNKNOWN OPERATOR ID"))</f>
        <v>ACTIVE</v>
      </c>
      <c r="AA79" t="str">
        <f>IF($N79="","",IFERROR(INDEX(Operators!$N:$N,MATCH($N79,Operators!$A:$A,0))&amp;"","UNKNOWN OPERATOR ID"))</f>
        <v/>
      </c>
      <c r="AB79" t="str">
        <f>IF($N79="","",IFERROR(INDEX(Operators!$K:$K,MATCH($N79,Operators!$A:$A,0))&amp;"","UNKNOWN OPERATOR ID"))</f>
        <v/>
      </c>
      <c r="AC79" t="str">
        <f>IF($N79="","",IFERROR(INDEX(Operators!$M:$M,MATCH($N79,Operators!$A:$A,0))&amp;"","UNKNOWN OPERATOR ID"))</f>
        <v/>
      </c>
      <c r="AD79" s="1" t="str">
        <f>IF($B79="","",IF($N79="","OPERATOR MISSING",IF(COUNTIF(Operators!$A:$A,$N79)=0,"UNKNOWN OPERATOR ID",IF($T79="","OPERATOR NAME REQUIRED","OK"))))</f>
        <v>OPERATOR NAME REQUIRED</v>
      </c>
      <c r="AE79">
        <f>IF($B79="","",COUNTIFS('FLEET DOCUMENTS'!$C$5:$C$60,$B79))</f>
        <v>0</v>
      </c>
      <c r="AF79">
        <f>IF($B79="","",COUNTIFS('FLEET DOCUMENTS'!$C$5:$C$60,$B79,'FLEET DOCUMENTS'!$S$5:$S$60,"EXPIRED"))</f>
        <v>0</v>
      </c>
      <c r="AG79">
        <f>IF($B79="","",COUNTIFS('FLEET DOCUMENTS'!$C$5:$C$60,$B79,'FLEET DOCUMENTS'!$S$5:$S$60,"EXPIRES WITHIN 90 DAYS")+COUNTIFS('FLEET DOCUMENTS'!$C$5:$C$60,$B79,'FLEET DOCUMENTS'!$S$5:$S$60,"EXPIRES WITHIN 30 DAYS"))</f>
        <v>0</v>
      </c>
      <c r="AH79" s="72">
        <f>IF($B79="","",IFERROR(_xlfn.MINIFS('FLEET DOCUMENTS'!$J$5:$J$60,'FLEET DOCUMENTS'!$C$5:$C$60,$B79),""))</f>
        <v>0</v>
      </c>
    </row>
    <row r="80" spans="1:34" x14ac:dyDescent="0.3">
      <c r="A80" t="s">
        <v>4080</v>
      </c>
      <c r="B80" t="s">
        <v>4081</v>
      </c>
      <c r="C80" t="s">
        <v>4051</v>
      </c>
      <c r="D80" t="s">
        <v>3981</v>
      </c>
      <c r="E80" t="s">
        <v>3998</v>
      </c>
      <c r="F80" t="s">
        <v>4047</v>
      </c>
      <c r="G80" t="str">
        <f>IF($F80="","",IFERROR(INDEX(airports!$E:$E,MATCH($F80,airports!$A:$A,0)),"Not in airports"))</f>
        <v>Teterboro Airport</v>
      </c>
      <c r="H80" s="5">
        <v>45178</v>
      </c>
      <c r="I80">
        <v>19</v>
      </c>
      <c r="J80" t="s">
        <v>108</v>
      </c>
      <c r="K80">
        <v>6289</v>
      </c>
      <c r="L80" t="s">
        <v>3830</v>
      </c>
      <c r="M80" t="b">
        <v>1</v>
      </c>
      <c r="N80" t="s">
        <v>4079</v>
      </c>
      <c r="S80" s="23" t="str">
        <f t="shared" si="1"/>
        <v/>
      </c>
      <c r="T80" t="str">
        <f>IF($N80="","",IFERROR(INDEX(Operators!$B:$B,MATCH($N80,Operators!$A:$A,0))&amp;"","UNKNOWN OPERATOR ID"))</f>
        <v/>
      </c>
      <c r="U80" t="str">
        <f>IF($N80="","",IFERROR(INDEX(Operators!$C:$C,MATCH($N80,Operators!$A:$A,0))&amp;"","UNKNOWN OPERATOR ID"))</f>
        <v/>
      </c>
      <c r="V80" t="str">
        <f>IF($N80="","",IFERROR(INDEX(Operators!$D:$D,MATCH($N80,Operators!$A:$A,0))&amp;"","UNKNOWN OPERATOR ID"))</f>
        <v/>
      </c>
      <c r="W80" t="str">
        <f>IF($N80="","",IFERROR(INDEX(Operators!$E:$E,MATCH($N80,Operators!$A:$A,0))&amp;"","UNKNOWN OPERATOR ID"))</f>
        <v/>
      </c>
      <c r="X80" t="str">
        <f>IF($N80="","",IFERROR(INDEX(Operators!$G:$G,MATCH($N80,Operators!$A:$A,0))&amp;"","UNKNOWN OPERATOR ID"))</f>
        <v/>
      </c>
      <c r="Y80" t="str">
        <f>IF($N80="","",IFERROR(INDEX(Operators!$H:$H,MATCH($N80,Operators!$A:$A,0))&amp;"","UNKNOWN OPERATOR ID"))</f>
        <v/>
      </c>
      <c r="Z80" t="str">
        <f>IF($N80="","",IFERROR(INDEX(Operators!$T:$T,MATCH($N80,Operators!$A:$A,0))&amp;"","UNKNOWN OPERATOR ID"))</f>
        <v>ACTIVE</v>
      </c>
      <c r="AA80" t="str">
        <f>IF($N80="","",IFERROR(INDEX(Operators!$N:$N,MATCH($N80,Operators!$A:$A,0))&amp;"","UNKNOWN OPERATOR ID"))</f>
        <v/>
      </c>
      <c r="AB80" t="str">
        <f>IF($N80="","",IFERROR(INDEX(Operators!$K:$K,MATCH($N80,Operators!$A:$A,0))&amp;"","UNKNOWN OPERATOR ID"))</f>
        <v/>
      </c>
      <c r="AC80" t="str">
        <f>IF($N80="","",IFERROR(INDEX(Operators!$M:$M,MATCH($N80,Operators!$A:$A,0))&amp;"","UNKNOWN OPERATOR ID"))</f>
        <v/>
      </c>
      <c r="AD80" s="1" t="str">
        <f>IF($B80="","",IF($N80="","OPERATOR MISSING",IF(COUNTIF(Operators!$A:$A,$N80)=0,"UNKNOWN OPERATOR ID",IF($T80="","OPERATOR NAME REQUIRED","OK"))))</f>
        <v>OPERATOR NAME REQUIRED</v>
      </c>
      <c r="AE80">
        <f>IF($B80="","",COUNTIFS('FLEET DOCUMENTS'!$C$5:$C$60,$B80))</f>
        <v>0</v>
      </c>
      <c r="AF80">
        <f>IF($B80="","",COUNTIFS('FLEET DOCUMENTS'!$C$5:$C$60,$B80,'FLEET DOCUMENTS'!$S$5:$S$60,"EXPIRED"))</f>
        <v>0</v>
      </c>
      <c r="AG80">
        <f>IF($B80="","",COUNTIFS('FLEET DOCUMENTS'!$C$5:$C$60,$B80,'FLEET DOCUMENTS'!$S$5:$S$60,"EXPIRES WITHIN 90 DAYS")+COUNTIFS('FLEET DOCUMENTS'!$C$5:$C$60,$B80,'FLEET DOCUMENTS'!$S$5:$S$60,"EXPIRES WITHIN 30 DAYS"))</f>
        <v>0</v>
      </c>
      <c r="AH80" s="72">
        <f>IF($B80="","",IFERROR(_xlfn.MINIFS('FLEET DOCUMENTS'!$J$5:$J$60,'FLEET DOCUMENTS'!$C$5:$C$60,$B80),""))</f>
        <v>0</v>
      </c>
    </row>
    <row r="81" spans="1:34" x14ac:dyDescent="0.3">
      <c r="A81" t="s">
        <v>4082</v>
      </c>
      <c r="B81" t="s">
        <v>4083</v>
      </c>
      <c r="C81" t="s">
        <v>4084</v>
      </c>
      <c r="D81" t="s">
        <v>3853</v>
      </c>
      <c r="E81" t="s">
        <v>4085</v>
      </c>
      <c r="F81" t="s">
        <v>4074</v>
      </c>
      <c r="G81" t="str">
        <f>IF($F81="","",IFERROR(INDEX(airports!$E:$E,MATCH($F81,airports!$A:$A,0)),"Not in airports"))</f>
        <v>Fort Lauderdale Executive Airport</v>
      </c>
      <c r="H81" s="5">
        <v>17696</v>
      </c>
      <c r="I81">
        <v>12</v>
      </c>
      <c r="J81" t="s">
        <v>108</v>
      </c>
      <c r="K81">
        <v>70092</v>
      </c>
      <c r="L81" t="s">
        <v>3830</v>
      </c>
      <c r="M81" t="b">
        <v>1</v>
      </c>
      <c r="N81" t="s">
        <v>4086</v>
      </c>
      <c r="S81" s="23" t="str">
        <f t="shared" si="1"/>
        <v/>
      </c>
      <c r="T81" t="str">
        <f>IF($N81="","",IFERROR(INDEX(Operators!$B:$B,MATCH($N81,Operators!$A:$A,0))&amp;"","UNKNOWN OPERATOR ID"))</f>
        <v/>
      </c>
      <c r="U81" t="str">
        <f>IF($N81="","",IFERROR(INDEX(Operators!$C:$C,MATCH($N81,Operators!$A:$A,0))&amp;"","UNKNOWN OPERATOR ID"))</f>
        <v/>
      </c>
      <c r="V81" t="str">
        <f>IF($N81="","",IFERROR(INDEX(Operators!$D:$D,MATCH($N81,Operators!$A:$A,0))&amp;"","UNKNOWN OPERATOR ID"))</f>
        <v/>
      </c>
      <c r="W81" t="str">
        <f>IF($N81="","",IFERROR(INDEX(Operators!$E:$E,MATCH($N81,Operators!$A:$A,0))&amp;"","UNKNOWN OPERATOR ID"))</f>
        <v/>
      </c>
      <c r="X81" t="str">
        <f>IF($N81="","",IFERROR(INDEX(Operators!$G:$G,MATCH($N81,Operators!$A:$A,0))&amp;"","UNKNOWN OPERATOR ID"))</f>
        <v/>
      </c>
      <c r="Y81" t="str">
        <f>IF($N81="","",IFERROR(INDEX(Operators!$H:$H,MATCH($N81,Operators!$A:$A,0))&amp;"","UNKNOWN OPERATOR ID"))</f>
        <v/>
      </c>
      <c r="Z81" t="str">
        <f>IF($N81="","",IFERROR(INDEX(Operators!$T:$T,MATCH($N81,Operators!$A:$A,0))&amp;"","UNKNOWN OPERATOR ID"))</f>
        <v>ACTIVE</v>
      </c>
      <c r="AA81" t="str">
        <f>IF($N81="","",IFERROR(INDEX(Operators!$N:$N,MATCH($N81,Operators!$A:$A,0))&amp;"","UNKNOWN OPERATOR ID"))</f>
        <v/>
      </c>
      <c r="AB81" t="str">
        <f>IF($N81="","",IFERROR(INDEX(Operators!$K:$K,MATCH($N81,Operators!$A:$A,0))&amp;"","UNKNOWN OPERATOR ID"))</f>
        <v/>
      </c>
      <c r="AC81" t="str">
        <f>IF($N81="","",IFERROR(INDEX(Operators!$M:$M,MATCH($N81,Operators!$A:$A,0))&amp;"","UNKNOWN OPERATOR ID"))</f>
        <v/>
      </c>
      <c r="AD81" s="1" t="str">
        <f>IF($B81="","",IF($N81="","OPERATOR MISSING",IF(COUNTIF(Operators!$A:$A,$N81)=0,"UNKNOWN OPERATOR ID",IF($T81="","OPERATOR NAME REQUIRED","OK"))))</f>
        <v>OPERATOR NAME REQUIRED</v>
      </c>
      <c r="AE81">
        <f>IF($B81="","",COUNTIFS('FLEET DOCUMENTS'!$C$5:$C$60,$B81))</f>
        <v>0</v>
      </c>
      <c r="AF81">
        <f>IF($B81="","",COUNTIFS('FLEET DOCUMENTS'!$C$5:$C$60,$B81,'FLEET DOCUMENTS'!$S$5:$S$60,"EXPIRED"))</f>
        <v>0</v>
      </c>
      <c r="AG81">
        <f>IF($B81="","",COUNTIFS('FLEET DOCUMENTS'!$C$5:$C$60,$B81,'FLEET DOCUMENTS'!$S$5:$S$60,"EXPIRES WITHIN 90 DAYS")+COUNTIFS('FLEET DOCUMENTS'!$C$5:$C$60,$B81,'FLEET DOCUMENTS'!$S$5:$S$60,"EXPIRES WITHIN 30 DAYS"))</f>
        <v>0</v>
      </c>
      <c r="AH81" s="72">
        <f>IF($B81="","",IFERROR(_xlfn.MINIFS('FLEET DOCUMENTS'!$J$5:$J$60,'FLEET DOCUMENTS'!$C$5:$C$60,$B81),""))</f>
        <v>0</v>
      </c>
    </row>
    <row r="82" spans="1:34" x14ac:dyDescent="0.3">
      <c r="A82" t="s">
        <v>4087</v>
      </c>
      <c r="B82" t="s">
        <v>4088</v>
      </c>
      <c r="C82" t="s">
        <v>4089</v>
      </c>
      <c r="D82" t="s">
        <v>3925</v>
      </c>
      <c r="E82" t="s">
        <v>4090</v>
      </c>
      <c r="F82" t="s">
        <v>4091</v>
      </c>
      <c r="G82" t="str">
        <f>IF($F82="","",IFERROR(INDEX(airports!$E:$E,MATCH($F82,airports!$A:$A,0)),"Not in airports"))</f>
        <v>John Glenn Columbus International Airport</v>
      </c>
      <c r="H82" s="5">
        <v>18597</v>
      </c>
      <c r="I82">
        <v>10</v>
      </c>
      <c r="J82" t="s">
        <v>108</v>
      </c>
      <c r="K82">
        <v>20567</v>
      </c>
      <c r="L82" t="s">
        <v>3830</v>
      </c>
      <c r="M82" t="b">
        <v>1</v>
      </c>
      <c r="N82" t="s">
        <v>4092</v>
      </c>
      <c r="S82" s="23" t="str">
        <f t="shared" si="1"/>
        <v/>
      </c>
      <c r="T82" t="str">
        <f>IF($N82="","",IFERROR(INDEX(Operators!$B:$B,MATCH($N82,Operators!$A:$A,0))&amp;"","UNKNOWN OPERATOR ID"))</f>
        <v/>
      </c>
      <c r="U82" t="str">
        <f>IF($N82="","",IFERROR(INDEX(Operators!$C:$C,MATCH($N82,Operators!$A:$A,0))&amp;"","UNKNOWN OPERATOR ID"))</f>
        <v/>
      </c>
      <c r="V82" t="str">
        <f>IF($N82="","",IFERROR(INDEX(Operators!$D:$D,MATCH($N82,Operators!$A:$A,0))&amp;"","UNKNOWN OPERATOR ID"))</f>
        <v/>
      </c>
      <c r="W82" t="str">
        <f>IF($N82="","",IFERROR(INDEX(Operators!$E:$E,MATCH($N82,Operators!$A:$A,0))&amp;"","UNKNOWN OPERATOR ID"))</f>
        <v/>
      </c>
      <c r="X82" t="str">
        <f>IF($N82="","",IFERROR(INDEX(Operators!$G:$G,MATCH($N82,Operators!$A:$A,0))&amp;"","UNKNOWN OPERATOR ID"))</f>
        <v/>
      </c>
      <c r="Y82" t="str">
        <f>IF($N82="","",IFERROR(INDEX(Operators!$H:$H,MATCH($N82,Operators!$A:$A,0))&amp;"","UNKNOWN OPERATOR ID"))</f>
        <v/>
      </c>
      <c r="Z82" t="str">
        <f>IF($N82="","",IFERROR(INDEX(Operators!$T:$T,MATCH($N82,Operators!$A:$A,0))&amp;"","UNKNOWN OPERATOR ID"))</f>
        <v>ACTIVE</v>
      </c>
      <c r="AA82" t="str">
        <f>IF($N82="","",IFERROR(INDEX(Operators!$N:$N,MATCH($N82,Operators!$A:$A,0))&amp;"","UNKNOWN OPERATOR ID"))</f>
        <v/>
      </c>
      <c r="AB82" t="str">
        <f>IF($N82="","",IFERROR(INDEX(Operators!$K:$K,MATCH($N82,Operators!$A:$A,0))&amp;"","UNKNOWN OPERATOR ID"))</f>
        <v/>
      </c>
      <c r="AC82" t="str">
        <f>IF($N82="","",IFERROR(INDEX(Operators!$M:$M,MATCH($N82,Operators!$A:$A,0))&amp;"","UNKNOWN OPERATOR ID"))</f>
        <v/>
      </c>
      <c r="AD82" s="1" t="str">
        <f>IF($B82="","",IF($N82="","OPERATOR MISSING",IF(COUNTIF(Operators!$A:$A,$N82)=0,"UNKNOWN OPERATOR ID",IF($T82="","OPERATOR NAME REQUIRED","OK"))))</f>
        <v>OPERATOR NAME REQUIRED</v>
      </c>
      <c r="AE82">
        <f>IF($B82="","",COUNTIFS('FLEET DOCUMENTS'!$C$5:$C$60,$B82))</f>
        <v>0</v>
      </c>
      <c r="AF82">
        <f>IF($B82="","",COUNTIFS('FLEET DOCUMENTS'!$C$5:$C$60,$B82,'FLEET DOCUMENTS'!$S$5:$S$60,"EXPIRED"))</f>
        <v>0</v>
      </c>
      <c r="AG82">
        <f>IF($B82="","",COUNTIFS('FLEET DOCUMENTS'!$C$5:$C$60,$B82,'FLEET DOCUMENTS'!$S$5:$S$60,"EXPIRES WITHIN 90 DAYS")+COUNTIFS('FLEET DOCUMENTS'!$C$5:$C$60,$B82,'FLEET DOCUMENTS'!$S$5:$S$60,"EXPIRES WITHIN 30 DAYS"))</f>
        <v>0</v>
      </c>
      <c r="AH82" s="72">
        <f>IF($B82="","",IFERROR(_xlfn.MINIFS('FLEET DOCUMENTS'!$J$5:$J$60,'FLEET DOCUMENTS'!$C$5:$C$60,$B82),""))</f>
        <v>0</v>
      </c>
    </row>
    <row r="83" spans="1:34" x14ac:dyDescent="0.3">
      <c r="A83" t="s">
        <v>4093</v>
      </c>
      <c r="B83" t="s">
        <v>4094</v>
      </c>
      <c r="C83" t="s">
        <v>3980</v>
      </c>
      <c r="D83" t="s">
        <v>3981</v>
      </c>
      <c r="E83" t="s">
        <v>3982</v>
      </c>
      <c r="F83" t="s">
        <v>4047</v>
      </c>
      <c r="G83" t="str">
        <f>IF($F83="","",IFERROR(INDEX(airports!$E:$E,MATCH($F83,airports!$A:$A,0)),"Not in airports"))</f>
        <v>Teterboro Airport</v>
      </c>
      <c r="H83" s="5">
        <v>41277</v>
      </c>
      <c r="I83">
        <v>19</v>
      </c>
      <c r="J83" t="s">
        <v>108</v>
      </c>
      <c r="K83">
        <v>5489</v>
      </c>
      <c r="L83" t="s">
        <v>3830</v>
      </c>
      <c r="M83" t="b">
        <v>1</v>
      </c>
      <c r="N83" t="s">
        <v>4071</v>
      </c>
      <c r="S83" s="23" t="str">
        <f t="shared" si="1"/>
        <v/>
      </c>
      <c r="T83" t="str">
        <f>IF($N83="","",IFERROR(INDEX(Operators!$B:$B,MATCH($N83,Operators!$A:$A,0))&amp;"","UNKNOWN OPERATOR ID"))</f>
        <v/>
      </c>
      <c r="U83" t="str">
        <f>IF($N83="","",IFERROR(INDEX(Operators!$C:$C,MATCH($N83,Operators!$A:$A,0))&amp;"","UNKNOWN OPERATOR ID"))</f>
        <v/>
      </c>
      <c r="V83" t="str">
        <f>IF($N83="","",IFERROR(INDEX(Operators!$D:$D,MATCH($N83,Operators!$A:$A,0))&amp;"","UNKNOWN OPERATOR ID"))</f>
        <v/>
      </c>
      <c r="W83" t="str">
        <f>IF($N83="","",IFERROR(INDEX(Operators!$E:$E,MATCH($N83,Operators!$A:$A,0))&amp;"","UNKNOWN OPERATOR ID"))</f>
        <v/>
      </c>
      <c r="X83" t="str">
        <f>IF($N83="","",IFERROR(INDEX(Operators!$G:$G,MATCH($N83,Operators!$A:$A,0))&amp;"","UNKNOWN OPERATOR ID"))</f>
        <v/>
      </c>
      <c r="Y83" t="str">
        <f>IF($N83="","",IFERROR(INDEX(Operators!$H:$H,MATCH($N83,Operators!$A:$A,0))&amp;"","UNKNOWN OPERATOR ID"))</f>
        <v/>
      </c>
      <c r="Z83" t="str">
        <f>IF($N83="","",IFERROR(INDEX(Operators!$T:$T,MATCH($N83,Operators!$A:$A,0))&amp;"","UNKNOWN OPERATOR ID"))</f>
        <v>ACTIVE</v>
      </c>
      <c r="AA83" t="str">
        <f>IF($N83="","",IFERROR(INDEX(Operators!$N:$N,MATCH($N83,Operators!$A:$A,0))&amp;"","UNKNOWN OPERATOR ID"))</f>
        <v/>
      </c>
      <c r="AB83" t="str">
        <f>IF($N83="","",IFERROR(INDEX(Operators!$K:$K,MATCH($N83,Operators!$A:$A,0))&amp;"","UNKNOWN OPERATOR ID"))</f>
        <v/>
      </c>
      <c r="AC83" t="str">
        <f>IF($N83="","",IFERROR(INDEX(Operators!$M:$M,MATCH($N83,Operators!$A:$A,0))&amp;"","UNKNOWN OPERATOR ID"))</f>
        <v/>
      </c>
      <c r="AD83" s="1" t="str">
        <f>IF($B83="","",IF($N83="","OPERATOR MISSING",IF(COUNTIF(Operators!$A:$A,$N83)=0,"UNKNOWN OPERATOR ID",IF($T83="","OPERATOR NAME REQUIRED","OK"))))</f>
        <v>OPERATOR NAME REQUIRED</v>
      </c>
      <c r="AE83">
        <f>IF($B83="","",COUNTIFS('FLEET DOCUMENTS'!$C$5:$C$60,$B83))</f>
        <v>0</v>
      </c>
      <c r="AF83">
        <f>IF($B83="","",COUNTIFS('FLEET DOCUMENTS'!$C$5:$C$60,$B83,'FLEET DOCUMENTS'!$S$5:$S$60,"EXPIRED"))</f>
        <v>0</v>
      </c>
      <c r="AG83">
        <f>IF($B83="","",COUNTIFS('FLEET DOCUMENTS'!$C$5:$C$60,$B83,'FLEET DOCUMENTS'!$S$5:$S$60,"EXPIRES WITHIN 90 DAYS")+COUNTIFS('FLEET DOCUMENTS'!$C$5:$C$60,$B83,'FLEET DOCUMENTS'!$S$5:$S$60,"EXPIRES WITHIN 30 DAYS"))</f>
        <v>0</v>
      </c>
      <c r="AH83" s="72">
        <f>IF($B83="","",IFERROR(_xlfn.MINIFS('FLEET DOCUMENTS'!$J$5:$J$60,'FLEET DOCUMENTS'!$C$5:$C$60,$B83),""))</f>
        <v>0</v>
      </c>
    </row>
    <row r="84" spans="1:34" x14ac:dyDescent="0.3">
      <c r="A84" t="s">
        <v>4095</v>
      </c>
      <c r="B84" t="s">
        <v>4096</v>
      </c>
      <c r="C84" t="s">
        <v>4051</v>
      </c>
      <c r="D84" t="s">
        <v>3981</v>
      </c>
      <c r="E84" t="s">
        <v>3998</v>
      </c>
      <c r="F84" t="s">
        <v>4074</v>
      </c>
      <c r="G84" t="str">
        <f>IF($F84="","",IFERROR(INDEX(airports!$E:$E,MATCH($F84,airports!$A:$A,0)),"Not in airports"))</f>
        <v>Fort Lauderdale Executive Airport</v>
      </c>
      <c r="H84" s="5">
        <v>45178</v>
      </c>
      <c r="I84">
        <v>19</v>
      </c>
      <c r="J84" t="s">
        <v>108</v>
      </c>
      <c r="K84">
        <v>6245</v>
      </c>
      <c r="L84" t="s">
        <v>3830</v>
      </c>
      <c r="M84" t="b">
        <v>1</v>
      </c>
      <c r="N84" t="s">
        <v>4075</v>
      </c>
      <c r="S84" s="23" t="str">
        <f t="shared" si="1"/>
        <v/>
      </c>
      <c r="T84" t="str">
        <f>IF($N84="","",IFERROR(INDEX(Operators!$B:$B,MATCH($N84,Operators!$A:$A,0))&amp;"","UNKNOWN OPERATOR ID"))</f>
        <v/>
      </c>
      <c r="U84" t="str">
        <f>IF($N84="","",IFERROR(INDEX(Operators!$C:$C,MATCH($N84,Operators!$A:$A,0))&amp;"","UNKNOWN OPERATOR ID"))</f>
        <v/>
      </c>
      <c r="V84" t="str">
        <f>IF($N84="","",IFERROR(INDEX(Operators!$D:$D,MATCH($N84,Operators!$A:$A,0))&amp;"","UNKNOWN OPERATOR ID"))</f>
        <v/>
      </c>
      <c r="W84" t="str">
        <f>IF($N84="","",IFERROR(INDEX(Operators!$E:$E,MATCH($N84,Operators!$A:$A,0))&amp;"","UNKNOWN OPERATOR ID"))</f>
        <v/>
      </c>
      <c r="X84" t="str">
        <f>IF($N84="","",IFERROR(INDEX(Operators!$G:$G,MATCH($N84,Operators!$A:$A,0))&amp;"","UNKNOWN OPERATOR ID"))</f>
        <v/>
      </c>
      <c r="Y84" t="str">
        <f>IF($N84="","",IFERROR(INDEX(Operators!$H:$H,MATCH($N84,Operators!$A:$A,0))&amp;"","UNKNOWN OPERATOR ID"))</f>
        <v/>
      </c>
      <c r="Z84" t="str">
        <f>IF($N84="","",IFERROR(INDEX(Operators!$T:$T,MATCH($N84,Operators!$A:$A,0))&amp;"","UNKNOWN OPERATOR ID"))</f>
        <v>ACTIVE</v>
      </c>
      <c r="AA84" t="str">
        <f>IF($N84="","",IFERROR(INDEX(Operators!$N:$N,MATCH($N84,Operators!$A:$A,0))&amp;"","UNKNOWN OPERATOR ID"))</f>
        <v/>
      </c>
      <c r="AB84" t="str">
        <f>IF($N84="","",IFERROR(INDEX(Operators!$K:$K,MATCH($N84,Operators!$A:$A,0))&amp;"","UNKNOWN OPERATOR ID"))</f>
        <v/>
      </c>
      <c r="AC84" t="str">
        <f>IF($N84="","",IFERROR(INDEX(Operators!$M:$M,MATCH($N84,Operators!$A:$A,0))&amp;"","UNKNOWN OPERATOR ID"))</f>
        <v/>
      </c>
      <c r="AD84" s="1" t="str">
        <f>IF($B84="","",IF($N84="","OPERATOR MISSING",IF(COUNTIF(Operators!$A:$A,$N84)=0,"UNKNOWN OPERATOR ID",IF($T84="","OPERATOR NAME REQUIRED","OK"))))</f>
        <v>OPERATOR NAME REQUIRED</v>
      </c>
      <c r="AE84">
        <f>IF($B84="","",COUNTIFS('FLEET DOCUMENTS'!$C$5:$C$60,$B84))</f>
        <v>0</v>
      </c>
      <c r="AF84">
        <f>IF($B84="","",COUNTIFS('FLEET DOCUMENTS'!$C$5:$C$60,$B84,'FLEET DOCUMENTS'!$S$5:$S$60,"EXPIRED"))</f>
        <v>0</v>
      </c>
      <c r="AG84">
        <f>IF($B84="","",COUNTIFS('FLEET DOCUMENTS'!$C$5:$C$60,$B84,'FLEET DOCUMENTS'!$S$5:$S$60,"EXPIRES WITHIN 90 DAYS")+COUNTIFS('FLEET DOCUMENTS'!$C$5:$C$60,$B84,'FLEET DOCUMENTS'!$S$5:$S$60,"EXPIRES WITHIN 30 DAYS"))</f>
        <v>0</v>
      </c>
      <c r="AH84" s="72">
        <f>IF($B84="","",IFERROR(_xlfn.MINIFS('FLEET DOCUMENTS'!$J$5:$J$60,'FLEET DOCUMENTS'!$C$5:$C$60,$B84),""))</f>
        <v>0</v>
      </c>
    </row>
    <row r="85" spans="1:34" x14ac:dyDescent="0.3">
      <c r="A85" t="s">
        <v>4097</v>
      </c>
      <c r="B85" t="s">
        <v>4098</v>
      </c>
      <c r="C85" t="s">
        <v>3997</v>
      </c>
      <c r="D85" t="s">
        <v>3981</v>
      </c>
      <c r="E85" t="s">
        <v>4051</v>
      </c>
      <c r="F85" t="s">
        <v>4091</v>
      </c>
      <c r="G85" t="str">
        <f>IF($F85="","",IFERROR(INDEX(airports!$E:$E,MATCH($F85,airports!$A:$A,0)),"Not in airports"))</f>
        <v>John Glenn Columbus International Airport</v>
      </c>
      <c r="H85" s="5">
        <v>45178</v>
      </c>
      <c r="I85">
        <v>19</v>
      </c>
      <c r="J85" t="s">
        <v>108</v>
      </c>
      <c r="K85">
        <v>6301</v>
      </c>
      <c r="L85" t="s">
        <v>3830</v>
      </c>
      <c r="M85" t="b">
        <v>1</v>
      </c>
      <c r="N85" t="s">
        <v>4092</v>
      </c>
      <c r="S85" s="23" t="str">
        <f t="shared" si="1"/>
        <v/>
      </c>
      <c r="T85" t="str">
        <f>IF($N85="","",IFERROR(INDEX(Operators!$B:$B,MATCH($N85,Operators!$A:$A,0))&amp;"","UNKNOWN OPERATOR ID"))</f>
        <v/>
      </c>
      <c r="U85" t="str">
        <f>IF($N85="","",IFERROR(INDEX(Operators!$C:$C,MATCH($N85,Operators!$A:$A,0))&amp;"","UNKNOWN OPERATOR ID"))</f>
        <v/>
      </c>
      <c r="V85" t="str">
        <f>IF($N85="","",IFERROR(INDEX(Operators!$D:$D,MATCH($N85,Operators!$A:$A,0))&amp;"","UNKNOWN OPERATOR ID"))</f>
        <v/>
      </c>
      <c r="W85" t="str">
        <f>IF($N85="","",IFERROR(INDEX(Operators!$E:$E,MATCH($N85,Operators!$A:$A,0))&amp;"","UNKNOWN OPERATOR ID"))</f>
        <v/>
      </c>
      <c r="X85" t="str">
        <f>IF($N85="","",IFERROR(INDEX(Operators!$G:$G,MATCH($N85,Operators!$A:$A,0))&amp;"","UNKNOWN OPERATOR ID"))</f>
        <v/>
      </c>
      <c r="Y85" t="str">
        <f>IF($N85="","",IFERROR(INDEX(Operators!$H:$H,MATCH($N85,Operators!$A:$A,0))&amp;"","UNKNOWN OPERATOR ID"))</f>
        <v/>
      </c>
      <c r="Z85" t="str">
        <f>IF($N85="","",IFERROR(INDEX(Operators!$T:$T,MATCH($N85,Operators!$A:$A,0))&amp;"","UNKNOWN OPERATOR ID"))</f>
        <v>ACTIVE</v>
      </c>
      <c r="AA85" t="str">
        <f>IF($N85="","",IFERROR(INDEX(Operators!$N:$N,MATCH($N85,Operators!$A:$A,0))&amp;"","UNKNOWN OPERATOR ID"))</f>
        <v/>
      </c>
      <c r="AB85" t="str">
        <f>IF($N85="","",IFERROR(INDEX(Operators!$K:$K,MATCH($N85,Operators!$A:$A,0))&amp;"","UNKNOWN OPERATOR ID"))</f>
        <v/>
      </c>
      <c r="AC85" t="str">
        <f>IF($N85="","",IFERROR(INDEX(Operators!$M:$M,MATCH($N85,Operators!$A:$A,0))&amp;"","UNKNOWN OPERATOR ID"))</f>
        <v/>
      </c>
      <c r="AD85" s="1" t="str">
        <f>IF($B85="","",IF($N85="","OPERATOR MISSING",IF(COUNTIF(Operators!$A:$A,$N85)=0,"UNKNOWN OPERATOR ID",IF($T85="","OPERATOR NAME REQUIRED","OK"))))</f>
        <v>OPERATOR NAME REQUIRED</v>
      </c>
      <c r="AE85">
        <f>IF($B85="","",COUNTIFS('FLEET DOCUMENTS'!$C$5:$C$60,$B85))</f>
        <v>0</v>
      </c>
      <c r="AF85">
        <f>IF($B85="","",COUNTIFS('FLEET DOCUMENTS'!$C$5:$C$60,$B85,'FLEET DOCUMENTS'!$S$5:$S$60,"EXPIRED"))</f>
        <v>0</v>
      </c>
      <c r="AG85">
        <f>IF($B85="","",COUNTIFS('FLEET DOCUMENTS'!$C$5:$C$60,$B85,'FLEET DOCUMENTS'!$S$5:$S$60,"EXPIRES WITHIN 90 DAYS")+COUNTIFS('FLEET DOCUMENTS'!$C$5:$C$60,$B85,'FLEET DOCUMENTS'!$S$5:$S$60,"EXPIRES WITHIN 30 DAYS"))</f>
        <v>0</v>
      </c>
      <c r="AH85" s="72">
        <f>IF($B85="","",IFERROR(_xlfn.MINIFS('FLEET DOCUMENTS'!$J$5:$J$60,'FLEET DOCUMENTS'!$C$5:$C$60,$B85),""))</f>
        <v>0</v>
      </c>
    </row>
    <row r="86" spans="1:34" x14ac:dyDescent="0.3">
      <c r="A86" t="s">
        <v>4099</v>
      </c>
      <c r="B86" t="s">
        <v>4100</v>
      </c>
      <c r="C86" t="s">
        <v>3990</v>
      </c>
      <c r="D86" t="s">
        <v>3879</v>
      </c>
      <c r="E86" t="s">
        <v>3991</v>
      </c>
      <c r="F86" t="s">
        <v>4101</v>
      </c>
      <c r="G86" t="str">
        <f>IF($F86="","",IFERROR(INDEX(airports!$E:$E,MATCH($F86,airports!$A:$A,0)),"Not in airports"))</f>
        <v>Harry Reid International Airport</v>
      </c>
      <c r="H86" s="5">
        <v>447696</v>
      </c>
      <c r="I86">
        <v>100</v>
      </c>
      <c r="J86" t="s">
        <v>108</v>
      </c>
      <c r="K86">
        <v>37826</v>
      </c>
      <c r="L86" t="s">
        <v>3830</v>
      </c>
      <c r="M86" t="b">
        <v>1</v>
      </c>
      <c r="N86" t="s">
        <v>4102</v>
      </c>
      <c r="S86" s="23" t="str">
        <f t="shared" si="1"/>
        <v/>
      </c>
      <c r="T86" t="str">
        <f>IF($N86="","",IFERROR(INDEX(Operators!$B:$B,MATCH($N86,Operators!$A:$A,0))&amp;"","UNKNOWN OPERATOR ID"))</f>
        <v/>
      </c>
      <c r="U86" t="str">
        <f>IF($N86="","",IFERROR(INDEX(Operators!$C:$C,MATCH($N86,Operators!$A:$A,0))&amp;"","UNKNOWN OPERATOR ID"))</f>
        <v/>
      </c>
      <c r="V86" t="str">
        <f>IF($N86="","",IFERROR(INDEX(Operators!$D:$D,MATCH($N86,Operators!$A:$A,0))&amp;"","UNKNOWN OPERATOR ID"))</f>
        <v/>
      </c>
      <c r="W86" t="str">
        <f>IF($N86="","",IFERROR(INDEX(Operators!$E:$E,MATCH($N86,Operators!$A:$A,0))&amp;"","UNKNOWN OPERATOR ID"))</f>
        <v/>
      </c>
      <c r="X86" t="str">
        <f>IF($N86="","",IFERROR(INDEX(Operators!$G:$G,MATCH($N86,Operators!$A:$A,0))&amp;"","UNKNOWN OPERATOR ID"))</f>
        <v/>
      </c>
      <c r="Y86" t="str">
        <f>IF($N86="","",IFERROR(INDEX(Operators!$H:$H,MATCH($N86,Operators!$A:$A,0))&amp;"","UNKNOWN OPERATOR ID"))</f>
        <v/>
      </c>
      <c r="Z86" t="str">
        <f>IF($N86="","",IFERROR(INDEX(Operators!$T:$T,MATCH($N86,Operators!$A:$A,0))&amp;"","UNKNOWN OPERATOR ID"))</f>
        <v>ACTIVE</v>
      </c>
      <c r="AA86" t="str">
        <f>IF($N86="","",IFERROR(INDEX(Operators!$N:$N,MATCH($N86,Operators!$A:$A,0))&amp;"","UNKNOWN OPERATOR ID"))</f>
        <v/>
      </c>
      <c r="AB86" t="str">
        <f>IF($N86="","",IFERROR(INDEX(Operators!$K:$K,MATCH($N86,Operators!$A:$A,0))&amp;"","UNKNOWN OPERATOR ID"))</f>
        <v/>
      </c>
      <c r="AC86" t="str">
        <f>IF($N86="","",IFERROR(INDEX(Operators!$M:$M,MATCH($N86,Operators!$A:$A,0))&amp;"","UNKNOWN OPERATOR ID"))</f>
        <v/>
      </c>
      <c r="AD86" s="1" t="str">
        <f>IF($B86="","",IF($N86="","OPERATOR MISSING",IF(COUNTIF(Operators!$A:$A,$N86)=0,"UNKNOWN OPERATOR ID",IF($T86="","OPERATOR NAME REQUIRED","OK"))))</f>
        <v>OPERATOR NAME REQUIRED</v>
      </c>
      <c r="AE86">
        <f>IF($B86="","",COUNTIFS('FLEET DOCUMENTS'!$C$5:$C$60,$B86))</f>
        <v>0</v>
      </c>
      <c r="AF86">
        <f>IF($B86="","",COUNTIFS('FLEET DOCUMENTS'!$C$5:$C$60,$B86,'FLEET DOCUMENTS'!$S$5:$S$60,"EXPIRED"))</f>
        <v>0</v>
      </c>
      <c r="AG86">
        <f>IF($B86="","",COUNTIFS('FLEET DOCUMENTS'!$C$5:$C$60,$B86,'FLEET DOCUMENTS'!$S$5:$S$60,"EXPIRES WITHIN 90 DAYS")+COUNTIFS('FLEET DOCUMENTS'!$C$5:$C$60,$B86,'FLEET DOCUMENTS'!$S$5:$S$60,"EXPIRES WITHIN 30 DAYS"))</f>
        <v>0</v>
      </c>
      <c r="AH86" s="72">
        <f>IF($B86="","",IFERROR(_xlfn.MINIFS('FLEET DOCUMENTS'!$J$5:$J$60,'FLEET DOCUMENTS'!$C$5:$C$60,$B86),""))</f>
        <v>0</v>
      </c>
    </row>
    <row r="87" spans="1:34" x14ac:dyDescent="0.3">
      <c r="A87" t="s">
        <v>4103</v>
      </c>
      <c r="B87" t="s">
        <v>4104</v>
      </c>
      <c r="C87" t="s">
        <v>4051</v>
      </c>
      <c r="D87" t="s">
        <v>3981</v>
      </c>
      <c r="E87" t="s">
        <v>3998</v>
      </c>
      <c r="F87" t="s">
        <v>4091</v>
      </c>
      <c r="G87" t="str">
        <f>IF($F87="","",IFERROR(INDEX(airports!$E:$E,MATCH($F87,airports!$A:$A,0)),"Not in airports"))</f>
        <v>John Glenn Columbus International Airport</v>
      </c>
      <c r="H87" s="5">
        <v>45178</v>
      </c>
      <c r="I87">
        <v>19</v>
      </c>
      <c r="J87" t="s">
        <v>108</v>
      </c>
      <c r="K87">
        <v>6267</v>
      </c>
      <c r="L87" t="s">
        <v>3830</v>
      </c>
      <c r="M87" t="b">
        <v>1</v>
      </c>
      <c r="N87" t="s">
        <v>4092</v>
      </c>
      <c r="S87" s="23" t="str">
        <f t="shared" si="1"/>
        <v>DUPLICATE REGISTRATION - verify</v>
      </c>
      <c r="T87" t="str">
        <f>IF($N87="","",IFERROR(INDEX(Operators!$B:$B,MATCH($N87,Operators!$A:$A,0))&amp;"","UNKNOWN OPERATOR ID"))</f>
        <v/>
      </c>
      <c r="U87" t="str">
        <f>IF($N87="","",IFERROR(INDEX(Operators!$C:$C,MATCH($N87,Operators!$A:$A,0))&amp;"","UNKNOWN OPERATOR ID"))</f>
        <v/>
      </c>
      <c r="V87" t="str">
        <f>IF($N87="","",IFERROR(INDEX(Operators!$D:$D,MATCH($N87,Operators!$A:$A,0))&amp;"","UNKNOWN OPERATOR ID"))</f>
        <v/>
      </c>
      <c r="W87" t="str">
        <f>IF($N87="","",IFERROR(INDEX(Operators!$E:$E,MATCH($N87,Operators!$A:$A,0))&amp;"","UNKNOWN OPERATOR ID"))</f>
        <v/>
      </c>
      <c r="X87" t="str">
        <f>IF($N87="","",IFERROR(INDEX(Operators!$G:$G,MATCH($N87,Operators!$A:$A,0))&amp;"","UNKNOWN OPERATOR ID"))</f>
        <v/>
      </c>
      <c r="Y87" t="str">
        <f>IF($N87="","",IFERROR(INDEX(Operators!$H:$H,MATCH($N87,Operators!$A:$A,0))&amp;"","UNKNOWN OPERATOR ID"))</f>
        <v/>
      </c>
      <c r="Z87" t="str">
        <f>IF($N87="","",IFERROR(INDEX(Operators!$T:$T,MATCH($N87,Operators!$A:$A,0))&amp;"","UNKNOWN OPERATOR ID"))</f>
        <v>ACTIVE</v>
      </c>
      <c r="AA87" t="str">
        <f>IF($N87="","",IFERROR(INDEX(Operators!$N:$N,MATCH($N87,Operators!$A:$A,0))&amp;"","UNKNOWN OPERATOR ID"))</f>
        <v/>
      </c>
      <c r="AB87" t="str">
        <f>IF($N87="","",IFERROR(INDEX(Operators!$K:$K,MATCH($N87,Operators!$A:$A,0))&amp;"","UNKNOWN OPERATOR ID"))</f>
        <v/>
      </c>
      <c r="AC87" t="str">
        <f>IF($N87="","",IFERROR(INDEX(Operators!$M:$M,MATCH($N87,Operators!$A:$A,0))&amp;"","UNKNOWN OPERATOR ID"))</f>
        <v/>
      </c>
      <c r="AD87" s="1" t="str">
        <f>IF($B87="","",IF($N87="","OPERATOR MISSING",IF(COUNTIF(Operators!$A:$A,$N87)=0,"UNKNOWN OPERATOR ID",IF($T87="","OPERATOR NAME REQUIRED","OK"))))</f>
        <v>OPERATOR NAME REQUIRED</v>
      </c>
      <c r="AE87">
        <f>IF($B87="","",COUNTIFS('FLEET DOCUMENTS'!$C$5:$C$60,$B87))</f>
        <v>0</v>
      </c>
      <c r="AF87">
        <f>IF($B87="","",COUNTIFS('FLEET DOCUMENTS'!$C$5:$C$60,$B87,'FLEET DOCUMENTS'!$S$5:$S$60,"EXPIRED"))</f>
        <v>0</v>
      </c>
      <c r="AG87">
        <f>IF($B87="","",COUNTIFS('FLEET DOCUMENTS'!$C$5:$C$60,$B87,'FLEET DOCUMENTS'!$S$5:$S$60,"EXPIRES WITHIN 90 DAYS")+COUNTIFS('FLEET DOCUMENTS'!$C$5:$C$60,$B87,'FLEET DOCUMENTS'!$S$5:$S$60,"EXPIRES WITHIN 30 DAYS"))</f>
        <v>0</v>
      </c>
      <c r="AH87" s="72">
        <f>IF($B87="","",IFERROR(_xlfn.MINIFS('FLEET DOCUMENTS'!$J$5:$J$60,'FLEET DOCUMENTS'!$C$5:$C$60,$B87),""))</f>
        <v>0</v>
      </c>
    </row>
    <row r="88" spans="1:34" x14ac:dyDescent="0.3">
      <c r="A88" t="s">
        <v>4105</v>
      </c>
      <c r="B88" t="s">
        <v>4104</v>
      </c>
      <c r="C88" t="s">
        <v>4106</v>
      </c>
      <c r="D88" t="s">
        <v>4030</v>
      </c>
      <c r="E88" t="s">
        <v>4107</v>
      </c>
      <c r="F88" t="s">
        <v>4047</v>
      </c>
      <c r="G88" t="str">
        <f>IF($F88="","",IFERROR(INDEX(airports!$E:$E,MATCH($F88,airports!$A:$A,0)),"Not in airports"))</f>
        <v>Teterboro Airport</v>
      </c>
      <c r="H88" s="5">
        <v>17960</v>
      </c>
      <c r="I88">
        <v>9</v>
      </c>
      <c r="J88" t="s">
        <v>108</v>
      </c>
      <c r="K88">
        <v>345</v>
      </c>
      <c r="L88" t="s">
        <v>3830</v>
      </c>
      <c r="M88" t="b">
        <v>1</v>
      </c>
      <c r="N88" t="s">
        <v>4048</v>
      </c>
      <c r="S88" s="23" t="str">
        <f t="shared" si="1"/>
        <v>DUPLICATE REGISTRATION - verify</v>
      </c>
      <c r="T88" t="str">
        <f>IF($N88="","",IFERROR(INDEX(Operators!$B:$B,MATCH($N88,Operators!$A:$A,0))&amp;"","UNKNOWN OPERATOR ID"))</f>
        <v/>
      </c>
      <c r="U88" t="str">
        <f>IF($N88="","",IFERROR(INDEX(Operators!$C:$C,MATCH($N88,Operators!$A:$A,0))&amp;"","UNKNOWN OPERATOR ID"))</f>
        <v/>
      </c>
      <c r="V88" t="str">
        <f>IF($N88="","",IFERROR(INDEX(Operators!$D:$D,MATCH($N88,Operators!$A:$A,0))&amp;"","UNKNOWN OPERATOR ID"))</f>
        <v/>
      </c>
      <c r="W88" t="str">
        <f>IF($N88="","",IFERROR(INDEX(Operators!$E:$E,MATCH($N88,Operators!$A:$A,0))&amp;"","UNKNOWN OPERATOR ID"))</f>
        <v/>
      </c>
      <c r="X88" t="str">
        <f>IF($N88="","",IFERROR(INDEX(Operators!$G:$G,MATCH($N88,Operators!$A:$A,0))&amp;"","UNKNOWN OPERATOR ID"))</f>
        <v/>
      </c>
      <c r="Y88" t="str">
        <f>IF($N88="","",IFERROR(INDEX(Operators!$H:$H,MATCH($N88,Operators!$A:$A,0))&amp;"","UNKNOWN OPERATOR ID"))</f>
        <v/>
      </c>
      <c r="Z88" t="str">
        <f>IF($N88="","",IFERROR(INDEX(Operators!$T:$T,MATCH($N88,Operators!$A:$A,0))&amp;"","UNKNOWN OPERATOR ID"))</f>
        <v>ACTIVE</v>
      </c>
      <c r="AA88" t="str">
        <f>IF($N88="","",IFERROR(INDEX(Operators!$N:$N,MATCH($N88,Operators!$A:$A,0))&amp;"","UNKNOWN OPERATOR ID"))</f>
        <v/>
      </c>
      <c r="AB88" t="str">
        <f>IF($N88="","",IFERROR(INDEX(Operators!$K:$K,MATCH($N88,Operators!$A:$A,0))&amp;"","UNKNOWN OPERATOR ID"))</f>
        <v/>
      </c>
      <c r="AC88" t="str">
        <f>IF($N88="","",IFERROR(INDEX(Operators!$M:$M,MATCH($N88,Operators!$A:$A,0))&amp;"","UNKNOWN OPERATOR ID"))</f>
        <v/>
      </c>
      <c r="AD88" s="1" t="str">
        <f>IF($B88="","",IF($N88="","OPERATOR MISSING",IF(COUNTIF(Operators!$A:$A,$N88)=0,"UNKNOWN OPERATOR ID",IF($T88="","OPERATOR NAME REQUIRED","OK"))))</f>
        <v>OPERATOR NAME REQUIRED</v>
      </c>
      <c r="AE88">
        <f>IF($B88="","",COUNTIFS('FLEET DOCUMENTS'!$C$5:$C$60,$B88))</f>
        <v>0</v>
      </c>
      <c r="AF88">
        <f>IF($B88="","",COUNTIFS('FLEET DOCUMENTS'!$C$5:$C$60,$B88,'FLEET DOCUMENTS'!$S$5:$S$60,"EXPIRED"))</f>
        <v>0</v>
      </c>
      <c r="AG88">
        <f>IF($B88="","",COUNTIFS('FLEET DOCUMENTS'!$C$5:$C$60,$B88,'FLEET DOCUMENTS'!$S$5:$S$60,"EXPIRES WITHIN 90 DAYS")+COUNTIFS('FLEET DOCUMENTS'!$C$5:$C$60,$B88,'FLEET DOCUMENTS'!$S$5:$S$60,"EXPIRES WITHIN 30 DAYS"))</f>
        <v>0</v>
      </c>
      <c r="AH88" s="72">
        <f>IF($B88="","",IFERROR(_xlfn.MINIFS('FLEET DOCUMENTS'!$J$5:$J$60,'FLEET DOCUMENTS'!$C$5:$C$60,$B88),""))</f>
        <v>0</v>
      </c>
    </row>
    <row r="89" spans="1:34" x14ac:dyDescent="0.3">
      <c r="A89" t="s">
        <v>4108</v>
      </c>
      <c r="B89" t="s">
        <v>4109</v>
      </c>
      <c r="C89" t="s">
        <v>4084</v>
      </c>
      <c r="D89" t="s">
        <v>3853</v>
      </c>
      <c r="E89" t="s">
        <v>4085</v>
      </c>
      <c r="F89" t="s">
        <v>4091</v>
      </c>
      <c r="G89" t="str">
        <f>IF($F89="","",IFERROR(INDEX(airports!$E:$E,MATCH($F89,airports!$A:$A,0)),"Not in airports"))</f>
        <v>John Glenn Columbus International Airport</v>
      </c>
      <c r="H89" s="5">
        <v>17696</v>
      </c>
      <c r="I89">
        <v>12</v>
      </c>
      <c r="J89" t="s">
        <v>108</v>
      </c>
      <c r="K89">
        <v>70089</v>
      </c>
      <c r="L89" t="s">
        <v>3830</v>
      </c>
      <c r="M89" t="b">
        <v>1</v>
      </c>
      <c r="N89" t="s">
        <v>4092</v>
      </c>
      <c r="S89" s="23" t="str">
        <f t="shared" si="1"/>
        <v/>
      </c>
      <c r="T89" t="str">
        <f>IF($N89="","",IFERROR(INDEX(Operators!$B:$B,MATCH($N89,Operators!$A:$A,0))&amp;"","UNKNOWN OPERATOR ID"))</f>
        <v/>
      </c>
      <c r="U89" t="str">
        <f>IF($N89="","",IFERROR(INDEX(Operators!$C:$C,MATCH($N89,Operators!$A:$A,0))&amp;"","UNKNOWN OPERATOR ID"))</f>
        <v/>
      </c>
      <c r="V89" t="str">
        <f>IF($N89="","",IFERROR(INDEX(Operators!$D:$D,MATCH($N89,Operators!$A:$A,0))&amp;"","UNKNOWN OPERATOR ID"))</f>
        <v/>
      </c>
      <c r="W89" t="str">
        <f>IF($N89="","",IFERROR(INDEX(Operators!$E:$E,MATCH($N89,Operators!$A:$A,0))&amp;"","UNKNOWN OPERATOR ID"))</f>
        <v/>
      </c>
      <c r="X89" t="str">
        <f>IF($N89="","",IFERROR(INDEX(Operators!$G:$G,MATCH($N89,Operators!$A:$A,0))&amp;"","UNKNOWN OPERATOR ID"))</f>
        <v/>
      </c>
      <c r="Y89" t="str">
        <f>IF($N89="","",IFERROR(INDEX(Operators!$H:$H,MATCH($N89,Operators!$A:$A,0))&amp;"","UNKNOWN OPERATOR ID"))</f>
        <v/>
      </c>
      <c r="Z89" t="str">
        <f>IF($N89="","",IFERROR(INDEX(Operators!$T:$T,MATCH($N89,Operators!$A:$A,0))&amp;"","UNKNOWN OPERATOR ID"))</f>
        <v>ACTIVE</v>
      </c>
      <c r="AA89" t="str">
        <f>IF($N89="","",IFERROR(INDEX(Operators!$N:$N,MATCH($N89,Operators!$A:$A,0))&amp;"","UNKNOWN OPERATOR ID"))</f>
        <v/>
      </c>
      <c r="AB89" t="str">
        <f>IF($N89="","",IFERROR(INDEX(Operators!$K:$K,MATCH($N89,Operators!$A:$A,0))&amp;"","UNKNOWN OPERATOR ID"))</f>
        <v/>
      </c>
      <c r="AC89" t="str">
        <f>IF($N89="","",IFERROR(INDEX(Operators!$M:$M,MATCH($N89,Operators!$A:$A,0))&amp;"","UNKNOWN OPERATOR ID"))</f>
        <v/>
      </c>
      <c r="AD89" s="1" t="str">
        <f>IF($B89="","",IF($N89="","OPERATOR MISSING",IF(COUNTIF(Operators!$A:$A,$N89)=0,"UNKNOWN OPERATOR ID",IF($T89="","OPERATOR NAME REQUIRED","OK"))))</f>
        <v>OPERATOR NAME REQUIRED</v>
      </c>
      <c r="AE89">
        <f>IF($B89="","",COUNTIFS('FLEET DOCUMENTS'!$C$5:$C$60,$B89))</f>
        <v>0</v>
      </c>
      <c r="AF89">
        <f>IF($B89="","",COUNTIFS('FLEET DOCUMENTS'!$C$5:$C$60,$B89,'FLEET DOCUMENTS'!$S$5:$S$60,"EXPIRED"))</f>
        <v>0</v>
      </c>
      <c r="AG89">
        <f>IF($B89="","",COUNTIFS('FLEET DOCUMENTS'!$C$5:$C$60,$B89,'FLEET DOCUMENTS'!$S$5:$S$60,"EXPIRES WITHIN 90 DAYS")+COUNTIFS('FLEET DOCUMENTS'!$C$5:$C$60,$B89,'FLEET DOCUMENTS'!$S$5:$S$60,"EXPIRES WITHIN 30 DAYS"))</f>
        <v>0</v>
      </c>
      <c r="AH89" s="72">
        <f>IF($B89="","",IFERROR(_xlfn.MINIFS('FLEET DOCUMENTS'!$J$5:$J$60,'FLEET DOCUMENTS'!$C$5:$C$60,$B89),""))</f>
        <v>0</v>
      </c>
    </row>
    <row r="90" spans="1:34" x14ac:dyDescent="0.3">
      <c r="A90" t="s">
        <v>4110</v>
      </c>
      <c r="B90" t="s">
        <v>4111</v>
      </c>
      <c r="C90" t="s">
        <v>4037</v>
      </c>
      <c r="D90" t="s">
        <v>3925</v>
      </c>
      <c r="E90" t="s">
        <v>4112</v>
      </c>
      <c r="F90" t="s">
        <v>4047</v>
      </c>
      <c r="G90" t="str">
        <f>IF($F90="","",IFERROR(INDEX(airports!$E:$E,MATCH($F90,airports!$A:$A,0)),"Not in airports"))</f>
        <v>Teterboro Airport</v>
      </c>
      <c r="H90" s="5">
        <v>45132</v>
      </c>
      <c r="I90">
        <v>19</v>
      </c>
      <c r="J90" t="s">
        <v>108</v>
      </c>
      <c r="K90">
        <v>9678</v>
      </c>
      <c r="L90" t="s">
        <v>3830</v>
      </c>
      <c r="M90" t="b">
        <v>1</v>
      </c>
      <c r="N90" t="s">
        <v>4113</v>
      </c>
      <c r="S90" s="23" t="str">
        <f t="shared" si="1"/>
        <v/>
      </c>
      <c r="T90" t="str">
        <f>IF($N90="","",IFERROR(INDEX(Operators!$B:$B,MATCH($N90,Operators!$A:$A,0))&amp;"","UNKNOWN OPERATOR ID"))</f>
        <v/>
      </c>
      <c r="U90" t="str">
        <f>IF($N90="","",IFERROR(INDEX(Operators!$C:$C,MATCH($N90,Operators!$A:$A,0))&amp;"","UNKNOWN OPERATOR ID"))</f>
        <v/>
      </c>
      <c r="V90" t="str">
        <f>IF($N90="","",IFERROR(INDEX(Operators!$D:$D,MATCH($N90,Operators!$A:$A,0))&amp;"","UNKNOWN OPERATOR ID"))</f>
        <v/>
      </c>
      <c r="W90" t="str">
        <f>IF($N90="","",IFERROR(INDEX(Operators!$E:$E,MATCH($N90,Operators!$A:$A,0))&amp;"","UNKNOWN OPERATOR ID"))</f>
        <v/>
      </c>
      <c r="X90" t="str">
        <f>IF($N90="","",IFERROR(INDEX(Operators!$G:$G,MATCH($N90,Operators!$A:$A,0))&amp;"","UNKNOWN OPERATOR ID"))</f>
        <v/>
      </c>
      <c r="Y90" t="str">
        <f>IF($N90="","",IFERROR(INDEX(Operators!$H:$H,MATCH($N90,Operators!$A:$A,0))&amp;"","UNKNOWN OPERATOR ID"))</f>
        <v/>
      </c>
      <c r="Z90" t="str">
        <f>IF($N90="","",IFERROR(INDEX(Operators!$T:$T,MATCH($N90,Operators!$A:$A,0))&amp;"","UNKNOWN OPERATOR ID"))</f>
        <v>ACTIVE</v>
      </c>
      <c r="AA90" t="str">
        <f>IF($N90="","",IFERROR(INDEX(Operators!$N:$N,MATCH($N90,Operators!$A:$A,0))&amp;"","UNKNOWN OPERATOR ID"))</f>
        <v/>
      </c>
      <c r="AB90" t="str">
        <f>IF($N90="","",IFERROR(INDEX(Operators!$K:$K,MATCH($N90,Operators!$A:$A,0))&amp;"","UNKNOWN OPERATOR ID"))</f>
        <v/>
      </c>
      <c r="AC90" t="str">
        <f>IF($N90="","",IFERROR(INDEX(Operators!$M:$M,MATCH($N90,Operators!$A:$A,0))&amp;"","UNKNOWN OPERATOR ID"))</f>
        <v/>
      </c>
      <c r="AD90" s="1" t="str">
        <f>IF($B90="","",IF($N90="","OPERATOR MISSING",IF(COUNTIF(Operators!$A:$A,$N90)=0,"UNKNOWN OPERATOR ID",IF($T90="","OPERATOR NAME REQUIRED","OK"))))</f>
        <v>OPERATOR NAME REQUIRED</v>
      </c>
      <c r="AE90">
        <f>IF($B90="","",COUNTIFS('FLEET DOCUMENTS'!$C$5:$C$60,$B90))</f>
        <v>0</v>
      </c>
      <c r="AF90">
        <f>IF($B90="","",COUNTIFS('FLEET DOCUMENTS'!$C$5:$C$60,$B90,'FLEET DOCUMENTS'!$S$5:$S$60,"EXPIRED"))</f>
        <v>0</v>
      </c>
      <c r="AG90">
        <f>IF($B90="","",COUNTIFS('FLEET DOCUMENTS'!$C$5:$C$60,$B90,'FLEET DOCUMENTS'!$S$5:$S$60,"EXPIRES WITHIN 90 DAYS")+COUNTIFS('FLEET DOCUMENTS'!$C$5:$C$60,$B90,'FLEET DOCUMENTS'!$S$5:$S$60,"EXPIRES WITHIN 30 DAYS"))</f>
        <v>0</v>
      </c>
      <c r="AH90" s="72">
        <f>IF($B90="","",IFERROR(_xlfn.MINIFS('FLEET DOCUMENTS'!$J$5:$J$60,'FLEET DOCUMENTS'!$C$5:$C$60,$B90),""))</f>
        <v>0</v>
      </c>
    </row>
    <row r="91" spans="1:34" x14ac:dyDescent="0.3">
      <c r="A91" t="s">
        <v>4114</v>
      </c>
      <c r="B91" t="s">
        <v>4115</v>
      </c>
      <c r="C91" t="s">
        <v>4116</v>
      </c>
      <c r="D91" t="s">
        <v>3981</v>
      </c>
      <c r="E91" t="s">
        <v>4116</v>
      </c>
      <c r="F91" t="s">
        <v>4047</v>
      </c>
      <c r="G91" t="str">
        <f>IF($F91="","",IFERROR(INDEX(airports!$E:$E,MATCH($F91,airports!$A:$A,0)),"Not in airports"))</f>
        <v>Teterboro Airport</v>
      </c>
      <c r="H91" s="5">
        <v>17962</v>
      </c>
      <c r="I91">
        <v>10</v>
      </c>
      <c r="J91" t="s">
        <v>108</v>
      </c>
      <c r="K91">
        <v>2089</v>
      </c>
      <c r="L91" t="s">
        <v>3830</v>
      </c>
      <c r="M91" t="b">
        <v>1</v>
      </c>
      <c r="N91" t="s">
        <v>4048</v>
      </c>
      <c r="S91" s="23" t="str">
        <f t="shared" si="1"/>
        <v/>
      </c>
      <c r="T91" t="str">
        <f>IF($N91="","",IFERROR(INDEX(Operators!$B:$B,MATCH($N91,Operators!$A:$A,0))&amp;"","UNKNOWN OPERATOR ID"))</f>
        <v/>
      </c>
      <c r="U91" t="str">
        <f>IF($N91="","",IFERROR(INDEX(Operators!$C:$C,MATCH($N91,Operators!$A:$A,0))&amp;"","UNKNOWN OPERATOR ID"))</f>
        <v/>
      </c>
      <c r="V91" t="str">
        <f>IF($N91="","",IFERROR(INDEX(Operators!$D:$D,MATCH($N91,Operators!$A:$A,0))&amp;"","UNKNOWN OPERATOR ID"))</f>
        <v/>
      </c>
      <c r="W91" t="str">
        <f>IF($N91="","",IFERROR(INDEX(Operators!$E:$E,MATCH($N91,Operators!$A:$A,0))&amp;"","UNKNOWN OPERATOR ID"))</f>
        <v/>
      </c>
      <c r="X91" t="str">
        <f>IF($N91="","",IFERROR(INDEX(Operators!$G:$G,MATCH($N91,Operators!$A:$A,0))&amp;"","UNKNOWN OPERATOR ID"))</f>
        <v/>
      </c>
      <c r="Y91" t="str">
        <f>IF($N91="","",IFERROR(INDEX(Operators!$H:$H,MATCH($N91,Operators!$A:$A,0))&amp;"","UNKNOWN OPERATOR ID"))</f>
        <v/>
      </c>
      <c r="Z91" t="str">
        <f>IF($N91="","",IFERROR(INDEX(Operators!$T:$T,MATCH($N91,Operators!$A:$A,0))&amp;"","UNKNOWN OPERATOR ID"))</f>
        <v>ACTIVE</v>
      </c>
      <c r="AA91" t="str">
        <f>IF($N91="","",IFERROR(INDEX(Operators!$N:$N,MATCH($N91,Operators!$A:$A,0))&amp;"","UNKNOWN OPERATOR ID"))</f>
        <v/>
      </c>
      <c r="AB91" t="str">
        <f>IF($N91="","",IFERROR(INDEX(Operators!$K:$K,MATCH($N91,Operators!$A:$A,0))&amp;"","UNKNOWN OPERATOR ID"))</f>
        <v/>
      </c>
      <c r="AC91" t="str">
        <f>IF($N91="","",IFERROR(INDEX(Operators!$M:$M,MATCH($N91,Operators!$A:$A,0))&amp;"","UNKNOWN OPERATOR ID"))</f>
        <v/>
      </c>
      <c r="AD91" s="1" t="str">
        <f>IF($B91="","",IF($N91="","OPERATOR MISSING",IF(COUNTIF(Operators!$A:$A,$N91)=0,"UNKNOWN OPERATOR ID",IF($T91="","OPERATOR NAME REQUIRED","OK"))))</f>
        <v>OPERATOR NAME REQUIRED</v>
      </c>
      <c r="AE91">
        <f>IF($B91="","",COUNTIFS('FLEET DOCUMENTS'!$C$5:$C$60,$B91))</f>
        <v>0</v>
      </c>
      <c r="AF91">
        <f>IF($B91="","",COUNTIFS('FLEET DOCUMENTS'!$C$5:$C$60,$B91,'FLEET DOCUMENTS'!$S$5:$S$60,"EXPIRED"))</f>
        <v>0</v>
      </c>
      <c r="AG91">
        <f>IF($B91="","",COUNTIFS('FLEET DOCUMENTS'!$C$5:$C$60,$B91,'FLEET DOCUMENTS'!$S$5:$S$60,"EXPIRES WITHIN 90 DAYS")+COUNTIFS('FLEET DOCUMENTS'!$C$5:$C$60,$B91,'FLEET DOCUMENTS'!$S$5:$S$60,"EXPIRES WITHIN 30 DAYS"))</f>
        <v>0</v>
      </c>
      <c r="AH91" s="72">
        <f>IF($B91="","",IFERROR(_xlfn.MINIFS('FLEET DOCUMENTS'!$J$5:$J$60,'FLEET DOCUMENTS'!$C$5:$C$60,$B91),""))</f>
        <v>0</v>
      </c>
    </row>
    <row r="92" spans="1:34" x14ac:dyDescent="0.3">
      <c r="A92" t="s">
        <v>4117</v>
      </c>
      <c r="B92" t="s">
        <v>4118</v>
      </c>
      <c r="C92" t="s">
        <v>4119</v>
      </c>
      <c r="D92" t="s">
        <v>3853</v>
      </c>
      <c r="E92" t="s">
        <v>4120</v>
      </c>
      <c r="F92" t="s">
        <v>4047</v>
      </c>
      <c r="G92" t="str">
        <f>IF($F92="","",IFERROR(INDEX(airports!$E:$E,MATCH($F92,airports!$A:$A,0)),"Not in airports"))</f>
        <v>Teterboro Airport</v>
      </c>
      <c r="H92" s="5">
        <v>16375</v>
      </c>
      <c r="I92">
        <v>12</v>
      </c>
      <c r="J92" t="s">
        <v>108</v>
      </c>
      <c r="K92" t="s">
        <v>4121</v>
      </c>
      <c r="L92" t="s">
        <v>3830</v>
      </c>
      <c r="M92" t="b">
        <v>1</v>
      </c>
      <c r="N92" t="s">
        <v>4086</v>
      </c>
      <c r="S92" s="23" t="str">
        <f t="shared" si="1"/>
        <v/>
      </c>
      <c r="T92" t="str">
        <f>IF($N92="","",IFERROR(INDEX(Operators!$B:$B,MATCH($N92,Operators!$A:$A,0))&amp;"","UNKNOWN OPERATOR ID"))</f>
        <v/>
      </c>
      <c r="U92" t="str">
        <f>IF($N92="","",IFERROR(INDEX(Operators!$C:$C,MATCH($N92,Operators!$A:$A,0))&amp;"","UNKNOWN OPERATOR ID"))</f>
        <v/>
      </c>
      <c r="V92" t="str">
        <f>IF($N92="","",IFERROR(INDEX(Operators!$D:$D,MATCH($N92,Operators!$A:$A,0))&amp;"","UNKNOWN OPERATOR ID"))</f>
        <v/>
      </c>
      <c r="W92" t="str">
        <f>IF($N92="","",IFERROR(INDEX(Operators!$E:$E,MATCH($N92,Operators!$A:$A,0))&amp;"","UNKNOWN OPERATOR ID"))</f>
        <v/>
      </c>
      <c r="X92" t="str">
        <f>IF($N92="","",IFERROR(INDEX(Operators!$G:$G,MATCH($N92,Operators!$A:$A,0))&amp;"","UNKNOWN OPERATOR ID"))</f>
        <v/>
      </c>
      <c r="Y92" t="str">
        <f>IF($N92="","",IFERROR(INDEX(Operators!$H:$H,MATCH($N92,Operators!$A:$A,0))&amp;"","UNKNOWN OPERATOR ID"))</f>
        <v/>
      </c>
      <c r="Z92" t="str">
        <f>IF($N92="","",IFERROR(INDEX(Operators!$T:$T,MATCH($N92,Operators!$A:$A,0))&amp;"","UNKNOWN OPERATOR ID"))</f>
        <v>ACTIVE</v>
      </c>
      <c r="AA92" t="str">
        <f>IF($N92="","",IFERROR(INDEX(Operators!$N:$N,MATCH($N92,Operators!$A:$A,0))&amp;"","UNKNOWN OPERATOR ID"))</f>
        <v/>
      </c>
      <c r="AB92" t="str">
        <f>IF($N92="","",IFERROR(INDEX(Operators!$K:$K,MATCH($N92,Operators!$A:$A,0))&amp;"","UNKNOWN OPERATOR ID"))</f>
        <v/>
      </c>
      <c r="AC92" t="str">
        <f>IF($N92="","",IFERROR(INDEX(Operators!$M:$M,MATCH($N92,Operators!$A:$A,0))&amp;"","UNKNOWN OPERATOR ID"))</f>
        <v/>
      </c>
      <c r="AD92" s="1" t="str">
        <f>IF($B92="","",IF($N92="","OPERATOR MISSING",IF(COUNTIF(Operators!$A:$A,$N92)=0,"UNKNOWN OPERATOR ID",IF($T92="","OPERATOR NAME REQUIRED","OK"))))</f>
        <v>OPERATOR NAME REQUIRED</v>
      </c>
      <c r="AE92">
        <f>IF($B92="","",COUNTIFS('FLEET DOCUMENTS'!$C$5:$C$60,$B92))</f>
        <v>0</v>
      </c>
      <c r="AF92">
        <f>IF($B92="","",COUNTIFS('FLEET DOCUMENTS'!$C$5:$C$60,$B92,'FLEET DOCUMENTS'!$S$5:$S$60,"EXPIRED"))</f>
        <v>0</v>
      </c>
      <c r="AG92">
        <f>IF($B92="","",COUNTIFS('FLEET DOCUMENTS'!$C$5:$C$60,$B92,'FLEET DOCUMENTS'!$S$5:$S$60,"EXPIRES WITHIN 90 DAYS")+COUNTIFS('FLEET DOCUMENTS'!$C$5:$C$60,$B92,'FLEET DOCUMENTS'!$S$5:$S$60,"EXPIRES WITHIN 30 DAYS"))</f>
        <v>0</v>
      </c>
      <c r="AH92" s="72">
        <f>IF($B92="","",IFERROR(_xlfn.MINIFS('FLEET DOCUMENTS'!$J$5:$J$60,'FLEET DOCUMENTS'!$C$5:$C$60,$B92),""))</f>
        <v>0</v>
      </c>
    </row>
    <row r="93" spans="1:34" x14ac:dyDescent="0.3">
      <c r="A93" t="s">
        <v>4122</v>
      </c>
      <c r="B93" t="s">
        <v>4261</v>
      </c>
      <c r="C93" t="s">
        <v>3891</v>
      </c>
      <c r="D93" t="s">
        <v>3879</v>
      </c>
      <c r="E93" t="s">
        <v>3892</v>
      </c>
      <c r="F93" t="s">
        <v>4</v>
      </c>
      <c r="G93" t="str">
        <f>IF($F93="","",IFERROR(INDEX(airports!$E:$E,MATCH($F93,airports!$A:$A,0)),"Not in airports"))</f>
        <v>Cairo International Airport</v>
      </c>
      <c r="H93" s="5">
        <v>79010</v>
      </c>
      <c r="I93">
        <v>189</v>
      </c>
      <c r="J93" t="s">
        <v>108</v>
      </c>
      <c r="K93">
        <v>35234</v>
      </c>
      <c r="L93" t="s">
        <v>3830</v>
      </c>
      <c r="M93" t="b">
        <v>1</v>
      </c>
      <c r="N93" t="s">
        <v>4123</v>
      </c>
      <c r="S93" s="23" t="str">
        <f t="shared" si="1"/>
        <v/>
      </c>
      <c r="T93" t="str">
        <f>IF($N93="","",IFERROR(INDEX(Operators!$B:$B,MATCH($N93,Operators!$A:$A,0))&amp;"","UNKNOWN OPERATOR ID"))</f>
        <v/>
      </c>
      <c r="U93" t="str">
        <f>IF($N93="","",IFERROR(INDEX(Operators!$C:$C,MATCH($N93,Operators!$A:$A,0))&amp;"","UNKNOWN OPERATOR ID"))</f>
        <v/>
      </c>
      <c r="V93" t="str">
        <f>IF($N93="","",IFERROR(INDEX(Operators!$D:$D,MATCH($N93,Operators!$A:$A,0))&amp;"","UNKNOWN OPERATOR ID"))</f>
        <v/>
      </c>
      <c r="W93" t="str">
        <f>IF($N93="","",IFERROR(INDEX(Operators!$E:$E,MATCH($N93,Operators!$A:$A,0))&amp;"","UNKNOWN OPERATOR ID"))</f>
        <v/>
      </c>
      <c r="X93" t="str">
        <f>IF($N93="","",IFERROR(INDEX(Operators!$G:$G,MATCH($N93,Operators!$A:$A,0))&amp;"","UNKNOWN OPERATOR ID"))</f>
        <v/>
      </c>
      <c r="Y93" t="str">
        <f>IF($N93="","",IFERROR(INDEX(Operators!$H:$H,MATCH($N93,Operators!$A:$A,0))&amp;"","UNKNOWN OPERATOR ID"))</f>
        <v/>
      </c>
      <c r="Z93" t="str">
        <f>IF($N93="","",IFERROR(INDEX(Operators!$T:$T,MATCH($N93,Operators!$A:$A,0))&amp;"","UNKNOWN OPERATOR ID"))</f>
        <v>ACTIVE</v>
      </c>
      <c r="AA93" t="str">
        <f>IF($N93="","",IFERROR(INDEX(Operators!$N:$N,MATCH($N93,Operators!$A:$A,0))&amp;"","UNKNOWN OPERATOR ID"))</f>
        <v/>
      </c>
      <c r="AB93" t="str">
        <f>IF($N93="","",IFERROR(INDEX(Operators!$K:$K,MATCH($N93,Operators!$A:$A,0))&amp;"","UNKNOWN OPERATOR ID"))</f>
        <v/>
      </c>
      <c r="AC93" t="str">
        <f>IF($N93="","",IFERROR(INDEX(Operators!$M:$M,MATCH($N93,Operators!$A:$A,0))&amp;"","UNKNOWN OPERATOR ID"))</f>
        <v/>
      </c>
      <c r="AD93" s="1" t="str">
        <f>IF($B93="","",IF($N93="","OPERATOR MISSING",IF(COUNTIF(Operators!$A:$A,$N93)=0,"UNKNOWN OPERATOR ID",IF($T93="","OPERATOR NAME REQUIRED","OK"))))</f>
        <v>OPERATOR NAME REQUIRED</v>
      </c>
      <c r="AE93">
        <f>IF($B93="","",COUNTIFS('FLEET DOCUMENTS'!$C$5:$C$60,$B93))</f>
        <v>0</v>
      </c>
      <c r="AF93">
        <f>IF($B93="","",COUNTIFS('FLEET DOCUMENTS'!$C$5:$C$60,$B93,'FLEET DOCUMENTS'!$S$5:$S$60,"EXPIRED"))</f>
        <v>0</v>
      </c>
      <c r="AG93">
        <f>IF($B93="","",COUNTIFS('FLEET DOCUMENTS'!$C$5:$C$60,$B93,'FLEET DOCUMENTS'!$S$5:$S$60,"EXPIRES WITHIN 90 DAYS")+COUNTIFS('FLEET DOCUMENTS'!$C$5:$C$60,$B93,'FLEET DOCUMENTS'!$S$5:$S$60,"EXPIRES WITHIN 30 DAYS"))</f>
        <v>0</v>
      </c>
      <c r="AH93" s="72">
        <f>IF($B93="","",IFERROR(_xlfn.MINIFS('FLEET DOCUMENTS'!$J$5:$J$60,'FLEET DOCUMENTS'!$C$5:$C$60,$B93),""))</f>
        <v>0</v>
      </c>
    </row>
    <row r="94" spans="1:34" x14ac:dyDescent="0.3">
      <c r="A94" t="s">
        <v>4124</v>
      </c>
      <c r="B94" t="s">
        <v>4262</v>
      </c>
      <c r="C94" t="s">
        <v>3903</v>
      </c>
      <c r="D94" t="s">
        <v>3904</v>
      </c>
      <c r="E94" t="s">
        <v>3905</v>
      </c>
      <c r="F94" t="s">
        <v>4</v>
      </c>
      <c r="G94" t="str">
        <f>IF($F94="","",IFERROR(INDEX(airports!$E:$E,MATCH($F94,airports!$A:$A,0)),"Not in airports"))</f>
        <v>Cairo International Airport</v>
      </c>
      <c r="H94" s="5">
        <v>77000</v>
      </c>
      <c r="I94">
        <v>180</v>
      </c>
      <c r="J94" t="s">
        <v>108</v>
      </c>
      <c r="K94">
        <v>4756</v>
      </c>
      <c r="L94" t="s">
        <v>3830</v>
      </c>
      <c r="M94" t="b">
        <v>1</v>
      </c>
      <c r="N94" t="s">
        <v>4123</v>
      </c>
      <c r="S94" s="23" t="str">
        <f t="shared" si="1"/>
        <v/>
      </c>
      <c r="T94" t="str">
        <f>IF($N94="","",IFERROR(INDEX(Operators!$B:$B,MATCH($N94,Operators!$A:$A,0))&amp;"","UNKNOWN OPERATOR ID"))</f>
        <v/>
      </c>
      <c r="U94" t="str">
        <f>IF($N94="","",IFERROR(INDEX(Operators!$C:$C,MATCH($N94,Operators!$A:$A,0))&amp;"","UNKNOWN OPERATOR ID"))</f>
        <v/>
      </c>
      <c r="V94" t="str">
        <f>IF($N94="","",IFERROR(INDEX(Operators!$D:$D,MATCH($N94,Operators!$A:$A,0))&amp;"","UNKNOWN OPERATOR ID"))</f>
        <v/>
      </c>
      <c r="W94" t="str">
        <f>IF($N94="","",IFERROR(INDEX(Operators!$E:$E,MATCH($N94,Operators!$A:$A,0))&amp;"","UNKNOWN OPERATOR ID"))</f>
        <v/>
      </c>
      <c r="X94" t="str">
        <f>IF($N94="","",IFERROR(INDEX(Operators!$G:$G,MATCH($N94,Operators!$A:$A,0))&amp;"","UNKNOWN OPERATOR ID"))</f>
        <v/>
      </c>
      <c r="Y94" t="str">
        <f>IF($N94="","",IFERROR(INDEX(Operators!$H:$H,MATCH($N94,Operators!$A:$A,0))&amp;"","UNKNOWN OPERATOR ID"))</f>
        <v/>
      </c>
      <c r="Z94" t="str">
        <f>IF($N94="","",IFERROR(INDEX(Operators!$T:$T,MATCH($N94,Operators!$A:$A,0))&amp;"","UNKNOWN OPERATOR ID"))</f>
        <v>ACTIVE</v>
      </c>
      <c r="AA94" t="str">
        <f>IF($N94="","",IFERROR(INDEX(Operators!$N:$N,MATCH($N94,Operators!$A:$A,0))&amp;"","UNKNOWN OPERATOR ID"))</f>
        <v/>
      </c>
      <c r="AB94" t="str">
        <f>IF($N94="","",IFERROR(INDEX(Operators!$K:$K,MATCH($N94,Operators!$A:$A,0))&amp;"","UNKNOWN OPERATOR ID"))</f>
        <v/>
      </c>
      <c r="AC94" t="str">
        <f>IF($N94="","",IFERROR(INDEX(Operators!$M:$M,MATCH($N94,Operators!$A:$A,0))&amp;"","UNKNOWN OPERATOR ID"))</f>
        <v/>
      </c>
      <c r="AD94" s="1" t="str">
        <f>IF($B94="","",IF($N94="","OPERATOR MISSING",IF(COUNTIF(Operators!$A:$A,$N94)=0,"UNKNOWN OPERATOR ID",IF($T94="","OPERATOR NAME REQUIRED","OK"))))</f>
        <v>OPERATOR NAME REQUIRED</v>
      </c>
      <c r="AE94">
        <f>IF($B94="","",COUNTIFS('FLEET DOCUMENTS'!$C$5:$C$60,$B94))</f>
        <v>0</v>
      </c>
      <c r="AF94">
        <f>IF($B94="","",COUNTIFS('FLEET DOCUMENTS'!$C$5:$C$60,$B94,'FLEET DOCUMENTS'!$S$5:$S$60,"EXPIRED"))</f>
        <v>0</v>
      </c>
      <c r="AG94">
        <f>IF($B94="","",COUNTIFS('FLEET DOCUMENTS'!$C$5:$C$60,$B94,'FLEET DOCUMENTS'!$S$5:$S$60,"EXPIRES WITHIN 90 DAYS")+COUNTIFS('FLEET DOCUMENTS'!$C$5:$C$60,$B94,'FLEET DOCUMENTS'!$S$5:$S$60,"EXPIRES WITHIN 30 DAYS"))</f>
        <v>0</v>
      </c>
      <c r="AH94" s="72">
        <f>IF($B94="","",IFERROR(_xlfn.MINIFS('FLEET DOCUMENTS'!$J$5:$J$60,'FLEET DOCUMENTS'!$C$5:$C$60,$B94),""))</f>
        <v>0</v>
      </c>
    </row>
    <row r="95" spans="1:34" x14ac:dyDescent="0.3">
      <c r="A95" t="s">
        <v>4125</v>
      </c>
      <c r="B95" t="s">
        <v>4263</v>
      </c>
      <c r="C95" t="s">
        <v>3918</v>
      </c>
      <c r="D95" t="s">
        <v>3879</v>
      </c>
      <c r="E95" t="s">
        <v>3919</v>
      </c>
      <c r="F95" t="s">
        <v>4</v>
      </c>
      <c r="G95" t="str">
        <f>IF($F95="","",IFERROR(INDEX(airports!$E:$E,MATCH($F95,airports!$A:$A,0)),"Not in airports"))</f>
        <v>Cairo International Airport</v>
      </c>
      <c r="H95" s="5">
        <v>351534</v>
      </c>
      <c r="I95">
        <v>396</v>
      </c>
      <c r="J95" t="s">
        <v>108</v>
      </c>
      <c r="K95">
        <v>38823</v>
      </c>
      <c r="L95" t="s">
        <v>3830</v>
      </c>
      <c r="M95" t="b">
        <v>1</v>
      </c>
      <c r="N95" t="s">
        <v>4123</v>
      </c>
      <c r="S95" s="23" t="str">
        <f t="shared" si="1"/>
        <v/>
      </c>
      <c r="T95" t="str">
        <f>IF($N95="","",IFERROR(INDEX(Operators!$B:$B,MATCH($N95,Operators!$A:$A,0))&amp;"","UNKNOWN OPERATOR ID"))</f>
        <v/>
      </c>
      <c r="U95" t="str">
        <f>IF($N95="","",IFERROR(INDEX(Operators!$C:$C,MATCH($N95,Operators!$A:$A,0))&amp;"","UNKNOWN OPERATOR ID"))</f>
        <v/>
      </c>
      <c r="V95" t="str">
        <f>IF($N95="","",IFERROR(INDEX(Operators!$D:$D,MATCH($N95,Operators!$A:$A,0))&amp;"","UNKNOWN OPERATOR ID"))</f>
        <v/>
      </c>
      <c r="W95" t="str">
        <f>IF($N95="","",IFERROR(INDEX(Operators!$E:$E,MATCH($N95,Operators!$A:$A,0))&amp;"","UNKNOWN OPERATOR ID"))</f>
        <v/>
      </c>
      <c r="X95" t="str">
        <f>IF($N95="","",IFERROR(INDEX(Operators!$G:$G,MATCH($N95,Operators!$A:$A,0))&amp;"","UNKNOWN OPERATOR ID"))</f>
        <v/>
      </c>
      <c r="Y95" t="str">
        <f>IF($N95="","",IFERROR(INDEX(Operators!$H:$H,MATCH($N95,Operators!$A:$A,0))&amp;"","UNKNOWN OPERATOR ID"))</f>
        <v/>
      </c>
      <c r="Z95" t="str">
        <f>IF($N95="","",IFERROR(INDEX(Operators!$T:$T,MATCH($N95,Operators!$A:$A,0))&amp;"","UNKNOWN OPERATOR ID"))</f>
        <v>ACTIVE</v>
      </c>
      <c r="AA95" t="str">
        <f>IF($N95="","",IFERROR(INDEX(Operators!$N:$N,MATCH($N95,Operators!$A:$A,0))&amp;"","UNKNOWN OPERATOR ID"))</f>
        <v/>
      </c>
      <c r="AB95" t="str">
        <f>IF($N95="","",IFERROR(INDEX(Operators!$K:$K,MATCH($N95,Operators!$A:$A,0))&amp;"","UNKNOWN OPERATOR ID"))</f>
        <v/>
      </c>
      <c r="AC95" t="str">
        <f>IF($N95="","",IFERROR(INDEX(Operators!$M:$M,MATCH($N95,Operators!$A:$A,0))&amp;"","UNKNOWN OPERATOR ID"))</f>
        <v/>
      </c>
      <c r="AD95" s="1" t="str">
        <f>IF($B95="","",IF($N95="","OPERATOR MISSING",IF(COUNTIF(Operators!$A:$A,$N95)=0,"UNKNOWN OPERATOR ID",IF($T95="","OPERATOR NAME REQUIRED","OK"))))</f>
        <v>OPERATOR NAME REQUIRED</v>
      </c>
      <c r="AE95">
        <f>IF($B95="","",COUNTIFS('FLEET DOCUMENTS'!$C$5:$C$60,$B95))</f>
        <v>0</v>
      </c>
      <c r="AF95">
        <f>IF($B95="","",COUNTIFS('FLEET DOCUMENTS'!$C$5:$C$60,$B95,'FLEET DOCUMENTS'!$S$5:$S$60,"EXPIRED"))</f>
        <v>0</v>
      </c>
      <c r="AG95">
        <f>IF($B95="","",COUNTIFS('FLEET DOCUMENTS'!$C$5:$C$60,$B95,'FLEET DOCUMENTS'!$S$5:$S$60,"EXPIRES WITHIN 90 DAYS")+COUNTIFS('FLEET DOCUMENTS'!$C$5:$C$60,$B95,'FLEET DOCUMENTS'!$S$5:$S$60,"EXPIRES WITHIN 30 DAYS"))</f>
        <v>0</v>
      </c>
      <c r="AH95" s="72">
        <f>IF($B95="","",IFERROR(_xlfn.MINIFS('FLEET DOCUMENTS'!$J$5:$J$60,'FLEET DOCUMENTS'!$C$5:$C$60,$B95),""))</f>
        <v>0</v>
      </c>
    </row>
    <row r="96" spans="1:34" x14ac:dyDescent="0.3">
      <c r="A96" t="s">
        <v>4126</v>
      </c>
      <c r="B96" t="s">
        <v>4264</v>
      </c>
      <c r="C96" t="s">
        <v>3950</v>
      </c>
      <c r="D96" t="s">
        <v>3904</v>
      </c>
      <c r="E96" t="s">
        <v>3951</v>
      </c>
      <c r="F96" t="s">
        <v>4</v>
      </c>
      <c r="G96" t="str">
        <f>IF($F96="","",IFERROR(INDEX(airports!$E:$E,MATCH($F96,airports!$A:$A,0)),"Not in airports"))</f>
        <v>Cairo International Airport</v>
      </c>
      <c r="H96" s="5">
        <v>280000</v>
      </c>
      <c r="I96">
        <v>350</v>
      </c>
      <c r="J96" t="s">
        <v>108</v>
      </c>
      <c r="K96">
        <v>245</v>
      </c>
      <c r="L96" t="s">
        <v>3830</v>
      </c>
      <c r="M96" t="b">
        <v>1</v>
      </c>
      <c r="N96" t="s">
        <v>4123</v>
      </c>
      <c r="S96" s="23" t="str">
        <f t="shared" si="1"/>
        <v/>
      </c>
      <c r="T96" t="str">
        <f>IF($N96="","",IFERROR(INDEX(Operators!$B:$B,MATCH($N96,Operators!$A:$A,0))&amp;"","UNKNOWN OPERATOR ID"))</f>
        <v/>
      </c>
      <c r="U96" t="str">
        <f>IF($N96="","",IFERROR(INDEX(Operators!$C:$C,MATCH($N96,Operators!$A:$A,0))&amp;"","UNKNOWN OPERATOR ID"))</f>
        <v/>
      </c>
      <c r="V96" t="str">
        <f>IF($N96="","",IFERROR(INDEX(Operators!$D:$D,MATCH($N96,Operators!$A:$A,0))&amp;"","UNKNOWN OPERATOR ID"))</f>
        <v/>
      </c>
      <c r="W96" t="str">
        <f>IF($N96="","",IFERROR(INDEX(Operators!$E:$E,MATCH($N96,Operators!$A:$A,0))&amp;"","UNKNOWN OPERATOR ID"))</f>
        <v/>
      </c>
      <c r="X96" t="str">
        <f>IF($N96="","",IFERROR(INDEX(Operators!$G:$G,MATCH($N96,Operators!$A:$A,0))&amp;"","UNKNOWN OPERATOR ID"))</f>
        <v/>
      </c>
      <c r="Y96" t="str">
        <f>IF($N96="","",IFERROR(INDEX(Operators!$H:$H,MATCH($N96,Operators!$A:$A,0))&amp;"","UNKNOWN OPERATOR ID"))</f>
        <v/>
      </c>
      <c r="Z96" t="str">
        <f>IF($N96="","",IFERROR(INDEX(Operators!$T:$T,MATCH($N96,Operators!$A:$A,0))&amp;"","UNKNOWN OPERATOR ID"))</f>
        <v>ACTIVE</v>
      </c>
      <c r="AA96" t="str">
        <f>IF($N96="","",IFERROR(INDEX(Operators!$N:$N,MATCH($N96,Operators!$A:$A,0))&amp;"","UNKNOWN OPERATOR ID"))</f>
        <v/>
      </c>
      <c r="AB96" t="str">
        <f>IF($N96="","",IFERROR(INDEX(Operators!$K:$K,MATCH($N96,Operators!$A:$A,0))&amp;"","UNKNOWN OPERATOR ID"))</f>
        <v/>
      </c>
      <c r="AC96" t="str">
        <f>IF($N96="","",IFERROR(INDEX(Operators!$M:$M,MATCH($N96,Operators!$A:$A,0))&amp;"","UNKNOWN OPERATOR ID"))</f>
        <v/>
      </c>
      <c r="AD96" s="1" t="str">
        <f>IF($B96="","",IF($N96="","OPERATOR MISSING",IF(COUNTIF(Operators!$A:$A,$N96)=0,"UNKNOWN OPERATOR ID",IF($T96="","OPERATOR NAME REQUIRED","OK"))))</f>
        <v>OPERATOR NAME REQUIRED</v>
      </c>
      <c r="AE96">
        <f>IF($B96="","",COUNTIFS('FLEET DOCUMENTS'!$C$5:$C$60,$B96))</f>
        <v>0</v>
      </c>
      <c r="AF96">
        <f>IF($B96="","",COUNTIFS('FLEET DOCUMENTS'!$C$5:$C$60,$B96,'FLEET DOCUMENTS'!$S$5:$S$60,"EXPIRED"))</f>
        <v>0</v>
      </c>
      <c r="AG96">
        <f>IF($B96="","",COUNTIFS('FLEET DOCUMENTS'!$C$5:$C$60,$B96,'FLEET DOCUMENTS'!$S$5:$S$60,"EXPIRES WITHIN 90 DAYS")+COUNTIFS('FLEET DOCUMENTS'!$C$5:$C$60,$B96,'FLEET DOCUMENTS'!$S$5:$S$60,"EXPIRES WITHIN 30 DAYS"))</f>
        <v>0</v>
      </c>
      <c r="AH96" s="72">
        <f>IF($B96="","",IFERROR(_xlfn.MINIFS('FLEET DOCUMENTS'!$J$5:$J$60,'FLEET DOCUMENTS'!$C$5:$C$60,$B96),""))</f>
        <v>0</v>
      </c>
    </row>
    <row r="97" spans="1:34" x14ac:dyDescent="0.3">
      <c r="A97" t="s">
        <v>4127</v>
      </c>
      <c r="B97" t="s">
        <v>4265</v>
      </c>
      <c r="C97" t="s">
        <v>3947</v>
      </c>
      <c r="D97" t="s">
        <v>3879</v>
      </c>
      <c r="E97" t="s">
        <v>3986</v>
      </c>
      <c r="F97" t="s">
        <v>4</v>
      </c>
      <c r="G97" t="str">
        <f>IF($F97="","",IFERROR(INDEX(airports!$E:$E,MATCH($F97,airports!$A:$A,0)),"Not in airports"))</f>
        <v>Cairo International Airport</v>
      </c>
      <c r="H97" s="5">
        <v>254011</v>
      </c>
      <c r="I97">
        <v>296</v>
      </c>
      <c r="J97" t="s">
        <v>108</v>
      </c>
      <c r="K97">
        <v>38745</v>
      </c>
      <c r="L97" t="s">
        <v>3830</v>
      </c>
      <c r="M97" t="b">
        <v>1</v>
      </c>
      <c r="N97" t="s">
        <v>4123</v>
      </c>
      <c r="S97" s="23" t="str">
        <f t="shared" si="1"/>
        <v/>
      </c>
      <c r="T97" t="str">
        <f>IF($N97="","",IFERROR(INDEX(Operators!$B:$B,MATCH($N97,Operators!$A:$A,0))&amp;"","UNKNOWN OPERATOR ID"))</f>
        <v/>
      </c>
      <c r="U97" t="str">
        <f>IF($N97="","",IFERROR(INDEX(Operators!$C:$C,MATCH($N97,Operators!$A:$A,0))&amp;"","UNKNOWN OPERATOR ID"))</f>
        <v/>
      </c>
      <c r="V97" t="str">
        <f>IF($N97="","",IFERROR(INDEX(Operators!$D:$D,MATCH($N97,Operators!$A:$A,0))&amp;"","UNKNOWN OPERATOR ID"))</f>
        <v/>
      </c>
      <c r="W97" t="str">
        <f>IF($N97="","",IFERROR(INDEX(Operators!$E:$E,MATCH($N97,Operators!$A:$A,0))&amp;"","UNKNOWN OPERATOR ID"))</f>
        <v/>
      </c>
      <c r="X97" t="str">
        <f>IF($N97="","",IFERROR(INDEX(Operators!$G:$G,MATCH($N97,Operators!$A:$A,0))&amp;"","UNKNOWN OPERATOR ID"))</f>
        <v/>
      </c>
      <c r="Y97" t="str">
        <f>IF($N97="","",IFERROR(INDEX(Operators!$H:$H,MATCH($N97,Operators!$A:$A,0))&amp;"","UNKNOWN OPERATOR ID"))</f>
        <v/>
      </c>
      <c r="Z97" t="str">
        <f>IF($N97="","",IFERROR(INDEX(Operators!$T:$T,MATCH($N97,Operators!$A:$A,0))&amp;"","UNKNOWN OPERATOR ID"))</f>
        <v>ACTIVE</v>
      </c>
      <c r="AA97" t="str">
        <f>IF($N97="","",IFERROR(INDEX(Operators!$N:$N,MATCH($N97,Operators!$A:$A,0))&amp;"","UNKNOWN OPERATOR ID"))</f>
        <v/>
      </c>
      <c r="AB97" t="str">
        <f>IF($N97="","",IFERROR(INDEX(Operators!$K:$K,MATCH($N97,Operators!$A:$A,0))&amp;"","UNKNOWN OPERATOR ID"))</f>
        <v/>
      </c>
      <c r="AC97" t="str">
        <f>IF($N97="","",IFERROR(INDEX(Operators!$M:$M,MATCH($N97,Operators!$A:$A,0))&amp;"","UNKNOWN OPERATOR ID"))</f>
        <v/>
      </c>
      <c r="AD97" s="1" t="str">
        <f>IF($B97="","",IF($N97="","OPERATOR MISSING",IF(COUNTIF(Operators!$A:$A,$N97)=0,"UNKNOWN OPERATOR ID",IF($T97="","OPERATOR NAME REQUIRED","OK"))))</f>
        <v>OPERATOR NAME REQUIRED</v>
      </c>
      <c r="AE97">
        <f>IF($B97="","",COUNTIFS('FLEET DOCUMENTS'!$C$5:$C$60,$B97))</f>
        <v>0</v>
      </c>
      <c r="AF97">
        <f>IF($B97="","",COUNTIFS('FLEET DOCUMENTS'!$C$5:$C$60,$B97,'FLEET DOCUMENTS'!$S$5:$S$60,"EXPIRED"))</f>
        <v>0</v>
      </c>
      <c r="AG97">
        <f>IF($B97="","",COUNTIFS('FLEET DOCUMENTS'!$C$5:$C$60,$B97,'FLEET DOCUMENTS'!$S$5:$S$60,"EXPIRES WITHIN 90 DAYS")+COUNTIFS('FLEET DOCUMENTS'!$C$5:$C$60,$B97,'FLEET DOCUMENTS'!$S$5:$S$60,"EXPIRES WITHIN 30 DAYS"))</f>
        <v>0</v>
      </c>
      <c r="AH97" s="72">
        <f>IF($B97="","",IFERROR(_xlfn.MINIFS('FLEET DOCUMENTS'!$J$5:$J$60,'FLEET DOCUMENTS'!$C$5:$C$60,$B97),""))</f>
        <v>0</v>
      </c>
    </row>
    <row r="98" spans="1:34" x14ac:dyDescent="0.3">
      <c r="A98" t="s">
        <v>4128</v>
      </c>
      <c r="B98" t="s">
        <v>4266</v>
      </c>
      <c r="C98" t="s">
        <v>3862</v>
      </c>
      <c r="D98" t="s">
        <v>3863</v>
      </c>
      <c r="E98" t="s">
        <v>3864</v>
      </c>
      <c r="F98" t="s">
        <v>5</v>
      </c>
      <c r="G98" t="str">
        <f>IF($F98="","",IFERROR(INDEX(airports!$E:$E,MATCH($F98,airports!$A:$A,0)),"Not in airports"))</f>
        <v>O.R. Tambo International Airport</v>
      </c>
      <c r="H98" s="5">
        <v>52290</v>
      </c>
      <c r="I98">
        <v>114</v>
      </c>
      <c r="J98" t="s">
        <v>108</v>
      </c>
      <c r="K98">
        <v>19000234</v>
      </c>
      <c r="L98" t="s">
        <v>3830</v>
      </c>
      <c r="M98" t="b">
        <v>1</v>
      </c>
      <c r="N98" t="s">
        <v>4129</v>
      </c>
      <c r="S98" s="23" t="str">
        <f t="shared" si="1"/>
        <v/>
      </c>
      <c r="T98" t="str">
        <f>IF($N98="","",IFERROR(INDEX(Operators!$B:$B,MATCH($N98,Operators!$A:$A,0))&amp;"","UNKNOWN OPERATOR ID"))</f>
        <v/>
      </c>
      <c r="U98" t="str">
        <f>IF($N98="","",IFERROR(INDEX(Operators!$C:$C,MATCH($N98,Operators!$A:$A,0))&amp;"","UNKNOWN OPERATOR ID"))</f>
        <v/>
      </c>
      <c r="V98" t="str">
        <f>IF($N98="","",IFERROR(INDEX(Operators!$D:$D,MATCH($N98,Operators!$A:$A,0))&amp;"","UNKNOWN OPERATOR ID"))</f>
        <v/>
      </c>
      <c r="W98" t="str">
        <f>IF($N98="","",IFERROR(INDEX(Operators!$E:$E,MATCH($N98,Operators!$A:$A,0))&amp;"","UNKNOWN OPERATOR ID"))</f>
        <v/>
      </c>
      <c r="X98" t="str">
        <f>IF($N98="","",IFERROR(INDEX(Operators!$G:$G,MATCH($N98,Operators!$A:$A,0))&amp;"","UNKNOWN OPERATOR ID"))</f>
        <v/>
      </c>
      <c r="Y98" t="str">
        <f>IF($N98="","",IFERROR(INDEX(Operators!$H:$H,MATCH($N98,Operators!$A:$A,0))&amp;"","UNKNOWN OPERATOR ID"))</f>
        <v/>
      </c>
      <c r="Z98" t="str">
        <f>IF($N98="","",IFERROR(INDEX(Operators!$T:$T,MATCH($N98,Operators!$A:$A,0))&amp;"","UNKNOWN OPERATOR ID"))</f>
        <v>ACTIVE</v>
      </c>
      <c r="AA98" t="str">
        <f>IF($N98="","",IFERROR(INDEX(Operators!$N:$N,MATCH($N98,Operators!$A:$A,0))&amp;"","UNKNOWN OPERATOR ID"))</f>
        <v/>
      </c>
      <c r="AB98" t="str">
        <f>IF($N98="","",IFERROR(INDEX(Operators!$K:$K,MATCH($N98,Operators!$A:$A,0))&amp;"","UNKNOWN OPERATOR ID"))</f>
        <v/>
      </c>
      <c r="AC98" t="str">
        <f>IF($N98="","",IFERROR(INDEX(Operators!$M:$M,MATCH($N98,Operators!$A:$A,0))&amp;"","UNKNOWN OPERATOR ID"))</f>
        <v/>
      </c>
      <c r="AD98" s="1" t="str">
        <f>IF($B98="","",IF($N98="","OPERATOR MISSING",IF(COUNTIF(Operators!$A:$A,$N98)=0,"UNKNOWN OPERATOR ID",IF($T98="","OPERATOR NAME REQUIRED","OK"))))</f>
        <v>OPERATOR NAME REQUIRED</v>
      </c>
      <c r="AE98">
        <f>IF($B98="","",COUNTIFS('FLEET DOCUMENTS'!$C$5:$C$60,$B98))</f>
        <v>0</v>
      </c>
      <c r="AF98">
        <f>IF($B98="","",COUNTIFS('FLEET DOCUMENTS'!$C$5:$C$60,$B98,'FLEET DOCUMENTS'!$S$5:$S$60,"EXPIRED"))</f>
        <v>0</v>
      </c>
      <c r="AG98">
        <f>IF($B98="","",COUNTIFS('FLEET DOCUMENTS'!$C$5:$C$60,$B98,'FLEET DOCUMENTS'!$S$5:$S$60,"EXPIRES WITHIN 90 DAYS")+COUNTIFS('FLEET DOCUMENTS'!$C$5:$C$60,$B98,'FLEET DOCUMENTS'!$S$5:$S$60,"EXPIRES WITHIN 30 DAYS"))</f>
        <v>0</v>
      </c>
      <c r="AH98" s="72">
        <f>IF($B98="","",IFERROR(_xlfn.MINIFS('FLEET DOCUMENTS'!$J$5:$J$60,'FLEET DOCUMENTS'!$C$5:$C$60,$B98),""))</f>
        <v>0</v>
      </c>
    </row>
    <row r="99" spans="1:34" x14ac:dyDescent="0.3">
      <c r="A99" t="s">
        <v>4130</v>
      </c>
      <c r="B99" t="s">
        <v>4267</v>
      </c>
      <c r="C99" t="s">
        <v>3872</v>
      </c>
      <c r="D99" t="s">
        <v>3873</v>
      </c>
      <c r="E99" t="s">
        <v>3874</v>
      </c>
      <c r="F99" t="s">
        <v>5</v>
      </c>
      <c r="G99" t="str">
        <f>IF($F99="","",IFERROR(INDEX(airports!$E:$E,MATCH($F99,airports!$A:$A,0)),"Not in airports"))</f>
        <v>O.R. Tambo International Airport</v>
      </c>
      <c r="H99" s="5">
        <v>29260</v>
      </c>
      <c r="I99">
        <v>90</v>
      </c>
      <c r="J99" t="s">
        <v>108</v>
      </c>
      <c r="K99">
        <v>4321</v>
      </c>
      <c r="L99" t="s">
        <v>3875</v>
      </c>
      <c r="M99" t="b">
        <v>0</v>
      </c>
      <c r="N99" t="s">
        <v>4129</v>
      </c>
      <c r="S99" s="23" t="str">
        <f t="shared" si="1"/>
        <v/>
      </c>
      <c r="T99" t="str">
        <f>IF($N99="","",IFERROR(INDEX(Operators!$B:$B,MATCH($N99,Operators!$A:$A,0))&amp;"","UNKNOWN OPERATOR ID"))</f>
        <v/>
      </c>
      <c r="U99" t="str">
        <f>IF($N99="","",IFERROR(INDEX(Operators!$C:$C,MATCH($N99,Operators!$A:$A,0))&amp;"","UNKNOWN OPERATOR ID"))</f>
        <v/>
      </c>
      <c r="V99" t="str">
        <f>IF($N99="","",IFERROR(INDEX(Operators!$D:$D,MATCH($N99,Operators!$A:$A,0))&amp;"","UNKNOWN OPERATOR ID"))</f>
        <v/>
      </c>
      <c r="W99" t="str">
        <f>IF($N99="","",IFERROR(INDEX(Operators!$E:$E,MATCH($N99,Operators!$A:$A,0))&amp;"","UNKNOWN OPERATOR ID"))</f>
        <v/>
      </c>
      <c r="X99" t="str">
        <f>IF($N99="","",IFERROR(INDEX(Operators!$G:$G,MATCH($N99,Operators!$A:$A,0))&amp;"","UNKNOWN OPERATOR ID"))</f>
        <v/>
      </c>
      <c r="Y99" t="str">
        <f>IF($N99="","",IFERROR(INDEX(Operators!$H:$H,MATCH($N99,Operators!$A:$A,0))&amp;"","UNKNOWN OPERATOR ID"))</f>
        <v/>
      </c>
      <c r="Z99" t="str">
        <f>IF($N99="","",IFERROR(INDEX(Operators!$T:$T,MATCH($N99,Operators!$A:$A,0))&amp;"","UNKNOWN OPERATOR ID"))</f>
        <v>ACTIVE</v>
      </c>
      <c r="AA99" t="str">
        <f>IF($N99="","",IFERROR(INDEX(Operators!$N:$N,MATCH($N99,Operators!$A:$A,0))&amp;"","UNKNOWN OPERATOR ID"))</f>
        <v/>
      </c>
      <c r="AB99" t="str">
        <f>IF($N99="","",IFERROR(INDEX(Operators!$K:$K,MATCH($N99,Operators!$A:$A,0))&amp;"","UNKNOWN OPERATOR ID"))</f>
        <v/>
      </c>
      <c r="AC99" t="str">
        <f>IF($N99="","",IFERROR(INDEX(Operators!$M:$M,MATCH($N99,Operators!$A:$A,0))&amp;"","UNKNOWN OPERATOR ID"))</f>
        <v/>
      </c>
      <c r="AD99" s="1" t="str">
        <f>IF($B99="","",IF($N99="","OPERATOR MISSING",IF(COUNTIF(Operators!$A:$A,$N99)=0,"UNKNOWN OPERATOR ID",IF($T99="","OPERATOR NAME REQUIRED","OK"))))</f>
        <v>OPERATOR NAME REQUIRED</v>
      </c>
      <c r="AE99">
        <f>IF($B99="","",COUNTIFS('FLEET DOCUMENTS'!$C$5:$C$60,$B99))</f>
        <v>0</v>
      </c>
      <c r="AF99">
        <f>IF($B99="","",COUNTIFS('FLEET DOCUMENTS'!$C$5:$C$60,$B99,'FLEET DOCUMENTS'!$S$5:$S$60,"EXPIRED"))</f>
        <v>0</v>
      </c>
      <c r="AG99">
        <f>IF($B99="","",COUNTIFS('FLEET DOCUMENTS'!$C$5:$C$60,$B99,'FLEET DOCUMENTS'!$S$5:$S$60,"EXPIRES WITHIN 90 DAYS")+COUNTIFS('FLEET DOCUMENTS'!$C$5:$C$60,$B99,'FLEET DOCUMENTS'!$S$5:$S$60,"EXPIRES WITHIN 30 DAYS"))</f>
        <v>0</v>
      </c>
      <c r="AH99" s="72">
        <f>IF($B99="","",IFERROR(_xlfn.MINIFS('FLEET DOCUMENTS'!$J$5:$J$60,'FLEET DOCUMENTS'!$C$5:$C$60,$B99),""))</f>
        <v>0</v>
      </c>
    </row>
    <row r="100" spans="1:34" x14ac:dyDescent="0.3">
      <c r="A100" t="s">
        <v>4131</v>
      </c>
      <c r="B100" t="s">
        <v>4268</v>
      </c>
      <c r="C100" t="s">
        <v>3980</v>
      </c>
      <c r="D100" t="s">
        <v>3981</v>
      </c>
      <c r="E100" t="s">
        <v>3982</v>
      </c>
      <c r="F100" t="s">
        <v>3428</v>
      </c>
      <c r="G100" t="str">
        <f>IF($F100="","",IFERROR(INDEX(airports!$E:$E,MATCH($F100,airports!$A:$A,0)),"Not in airports"))</f>
        <v>Lanseria International Airport</v>
      </c>
      <c r="H100" s="5">
        <v>41277</v>
      </c>
      <c r="I100">
        <v>19</v>
      </c>
      <c r="J100" t="s">
        <v>108</v>
      </c>
      <c r="K100">
        <v>5467</v>
      </c>
      <c r="L100" t="s">
        <v>3830</v>
      </c>
      <c r="M100" t="b">
        <v>1</v>
      </c>
      <c r="N100" t="s">
        <v>4132</v>
      </c>
      <c r="S100" s="23" t="str">
        <f t="shared" si="1"/>
        <v/>
      </c>
      <c r="T100" t="str">
        <f>IF($N100="","",IFERROR(INDEX(Operators!$B:$B,MATCH($N100,Operators!$A:$A,0))&amp;"","UNKNOWN OPERATOR ID"))</f>
        <v/>
      </c>
      <c r="U100" t="str">
        <f>IF($N100="","",IFERROR(INDEX(Operators!$C:$C,MATCH($N100,Operators!$A:$A,0))&amp;"","UNKNOWN OPERATOR ID"))</f>
        <v/>
      </c>
      <c r="V100" t="str">
        <f>IF($N100="","",IFERROR(INDEX(Operators!$D:$D,MATCH($N100,Operators!$A:$A,0))&amp;"","UNKNOWN OPERATOR ID"))</f>
        <v/>
      </c>
      <c r="W100" t="str">
        <f>IF($N100="","",IFERROR(INDEX(Operators!$E:$E,MATCH($N100,Operators!$A:$A,0))&amp;"","UNKNOWN OPERATOR ID"))</f>
        <v/>
      </c>
      <c r="X100" t="str">
        <f>IF($N100="","",IFERROR(INDEX(Operators!$G:$G,MATCH($N100,Operators!$A:$A,0))&amp;"","UNKNOWN OPERATOR ID"))</f>
        <v/>
      </c>
      <c r="Y100" t="str">
        <f>IF($N100="","",IFERROR(INDEX(Operators!$H:$H,MATCH($N100,Operators!$A:$A,0))&amp;"","UNKNOWN OPERATOR ID"))</f>
        <v/>
      </c>
      <c r="Z100" t="str">
        <f>IF($N100="","",IFERROR(INDEX(Operators!$T:$T,MATCH($N100,Operators!$A:$A,0))&amp;"","UNKNOWN OPERATOR ID"))</f>
        <v>ACTIVE</v>
      </c>
      <c r="AA100" t="str">
        <f>IF($N100="","",IFERROR(INDEX(Operators!$N:$N,MATCH($N100,Operators!$A:$A,0))&amp;"","UNKNOWN OPERATOR ID"))</f>
        <v/>
      </c>
      <c r="AB100" t="str">
        <f>IF($N100="","",IFERROR(INDEX(Operators!$K:$K,MATCH($N100,Operators!$A:$A,0))&amp;"","UNKNOWN OPERATOR ID"))</f>
        <v/>
      </c>
      <c r="AC100" t="str">
        <f>IF($N100="","",IFERROR(INDEX(Operators!$M:$M,MATCH($N100,Operators!$A:$A,0))&amp;"","UNKNOWN OPERATOR ID"))</f>
        <v/>
      </c>
      <c r="AD100" s="1" t="str">
        <f>IF($B100="","",IF($N100="","OPERATOR MISSING",IF(COUNTIF(Operators!$A:$A,$N100)=0,"UNKNOWN OPERATOR ID",IF($T100="","OPERATOR NAME REQUIRED","OK"))))</f>
        <v>OPERATOR NAME REQUIRED</v>
      </c>
      <c r="AE100">
        <f>IF($B100="","",COUNTIFS('FLEET DOCUMENTS'!$C$5:$C$60,$B100))</f>
        <v>0</v>
      </c>
      <c r="AF100">
        <f>IF($B100="","",COUNTIFS('FLEET DOCUMENTS'!$C$5:$C$60,$B100,'FLEET DOCUMENTS'!$S$5:$S$60,"EXPIRED"))</f>
        <v>0</v>
      </c>
      <c r="AG100">
        <f>IF($B100="","",COUNTIFS('FLEET DOCUMENTS'!$C$5:$C$60,$B100,'FLEET DOCUMENTS'!$S$5:$S$60,"EXPIRES WITHIN 90 DAYS")+COUNTIFS('FLEET DOCUMENTS'!$C$5:$C$60,$B100,'FLEET DOCUMENTS'!$S$5:$S$60,"EXPIRES WITHIN 30 DAYS"))</f>
        <v>0</v>
      </c>
      <c r="AH100" s="72">
        <f>IF($B100="","",IFERROR(_xlfn.MINIFS('FLEET DOCUMENTS'!$J$5:$J$60,'FLEET DOCUMENTS'!$C$5:$C$60,$B100),""))</f>
        <v>0</v>
      </c>
    </row>
    <row r="101" spans="1:34" x14ac:dyDescent="0.3">
      <c r="A101" t="s">
        <v>4133</v>
      </c>
      <c r="B101" t="s">
        <v>4269</v>
      </c>
      <c r="C101" t="s">
        <v>3918</v>
      </c>
      <c r="D101" t="s">
        <v>3879</v>
      </c>
      <c r="E101" t="s">
        <v>3919</v>
      </c>
      <c r="F101" t="s">
        <v>5</v>
      </c>
      <c r="G101" t="str">
        <f>IF($F101="","",IFERROR(INDEX(airports!$E:$E,MATCH($F101,airports!$A:$A,0)),"Not in airports"))</f>
        <v>O.R. Tambo International Airport</v>
      </c>
      <c r="H101" s="5">
        <v>351534</v>
      </c>
      <c r="I101">
        <v>396</v>
      </c>
      <c r="J101" t="s">
        <v>108</v>
      </c>
      <c r="K101">
        <v>38789</v>
      </c>
      <c r="L101" t="s">
        <v>3830</v>
      </c>
      <c r="M101" t="b">
        <v>1</v>
      </c>
      <c r="N101" t="s">
        <v>4134</v>
      </c>
      <c r="S101" s="23" t="str">
        <f t="shared" si="1"/>
        <v/>
      </c>
      <c r="T101" t="str">
        <f>IF($N101="","",IFERROR(INDEX(Operators!$B:$B,MATCH($N101,Operators!$A:$A,0))&amp;"","UNKNOWN OPERATOR ID"))</f>
        <v/>
      </c>
      <c r="U101" t="str">
        <f>IF($N101="","",IFERROR(INDEX(Operators!$C:$C,MATCH($N101,Operators!$A:$A,0))&amp;"","UNKNOWN OPERATOR ID"))</f>
        <v/>
      </c>
      <c r="V101" t="str">
        <f>IF($N101="","",IFERROR(INDEX(Operators!$D:$D,MATCH($N101,Operators!$A:$A,0))&amp;"","UNKNOWN OPERATOR ID"))</f>
        <v/>
      </c>
      <c r="W101" t="str">
        <f>IF($N101="","",IFERROR(INDEX(Operators!$E:$E,MATCH($N101,Operators!$A:$A,0))&amp;"","UNKNOWN OPERATOR ID"))</f>
        <v/>
      </c>
      <c r="X101" t="str">
        <f>IF($N101="","",IFERROR(INDEX(Operators!$G:$G,MATCH($N101,Operators!$A:$A,0))&amp;"","UNKNOWN OPERATOR ID"))</f>
        <v/>
      </c>
      <c r="Y101" t="str">
        <f>IF($N101="","",IFERROR(INDEX(Operators!$H:$H,MATCH($N101,Operators!$A:$A,0))&amp;"","UNKNOWN OPERATOR ID"))</f>
        <v/>
      </c>
      <c r="Z101" t="str">
        <f>IF($N101="","",IFERROR(INDEX(Operators!$T:$T,MATCH($N101,Operators!$A:$A,0))&amp;"","UNKNOWN OPERATOR ID"))</f>
        <v>ACTIVE</v>
      </c>
      <c r="AA101" t="str">
        <f>IF($N101="","",IFERROR(INDEX(Operators!$N:$N,MATCH($N101,Operators!$A:$A,0))&amp;"","UNKNOWN OPERATOR ID"))</f>
        <v/>
      </c>
      <c r="AB101" t="str">
        <f>IF($N101="","",IFERROR(INDEX(Operators!$K:$K,MATCH($N101,Operators!$A:$A,0))&amp;"","UNKNOWN OPERATOR ID"))</f>
        <v/>
      </c>
      <c r="AC101" t="str">
        <f>IF($N101="","",IFERROR(INDEX(Operators!$M:$M,MATCH($N101,Operators!$A:$A,0))&amp;"","UNKNOWN OPERATOR ID"))</f>
        <v/>
      </c>
      <c r="AD101" s="1" t="str">
        <f>IF($B101="","",IF($N101="","OPERATOR MISSING",IF(COUNTIF(Operators!$A:$A,$N101)=0,"UNKNOWN OPERATOR ID",IF($T101="","OPERATOR NAME REQUIRED","OK"))))</f>
        <v>OPERATOR NAME REQUIRED</v>
      </c>
      <c r="AE101">
        <f>IF($B101="","",COUNTIFS('FLEET DOCUMENTS'!$C$5:$C$60,$B101))</f>
        <v>0</v>
      </c>
      <c r="AF101">
        <f>IF($B101="","",COUNTIFS('FLEET DOCUMENTS'!$C$5:$C$60,$B101,'FLEET DOCUMENTS'!$S$5:$S$60,"EXPIRED"))</f>
        <v>0</v>
      </c>
      <c r="AG101">
        <f>IF($B101="","",COUNTIFS('FLEET DOCUMENTS'!$C$5:$C$60,$B101,'FLEET DOCUMENTS'!$S$5:$S$60,"EXPIRES WITHIN 90 DAYS")+COUNTIFS('FLEET DOCUMENTS'!$C$5:$C$60,$B101,'FLEET DOCUMENTS'!$S$5:$S$60,"EXPIRES WITHIN 30 DAYS"))</f>
        <v>0</v>
      </c>
      <c r="AH101" s="72">
        <f>IF($B101="","",IFERROR(_xlfn.MINIFS('FLEET DOCUMENTS'!$J$5:$J$60,'FLEET DOCUMENTS'!$C$5:$C$60,$B101),""))</f>
        <v>0</v>
      </c>
    </row>
    <row r="102" spans="1:34" x14ac:dyDescent="0.3">
      <c r="A102" t="s">
        <v>4135</v>
      </c>
      <c r="B102" t="s">
        <v>4270</v>
      </c>
      <c r="C102" t="s">
        <v>3937</v>
      </c>
      <c r="D102" t="s">
        <v>3879</v>
      </c>
      <c r="E102" t="s">
        <v>3938</v>
      </c>
      <c r="F102" t="s">
        <v>5</v>
      </c>
      <c r="G102" t="str">
        <f>IF($F102="","",IFERROR(INDEX(airports!$E:$E,MATCH($F102,airports!$A:$A,0)),"Not in airports"))</f>
        <v>O.R. Tambo International Airport</v>
      </c>
      <c r="H102" s="5">
        <v>396893</v>
      </c>
      <c r="I102">
        <v>0</v>
      </c>
      <c r="J102" t="s">
        <v>108</v>
      </c>
      <c r="K102">
        <v>32912</v>
      </c>
      <c r="L102" t="s">
        <v>3830</v>
      </c>
      <c r="M102" t="b">
        <v>1</v>
      </c>
      <c r="N102" t="s">
        <v>4136</v>
      </c>
      <c r="S102" s="23" t="str">
        <f t="shared" si="1"/>
        <v/>
      </c>
      <c r="T102" t="str">
        <f>IF($N102="","",IFERROR(INDEX(Operators!$B:$B,MATCH($N102,Operators!$A:$A,0))&amp;"","UNKNOWN OPERATOR ID"))</f>
        <v/>
      </c>
      <c r="U102" t="str">
        <f>IF($N102="","",IFERROR(INDEX(Operators!$C:$C,MATCH($N102,Operators!$A:$A,0))&amp;"","UNKNOWN OPERATOR ID"))</f>
        <v/>
      </c>
      <c r="V102" t="str">
        <f>IF($N102="","",IFERROR(INDEX(Operators!$D:$D,MATCH($N102,Operators!$A:$A,0))&amp;"","UNKNOWN OPERATOR ID"))</f>
        <v/>
      </c>
      <c r="W102" t="str">
        <f>IF($N102="","",IFERROR(INDEX(Operators!$E:$E,MATCH($N102,Operators!$A:$A,0))&amp;"","UNKNOWN OPERATOR ID"))</f>
        <v/>
      </c>
      <c r="X102" t="str">
        <f>IF($N102="","",IFERROR(INDEX(Operators!$G:$G,MATCH($N102,Operators!$A:$A,0))&amp;"","UNKNOWN OPERATOR ID"))</f>
        <v/>
      </c>
      <c r="Y102" t="str">
        <f>IF($N102="","",IFERROR(INDEX(Operators!$H:$H,MATCH($N102,Operators!$A:$A,0))&amp;"","UNKNOWN OPERATOR ID"))</f>
        <v/>
      </c>
      <c r="Z102" t="str">
        <f>IF($N102="","",IFERROR(INDEX(Operators!$T:$T,MATCH($N102,Operators!$A:$A,0))&amp;"","UNKNOWN OPERATOR ID"))</f>
        <v>ACTIVE</v>
      </c>
      <c r="AA102" t="str">
        <f>IF($N102="","",IFERROR(INDEX(Operators!$N:$N,MATCH($N102,Operators!$A:$A,0))&amp;"","UNKNOWN OPERATOR ID"))</f>
        <v/>
      </c>
      <c r="AB102" t="str">
        <f>IF($N102="","",IFERROR(INDEX(Operators!$K:$K,MATCH($N102,Operators!$A:$A,0))&amp;"","UNKNOWN OPERATOR ID"))</f>
        <v/>
      </c>
      <c r="AC102" t="str">
        <f>IF($N102="","",IFERROR(INDEX(Operators!$M:$M,MATCH($N102,Operators!$A:$A,0))&amp;"","UNKNOWN OPERATOR ID"))</f>
        <v/>
      </c>
      <c r="AD102" s="1" t="str">
        <f>IF($B102="","",IF($N102="","OPERATOR MISSING",IF(COUNTIF(Operators!$A:$A,$N102)=0,"UNKNOWN OPERATOR ID",IF($T102="","OPERATOR NAME REQUIRED","OK"))))</f>
        <v>OPERATOR NAME REQUIRED</v>
      </c>
      <c r="AE102">
        <f>IF($B102="","",COUNTIFS('FLEET DOCUMENTS'!$C$5:$C$60,$B102))</f>
        <v>0</v>
      </c>
      <c r="AF102">
        <f>IF($B102="","",COUNTIFS('FLEET DOCUMENTS'!$C$5:$C$60,$B102,'FLEET DOCUMENTS'!$S$5:$S$60,"EXPIRED"))</f>
        <v>0</v>
      </c>
      <c r="AG102">
        <f>IF($B102="","",COUNTIFS('FLEET DOCUMENTS'!$C$5:$C$60,$B102,'FLEET DOCUMENTS'!$S$5:$S$60,"EXPIRES WITHIN 90 DAYS")+COUNTIFS('FLEET DOCUMENTS'!$C$5:$C$60,$B102,'FLEET DOCUMENTS'!$S$5:$S$60,"EXPIRES WITHIN 30 DAYS"))</f>
        <v>0</v>
      </c>
      <c r="AH102" s="72">
        <f>IF($B102="","",IFERROR(_xlfn.MINIFS('FLEET DOCUMENTS'!$J$5:$J$60,'FLEET DOCUMENTS'!$C$5:$C$60,$B102),""))</f>
        <v>0</v>
      </c>
    </row>
    <row r="103" spans="1:34" x14ac:dyDescent="0.3">
      <c r="A103" t="s">
        <v>4137</v>
      </c>
      <c r="B103" t="s">
        <v>4271</v>
      </c>
      <c r="C103" t="s">
        <v>4067</v>
      </c>
      <c r="D103" t="s">
        <v>4030</v>
      </c>
      <c r="E103" t="s">
        <v>4068</v>
      </c>
      <c r="F103" t="s">
        <v>3428</v>
      </c>
      <c r="G103" t="str">
        <f>IF($F103="","",IFERROR(INDEX(airports!$E:$E,MATCH($F103,airports!$A:$A,0)),"Not in airports"))</f>
        <v>Lanseria International Airport</v>
      </c>
      <c r="H103" s="5">
        <v>31751</v>
      </c>
      <c r="I103">
        <v>19</v>
      </c>
      <c r="J103" t="s">
        <v>108</v>
      </c>
      <c r="K103">
        <v>168</v>
      </c>
      <c r="L103" t="s">
        <v>3830</v>
      </c>
      <c r="M103" t="b">
        <v>1</v>
      </c>
      <c r="N103" t="s">
        <v>4138</v>
      </c>
      <c r="S103" s="23" t="str">
        <f t="shared" si="1"/>
        <v>DUPLICATE REGISTRATION - verify</v>
      </c>
      <c r="T103" t="str">
        <f>IF($N103="","",IFERROR(INDEX(Operators!$B:$B,MATCH($N103,Operators!$A:$A,0))&amp;"","UNKNOWN OPERATOR ID"))</f>
        <v/>
      </c>
      <c r="U103" t="str">
        <f>IF($N103="","",IFERROR(INDEX(Operators!$C:$C,MATCH($N103,Operators!$A:$A,0))&amp;"","UNKNOWN OPERATOR ID"))</f>
        <v/>
      </c>
      <c r="V103" t="str">
        <f>IF($N103="","",IFERROR(INDEX(Operators!$D:$D,MATCH($N103,Operators!$A:$A,0))&amp;"","UNKNOWN OPERATOR ID"))</f>
        <v/>
      </c>
      <c r="W103" t="str">
        <f>IF($N103="","",IFERROR(INDEX(Operators!$E:$E,MATCH($N103,Operators!$A:$A,0))&amp;"","UNKNOWN OPERATOR ID"))</f>
        <v/>
      </c>
      <c r="X103" t="str">
        <f>IF($N103="","",IFERROR(INDEX(Operators!$G:$G,MATCH($N103,Operators!$A:$A,0))&amp;"","UNKNOWN OPERATOR ID"))</f>
        <v/>
      </c>
      <c r="Y103" t="str">
        <f>IF($N103="","",IFERROR(INDEX(Operators!$H:$H,MATCH($N103,Operators!$A:$A,0))&amp;"","UNKNOWN OPERATOR ID"))</f>
        <v/>
      </c>
      <c r="Z103" t="str">
        <f>IF($N103="","",IFERROR(INDEX(Operators!$T:$T,MATCH($N103,Operators!$A:$A,0))&amp;"","UNKNOWN OPERATOR ID"))</f>
        <v>ACTIVE</v>
      </c>
      <c r="AA103" t="str">
        <f>IF($N103="","",IFERROR(INDEX(Operators!$N:$N,MATCH($N103,Operators!$A:$A,0))&amp;"","UNKNOWN OPERATOR ID"))</f>
        <v/>
      </c>
      <c r="AB103" t="str">
        <f>IF($N103="","",IFERROR(INDEX(Operators!$K:$K,MATCH($N103,Operators!$A:$A,0))&amp;"","UNKNOWN OPERATOR ID"))</f>
        <v/>
      </c>
      <c r="AC103" t="str">
        <f>IF($N103="","",IFERROR(INDEX(Operators!$M:$M,MATCH($N103,Operators!$A:$A,0))&amp;"","UNKNOWN OPERATOR ID"))</f>
        <v/>
      </c>
      <c r="AD103" s="1" t="str">
        <f>IF($B103="","",IF($N103="","OPERATOR MISSING",IF(COUNTIF(Operators!$A:$A,$N103)=0,"UNKNOWN OPERATOR ID",IF($T103="","OPERATOR NAME REQUIRED","OK"))))</f>
        <v>OPERATOR NAME REQUIRED</v>
      </c>
      <c r="AE103">
        <f>IF($B103="","",COUNTIFS('FLEET DOCUMENTS'!$C$5:$C$60,$B103))</f>
        <v>0</v>
      </c>
      <c r="AF103">
        <f>IF($B103="","",COUNTIFS('FLEET DOCUMENTS'!$C$5:$C$60,$B103,'FLEET DOCUMENTS'!$S$5:$S$60,"EXPIRED"))</f>
        <v>0</v>
      </c>
      <c r="AG103">
        <f>IF($B103="","",COUNTIFS('FLEET DOCUMENTS'!$C$5:$C$60,$B103,'FLEET DOCUMENTS'!$S$5:$S$60,"EXPIRES WITHIN 90 DAYS")+COUNTIFS('FLEET DOCUMENTS'!$C$5:$C$60,$B103,'FLEET DOCUMENTS'!$S$5:$S$60,"EXPIRES WITHIN 30 DAYS"))</f>
        <v>0</v>
      </c>
      <c r="AH103" s="72">
        <f>IF($B103="","",IFERROR(_xlfn.MINIFS('FLEET DOCUMENTS'!$J$5:$J$60,'FLEET DOCUMENTS'!$C$5:$C$60,$B103),""))</f>
        <v>0</v>
      </c>
    </row>
    <row r="104" spans="1:34" x14ac:dyDescent="0.3">
      <c r="A104" t="s">
        <v>4139</v>
      </c>
      <c r="B104" t="s">
        <v>4271</v>
      </c>
      <c r="C104" t="s">
        <v>4140</v>
      </c>
      <c r="D104" t="s">
        <v>4141</v>
      </c>
      <c r="E104" t="s">
        <v>4142</v>
      </c>
      <c r="F104" t="s">
        <v>3428</v>
      </c>
      <c r="G104" t="str">
        <f>IF($F104="","",IFERROR(INDEX(airports!$E:$E,MATCH($F104,airports!$A:$A,0)),"Not in airports"))</f>
        <v>Lanseria International Airport</v>
      </c>
      <c r="H104" s="5">
        <v>6804</v>
      </c>
      <c r="I104">
        <v>11</v>
      </c>
      <c r="J104" t="s">
        <v>108</v>
      </c>
      <c r="K104" t="s">
        <v>4143</v>
      </c>
      <c r="L104" t="s">
        <v>3830</v>
      </c>
      <c r="M104" t="b">
        <v>1</v>
      </c>
      <c r="N104" t="s">
        <v>4132</v>
      </c>
      <c r="S104" s="23" t="str">
        <f t="shared" si="1"/>
        <v>DUPLICATE REGISTRATION - verify</v>
      </c>
      <c r="T104" t="str">
        <f>IF($N104="","",IFERROR(INDEX(Operators!$B:$B,MATCH($N104,Operators!$A:$A,0))&amp;"","UNKNOWN OPERATOR ID"))</f>
        <v/>
      </c>
      <c r="U104" t="str">
        <f>IF($N104="","",IFERROR(INDEX(Operators!$C:$C,MATCH($N104,Operators!$A:$A,0))&amp;"","UNKNOWN OPERATOR ID"))</f>
        <v/>
      </c>
      <c r="V104" t="str">
        <f>IF($N104="","",IFERROR(INDEX(Operators!$D:$D,MATCH($N104,Operators!$A:$A,0))&amp;"","UNKNOWN OPERATOR ID"))</f>
        <v/>
      </c>
      <c r="W104" t="str">
        <f>IF($N104="","",IFERROR(INDEX(Operators!$E:$E,MATCH($N104,Operators!$A:$A,0))&amp;"","UNKNOWN OPERATOR ID"))</f>
        <v/>
      </c>
      <c r="X104" t="str">
        <f>IF($N104="","",IFERROR(INDEX(Operators!$G:$G,MATCH($N104,Operators!$A:$A,0))&amp;"","UNKNOWN OPERATOR ID"))</f>
        <v/>
      </c>
      <c r="Y104" t="str">
        <f>IF($N104="","",IFERROR(INDEX(Operators!$H:$H,MATCH($N104,Operators!$A:$A,0))&amp;"","UNKNOWN OPERATOR ID"))</f>
        <v/>
      </c>
      <c r="Z104" t="str">
        <f>IF($N104="","",IFERROR(INDEX(Operators!$T:$T,MATCH($N104,Operators!$A:$A,0))&amp;"","UNKNOWN OPERATOR ID"))</f>
        <v>ACTIVE</v>
      </c>
      <c r="AA104" t="str">
        <f>IF($N104="","",IFERROR(INDEX(Operators!$N:$N,MATCH($N104,Operators!$A:$A,0))&amp;"","UNKNOWN OPERATOR ID"))</f>
        <v/>
      </c>
      <c r="AB104" t="str">
        <f>IF($N104="","",IFERROR(INDEX(Operators!$K:$K,MATCH($N104,Operators!$A:$A,0))&amp;"","UNKNOWN OPERATOR ID"))</f>
        <v/>
      </c>
      <c r="AC104" t="str">
        <f>IF($N104="","",IFERROR(INDEX(Operators!$M:$M,MATCH($N104,Operators!$A:$A,0))&amp;"","UNKNOWN OPERATOR ID"))</f>
        <v/>
      </c>
      <c r="AD104" s="1" t="str">
        <f>IF($B104="","",IF($N104="","OPERATOR MISSING",IF(COUNTIF(Operators!$A:$A,$N104)=0,"UNKNOWN OPERATOR ID",IF($T104="","OPERATOR NAME REQUIRED","OK"))))</f>
        <v>OPERATOR NAME REQUIRED</v>
      </c>
      <c r="AE104">
        <f>IF($B104="","",COUNTIFS('FLEET DOCUMENTS'!$C$5:$C$60,$B104))</f>
        <v>0</v>
      </c>
      <c r="AF104">
        <f>IF($B104="","",COUNTIFS('FLEET DOCUMENTS'!$C$5:$C$60,$B104,'FLEET DOCUMENTS'!$S$5:$S$60,"EXPIRED"))</f>
        <v>0</v>
      </c>
      <c r="AG104">
        <f>IF($B104="","",COUNTIFS('FLEET DOCUMENTS'!$C$5:$C$60,$B104,'FLEET DOCUMENTS'!$S$5:$S$60,"EXPIRES WITHIN 90 DAYS")+COUNTIFS('FLEET DOCUMENTS'!$C$5:$C$60,$B104,'FLEET DOCUMENTS'!$S$5:$S$60,"EXPIRES WITHIN 30 DAYS"))</f>
        <v>0</v>
      </c>
      <c r="AH104" s="72">
        <f>IF($B104="","",IFERROR(_xlfn.MINIFS('FLEET DOCUMENTS'!$J$5:$J$60,'FLEET DOCUMENTS'!$C$5:$C$60,$B104),""))</f>
        <v>0</v>
      </c>
    </row>
    <row r="105" spans="1:34" x14ac:dyDescent="0.3">
      <c r="A105" t="s">
        <v>4144</v>
      </c>
      <c r="B105" t="s">
        <v>4272</v>
      </c>
      <c r="C105" t="s">
        <v>3891</v>
      </c>
      <c r="D105" t="s">
        <v>3879</v>
      </c>
      <c r="E105" t="s">
        <v>3892</v>
      </c>
      <c r="F105" t="s">
        <v>5</v>
      </c>
      <c r="G105" t="str">
        <f>IF($F105="","",IFERROR(INDEX(airports!$E:$E,MATCH($F105,airports!$A:$A,0)),"Not in airports"))</f>
        <v>O.R. Tambo International Airport</v>
      </c>
      <c r="H105" s="5">
        <v>79010</v>
      </c>
      <c r="I105">
        <v>189</v>
      </c>
      <c r="J105" t="s">
        <v>108</v>
      </c>
      <c r="K105">
        <v>35145</v>
      </c>
      <c r="L105" t="s">
        <v>3830</v>
      </c>
      <c r="M105" t="b">
        <v>1</v>
      </c>
      <c r="N105" t="s">
        <v>4134</v>
      </c>
      <c r="S105" s="23" t="str">
        <f t="shared" si="1"/>
        <v/>
      </c>
      <c r="T105" t="str">
        <f>IF($N105="","",IFERROR(INDEX(Operators!$B:$B,MATCH($N105,Operators!$A:$A,0))&amp;"","UNKNOWN OPERATOR ID"))</f>
        <v/>
      </c>
      <c r="U105" t="str">
        <f>IF($N105="","",IFERROR(INDEX(Operators!$C:$C,MATCH($N105,Operators!$A:$A,0))&amp;"","UNKNOWN OPERATOR ID"))</f>
        <v/>
      </c>
      <c r="V105" t="str">
        <f>IF($N105="","",IFERROR(INDEX(Operators!$D:$D,MATCH($N105,Operators!$A:$A,0))&amp;"","UNKNOWN OPERATOR ID"))</f>
        <v/>
      </c>
      <c r="W105" t="str">
        <f>IF($N105="","",IFERROR(INDEX(Operators!$E:$E,MATCH($N105,Operators!$A:$A,0))&amp;"","UNKNOWN OPERATOR ID"))</f>
        <v/>
      </c>
      <c r="X105" t="str">
        <f>IF($N105="","",IFERROR(INDEX(Operators!$G:$G,MATCH($N105,Operators!$A:$A,0))&amp;"","UNKNOWN OPERATOR ID"))</f>
        <v/>
      </c>
      <c r="Y105" t="str">
        <f>IF($N105="","",IFERROR(INDEX(Operators!$H:$H,MATCH($N105,Operators!$A:$A,0))&amp;"","UNKNOWN OPERATOR ID"))</f>
        <v/>
      </c>
      <c r="Z105" t="str">
        <f>IF($N105="","",IFERROR(INDEX(Operators!$T:$T,MATCH($N105,Operators!$A:$A,0))&amp;"","UNKNOWN OPERATOR ID"))</f>
        <v>ACTIVE</v>
      </c>
      <c r="AA105" t="str">
        <f>IF($N105="","",IFERROR(INDEX(Operators!$N:$N,MATCH($N105,Operators!$A:$A,0))&amp;"","UNKNOWN OPERATOR ID"))</f>
        <v/>
      </c>
      <c r="AB105" t="str">
        <f>IF($N105="","",IFERROR(INDEX(Operators!$K:$K,MATCH($N105,Operators!$A:$A,0))&amp;"","UNKNOWN OPERATOR ID"))</f>
        <v/>
      </c>
      <c r="AC105" t="str">
        <f>IF($N105="","",IFERROR(INDEX(Operators!$M:$M,MATCH($N105,Operators!$A:$A,0))&amp;"","UNKNOWN OPERATOR ID"))</f>
        <v/>
      </c>
      <c r="AD105" s="1" t="str">
        <f>IF($B105="","",IF($N105="","OPERATOR MISSING",IF(COUNTIF(Operators!$A:$A,$N105)=0,"UNKNOWN OPERATOR ID",IF($T105="","OPERATOR NAME REQUIRED","OK"))))</f>
        <v>OPERATOR NAME REQUIRED</v>
      </c>
      <c r="AE105">
        <f>IF($B105="","",COUNTIFS('FLEET DOCUMENTS'!$C$5:$C$60,$B105))</f>
        <v>0</v>
      </c>
      <c r="AF105">
        <f>IF($B105="","",COUNTIFS('FLEET DOCUMENTS'!$C$5:$C$60,$B105,'FLEET DOCUMENTS'!$S$5:$S$60,"EXPIRED"))</f>
        <v>0</v>
      </c>
      <c r="AG105">
        <f>IF($B105="","",COUNTIFS('FLEET DOCUMENTS'!$C$5:$C$60,$B105,'FLEET DOCUMENTS'!$S$5:$S$60,"EXPIRES WITHIN 90 DAYS")+COUNTIFS('FLEET DOCUMENTS'!$C$5:$C$60,$B105,'FLEET DOCUMENTS'!$S$5:$S$60,"EXPIRES WITHIN 30 DAYS"))</f>
        <v>0</v>
      </c>
      <c r="AH105" s="72">
        <f>IF($B105="","",IFERROR(_xlfn.MINIFS('FLEET DOCUMENTS'!$J$5:$J$60,'FLEET DOCUMENTS'!$C$5:$C$60,$B105),""))</f>
        <v>0</v>
      </c>
    </row>
    <row r="106" spans="1:34" x14ac:dyDescent="0.3">
      <c r="A106" t="s">
        <v>4145</v>
      </c>
      <c r="B106" t="s">
        <v>4273</v>
      </c>
      <c r="C106" t="s">
        <v>3950</v>
      </c>
      <c r="D106" t="s">
        <v>3904</v>
      </c>
      <c r="E106" t="s">
        <v>3951</v>
      </c>
      <c r="F106" t="s">
        <v>5</v>
      </c>
      <c r="G106" t="str">
        <f>IF($F106="","",IFERROR(INDEX(airports!$E:$E,MATCH($F106,airports!$A:$A,0)),"Not in airports"))</f>
        <v>O.R. Tambo International Airport</v>
      </c>
      <c r="H106" s="5">
        <v>280000</v>
      </c>
      <c r="I106">
        <v>350</v>
      </c>
      <c r="J106" t="s">
        <v>108</v>
      </c>
      <c r="K106">
        <v>202</v>
      </c>
      <c r="L106" t="s">
        <v>3830</v>
      </c>
      <c r="M106" t="b">
        <v>1</v>
      </c>
      <c r="N106" t="s">
        <v>4134</v>
      </c>
      <c r="S106" s="23" t="str">
        <f t="shared" si="1"/>
        <v/>
      </c>
      <c r="T106" t="str">
        <f>IF($N106="","",IFERROR(INDEX(Operators!$B:$B,MATCH($N106,Operators!$A:$A,0))&amp;"","UNKNOWN OPERATOR ID"))</f>
        <v/>
      </c>
      <c r="U106" t="str">
        <f>IF($N106="","",IFERROR(INDEX(Operators!$C:$C,MATCH($N106,Operators!$A:$A,0))&amp;"","UNKNOWN OPERATOR ID"))</f>
        <v/>
      </c>
      <c r="V106" t="str">
        <f>IF($N106="","",IFERROR(INDEX(Operators!$D:$D,MATCH($N106,Operators!$A:$A,0))&amp;"","UNKNOWN OPERATOR ID"))</f>
        <v/>
      </c>
      <c r="W106" t="str">
        <f>IF($N106="","",IFERROR(INDEX(Operators!$E:$E,MATCH($N106,Operators!$A:$A,0))&amp;"","UNKNOWN OPERATOR ID"))</f>
        <v/>
      </c>
      <c r="X106" t="str">
        <f>IF($N106="","",IFERROR(INDEX(Operators!$G:$G,MATCH($N106,Operators!$A:$A,0))&amp;"","UNKNOWN OPERATOR ID"))</f>
        <v/>
      </c>
      <c r="Y106" t="str">
        <f>IF($N106="","",IFERROR(INDEX(Operators!$H:$H,MATCH($N106,Operators!$A:$A,0))&amp;"","UNKNOWN OPERATOR ID"))</f>
        <v/>
      </c>
      <c r="Z106" t="str">
        <f>IF($N106="","",IFERROR(INDEX(Operators!$T:$T,MATCH($N106,Operators!$A:$A,0))&amp;"","UNKNOWN OPERATOR ID"))</f>
        <v>ACTIVE</v>
      </c>
      <c r="AA106" t="str">
        <f>IF($N106="","",IFERROR(INDEX(Operators!$N:$N,MATCH($N106,Operators!$A:$A,0))&amp;"","UNKNOWN OPERATOR ID"))</f>
        <v/>
      </c>
      <c r="AB106" t="str">
        <f>IF($N106="","",IFERROR(INDEX(Operators!$K:$K,MATCH($N106,Operators!$A:$A,0))&amp;"","UNKNOWN OPERATOR ID"))</f>
        <v/>
      </c>
      <c r="AC106" t="str">
        <f>IF($N106="","",IFERROR(INDEX(Operators!$M:$M,MATCH($N106,Operators!$A:$A,0))&amp;"","UNKNOWN OPERATOR ID"))</f>
        <v/>
      </c>
      <c r="AD106" s="1" t="str">
        <f>IF($B106="","",IF($N106="","OPERATOR MISSING",IF(COUNTIF(Operators!$A:$A,$N106)=0,"UNKNOWN OPERATOR ID",IF($T106="","OPERATOR NAME REQUIRED","OK"))))</f>
        <v>OPERATOR NAME REQUIRED</v>
      </c>
      <c r="AE106">
        <f>IF($B106="","",COUNTIFS('FLEET DOCUMENTS'!$C$5:$C$60,$B106))</f>
        <v>0</v>
      </c>
      <c r="AF106">
        <f>IF($B106="","",COUNTIFS('FLEET DOCUMENTS'!$C$5:$C$60,$B106,'FLEET DOCUMENTS'!$S$5:$S$60,"EXPIRED"))</f>
        <v>0</v>
      </c>
      <c r="AG106">
        <f>IF($B106="","",COUNTIFS('FLEET DOCUMENTS'!$C$5:$C$60,$B106,'FLEET DOCUMENTS'!$S$5:$S$60,"EXPIRES WITHIN 90 DAYS")+COUNTIFS('FLEET DOCUMENTS'!$C$5:$C$60,$B106,'FLEET DOCUMENTS'!$S$5:$S$60,"EXPIRES WITHIN 30 DAYS"))</f>
        <v>0</v>
      </c>
      <c r="AH106" s="72">
        <f>IF($B106="","",IFERROR(_xlfn.MINIFS('FLEET DOCUMENTS'!$J$5:$J$60,'FLEET DOCUMENTS'!$C$5:$C$60,$B106),""))</f>
        <v>0</v>
      </c>
    </row>
    <row r="107" spans="1:34" x14ac:dyDescent="0.3">
      <c r="A107" t="s">
        <v>4146</v>
      </c>
      <c r="B107" t="s">
        <v>4274</v>
      </c>
      <c r="C107" t="s">
        <v>4147</v>
      </c>
      <c r="D107" t="s">
        <v>3904</v>
      </c>
      <c r="E107" t="s">
        <v>4148</v>
      </c>
      <c r="F107" t="s">
        <v>5</v>
      </c>
      <c r="G107" t="str">
        <f>IF($F107="","",IFERROR(INDEX(airports!$E:$E,MATCH($F107,airports!$A:$A,0)),"Not in airports"))</f>
        <v>O.R. Tambo International Airport</v>
      </c>
      <c r="H107" s="5">
        <v>380000</v>
      </c>
      <c r="I107">
        <v>475</v>
      </c>
      <c r="J107" t="s">
        <v>108</v>
      </c>
      <c r="K107">
        <v>410</v>
      </c>
      <c r="L107" t="s">
        <v>3830</v>
      </c>
      <c r="M107" t="b">
        <v>1</v>
      </c>
      <c r="N107" t="s">
        <v>4134</v>
      </c>
      <c r="S107" s="23" t="str">
        <f t="shared" si="1"/>
        <v/>
      </c>
      <c r="T107" t="str">
        <f>IF($N107="","",IFERROR(INDEX(Operators!$B:$B,MATCH($N107,Operators!$A:$A,0))&amp;"","UNKNOWN OPERATOR ID"))</f>
        <v/>
      </c>
      <c r="U107" t="str">
        <f>IF($N107="","",IFERROR(INDEX(Operators!$C:$C,MATCH($N107,Operators!$A:$A,0))&amp;"","UNKNOWN OPERATOR ID"))</f>
        <v/>
      </c>
      <c r="V107" t="str">
        <f>IF($N107="","",IFERROR(INDEX(Operators!$D:$D,MATCH($N107,Operators!$A:$A,0))&amp;"","UNKNOWN OPERATOR ID"))</f>
        <v/>
      </c>
      <c r="W107" t="str">
        <f>IF($N107="","",IFERROR(INDEX(Operators!$E:$E,MATCH($N107,Operators!$A:$A,0))&amp;"","UNKNOWN OPERATOR ID"))</f>
        <v/>
      </c>
      <c r="X107" t="str">
        <f>IF($N107="","",IFERROR(INDEX(Operators!$G:$G,MATCH($N107,Operators!$A:$A,0))&amp;"","UNKNOWN OPERATOR ID"))</f>
        <v/>
      </c>
      <c r="Y107" t="str">
        <f>IF($N107="","",IFERROR(INDEX(Operators!$H:$H,MATCH($N107,Operators!$A:$A,0))&amp;"","UNKNOWN OPERATOR ID"))</f>
        <v/>
      </c>
      <c r="Z107" t="str">
        <f>IF($N107="","",IFERROR(INDEX(Operators!$T:$T,MATCH($N107,Operators!$A:$A,0))&amp;"","UNKNOWN OPERATOR ID"))</f>
        <v>ACTIVE</v>
      </c>
      <c r="AA107" t="str">
        <f>IF($N107="","",IFERROR(INDEX(Operators!$N:$N,MATCH($N107,Operators!$A:$A,0))&amp;"","UNKNOWN OPERATOR ID"))</f>
        <v/>
      </c>
      <c r="AB107" t="str">
        <f>IF($N107="","",IFERROR(INDEX(Operators!$K:$K,MATCH($N107,Operators!$A:$A,0))&amp;"","UNKNOWN OPERATOR ID"))</f>
        <v/>
      </c>
      <c r="AC107" t="str">
        <f>IF($N107="","",IFERROR(INDEX(Operators!$M:$M,MATCH($N107,Operators!$A:$A,0))&amp;"","UNKNOWN OPERATOR ID"))</f>
        <v/>
      </c>
      <c r="AD107" s="1" t="str">
        <f>IF($B107="","",IF($N107="","OPERATOR MISSING",IF(COUNTIF(Operators!$A:$A,$N107)=0,"UNKNOWN OPERATOR ID",IF($T107="","OPERATOR NAME REQUIRED","OK"))))</f>
        <v>OPERATOR NAME REQUIRED</v>
      </c>
      <c r="AE107">
        <f>IF($B107="","",COUNTIFS('FLEET DOCUMENTS'!$C$5:$C$60,$B107))</f>
        <v>0</v>
      </c>
      <c r="AF107">
        <f>IF($B107="","",COUNTIFS('FLEET DOCUMENTS'!$C$5:$C$60,$B107,'FLEET DOCUMENTS'!$S$5:$S$60,"EXPIRED"))</f>
        <v>0</v>
      </c>
      <c r="AG107">
        <f>IF($B107="","",COUNTIFS('FLEET DOCUMENTS'!$C$5:$C$60,$B107,'FLEET DOCUMENTS'!$S$5:$S$60,"EXPIRES WITHIN 90 DAYS")+COUNTIFS('FLEET DOCUMENTS'!$C$5:$C$60,$B107,'FLEET DOCUMENTS'!$S$5:$S$60,"EXPIRES WITHIN 30 DAYS"))</f>
        <v>0</v>
      </c>
      <c r="AH107" s="72">
        <f>IF($B107="","",IFERROR(_xlfn.MINIFS('FLEET DOCUMENTS'!$J$5:$J$60,'FLEET DOCUMENTS'!$C$5:$C$60,$B107),""))</f>
        <v>0</v>
      </c>
    </row>
    <row r="108" spans="1:34" x14ac:dyDescent="0.3">
      <c r="A108" t="s">
        <v>4149</v>
      </c>
      <c r="B108" t="s">
        <v>4275</v>
      </c>
      <c r="C108" t="s">
        <v>3887</v>
      </c>
      <c r="D108" t="s">
        <v>3888</v>
      </c>
      <c r="E108" t="s">
        <v>3889</v>
      </c>
      <c r="F108" t="s">
        <v>3428</v>
      </c>
      <c r="G108" t="str">
        <f>IF($F108="","",IFERROR(INDEX(airports!$E:$E,MATCH($F108,airports!$A:$A,0)),"Not in airports"))</f>
        <v>Lanseria International Airport</v>
      </c>
      <c r="H108" s="5">
        <v>4740</v>
      </c>
      <c r="I108">
        <v>9</v>
      </c>
      <c r="J108" t="s">
        <v>108</v>
      </c>
      <c r="K108">
        <v>2101</v>
      </c>
      <c r="L108" t="s">
        <v>3830</v>
      </c>
      <c r="M108" t="b">
        <v>1</v>
      </c>
      <c r="N108" t="s">
        <v>4132</v>
      </c>
      <c r="S108" s="23" t="str">
        <f t="shared" si="1"/>
        <v/>
      </c>
      <c r="T108" t="str">
        <f>IF($N108="","",IFERROR(INDEX(Operators!$B:$B,MATCH($N108,Operators!$A:$A,0))&amp;"","UNKNOWN OPERATOR ID"))</f>
        <v/>
      </c>
      <c r="U108" t="str">
        <f>IF($N108="","",IFERROR(INDEX(Operators!$C:$C,MATCH($N108,Operators!$A:$A,0))&amp;"","UNKNOWN OPERATOR ID"))</f>
        <v/>
      </c>
      <c r="V108" t="str">
        <f>IF($N108="","",IFERROR(INDEX(Operators!$D:$D,MATCH($N108,Operators!$A:$A,0))&amp;"","UNKNOWN OPERATOR ID"))</f>
        <v/>
      </c>
      <c r="W108" t="str">
        <f>IF($N108="","",IFERROR(INDEX(Operators!$E:$E,MATCH($N108,Operators!$A:$A,0))&amp;"","UNKNOWN OPERATOR ID"))</f>
        <v/>
      </c>
      <c r="X108" t="str">
        <f>IF($N108="","",IFERROR(INDEX(Operators!$G:$G,MATCH($N108,Operators!$A:$A,0))&amp;"","UNKNOWN OPERATOR ID"))</f>
        <v/>
      </c>
      <c r="Y108" t="str">
        <f>IF($N108="","",IFERROR(INDEX(Operators!$H:$H,MATCH($N108,Operators!$A:$A,0))&amp;"","UNKNOWN OPERATOR ID"))</f>
        <v/>
      </c>
      <c r="Z108" t="str">
        <f>IF($N108="","",IFERROR(INDEX(Operators!$T:$T,MATCH($N108,Operators!$A:$A,0))&amp;"","UNKNOWN OPERATOR ID"))</f>
        <v>ACTIVE</v>
      </c>
      <c r="AA108" t="str">
        <f>IF($N108="","",IFERROR(INDEX(Operators!$N:$N,MATCH($N108,Operators!$A:$A,0))&amp;"","UNKNOWN OPERATOR ID"))</f>
        <v/>
      </c>
      <c r="AB108" t="str">
        <f>IF($N108="","",IFERROR(INDEX(Operators!$K:$K,MATCH($N108,Operators!$A:$A,0))&amp;"","UNKNOWN OPERATOR ID"))</f>
        <v/>
      </c>
      <c r="AC108" t="str">
        <f>IF($N108="","",IFERROR(INDEX(Operators!$M:$M,MATCH($N108,Operators!$A:$A,0))&amp;"","UNKNOWN OPERATOR ID"))</f>
        <v/>
      </c>
      <c r="AD108" s="1" t="str">
        <f>IF($B108="","",IF($N108="","OPERATOR MISSING",IF(COUNTIF(Operators!$A:$A,$N108)=0,"UNKNOWN OPERATOR ID",IF($T108="","OPERATOR NAME REQUIRED","OK"))))</f>
        <v>OPERATOR NAME REQUIRED</v>
      </c>
      <c r="AE108">
        <f>IF($B108="","",COUNTIFS('FLEET DOCUMENTS'!$C$5:$C$60,$B108))</f>
        <v>0</v>
      </c>
      <c r="AF108">
        <f>IF($B108="","",COUNTIFS('FLEET DOCUMENTS'!$C$5:$C$60,$B108,'FLEET DOCUMENTS'!$S$5:$S$60,"EXPIRED"))</f>
        <v>0</v>
      </c>
      <c r="AG108">
        <f>IF($B108="","",COUNTIFS('FLEET DOCUMENTS'!$C$5:$C$60,$B108,'FLEET DOCUMENTS'!$S$5:$S$60,"EXPIRES WITHIN 90 DAYS")+COUNTIFS('FLEET DOCUMENTS'!$C$5:$C$60,$B108,'FLEET DOCUMENTS'!$S$5:$S$60,"EXPIRES WITHIN 30 DAYS"))</f>
        <v>0</v>
      </c>
      <c r="AH108" s="72">
        <f>IF($B108="","",IFERROR(_xlfn.MINIFS('FLEET DOCUMENTS'!$J$5:$J$60,'FLEET DOCUMENTS'!$C$5:$C$60,$B108),""))</f>
        <v>0</v>
      </c>
    </row>
    <row r="109" spans="1:34" x14ac:dyDescent="0.3">
      <c r="A109" t="s">
        <v>4150</v>
      </c>
      <c r="B109" t="s">
        <v>4276</v>
      </c>
      <c r="C109" t="s">
        <v>3852</v>
      </c>
      <c r="D109" t="s">
        <v>3853</v>
      </c>
      <c r="E109" t="s">
        <v>3859</v>
      </c>
      <c r="F109" t="s">
        <v>3428</v>
      </c>
      <c r="G109" t="str">
        <f>IF($F109="","",IFERROR(INDEX(airports!$E:$E,MATCH($F109,airports!$A:$A,0)),"Not in airports"))</f>
        <v>Lanseria International Airport</v>
      </c>
      <c r="H109" s="5">
        <v>3970</v>
      </c>
      <c r="I109">
        <v>14</v>
      </c>
      <c r="J109" t="s">
        <v>108</v>
      </c>
      <c r="K109" t="s">
        <v>4151</v>
      </c>
      <c r="L109" t="s">
        <v>3830</v>
      </c>
      <c r="M109" t="b">
        <v>1</v>
      </c>
      <c r="N109" t="s">
        <v>4132</v>
      </c>
      <c r="S109" s="23" t="str">
        <f t="shared" si="1"/>
        <v/>
      </c>
      <c r="T109" t="str">
        <f>IF($N109="","",IFERROR(INDEX(Operators!$B:$B,MATCH($N109,Operators!$A:$A,0))&amp;"","UNKNOWN OPERATOR ID"))</f>
        <v/>
      </c>
      <c r="U109" t="str">
        <f>IF($N109="","",IFERROR(INDEX(Operators!$C:$C,MATCH($N109,Operators!$A:$A,0))&amp;"","UNKNOWN OPERATOR ID"))</f>
        <v/>
      </c>
      <c r="V109" t="str">
        <f>IF($N109="","",IFERROR(INDEX(Operators!$D:$D,MATCH($N109,Operators!$A:$A,0))&amp;"","UNKNOWN OPERATOR ID"))</f>
        <v/>
      </c>
      <c r="W109" t="str">
        <f>IF($N109="","",IFERROR(INDEX(Operators!$E:$E,MATCH($N109,Operators!$A:$A,0))&amp;"","UNKNOWN OPERATOR ID"))</f>
        <v/>
      </c>
      <c r="X109" t="str">
        <f>IF($N109="","",IFERROR(INDEX(Operators!$G:$G,MATCH($N109,Operators!$A:$A,0))&amp;"","UNKNOWN OPERATOR ID"))</f>
        <v/>
      </c>
      <c r="Y109" t="str">
        <f>IF($N109="","",IFERROR(INDEX(Operators!$H:$H,MATCH($N109,Operators!$A:$A,0))&amp;"","UNKNOWN OPERATOR ID"))</f>
        <v/>
      </c>
      <c r="Z109" t="str">
        <f>IF($N109="","",IFERROR(INDEX(Operators!$T:$T,MATCH($N109,Operators!$A:$A,0))&amp;"","UNKNOWN OPERATOR ID"))</f>
        <v>ACTIVE</v>
      </c>
      <c r="AA109" t="str">
        <f>IF($N109="","",IFERROR(INDEX(Operators!$N:$N,MATCH($N109,Operators!$A:$A,0))&amp;"","UNKNOWN OPERATOR ID"))</f>
        <v/>
      </c>
      <c r="AB109" t="str">
        <f>IF($N109="","",IFERROR(INDEX(Operators!$K:$K,MATCH($N109,Operators!$A:$A,0))&amp;"","UNKNOWN OPERATOR ID"))</f>
        <v/>
      </c>
      <c r="AC109" t="str">
        <f>IF($N109="","",IFERROR(INDEX(Operators!$M:$M,MATCH($N109,Operators!$A:$A,0))&amp;"","UNKNOWN OPERATOR ID"))</f>
        <v/>
      </c>
      <c r="AD109" s="1" t="str">
        <f>IF($B109="","",IF($N109="","OPERATOR MISSING",IF(COUNTIF(Operators!$A:$A,$N109)=0,"UNKNOWN OPERATOR ID",IF($T109="","OPERATOR NAME REQUIRED","OK"))))</f>
        <v>OPERATOR NAME REQUIRED</v>
      </c>
      <c r="AE109">
        <f>IF($B109="","",COUNTIFS('FLEET DOCUMENTS'!$C$5:$C$60,$B109))</f>
        <v>0</v>
      </c>
      <c r="AF109">
        <f>IF($B109="","",COUNTIFS('FLEET DOCUMENTS'!$C$5:$C$60,$B109,'FLEET DOCUMENTS'!$S$5:$S$60,"EXPIRED"))</f>
        <v>0</v>
      </c>
      <c r="AG109">
        <f>IF($B109="","",COUNTIFS('FLEET DOCUMENTS'!$C$5:$C$60,$B109,'FLEET DOCUMENTS'!$S$5:$S$60,"EXPIRES WITHIN 90 DAYS")+COUNTIFS('FLEET DOCUMENTS'!$C$5:$C$60,$B109,'FLEET DOCUMENTS'!$S$5:$S$60,"EXPIRES WITHIN 30 DAYS"))</f>
        <v>0</v>
      </c>
      <c r="AH109" s="72">
        <f>IF($B109="","",IFERROR(_xlfn.MINIFS('FLEET DOCUMENTS'!$J$5:$J$60,'FLEET DOCUMENTS'!$C$5:$C$60,$B109),""))</f>
        <v>0</v>
      </c>
    </row>
    <row r="110" spans="1:34" x14ac:dyDescent="0.3">
      <c r="A110" t="s">
        <v>4152</v>
      </c>
      <c r="B110" t="s">
        <v>4277</v>
      </c>
      <c r="C110" t="s">
        <v>3937</v>
      </c>
      <c r="D110" t="s">
        <v>3879</v>
      </c>
      <c r="E110" t="s">
        <v>4153</v>
      </c>
      <c r="F110" t="s">
        <v>5</v>
      </c>
      <c r="G110" t="str">
        <f>IF($F110="","",IFERROR(INDEX(airports!$E:$E,MATCH($F110,airports!$A:$A,0)),"Not in airports"))</f>
        <v>O.R. Tambo International Airport</v>
      </c>
      <c r="H110" s="5">
        <v>396893</v>
      </c>
      <c r="I110">
        <v>524</v>
      </c>
      <c r="J110" t="s">
        <v>108</v>
      </c>
      <c r="K110">
        <v>25601</v>
      </c>
      <c r="L110" t="s">
        <v>3901</v>
      </c>
      <c r="M110" t="b">
        <v>0</v>
      </c>
      <c r="S110" s="23" t="str">
        <f t="shared" si="1"/>
        <v/>
      </c>
      <c r="T110" t="str">
        <f>IF($N110="","",IFERROR(INDEX(Operators!$B:$B,MATCH($N110,Operators!$A:$A,0))&amp;"","UNKNOWN OPERATOR ID"))</f>
        <v/>
      </c>
      <c r="U110" t="str">
        <f>IF($N110="","",IFERROR(INDEX(Operators!$C:$C,MATCH($N110,Operators!$A:$A,0))&amp;"","UNKNOWN OPERATOR ID"))</f>
        <v/>
      </c>
      <c r="V110" t="str">
        <f>IF($N110="","",IFERROR(INDEX(Operators!$D:$D,MATCH($N110,Operators!$A:$A,0))&amp;"","UNKNOWN OPERATOR ID"))</f>
        <v/>
      </c>
      <c r="W110" t="str">
        <f>IF($N110="","",IFERROR(INDEX(Operators!$E:$E,MATCH($N110,Operators!$A:$A,0))&amp;"","UNKNOWN OPERATOR ID"))</f>
        <v/>
      </c>
      <c r="X110" t="str">
        <f>IF($N110="","",IFERROR(INDEX(Operators!$G:$G,MATCH($N110,Operators!$A:$A,0))&amp;"","UNKNOWN OPERATOR ID"))</f>
        <v/>
      </c>
      <c r="Y110" t="str">
        <f>IF($N110="","",IFERROR(INDEX(Operators!$H:$H,MATCH($N110,Operators!$A:$A,0))&amp;"","UNKNOWN OPERATOR ID"))</f>
        <v/>
      </c>
      <c r="Z110" t="str">
        <f>IF($N110="","",IFERROR(INDEX(Operators!$T:$T,MATCH($N110,Operators!$A:$A,0))&amp;"","UNKNOWN OPERATOR ID"))</f>
        <v/>
      </c>
      <c r="AA110" t="str">
        <f>IF($N110="","",IFERROR(INDEX(Operators!$N:$N,MATCH($N110,Operators!$A:$A,0))&amp;"","UNKNOWN OPERATOR ID"))</f>
        <v/>
      </c>
      <c r="AB110" t="str">
        <f>IF($N110="","",IFERROR(INDEX(Operators!$K:$K,MATCH($N110,Operators!$A:$A,0))&amp;"","UNKNOWN OPERATOR ID"))</f>
        <v/>
      </c>
      <c r="AC110" t="str">
        <f>IF($N110="","",IFERROR(INDEX(Operators!$M:$M,MATCH($N110,Operators!$A:$A,0))&amp;"","UNKNOWN OPERATOR ID"))</f>
        <v/>
      </c>
      <c r="AD110" s="1" t="str">
        <f>IF($B110="","",IF($N110="","OPERATOR MISSING",IF(COUNTIF(Operators!$A:$A,$N110)=0,"UNKNOWN OPERATOR ID",IF($T110="","OPERATOR NAME REQUIRED","OK"))))</f>
        <v>OPERATOR MISSING</v>
      </c>
      <c r="AE110">
        <f>IF($B110="","",COUNTIFS('FLEET DOCUMENTS'!$C$5:$C$60,$B110))</f>
        <v>0</v>
      </c>
      <c r="AF110">
        <f>IF($B110="","",COUNTIFS('FLEET DOCUMENTS'!$C$5:$C$60,$B110,'FLEET DOCUMENTS'!$S$5:$S$60,"EXPIRED"))</f>
        <v>0</v>
      </c>
      <c r="AG110">
        <f>IF($B110="","",COUNTIFS('FLEET DOCUMENTS'!$C$5:$C$60,$B110,'FLEET DOCUMENTS'!$S$5:$S$60,"EXPIRES WITHIN 90 DAYS")+COUNTIFS('FLEET DOCUMENTS'!$C$5:$C$60,$B110,'FLEET DOCUMENTS'!$S$5:$S$60,"EXPIRES WITHIN 30 DAYS"))</f>
        <v>0</v>
      </c>
      <c r="AH110" s="72">
        <f>IF($B110="","",IFERROR(_xlfn.MINIFS('FLEET DOCUMENTS'!$J$5:$J$60,'FLEET DOCUMENTS'!$C$5:$C$60,$B110),""))</f>
        <v>0</v>
      </c>
    </row>
    <row r="111" spans="1:34" x14ac:dyDescent="0.3">
      <c r="A111" t="s">
        <v>4154</v>
      </c>
      <c r="B111" t="s">
        <v>4278</v>
      </c>
      <c r="C111" t="s">
        <v>3903</v>
      </c>
      <c r="D111" t="s">
        <v>3904</v>
      </c>
      <c r="E111" t="s">
        <v>3905</v>
      </c>
      <c r="F111" t="s">
        <v>5</v>
      </c>
      <c r="G111" t="str">
        <f>IF($F111="","",IFERROR(INDEX(airports!$E:$E,MATCH($F111,airports!$A:$A,0)),"Not in airports"))</f>
        <v>O.R. Tambo International Airport</v>
      </c>
      <c r="H111" s="5">
        <v>77000</v>
      </c>
      <c r="I111">
        <v>180</v>
      </c>
      <c r="J111" t="s">
        <v>108</v>
      </c>
      <c r="K111">
        <v>4612</v>
      </c>
      <c r="L111" t="s">
        <v>3830</v>
      </c>
      <c r="M111" t="b">
        <v>1</v>
      </c>
      <c r="N111" t="s">
        <v>4134</v>
      </c>
      <c r="S111" s="23" t="str">
        <f t="shared" si="1"/>
        <v/>
      </c>
      <c r="T111" t="str">
        <f>IF($N111="","",IFERROR(INDEX(Operators!$B:$B,MATCH($N111,Operators!$A:$A,0))&amp;"","UNKNOWN OPERATOR ID"))</f>
        <v/>
      </c>
      <c r="U111" t="str">
        <f>IF($N111="","",IFERROR(INDEX(Operators!$C:$C,MATCH($N111,Operators!$A:$A,0))&amp;"","UNKNOWN OPERATOR ID"))</f>
        <v/>
      </c>
      <c r="V111" t="str">
        <f>IF($N111="","",IFERROR(INDEX(Operators!$D:$D,MATCH($N111,Operators!$A:$A,0))&amp;"","UNKNOWN OPERATOR ID"))</f>
        <v/>
      </c>
      <c r="W111" t="str">
        <f>IF($N111="","",IFERROR(INDEX(Operators!$E:$E,MATCH($N111,Operators!$A:$A,0))&amp;"","UNKNOWN OPERATOR ID"))</f>
        <v/>
      </c>
      <c r="X111" t="str">
        <f>IF($N111="","",IFERROR(INDEX(Operators!$G:$G,MATCH($N111,Operators!$A:$A,0))&amp;"","UNKNOWN OPERATOR ID"))</f>
        <v/>
      </c>
      <c r="Y111" t="str">
        <f>IF($N111="","",IFERROR(INDEX(Operators!$H:$H,MATCH($N111,Operators!$A:$A,0))&amp;"","UNKNOWN OPERATOR ID"))</f>
        <v/>
      </c>
      <c r="Z111" t="str">
        <f>IF($N111="","",IFERROR(INDEX(Operators!$T:$T,MATCH($N111,Operators!$A:$A,0))&amp;"","UNKNOWN OPERATOR ID"))</f>
        <v>ACTIVE</v>
      </c>
      <c r="AA111" t="str">
        <f>IF($N111="","",IFERROR(INDEX(Operators!$N:$N,MATCH($N111,Operators!$A:$A,0))&amp;"","UNKNOWN OPERATOR ID"))</f>
        <v/>
      </c>
      <c r="AB111" t="str">
        <f>IF($N111="","",IFERROR(INDEX(Operators!$K:$K,MATCH($N111,Operators!$A:$A,0))&amp;"","UNKNOWN OPERATOR ID"))</f>
        <v/>
      </c>
      <c r="AC111" t="str">
        <f>IF($N111="","",IFERROR(INDEX(Operators!$M:$M,MATCH($N111,Operators!$A:$A,0))&amp;"","UNKNOWN OPERATOR ID"))</f>
        <v/>
      </c>
      <c r="AD111" s="1" t="str">
        <f>IF($B111="","",IF($N111="","OPERATOR MISSING",IF(COUNTIF(Operators!$A:$A,$N111)=0,"UNKNOWN OPERATOR ID",IF($T111="","OPERATOR NAME REQUIRED","OK"))))</f>
        <v>OPERATOR NAME REQUIRED</v>
      </c>
      <c r="AE111">
        <f>IF($B111="","",COUNTIFS('FLEET DOCUMENTS'!$C$5:$C$60,$B111))</f>
        <v>0</v>
      </c>
      <c r="AF111">
        <f>IF($B111="","",COUNTIFS('FLEET DOCUMENTS'!$C$5:$C$60,$B111,'FLEET DOCUMENTS'!$S$5:$S$60,"EXPIRED"))</f>
        <v>0</v>
      </c>
      <c r="AG111">
        <f>IF($B111="","",COUNTIFS('FLEET DOCUMENTS'!$C$5:$C$60,$B111,'FLEET DOCUMENTS'!$S$5:$S$60,"EXPIRES WITHIN 90 DAYS")+COUNTIFS('FLEET DOCUMENTS'!$C$5:$C$60,$B111,'FLEET DOCUMENTS'!$S$5:$S$60,"EXPIRES WITHIN 30 DAYS"))</f>
        <v>0</v>
      </c>
      <c r="AH111" s="72">
        <f>IF($B111="","",IFERROR(_xlfn.MINIFS('FLEET DOCUMENTS'!$J$5:$J$60,'FLEET DOCUMENTS'!$C$5:$C$60,$B111),""))</f>
        <v>0</v>
      </c>
    </row>
    <row r="112" spans="1:34" x14ac:dyDescent="0.3">
      <c r="A112" t="s">
        <v>7167</v>
      </c>
      <c r="B112">
        <v>1114</v>
      </c>
      <c r="C112" t="s">
        <v>6161</v>
      </c>
      <c r="H112">
        <v>6400</v>
      </c>
      <c r="N112" t="s">
        <v>6277</v>
      </c>
      <c r="S112" t="s">
        <v>7776</v>
      </c>
    </row>
    <row r="113" spans="1:19" x14ac:dyDescent="0.3">
      <c r="A113" t="s">
        <v>7168</v>
      </c>
      <c r="B113" t="s">
        <v>7457</v>
      </c>
      <c r="C113" t="s">
        <v>6167</v>
      </c>
      <c r="H113">
        <v>54000</v>
      </c>
      <c r="N113" t="s">
        <v>6280</v>
      </c>
      <c r="S113" t="s">
        <v>7777</v>
      </c>
    </row>
    <row r="114" spans="1:19" x14ac:dyDescent="0.3">
      <c r="A114" t="s">
        <v>7169</v>
      </c>
      <c r="B114" t="s">
        <v>7458</v>
      </c>
      <c r="C114" t="s">
        <v>4029</v>
      </c>
      <c r="H114">
        <v>33112</v>
      </c>
      <c r="N114" t="s">
        <v>6282</v>
      </c>
      <c r="S114" t="s">
        <v>7778</v>
      </c>
    </row>
    <row r="115" spans="1:19" x14ac:dyDescent="0.3">
      <c r="A115" t="s">
        <v>7170</v>
      </c>
      <c r="B115" t="s">
        <v>7459</v>
      </c>
      <c r="C115" t="s">
        <v>3980</v>
      </c>
      <c r="H115">
        <v>41050</v>
      </c>
      <c r="N115" t="s">
        <v>6284</v>
      </c>
      <c r="S115" t="s">
        <v>7779</v>
      </c>
    </row>
    <row r="116" spans="1:19" x14ac:dyDescent="0.3">
      <c r="A116" t="s">
        <v>7171</v>
      </c>
      <c r="B116" t="s">
        <v>7460</v>
      </c>
      <c r="C116" t="s">
        <v>6163</v>
      </c>
      <c r="H116">
        <v>77564</v>
      </c>
      <c r="N116" t="s">
        <v>6284</v>
      </c>
      <c r="S116" t="s">
        <v>7779</v>
      </c>
    </row>
    <row r="117" spans="1:19" x14ac:dyDescent="0.3">
      <c r="A117" t="s">
        <v>7172</v>
      </c>
      <c r="B117" t="s">
        <v>7461</v>
      </c>
      <c r="C117" t="s">
        <v>4067</v>
      </c>
      <c r="H117">
        <v>31751</v>
      </c>
      <c r="N117" t="s">
        <v>6284</v>
      </c>
      <c r="S117" t="s">
        <v>7779</v>
      </c>
    </row>
    <row r="118" spans="1:19" x14ac:dyDescent="0.3">
      <c r="A118" t="s">
        <v>7173</v>
      </c>
      <c r="B118" t="s">
        <v>7462</v>
      </c>
      <c r="C118" t="s">
        <v>7745</v>
      </c>
      <c r="H118">
        <v>21863</v>
      </c>
      <c r="N118" t="s">
        <v>6284</v>
      </c>
      <c r="S118" t="s">
        <v>7779</v>
      </c>
    </row>
    <row r="119" spans="1:19" x14ac:dyDescent="0.3">
      <c r="A119" t="s">
        <v>7174</v>
      </c>
      <c r="B119" t="s">
        <v>7463</v>
      </c>
      <c r="C119" t="s">
        <v>7745</v>
      </c>
      <c r="H119">
        <v>21863</v>
      </c>
      <c r="N119" t="s">
        <v>6286</v>
      </c>
      <c r="S119" t="s">
        <v>7780</v>
      </c>
    </row>
    <row r="120" spans="1:19" x14ac:dyDescent="0.3">
      <c r="A120" t="s">
        <v>7175</v>
      </c>
      <c r="B120" t="s">
        <v>7464</v>
      </c>
      <c r="C120" t="s">
        <v>3997</v>
      </c>
      <c r="H120">
        <v>46992</v>
      </c>
      <c r="N120" t="s">
        <v>6288</v>
      </c>
      <c r="S120" t="s">
        <v>7781</v>
      </c>
    </row>
    <row r="121" spans="1:19" x14ac:dyDescent="0.3">
      <c r="A121" t="s">
        <v>7176</v>
      </c>
      <c r="B121" t="s">
        <v>7465</v>
      </c>
      <c r="C121" t="s">
        <v>4037</v>
      </c>
      <c r="H121">
        <v>45132</v>
      </c>
      <c r="N121" t="s">
        <v>6288</v>
      </c>
      <c r="S121" t="s">
        <v>7781</v>
      </c>
    </row>
    <row r="122" spans="1:19" x14ac:dyDescent="0.3">
      <c r="A122" t="s">
        <v>7177</v>
      </c>
      <c r="B122" t="s">
        <v>7466</v>
      </c>
      <c r="C122" t="s">
        <v>3980</v>
      </c>
      <c r="H122">
        <v>41277</v>
      </c>
      <c r="N122" t="s">
        <v>6290</v>
      </c>
      <c r="S122" t="s">
        <v>7782</v>
      </c>
    </row>
    <row r="123" spans="1:19" x14ac:dyDescent="0.3">
      <c r="A123" t="s">
        <v>7178</v>
      </c>
      <c r="B123" t="s">
        <v>7467</v>
      </c>
      <c r="C123" t="s">
        <v>3980</v>
      </c>
      <c r="H123">
        <v>41277</v>
      </c>
      <c r="N123" t="s">
        <v>6292</v>
      </c>
      <c r="S123" t="s">
        <v>7779</v>
      </c>
    </row>
    <row r="124" spans="1:19" x14ac:dyDescent="0.3">
      <c r="A124" t="s">
        <v>7179</v>
      </c>
      <c r="B124" t="s">
        <v>7468</v>
      </c>
      <c r="C124" t="s">
        <v>7746</v>
      </c>
      <c r="H124">
        <v>19414</v>
      </c>
      <c r="N124" t="s">
        <v>6294</v>
      </c>
      <c r="S124" t="s">
        <v>7780</v>
      </c>
    </row>
    <row r="125" spans="1:19" x14ac:dyDescent="0.3">
      <c r="A125" t="s">
        <v>7180</v>
      </c>
      <c r="B125" t="s">
        <v>7469</v>
      </c>
      <c r="C125" t="s">
        <v>4037</v>
      </c>
      <c r="H125">
        <v>45132</v>
      </c>
      <c r="N125" t="s">
        <v>6296</v>
      </c>
      <c r="S125" t="s">
        <v>7778</v>
      </c>
    </row>
    <row r="126" spans="1:19" x14ac:dyDescent="0.3">
      <c r="A126" t="s">
        <v>7181</v>
      </c>
      <c r="B126" t="s">
        <v>7470</v>
      </c>
      <c r="C126" t="s">
        <v>4037</v>
      </c>
      <c r="H126">
        <v>44452</v>
      </c>
      <c r="N126" t="s">
        <v>6298</v>
      </c>
      <c r="S126" t="s">
        <v>7779</v>
      </c>
    </row>
    <row r="127" spans="1:19" x14ac:dyDescent="0.3">
      <c r="A127" t="s">
        <v>7182</v>
      </c>
      <c r="B127" t="s">
        <v>7471</v>
      </c>
      <c r="C127" t="s">
        <v>7747</v>
      </c>
      <c r="H127">
        <v>21092</v>
      </c>
      <c r="N127" t="s">
        <v>6298</v>
      </c>
      <c r="S127" t="s">
        <v>7779</v>
      </c>
    </row>
    <row r="128" spans="1:19" x14ac:dyDescent="0.3">
      <c r="A128" t="s">
        <v>7183</v>
      </c>
      <c r="B128" t="s">
        <v>7472</v>
      </c>
      <c r="C128" t="s">
        <v>7748</v>
      </c>
      <c r="H128">
        <v>42910</v>
      </c>
      <c r="N128" t="s">
        <v>6300</v>
      </c>
      <c r="S128" t="s">
        <v>7776</v>
      </c>
    </row>
    <row r="129" spans="1:19" x14ac:dyDescent="0.3">
      <c r="A129" t="s">
        <v>7184</v>
      </c>
      <c r="B129" t="s">
        <v>7473</v>
      </c>
      <c r="C129" t="s">
        <v>7748</v>
      </c>
      <c r="H129">
        <v>42910</v>
      </c>
      <c r="N129" t="s">
        <v>6300</v>
      </c>
      <c r="S129" t="s">
        <v>7776</v>
      </c>
    </row>
    <row r="130" spans="1:19" x14ac:dyDescent="0.3">
      <c r="A130" t="s">
        <v>7185</v>
      </c>
      <c r="B130" t="s">
        <v>7474</v>
      </c>
      <c r="C130" t="s">
        <v>7746</v>
      </c>
      <c r="H130">
        <v>19414</v>
      </c>
      <c r="N130" t="s">
        <v>6302</v>
      </c>
      <c r="S130" t="s">
        <v>7778</v>
      </c>
    </row>
    <row r="131" spans="1:19" x14ac:dyDescent="0.3">
      <c r="A131" t="s">
        <v>7186</v>
      </c>
      <c r="B131" t="s">
        <v>7475</v>
      </c>
      <c r="C131" t="s">
        <v>6161</v>
      </c>
      <c r="H131">
        <v>6400</v>
      </c>
      <c r="N131" t="s">
        <v>6277</v>
      </c>
      <c r="S131" t="s">
        <v>7776</v>
      </c>
    </row>
    <row r="132" spans="1:19" x14ac:dyDescent="0.3">
      <c r="A132" t="s">
        <v>7187</v>
      </c>
      <c r="B132" t="s">
        <v>7476</v>
      </c>
      <c r="C132" t="s">
        <v>7749</v>
      </c>
      <c r="H132">
        <v>87000</v>
      </c>
      <c r="N132" t="s">
        <v>6304</v>
      </c>
      <c r="S132" t="s">
        <v>7783</v>
      </c>
    </row>
    <row r="133" spans="1:19" x14ac:dyDescent="0.3">
      <c r="A133" t="s">
        <v>7188</v>
      </c>
      <c r="B133" t="s">
        <v>7477</v>
      </c>
      <c r="C133" t="s">
        <v>7750</v>
      </c>
      <c r="H133">
        <v>87000</v>
      </c>
      <c r="N133" t="s">
        <v>6306</v>
      </c>
      <c r="S133" t="s">
        <v>7777</v>
      </c>
    </row>
    <row r="134" spans="1:19" x14ac:dyDescent="0.3">
      <c r="A134" t="s">
        <v>7189</v>
      </c>
      <c r="B134" t="s">
        <v>7478</v>
      </c>
      <c r="C134" t="s">
        <v>7751</v>
      </c>
      <c r="H134">
        <v>8500</v>
      </c>
      <c r="N134" t="s">
        <v>6308</v>
      </c>
      <c r="S134" t="s">
        <v>7778</v>
      </c>
    </row>
    <row r="135" spans="1:19" x14ac:dyDescent="0.3">
      <c r="A135" t="s">
        <v>7190</v>
      </c>
      <c r="B135" t="s">
        <v>7479</v>
      </c>
      <c r="C135" t="s">
        <v>4029</v>
      </c>
      <c r="H135">
        <v>33112</v>
      </c>
      <c r="N135" t="s">
        <v>6310</v>
      </c>
      <c r="S135" t="s">
        <v>7778</v>
      </c>
    </row>
    <row r="136" spans="1:19" x14ac:dyDescent="0.3">
      <c r="A136" t="s">
        <v>7191</v>
      </c>
      <c r="B136" t="s">
        <v>7480</v>
      </c>
      <c r="C136" t="s">
        <v>7752</v>
      </c>
      <c r="H136">
        <v>35153</v>
      </c>
      <c r="N136" t="s">
        <v>6310</v>
      </c>
      <c r="S136" t="s">
        <v>7778</v>
      </c>
    </row>
    <row r="137" spans="1:19" x14ac:dyDescent="0.3">
      <c r="A137" t="s">
        <v>7192</v>
      </c>
      <c r="B137" t="s">
        <v>7481</v>
      </c>
      <c r="C137" t="s">
        <v>7752</v>
      </c>
      <c r="H137">
        <v>35153</v>
      </c>
      <c r="N137" t="s">
        <v>6310</v>
      </c>
      <c r="S137" t="s">
        <v>7778</v>
      </c>
    </row>
    <row r="138" spans="1:19" x14ac:dyDescent="0.3">
      <c r="A138" t="s">
        <v>7193</v>
      </c>
      <c r="B138" t="s">
        <v>7482</v>
      </c>
      <c r="C138" t="s">
        <v>3903</v>
      </c>
      <c r="H138">
        <v>77000</v>
      </c>
      <c r="N138" t="s">
        <v>6312</v>
      </c>
      <c r="S138" t="s">
        <v>7784</v>
      </c>
    </row>
    <row r="139" spans="1:19" x14ac:dyDescent="0.3">
      <c r="A139" t="s">
        <v>7194</v>
      </c>
      <c r="B139" t="s">
        <v>7483</v>
      </c>
      <c r="N139" t="s">
        <v>6312</v>
      </c>
      <c r="S139" t="s">
        <v>7784</v>
      </c>
    </row>
    <row r="140" spans="1:19" x14ac:dyDescent="0.3">
      <c r="A140" t="s">
        <v>7195</v>
      </c>
      <c r="B140" t="s">
        <v>7484</v>
      </c>
      <c r="C140" t="s">
        <v>7753</v>
      </c>
      <c r="H140">
        <v>97000</v>
      </c>
      <c r="N140" t="s">
        <v>6312</v>
      </c>
      <c r="S140" t="s">
        <v>7784</v>
      </c>
    </row>
    <row r="141" spans="1:19" x14ac:dyDescent="0.3">
      <c r="A141" t="s">
        <v>7196</v>
      </c>
      <c r="B141" t="s">
        <v>7485</v>
      </c>
      <c r="C141" t="s">
        <v>7754</v>
      </c>
      <c r="H141">
        <v>51436</v>
      </c>
      <c r="N141" t="s">
        <v>6312</v>
      </c>
      <c r="S141" t="s">
        <v>7784</v>
      </c>
    </row>
    <row r="142" spans="1:19" x14ac:dyDescent="0.3">
      <c r="A142" t="s">
        <v>7197</v>
      </c>
      <c r="B142" t="s">
        <v>7486</v>
      </c>
      <c r="C142" t="s">
        <v>7755</v>
      </c>
      <c r="H142">
        <v>52095</v>
      </c>
      <c r="N142" t="s">
        <v>6314</v>
      </c>
      <c r="S142" t="s">
        <v>7776</v>
      </c>
    </row>
    <row r="143" spans="1:19" x14ac:dyDescent="0.3">
      <c r="A143" t="s">
        <v>7198</v>
      </c>
      <c r="B143" t="s">
        <v>7487</v>
      </c>
      <c r="C143" t="s">
        <v>6163</v>
      </c>
      <c r="H143">
        <v>77564</v>
      </c>
      <c r="N143" t="s">
        <v>6316</v>
      </c>
      <c r="S143" t="s">
        <v>7781</v>
      </c>
    </row>
    <row r="144" spans="1:19" x14ac:dyDescent="0.3">
      <c r="A144" t="s">
        <v>7199</v>
      </c>
      <c r="B144" t="s">
        <v>7488</v>
      </c>
      <c r="C144" t="s">
        <v>3997</v>
      </c>
      <c r="H144">
        <v>46992</v>
      </c>
      <c r="N144" t="s">
        <v>6318</v>
      </c>
      <c r="S144" t="s">
        <v>7782</v>
      </c>
    </row>
    <row r="145" spans="1:19" x14ac:dyDescent="0.3">
      <c r="A145" t="s">
        <v>7200</v>
      </c>
      <c r="B145" t="s">
        <v>7489</v>
      </c>
      <c r="C145" t="s">
        <v>3993</v>
      </c>
      <c r="H145">
        <v>70000</v>
      </c>
      <c r="N145" t="s">
        <v>6320</v>
      </c>
      <c r="S145" t="s">
        <v>7781</v>
      </c>
    </row>
    <row r="146" spans="1:19" x14ac:dyDescent="0.3">
      <c r="A146" t="s">
        <v>7201</v>
      </c>
      <c r="B146" t="s">
        <v>7490</v>
      </c>
      <c r="C146" t="s">
        <v>7756</v>
      </c>
      <c r="H146">
        <v>38618</v>
      </c>
      <c r="N146" t="s">
        <v>6322</v>
      </c>
      <c r="S146" t="s">
        <v>7785</v>
      </c>
    </row>
    <row r="147" spans="1:19" x14ac:dyDescent="0.3">
      <c r="A147" t="s">
        <v>7202</v>
      </c>
      <c r="B147" t="s">
        <v>7491</v>
      </c>
      <c r="C147" t="s">
        <v>7756</v>
      </c>
      <c r="H147">
        <v>38618</v>
      </c>
      <c r="N147" t="s">
        <v>6322</v>
      </c>
      <c r="S147" t="s">
        <v>7785</v>
      </c>
    </row>
    <row r="148" spans="1:19" x14ac:dyDescent="0.3">
      <c r="A148" t="s">
        <v>7203</v>
      </c>
      <c r="B148" t="s">
        <v>7492</v>
      </c>
      <c r="C148" t="s">
        <v>7757</v>
      </c>
      <c r="H148">
        <v>153000</v>
      </c>
      <c r="N148" t="s">
        <v>6322</v>
      </c>
      <c r="S148" t="s">
        <v>7785</v>
      </c>
    </row>
    <row r="149" spans="1:19" x14ac:dyDescent="0.3">
      <c r="A149" t="s">
        <v>7204</v>
      </c>
      <c r="B149" t="s">
        <v>7493</v>
      </c>
      <c r="C149" t="s">
        <v>3937</v>
      </c>
      <c r="H149">
        <v>385554</v>
      </c>
      <c r="N149" t="s">
        <v>6324</v>
      </c>
      <c r="S149" t="s">
        <v>7786</v>
      </c>
    </row>
    <row r="150" spans="1:19" x14ac:dyDescent="0.3">
      <c r="A150" t="s">
        <v>7205</v>
      </c>
      <c r="B150" t="s">
        <v>7494</v>
      </c>
      <c r="C150" t="s">
        <v>3980</v>
      </c>
      <c r="H150">
        <v>41277</v>
      </c>
      <c r="N150" t="s">
        <v>6326</v>
      </c>
      <c r="S150" t="s">
        <v>7776</v>
      </c>
    </row>
    <row r="151" spans="1:19" x14ac:dyDescent="0.3">
      <c r="A151" t="s">
        <v>7206</v>
      </c>
      <c r="B151" t="s">
        <v>7495</v>
      </c>
      <c r="C151" t="s">
        <v>3887</v>
      </c>
      <c r="N151" t="s">
        <v>6328</v>
      </c>
      <c r="S151" t="s">
        <v>7776</v>
      </c>
    </row>
    <row r="152" spans="1:19" x14ac:dyDescent="0.3">
      <c r="A152" t="s">
        <v>7207</v>
      </c>
      <c r="B152" t="s">
        <v>7496</v>
      </c>
      <c r="C152" t="s">
        <v>7758</v>
      </c>
      <c r="H152">
        <v>33838</v>
      </c>
      <c r="N152" t="s">
        <v>6330</v>
      </c>
      <c r="S152" t="s">
        <v>7776</v>
      </c>
    </row>
    <row r="153" spans="1:19" x14ac:dyDescent="0.3">
      <c r="A153" t="s">
        <v>7208</v>
      </c>
      <c r="B153" t="s">
        <v>7497</v>
      </c>
      <c r="C153" t="s">
        <v>7759</v>
      </c>
      <c r="H153">
        <v>17622</v>
      </c>
      <c r="N153" t="s">
        <v>6332</v>
      </c>
      <c r="S153" t="s">
        <v>7787</v>
      </c>
    </row>
    <row r="154" spans="1:19" x14ac:dyDescent="0.3">
      <c r="A154" t="s">
        <v>7209</v>
      </c>
      <c r="B154" t="s">
        <v>7498</v>
      </c>
      <c r="C154" t="s">
        <v>7746</v>
      </c>
      <c r="H154">
        <v>19414</v>
      </c>
      <c r="N154" t="s">
        <v>6334</v>
      </c>
      <c r="S154" t="s">
        <v>7778</v>
      </c>
    </row>
    <row r="155" spans="1:19" x14ac:dyDescent="0.3">
      <c r="A155" t="s">
        <v>7210</v>
      </c>
      <c r="B155" t="s">
        <v>7499</v>
      </c>
      <c r="C155" t="s">
        <v>7760</v>
      </c>
      <c r="H155">
        <v>41957</v>
      </c>
      <c r="N155" t="s">
        <v>6336</v>
      </c>
      <c r="S155" t="s">
        <v>7778</v>
      </c>
    </row>
    <row r="156" spans="1:19" x14ac:dyDescent="0.3">
      <c r="A156" t="s">
        <v>7211</v>
      </c>
      <c r="B156" t="s">
        <v>7500</v>
      </c>
      <c r="C156" t="s">
        <v>6163</v>
      </c>
      <c r="H156">
        <v>77564</v>
      </c>
      <c r="N156" t="s">
        <v>6338</v>
      </c>
      <c r="S156" t="s">
        <v>7779</v>
      </c>
    </row>
    <row r="157" spans="1:19" x14ac:dyDescent="0.3">
      <c r="A157" t="s">
        <v>7212</v>
      </c>
      <c r="B157" t="s">
        <v>7501</v>
      </c>
      <c r="C157" t="s">
        <v>4029</v>
      </c>
      <c r="H157">
        <v>33112</v>
      </c>
      <c r="N157" t="s">
        <v>6340</v>
      </c>
      <c r="S157" t="s">
        <v>7778</v>
      </c>
    </row>
    <row r="158" spans="1:19" x14ac:dyDescent="0.3">
      <c r="A158" t="s">
        <v>7213</v>
      </c>
      <c r="B158" t="s">
        <v>7502</v>
      </c>
      <c r="C158" t="s">
        <v>4037</v>
      </c>
      <c r="H158">
        <v>45132</v>
      </c>
      <c r="N158" t="s">
        <v>6342</v>
      </c>
      <c r="S158" t="s">
        <v>7778</v>
      </c>
    </row>
    <row r="159" spans="1:19" x14ac:dyDescent="0.3">
      <c r="A159" t="s">
        <v>7214</v>
      </c>
      <c r="B159" t="s">
        <v>7503</v>
      </c>
      <c r="C159" t="s">
        <v>7761</v>
      </c>
      <c r="H159">
        <v>89675</v>
      </c>
      <c r="N159" t="s">
        <v>6344</v>
      </c>
      <c r="S159" t="s">
        <v>7786</v>
      </c>
    </row>
    <row r="160" spans="1:19" x14ac:dyDescent="0.3">
      <c r="A160" t="s">
        <v>7215</v>
      </c>
      <c r="B160" t="s">
        <v>7504</v>
      </c>
      <c r="C160" t="s">
        <v>3997</v>
      </c>
      <c r="H160">
        <v>46992</v>
      </c>
      <c r="N160" t="s">
        <v>6346</v>
      </c>
      <c r="S160" t="s">
        <v>7788</v>
      </c>
    </row>
    <row r="161" spans="1:19" x14ac:dyDescent="0.3">
      <c r="A161" t="s">
        <v>7216</v>
      </c>
      <c r="B161" t="s">
        <v>7505</v>
      </c>
      <c r="C161" t="s">
        <v>3980</v>
      </c>
      <c r="H161">
        <v>41050</v>
      </c>
      <c r="N161" t="s">
        <v>6348</v>
      </c>
      <c r="S161" t="s">
        <v>7789</v>
      </c>
    </row>
    <row r="162" spans="1:19" x14ac:dyDescent="0.3">
      <c r="A162" t="s">
        <v>7217</v>
      </c>
      <c r="B162" t="s">
        <v>7506</v>
      </c>
      <c r="C162" t="s">
        <v>3980</v>
      </c>
      <c r="H162">
        <v>41277</v>
      </c>
      <c r="N162" t="s">
        <v>6350</v>
      </c>
      <c r="S162" t="s">
        <v>7790</v>
      </c>
    </row>
    <row r="163" spans="1:19" x14ac:dyDescent="0.3">
      <c r="A163" t="s">
        <v>7218</v>
      </c>
      <c r="B163" t="s">
        <v>7507</v>
      </c>
      <c r="C163" t="s">
        <v>7745</v>
      </c>
      <c r="H163">
        <v>21863</v>
      </c>
      <c r="N163" t="s">
        <v>6352</v>
      </c>
      <c r="S163" t="s">
        <v>7780</v>
      </c>
    </row>
    <row r="164" spans="1:19" x14ac:dyDescent="0.3">
      <c r="A164" t="s">
        <v>7219</v>
      </c>
      <c r="B164" t="s">
        <v>7508</v>
      </c>
      <c r="C164" t="s">
        <v>3903</v>
      </c>
      <c r="H164">
        <v>77000</v>
      </c>
      <c r="N164" t="s">
        <v>6354</v>
      </c>
      <c r="S164" t="s">
        <v>7786</v>
      </c>
    </row>
    <row r="165" spans="1:19" x14ac:dyDescent="0.3">
      <c r="A165" t="s">
        <v>7220</v>
      </c>
      <c r="B165" t="s">
        <v>7509</v>
      </c>
      <c r="C165" t="s">
        <v>7762</v>
      </c>
      <c r="H165">
        <v>36106</v>
      </c>
      <c r="N165" t="s">
        <v>6356</v>
      </c>
      <c r="S165" t="s">
        <v>7780</v>
      </c>
    </row>
    <row r="166" spans="1:19" x14ac:dyDescent="0.3">
      <c r="A166" t="s">
        <v>7221</v>
      </c>
      <c r="B166" t="s">
        <v>7510</v>
      </c>
      <c r="C166" t="s">
        <v>7745</v>
      </c>
      <c r="H166">
        <v>21863</v>
      </c>
      <c r="N166" t="s">
        <v>6350</v>
      </c>
      <c r="S166" t="s">
        <v>7790</v>
      </c>
    </row>
    <row r="167" spans="1:19" x14ac:dyDescent="0.3">
      <c r="A167" t="s">
        <v>7222</v>
      </c>
      <c r="B167" t="s">
        <v>7511</v>
      </c>
      <c r="C167" t="s">
        <v>3997</v>
      </c>
      <c r="H167">
        <v>46992</v>
      </c>
      <c r="N167" t="s">
        <v>6358</v>
      </c>
      <c r="S167" t="s">
        <v>7791</v>
      </c>
    </row>
    <row r="168" spans="1:19" x14ac:dyDescent="0.3">
      <c r="A168" t="s">
        <v>7223</v>
      </c>
      <c r="B168" t="s">
        <v>7512</v>
      </c>
      <c r="C168" t="s">
        <v>4037</v>
      </c>
      <c r="H168">
        <v>43545</v>
      </c>
      <c r="N168" t="s">
        <v>6360</v>
      </c>
      <c r="S168" t="s">
        <v>7786</v>
      </c>
    </row>
    <row r="169" spans="1:19" x14ac:dyDescent="0.3">
      <c r="A169" t="s">
        <v>7224</v>
      </c>
      <c r="B169" t="s">
        <v>7513</v>
      </c>
      <c r="C169" t="s">
        <v>3980</v>
      </c>
      <c r="H169">
        <v>41277</v>
      </c>
      <c r="N169" t="s">
        <v>6350</v>
      </c>
      <c r="S169" t="s">
        <v>7790</v>
      </c>
    </row>
    <row r="170" spans="1:19" x14ac:dyDescent="0.3">
      <c r="A170" t="s">
        <v>7225</v>
      </c>
      <c r="B170" t="s">
        <v>7514</v>
      </c>
      <c r="C170" t="s">
        <v>3980</v>
      </c>
      <c r="H170">
        <v>41277</v>
      </c>
      <c r="N170" t="s">
        <v>6362</v>
      </c>
      <c r="S170" t="s">
        <v>7791</v>
      </c>
    </row>
    <row r="171" spans="1:19" x14ac:dyDescent="0.3">
      <c r="A171" t="s">
        <v>7226</v>
      </c>
      <c r="B171" t="s">
        <v>7515</v>
      </c>
      <c r="C171" t="s">
        <v>4067</v>
      </c>
      <c r="H171">
        <v>31751</v>
      </c>
      <c r="N171" t="s">
        <v>6364</v>
      </c>
      <c r="S171" t="s">
        <v>7788</v>
      </c>
    </row>
    <row r="172" spans="1:19" x14ac:dyDescent="0.3">
      <c r="A172" t="s">
        <v>7227</v>
      </c>
      <c r="B172" t="s">
        <v>7516</v>
      </c>
      <c r="C172" t="s">
        <v>7760</v>
      </c>
      <c r="H172">
        <v>41957</v>
      </c>
      <c r="N172" t="s">
        <v>6366</v>
      </c>
      <c r="S172" t="s">
        <v>7792</v>
      </c>
    </row>
    <row r="173" spans="1:19" x14ac:dyDescent="0.3">
      <c r="A173" t="s">
        <v>7228</v>
      </c>
      <c r="B173" t="s">
        <v>7517</v>
      </c>
      <c r="C173" t="s">
        <v>7762</v>
      </c>
      <c r="H173">
        <v>36106</v>
      </c>
      <c r="N173" t="s">
        <v>6368</v>
      </c>
      <c r="S173" t="s">
        <v>7791</v>
      </c>
    </row>
    <row r="174" spans="1:19" x14ac:dyDescent="0.3">
      <c r="A174" t="s">
        <v>7229</v>
      </c>
      <c r="B174" t="s">
        <v>7518</v>
      </c>
      <c r="C174" t="s">
        <v>3997</v>
      </c>
      <c r="H174">
        <v>42910</v>
      </c>
      <c r="N174" t="s">
        <v>6370</v>
      </c>
      <c r="S174" t="s">
        <v>7791</v>
      </c>
    </row>
    <row r="175" spans="1:19" x14ac:dyDescent="0.3">
      <c r="A175" t="s">
        <v>7230</v>
      </c>
      <c r="B175" t="s">
        <v>7519</v>
      </c>
      <c r="C175" t="s">
        <v>7748</v>
      </c>
      <c r="H175">
        <v>42910</v>
      </c>
      <c r="N175" t="s">
        <v>6372</v>
      </c>
      <c r="S175" t="s">
        <v>7793</v>
      </c>
    </row>
    <row r="176" spans="1:19" x14ac:dyDescent="0.3">
      <c r="A176" t="s">
        <v>7231</v>
      </c>
      <c r="B176" t="s">
        <v>7520</v>
      </c>
      <c r="C176" t="s">
        <v>4067</v>
      </c>
      <c r="H176">
        <v>31751</v>
      </c>
      <c r="N176" t="s">
        <v>6374</v>
      </c>
      <c r="S176" t="s">
        <v>7794</v>
      </c>
    </row>
    <row r="177" spans="1:19" x14ac:dyDescent="0.3">
      <c r="A177" t="s">
        <v>7232</v>
      </c>
      <c r="B177" t="s">
        <v>7521</v>
      </c>
      <c r="C177" t="s">
        <v>7748</v>
      </c>
      <c r="H177">
        <v>42910</v>
      </c>
      <c r="N177" t="s">
        <v>6370</v>
      </c>
      <c r="S177" t="s">
        <v>7791</v>
      </c>
    </row>
    <row r="178" spans="1:19" x14ac:dyDescent="0.3">
      <c r="A178" t="s">
        <v>7233</v>
      </c>
      <c r="B178" t="s">
        <v>7522</v>
      </c>
      <c r="C178" t="s">
        <v>4037</v>
      </c>
      <c r="H178">
        <v>45132</v>
      </c>
      <c r="N178" t="s">
        <v>6376</v>
      </c>
      <c r="S178" t="s">
        <v>7791</v>
      </c>
    </row>
    <row r="179" spans="1:19" x14ac:dyDescent="0.3">
      <c r="A179" t="s">
        <v>7234</v>
      </c>
      <c r="B179" t="s">
        <v>7523</v>
      </c>
      <c r="C179" t="s">
        <v>7748</v>
      </c>
      <c r="H179">
        <v>42910</v>
      </c>
      <c r="N179" t="s">
        <v>6370</v>
      </c>
      <c r="S179" t="s">
        <v>7791</v>
      </c>
    </row>
    <row r="180" spans="1:19" x14ac:dyDescent="0.3">
      <c r="A180" t="s">
        <v>7235</v>
      </c>
      <c r="B180" t="s">
        <v>7524</v>
      </c>
      <c r="C180" t="s">
        <v>7746</v>
      </c>
      <c r="H180">
        <v>15800</v>
      </c>
      <c r="N180" t="s">
        <v>6378</v>
      </c>
      <c r="S180" t="s">
        <v>7780</v>
      </c>
    </row>
    <row r="181" spans="1:19" x14ac:dyDescent="0.3">
      <c r="A181" t="s">
        <v>7236</v>
      </c>
      <c r="B181" t="s">
        <v>7525</v>
      </c>
      <c r="C181" t="s">
        <v>4067</v>
      </c>
      <c r="H181">
        <v>31751</v>
      </c>
      <c r="N181" t="s">
        <v>6380</v>
      </c>
      <c r="S181" t="s">
        <v>7794</v>
      </c>
    </row>
    <row r="182" spans="1:19" x14ac:dyDescent="0.3">
      <c r="A182" t="s">
        <v>7237</v>
      </c>
      <c r="B182" t="s">
        <v>7526</v>
      </c>
      <c r="C182" t="s">
        <v>4119</v>
      </c>
      <c r="H182">
        <v>16601</v>
      </c>
      <c r="N182" t="s">
        <v>6382</v>
      </c>
      <c r="S182" t="s">
        <v>7794</v>
      </c>
    </row>
    <row r="183" spans="1:19" x14ac:dyDescent="0.3">
      <c r="A183" t="s">
        <v>7238</v>
      </c>
      <c r="B183" t="s">
        <v>7527</v>
      </c>
      <c r="C183" t="s">
        <v>3980</v>
      </c>
      <c r="H183">
        <v>41277</v>
      </c>
      <c r="N183" t="s">
        <v>6384</v>
      </c>
      <c r="S183" t="s">
        <v>7791</v>
      </c>
    </row>
    <row r="184" spans="1:19" x14ac:dyDescent="0.3">
      <c r="A184" t="s">
        <v>7239</v>
      </c>
      <c r="B184" t="s">
        <v>7528</v>
      </c>
      <c r="C184" t="s">
        <v>7763</v>
      </c>
      <c r="H184">
        <v>16171</v>
      </c>
      <c r="N184" t="s">
        <v>6386</v>
      </c>
      <c r="S184" t="s">
        <v>7792</v>
      </c>
    </row>
    <row r="185" spans="1:19" x14ac:dyDescent="0.3">
      <c r="A185" t="s">
        <v>7240</v>
      </c>
      <c r="B185" t="s">
        <v>7529</v>
      </c>
      <c r="C185" t="s">
        <v>4037</v>
      </c>
      <c r="H185">
        <v>44452</v>
      </c>
      <c r="N185" t="s">
        <v>6388</v>
      </c>
      <c r="S185" t="s">
        <v>7792</v>
      </c>
    </row>
    <row r="186" spans="1:19" x14ac:dyDescent="0.3">
      <c r="A186" t="s">
        <v>7241</v>
      </c>
      <c r="B186" t="s">
        <v>7530</v>
      </c>
      <c r="C186" t="s">
        <v>7755</v>
      </c>
      <c r="H186">
        <v>52095</v>
      </c>
      <c r="N186" t="s">
        <v>6350</v>
      </c>
      <c r="S186" t="s">
        <v>7790</v>
      </c>
    </row>
    <row r="187" spans="1:19" x14ac:dyDescent="0.3">
      <c r="A187" t="s">
        <v>7242</v>
      </c>
      <c r="B187" t="s">
        <v>7531</v>
      </c>
      <c r="C187" t="s">
        <v>7747</v>
      </c>
      <c r="H187">
        <v>20638</v>
      </c>
      <c r="N187" t="s">
        <v>6390</v>
      </c>
      <c r="S187" t="s">
        <v>7791</v>
      </c>
    </row>
    <row r="188" spans="1:19" x14ac:dyDescent="0.3">
      <c r="A188" t="s">
        <v>7243</v>
      </c>
      <c r="B188" t="s">
        <v>7532</v>
      </c>
      <c r="C188" t="s">
        <v>3997</v>
      </c>
      <c r="H188">
        <v>46992</v>
      </c>
      <c r="N188" t="s">
        <v>6392</v>
      </c>
      <c r="S188" t="s">
        <v>7795</v>
      </c>
    </row>
    <row r="189" spans="1:19" x14ac:dyDescent="0.3">
      <c r="A189" t="s">
        <v>7244</v>
      </c>
      <c r="B189" t="s">
        <v>7533</v>
      </c>
      <c r="C189" t="s">
        <v>4037</v>
      </c>
      <c r="H189">
        <v>45132</v>
      </c>
      <c r="N189" t="s">
        <v>6348</v>
      </c>
      <c r="S189" t="s">
        <v>7789</v>
      </c>
    </row>
    <row r="190" spans="1:19" x14ac:dyDescent="0.3">
      <c r="A190" t="s">
        <v>7245</v>
      </c>
      <c r="B190" t="s">
        <v>7534</v>
      </c>
      <c r="C190" t="s">
        <v>4140</v>
      </c>
      <c r="H190">
        <v>7484</v>
      </c>
      <c r="N190" t="s">
        <v>6394</v>
      </c>
      <c r="S190" t="s">
        <v>7794</v>
      </c>
    </row>
    <row r="191" spans="1:19" x14ac:dyDescent="0.3">
      <c r="A191" t="s">
        <v>7246</v>
      </c>
      <c r="B191" t="s">
        <v>7535</v>
      </c>
      <c r="C191" t="s">
        <v>4067</v>
      </c>
      <c r="H191">
        <v>31751</v>
      </c>
      <c r="N191" t="s">
        <v>6348</v>
      </c>
      <c r="S191" t="s">
        <v>7789</v>
      </c>
    </row>
    <row r="192" spans="1:19" x14ac:dyDescent="0.3">
      <c r="A192" t="s">
        <v>7247</v>
      </c>
      <c r="B192" t="s">
        <v>7536</v>
      </c>
      <c r="C192" t="s">
        <v>3997</v>
      </c>
      <c r="H192">
        <v>46992</v>
      </c>
      <c r="N192" t="s">
        <v>6396</v>
      </c>
      <c r="S192" t="s">
        <v>7788</v>
      </c>
    </row>
    <row r="193" spans="1:19" x14ac:dyDescent="0.3">
      <c r="A193" t="s">
        <v>7248</v>
      </c>
      <c r="B193" t="s">
        <v>7537</v>
      </c>
      <c r="C193" t="s">
        <v>7748</v>
      </c>
      <c r="H193">
        <v>42910</v>
      </c>
      <c r="N193" t="s">
        <v>6398</v>
      </c>
      <c r="S193" t="s">
        <v>7788</v>
      </c>
    </row>
    <row r="194" spans="1:19" x14ac:dyDescent="0.3">
      <c r="A194" t="s">
        <v>7249</v>
      </c>
      <c r="B194" t="s">
        <v>7538</v>
      </c>
      <c r="C194" t="s">
        <v>3980</v>
      </c>
      <c r="H194">
        <v>41050</v>
      </c>
      <c r="N194" t="s">
        <v>6400</v>
      </c>
      <c r="S194" t="s">
        <v>7791</v>
      </c>
    </row>
    <row r="195" spans="1:19" x14ac:dyDescent="0.3">
      <c r="A195" t="s">
        <v>7250</v>
      </c>
      <c r="B195" t="s">
        <v>7539</v>
      </c>
      <c r="C195" t="s">
        <v>3997</v>
      </c>
      <c r="H195">
        <v>46992</v>
      </c>
      <c r="N195" t="s">
        <v>6402</v>
      </c>
      <c r="S195" t="s">
        <v>7788</v>
      </c>
    </row>
    <row r="196" spans="1:19" x14ac:dyDescent="0.3">
      <c r="A196" t="s">
        <v>7251</v>
      </c>
      <c r="B196" t="s">
        <v>7540</v>
      </c>
      <c r="C196" t="s">
        <v>3997</v>
      </c>
      <c r="H196">
        <v>46992</v>
      </c>
      <c r="N196" t="s">
        <v>6404</v>
      </c>
      <c r="S196" t="s">
        <v>7792</v>
      </c>
    </row>
    <row r="197" spans="1:19" x14ac:dyDescent="0.3">
      <c r="A197" t="s">
        <v>7252</v>
      </c>
      <c r="B197" t="s">
        <v>7541</v>
      </c>
      <c r="C197" t="s">
        <v>4037</v>
      </c>
      <c r="H197">
        <v>45132</v>
      </c>
      <c r="N197" t="s">
        <v>6350</v>
      </c>
      <c r="S197" t="s">
        <v>7790</v>
      </c>
    </row>
    <row r="198" spans="1:19" x14ac:dyDescent="0.3">
      <c r="A198" t="s">
        <v>7253</v>
      </c>
      <c r="B198" t="s">
        <v>7542</v>
      </c>
      <c r="C198" t="s">
        <v>3980</v>
      </c>
      <c r="H198">
        <v>41277</v>
      </c>
      <c r="N198" t="s">
        <v>6346</v>
      </c>
      <c r="S198" t="s">
        <v>7788</v>
      </c>
    </row>
    <row r="199" spans="1:19" x14ac:dyDescent="0.3">
      <c r="A199" t="s">
        <v>7254</v>
      </c>
      <c r="B199" t="s">
        <v>7543</v>
      </c>
      <c r="C199" t="s">
        <v>7760</v>
      </c>
      <c r="H199">
        <v>41957</v>
      </c>
      <c r="N199" t="s">
        <v>6406</v>
      </c>
      <c r="S199" t="s">
        <v>7794</v>
      </c>
    </row>
    <row r="200" spans="1:19" x14ac:dyDescent="0.3">
      <c r="A200" t="s">
        <v>7255</v>
      </c>
      <c r="B200" t="s">
        <v>7544</v>
      </c>
      <c r="C200" t="s">
        <v>4037</v>
      </c>
      <c r="H200">
        <v>45132</v>
      </c>
      <c r="N200" t="s">
        <v>6408</v>
      </c>
      <c r="S200" t="s">
        <v>7788</v>
      </c>
    </row>
    <row r="201" spans="1:19" x14ac:dyDescent="0.3">
      <c r="A201" t="s">
        <v>7256</v>
      </c>
      <c r="B201" t="s">
        <v>7545</v>
      </c>
      <c r="C201" t="s">
        <v>3980</v>
      </c>
      <c r="H201">
        <v>41277</v>
      </c>
      <c r="N201" t="s">
        <v>6348</v>
      </c>
      <c r="S201" t="s">
        <v>7789</v>
      </c>
    </row>
    <row r="202" spans="1:19" x14ac:dyDescent="0.3">
      <c r="A202" t="s">
        <v>7257</v>
      </c>
      <c r="B202" t="s">
        <v>7546</v>
      </c>
      <c r="C202" t="s">
        <v>7758</v>
      </c>
      <c r="H202">
        <v>33838</v>
      </c>
      <c r="N202" t="s">
        <v>6410</v>
      </c>
      <c r="S202" t="s">
        <v>7778</v>
      </c>
    </row>
    <row r="203" spans="1:19" x14ac:dyDescent="0.3">
      <c r="A203" t="s">
        <v>7258</v>
      </c>
      <c r="B203" t="s">
        <v>7547</v>
      </c>
      <c r="C203" t="s">
        <v>7764</v>
      </c>
      <c r="H203">
        <v>8340</v>
      </c>
      <c r="N203" t="s">
        <v>6412</v>
      </c>
      <c r="S203" t="s">
        <v>7787</v>
      </c>
    </row>
    <row r="204" spans="1:19" x14ac:dyDescent="0.3">
      <c r="A204" t="s">
        <v>7259</v>
      </c>
      <c r="B204" t="s">
        <v>7548</v>
      </c>
      <c r="C204" t="s">
        <v>4037</v>
      </c>
      <c r="H204">
        <v>44452</v>
      </c>
      <c r="N204" t="s">
        <v>6414</v>
      </c>
      <c r="S204" t="s">
        <v>7796</v>
      </c>
    </row>
    <row r="205" spans="1:19" x14ac:dyDescent="0.3">
      <c r="A205" t="s">
        <v>7260</v>
      </c>
      <c r="B205" t="s">
        <v>7549</v>
      </c>
      <c r="C205" t="s">
        <v>3997</v>
      </c>
      <c r="H205">
        <v>46992</v>
      </c>
      <c r="N205" t="s">
        <v>6416</v>
      </c>
      <c r="S205" t="s">
        <v>7788</v>
      </c>
    </row>
    <row r="206" spans="1:19" x14ac:dyDescent="0.3">
      <c r="A206" t="s">
        <v>7261</v>
      </c>
      <c r="B206" t="s">
        <v>7550</v>
      </c>
      <c r="C206" t="s">
        <v>3997</v>
      </c>
      <c r="H206">
        <v>45178</v>
      </c>
      <c r="N206" t="s">
        <v>6418</v>
      </c>
      <c r="S206" t="s">
        <v>7792</v>
      </c>
    </row>
    <row r="207" spans="1:19" x14ac:dyDescent="0.3">
      <c r="A207" t="s">
        <v>7262</v>
      </c>
      <c r="B207" t="s">
        <v>7551</v>
      </c>
      <c r="C207" t="s">
        <v>3980</v>
      </c>
      <c r="H207">
        <v>41277</v>
      </c>
      <c r="N207" t="s">
        <v>6348</v>
      </c>
      <c r="S207" t="s">
        <v>7789</v>
      </c>
    </row>
    <row r="208" spans="1:19" x14ac:dyDescent="0.3">
      <c r="A208" t="s">
        <v>7263</v>
      </c>
      <c r="B208" t="s">
        <v>7552</v>
      </c>
      <c r="C208" t="s">
        <v>3997</v>
      </c>
      <c r="H208">
        <v>46992</v>
      </c>
      <c r="N208" t="s">
        <v>6420</v>
      </c>
      <c r="S208" t="s">
        <v>7791</v>
      </c>
    </row>
    <row r="209" spans="1:19" x14ac:dyDescent="0.3">
      <c r="A209" t="s">
        <v>7264</v>
      </c>
      <c r="B209" t="s">
        <v>7553</v>
      </c>
      <c r="C209" t="s">
        <v>3980</v>
      </c>
      <c r="H209">
        <v>41277</v>
      </c>
      <c r="N209" t="s">
        <v>6422</v>
      </c>
      <c r="S209" t="s">
        <v>7792</v>
      </c>
    </row>
    <row r="210" spans="1:19" x14ac:dyDescent="0.3">
      <c r="A210" t="s">
        <v>7265</v>
      </c>
      <c r="B210" t="s">
        <v>7554</v>
      </c>
      <c r="C210" t="s">
        <v>7747</v>
      </c>
      <c r="H210">
        <v>22226</v>
      </c>
      <c r="N210" t="s">
        <v>6350</v>
      </c>
      <c r="S210" t="s">
        <v>7790</v>
      </c>
    </row>
    <row r="211" spans="1:19" x14ac:dyDescent="0.3">
      <c r="A211" t="s">
        <v>7266</v>
      </c>
      <c r="B211" t="s">
        <v>7555</v>
      </c>
      <c r="C211" t="s">
        <v>3980</v>
      </c>
      <c r="H211">
        <v>41277</v>
      </c>
      <c r="N211" t="s">
        <v>6424</v>
      </c>
      <c r="S211" t="s">
        <v>7788</v>
      </c>
    </row>
    <row r="212" spans="1:19" x14ac:dyDescent="0.3">
      <c r="A212" t="s">
        <v>7267</v>
      </c>
      <c r="B212" t="s">
        <v>7556</v>
      </c>
      <c r="C212" t="s">
        <v>7765</v>
      </c>
      <c r="H212">
        <v>19440</v>
      </c>
      <c r="N212" t="s">
        <v>6424</v>
      </c>
      <c r="S212" t="s">
        <v>7788</v>
      </c>
    </row>
    <row r="213" spans="1:19" x14ac:dyDescent="0.3">
      <c r="A213" t="s">
        <v>7268</v>
      </c>
      <c r="B213" t="s">
        <v>7557</v>
      </c>
      <c r="C213" t="s">
        <v>3980</v>
      </c>
      <c r="H213">
        <v>41050</v>
      </c>
      <c r="N213" t="s">
        <v>6426</v>
      </c>
      <c r="S213" t="s">
        <v>7788</v>
      </c>
    </row>
    <row r="214" spans="1:19" x14ac:dyDescent="0.3">
      <c r="A214" t="s">
        <v>7269</v>
      </c>
      <c r="B214" t="s">
        <v>7558</v>
      </c>
      <c r="C214" t="s">
        <v>4037</v>
      </c>
      <c r="H214">
        <v>45132</v>
      </c>
      <c r="N214" t="s">
        <v>6428</v>
      </c>
      <c r="S214" t="s">
        <v>7780</v>
      </c>
    </row>
    <row r="215" spans="1:19" x14ac:dyDescent="0.3">
      <c r="A215" t="s">
        <v>7270</v>
      </c>
      <c r="B215" t="s">
        <v>7559</v>
      </c>
      <c r="C215" t="s">
        <v>7766</v>
      </c>
      <c r="H215">
        <v>70307</v>
      </c>
      <c r="N215" t="s">
        <v>6430</v>
      </c>
      <c r="S215" t="s">
        <v>7786</v>
      </c>
    </row>
    <row r="216" spans="1:19" x14ac:dyDescent="0.3">
      <c r="A216" t="s">
        <v>7271</v>
      </c>
      <c r="B216" t="s">
        <v>7560</v>
      </c>
      <c r="C216" t="s">
        <v>3997</v>
      </c>
      <c r="H216">
        <v>46992</v>
      </c>
      <c r="N216" t="s">
        <v>6432</v>
      </c>
      <c r="S216" t="s">
        <v>7780</v>
      </c>
    </row>
    <row r="217" spans="1:19" x14ac:dyDescent="0.3">
      <c r="A217" t="s">
        <v>7272</v>
      </c>
      <c r="B217" t="s">
        <v>7561</v>
      </c>
      <c r="C217" t="s">
        <v>3997</v>
      </c>
      <c r="H217">
        <v>46992</v>
      </c>
      <c r="N217" t="s">
        <v>6348</v>
      </c>
      <c r="S217" t="s">
        <v>7792</v>
      </c>
    </row>
    <row r="218" spans="1:19" x14ac:dyDescent="0.3">
      <c r="A218" t="s">
        <v>7273</v>
      </c>
      <c r="B218" t="s">
        <v>7562</v>
      </c>
      <c r="C218" t="s">
        <v>4089</v>
      </c>
      <c r="H218">
        <v>18416</v>
      </c>
      <c r="N218" t="s">
        <v>6434</v>
      </c>
      <c r="S218" t="s">
        <v>7788</v>
      </c>
    </row>
    <row r="219" spans="1:19" x14ac:dyDescent="0.3">
      <c r="A219" t="s">
        <v>7274</v>
      </c>
      <c r="B219" t="s">
        <v>7563</v>
      </c>
      <c r="C219" t="s">
        <v>7766</v>
      </c>
      <c r="H219">
        <v>70307</v>
      </c>
      <c r="N219" t="s">
        <v>6430</v>
      </c>
      <c r="S219" t="s">
        <v>7786</v>
      </c>
    </row>
    <row r="220" spans="1:19" x14ac:dyDescent="0.3">
      <c r="A220" t="s">
        <v>7275</v>
      </c>
      <c r="B220" t="s">
        <v>7564</v>
      </c>
      <c r="C220" t="s">
        <v>7767</v>
      </c>
      <c r="H220">
        <v>17040</v>
      </c>
      <c r="N220" t="s">
        <v>6436</v>
      </c>
      <c r="S220" t="s">
        <v>7797</v>
      </c>
    </row>
    <row r="221" spans="1:19" x14ac:dyDescent="0.3">
      <c r="A221" t="s">
        <v>7276</v>
      </c>
      <c r="B221" t="s">
        <v>7565</v>
      </c>
      <c r="C221" t="s">
        <v>3997</v>
      </c>
      <c r="H221">
        <v>45178</v>
      </c>
      <c r="N221" t="s">
        <v>6350</v>
      </c>
      <c r="S221" t="s">
        <v>7790</v>
      </c>
    </row>
    <row r="222" spans="1:19" x14ac:dyDescent="0.3">
      <c r="A222" t="s">
        <v>7277</v>
      </c>
      <c r="B222" t="s">
        <v>7566</v>
      </c>
      <c r="C222" t="s">
        <v>3980</v>
      </c>
      <c r="H222">
        <v>41050</v>
      </c>
      <c r="N222" t="s">
        <v>6438</v>
      </c>
      <c r="S222" t="s">
        <v>7780</v>
      </c>
    </row>
    <row r="223" spans="1:19" x14ac:dyDescent="0.3">
      <c r="A223" t="s">
        <v>7278</v>
      </c>
      <c r="B223" t="s">
        <v>7567</v>
      </c>
      <c r="C223" t="s">
        <v>3997</v>
      </c>
      <c r="H223">
        <v>46992</v>
      </c>
      <c r="N223" t="s">
        <v>6358</v>
      </c>
      <c r="S223" t="s">
        <v>7798</v>
      </c>
    </row>
    <row r="224" spans="1:19" x14ac:dyDescent="0.3">
      <c r="A224" t="s">
        <v>7279</v>
      </c>
      <c r="B224" t="s">
        <v>7568</v>
      </c>
      <c r="C224" t="s">
        <v>3997</v>
      </c>
      <c r="H224">
        <v>46992</v>
      </c>
      <c r="N224" t="s">
        <v>6440</v>
      </c>
      <c r="S224" t="s">
        <v>7792</v>
      </c>
    </row>
    <row r="225" spans="1:19" x14ac:dyDescent="0.3">
      <c r="A225" t="s">
        <v>7280</v>
      </c>
      <c r="B225" t="s">
        <v>7569</v>
      </c>
      <c r="C225" t="s">
        <v>3997</v>
      </c>
      <c r="H225">
        <v>46992</v>
      </c>
      <c r="N225" t="s">
        <v>6442</v>
      </c>
      <c r="S225" t="s">
        <v>7799</v>
      </c>
    </row>
    <row r="226" spans="1:19" x14ac:dyDescent="0.3">
      <c r="A226" t="s">
        <v>7281</v>
      </c>
      <c r="B226" t="s">
        <v>7570</v>
      </c>
      <c r="C226" t="s">
        <v>4037</v>
      </c>
      <c r="H226">
        <v>44452</v>
      </c>
      <c r="N226" t="s">
        <v>6444</v>
      </c>
      <c r="S226" t="s">
        <v>7788</v>
      </c>
    </row>
    <row r="227" spans="1:19" x14ac:dyDescent="0.3">
      <c r="A227" t="s">
        <v>7282</v>
      </c>
      <c r="B227" t="s">
        <v>7571</v>
      </c>
      <c r="C227" t="s">
        <v>3980</v>
      </c>
      <c r="H227">
        <v>41277</v>
      </c>
      <c r="N227" t="s">
        <v>6346</v>
      </c>
      <c r="S227" t="s">
        <v>7788</v>
      </c>
    </row>
    <row r="228" spans="1:19" x14ac:dyDescent="0.3">
      <c r="A228" t="s">
        <v>7283</v>
      </c>
      <c r="B228" t="s">
        <v>7572</v>
      </c>
      <c r="C228" t="s">
        <v>4037</v>
      </c>
      <c r="H228">
        <v>45132</v>
      </c>
      <c r="N228" t="s">
        <v>6446</v>
      </c>
      <c r="S228" t="s">
        <v>7788</v>
      </c>
    </row>
    <row r="229" spans="1:19" x14ac:dyDescent="0.3">
      <c r="A229" t="s">
        <v>7284</v>
      </c>
      <c r="B229" t="s">
        <v>7573</v>
      </c>
      <c r="C229" t="s">
        <v>7762</v>
      </c>
      <c r="H229">
        <v>36106</v>
      </c>
      <c r="N229" t="s">
        <v>6362</v>
      </c>
      <c r="S229" t="s">
        <v>7791</v>
      </c>
    </row>
    <row r="230" spans="1:19" x14ac:dyDescent="0.3">
      <c r="A230" t="s">
        <v>7285</v>
      </c>
      <c r="B230" t="s">
        <v>7574</v>
      </c>
      <c r="C230" t="s">
        <v>3997</v>
      </c>
      <c r="H230">
        <v>45178</v>
      </c>
      <c r="N230" t="s">
        <v>6366</v>
      </c>
      <c r="S230" t="s">
        <v>7792</v>
      </c>
    </row>
    <row r="231" spans="1:19" x14ac:dyDescent="0.3">
      <c r="A231" t="s">
        <v>7286</v>
      </c>
      <c r="B231" t="s">
        <v>7575</v>
      </c>
      <c r="C231" t="s">
        <v>4037</v>
      </c>
      <c r="H231">
        <v>45132</v>
      </c>
      <c r="N231" t="s">
        <v>6448</v>
      </c>
      <c r="S231" t="s">
        <v>7800</v>
      </c>
    </row>
    <row r="232" spans="1:19" x14ac:dyDescent="0.3">
      <c r="A232" t="s">
        <v>7287</v>
      </c>
      <c r="B232" t="s">
        <v>7576</v>
      </c>
      <c r="C232" t="s">
        <v>4067</v>
      </c>
      <c r="H232">
        <v>31751</v>
      </c>
      <c r="N232" t="s">
        <v>6350</v>
      </c>
      <c r="S232" t="s">
        <v>7801</v>
      </c>
    </row>
    <row r="233" spans="1:19" x14ac:dyDescent="0.3">
      <c r="A233" t="s">
        <v>7288</v>
      </c>
      <c r="B233" t="s">
        <v>7577</v>
      </c>
      <c r="C233" t="s">
        <v>3997</v>
      </c>
      <c r="H233">
        <v>46992</v>
      </c>
      <c r="N233" t="s">
        <v>6450</v>
      </c>
      <c r="S233" t="s">
        <v>7788</v>
      </c>
    </row>
    <row r="234" spans="1:19" x14ac:dyDescent="0.3">
      <c r="A234" t="s">
        <v>7289</v>
      </c>
      <c r="B234" t="s">
        <v>7578</v>
      </c>
      <c r="C234" t="s">
        <v>7758</v>
      </c>
      <c r="H234">
        <v>33838</v>
      </c>
      <c r="N234" t="s">
        <v>6452</v>
      </c>
      <c r="S234" t="s">
        <v>7788</v>
      </c>
    </row>
    <row r="235" spans="1:19" x14ac:dyDescent="0.3">
      <c r="A235" t="s">
        <v>7290</v>
      </c>
      <c r="B235" t="s">
        <v>7579</v>
      </c>
      <c r="C235" t="s">
        <v>7747</v>
      </c>
      <c r="H235">
        <v>22226</v>
      </c>
      <c r="N235" t="s">
        <v>6350</v>
      </c>
      <c r="S235" t="s">
        <v>7790</v>
      </c>
    </row>
    <row r="236" spans="1:19" x14ac:dyDescent="0.3">
      <c r="A236" t="s">
        <v>7291</v>
      </c>
      <c r="B236" t="s">
        <v>7580</v>
      </c>
      <c r="C236" t="s">
        <v>7748</v>
      </c>
      <c r="H236">
        <v>42910</v>
      </c>
      <c r="N236" t="s">
        <v>6348</v>
      </c>
      <c r="S236" t="s">
        <v>7789</v>
      </c>
    </row>
    <row r="237" spans="1:19" x14ac:dyDescent="0.3">
      <c r="A237" t="s">
        <v>7292</v>
      </c>
      <c r="B237" t="s">
        <v>7581</v>
      </c>
      <c r="C237" t="s">
        <v>7747</v>
      </c>
      <c r="H237">
        <v>22226</v>
      </c>
      <c r="N237" t="s">
        <v>6454</v>
      </c>
      <c r="S237" t="s">
        <v>7778</v>
      </c>
    </row>
    <row r="238" spans="1:19" x14ac:dyDescent="0.3">
      <c r="A238" t="s">
        <v>7293</v>
      </c>
      <c r="B238" t="s">
        <v>7582</v>
      </c>
      <c r="C238" t="s">
        <v>7768</v>
      </c>
      <c r="H238">
        <v>256280</v>
      </c>
      <c r="N238" t="s">
        <v>6456</v>
      </c>
      <c r="S238" t="s">
        <v>7786</v>
      </c>
    </row>
    <row r="239" spans="1:19" x14ac:dyDescent="0.3">
      <c r="A239" t="s">
        <v>7294</v>
      </c>
      <c r="B239" t="s">
        <v>7583</v>
      </c>
      <c r="C239" t="s">
        <v>4140</v>
      </c>
      <c r="H239">
        <v>7484</v>
      </c>
      <c r="N239" t="s">
        <v>6394</v>
      </c>
      <c r="S239" t="s">
        <v>7794</v>
      </c>
    </row>
    <row r="240" spans="1:19" x14ac:dyDescent="0.3">
      <c r="A240" t="s">
        <v>7295</v>
      </c>
      <c r="B240" t="s">
        <v>7584</v>
      </c>
      <c r="C240" t="s">
        <v>7764</v>
      </c>
      <c r="H240">
        <v>8340</v>
      </c>
      <c r="N240" t="s">
        <v>6436</v>
      </c>
      <c r="S240" t="s">
        <v>7797</v>
      </c>
    </row>
    <row r="241" spans="1:19" x14ac:dyDescent="0.3">
      <c r="A241" t="s">
        <v>7296</v>
      </c>
      <c r="B241" t="s">
        <v>7585</v>
      </c>
      <c r="C241" t="s">
        <v>3997</v>
      </c>
      <c r="H241">
        <v>46992</v>
      </c>
      <c r="N241" t="s">
        <v>6458</v>
      </c>
      <c r="S241" t="s">
        <v>7788</v>
      </c>
    </row>
    <row r="242" spans="1:19" x14ac:dyDescent="0.3">
      <c r="A242" t="s">
        <v>7297</v>
      </c>
      <c r="B242" t="s">
        <v>7586</v>
      </c>
      <c r="C242" t="s">
        <v>4037</v>
      </c>
      <c r="H242">
        <v>45132</v>
      </c>
      <c r="N242" t="s">
        <v>6460</v>
      </c>
      <c r="S242" t="s">
        <v>7779</v>
      </c>
    </row>
    <row r="243" spans="1:19" x14ac:dyDescent="0.3">
      <c r="A243" t="s">
        <v>7298</v>
      </c>
      <c r="B243" t="s">
        <v>7587</v>
      </c>
      <c r="C243" t="s">
        <v>4037</v>
      </c>
      <c r="H243">
        <v>43545</v>
      </c>
      <c r="N243" t="s">
        <v>6462</v>
      </c>
      <c r="S243" t="s">
        <v>7779</v>
      </c>
    </row>
    <row r="244" spans="1:19" x14ac:dyDescent="0.3">
      <c r="A244" t="s">
        <v>7299</v>
      </c>
      <c r="B244" t="s">
        <v>7588</v>
      </c>
      <c r="C244" t="s">
        <v>3980</v>
      </c>
      <c r="H244">
        <v>41277</v>
      </c>
      <c r="N244" t="s">
        <v>6464</v>
      </c>
      <c r="S244" t="s">
        <v>7779</v>
      </c>
    </row>
    <row r="245" spans="1:19" x14ac:dyDescent="0.3">
      <c r="A245" t="s">
        <v>7300</v>
      </c>
      <c r="B245" t="s">
        <v>7589</v>
      </c>
      <c r="C245" t="s">
        <v>7745</v>
      </c>
      <c r="H245">
        <v>21863</v>
      </c>
      <c r="N245" t="s">
        <v>6466</v>
      </c>
      <c r="S245" t="s">
        <v>7779</v>
      </c>
    </row>
    <row r="246" spans="1:19" x14ac:dyDescent="0.3">
      <c r="A246" t="s">
        <v>7301</v>
      </c>
      <c r="B246" t="s">
        <v>7590</v>
      </c>
      <c r="C246" t="s">
        <v>7765</v>
      </c>
      <c r="H246">
        <v>17400</v>
      </c>
      <c r="N246" t="s">
        <v>6468</v>
      </c>
      <c r="S246" t="s">
        <v>7794</v>
      </c>
    </row>
    <row r="247" spans="1:19" x14ac:dyDescent="0.3">
      <c r="A247" t="s">
        <v>7302</v>
      </c>
      <c r="B247" t="s">
        <v>7591</v>
      </c>
      <c r="C247" t="s">
        <v>3997</v>
      </c>
      <c r="H247">
        <v>45178</v>
      </c>
      <c r="N247" t="s">
        <v>6470</v>
      </c>
      <c r="S247" t="s">
        <v>7787</v>
      </c>
    </row>
    <row r="248" spans="1:19" x14ac:dyDescent="0.3">
      <c r="A248" t="s">
        <v>7303</v>
      </c>
      <c r="B248" t="s">
        <v>7592</v>
      </c>
      <c r="C248" t="s">
        <v>3980</v>
      </c>
      <c r="H248">
        <v>41277</v>
      </c>
      <c r="N248" t="s">
        <v>6358</v>
      </c>
      <c r="S248" t="s">
        <v>7798</v>
      </c>
    </row>
    <row r="249" spans="1:19" x14ac:dyDescent="0.3">
      <c r="A249" t="s">
        <v>7304</v>
      </c>
      <c r="B249" t="s">
        <v>7593</v>
      </c>
      <c r="C249" t="s">
        <v>3997</v>
      </c>
      <c r="H249">
        <v>46992</v>
      </c>
      <c r="N249" t="s">
        <v>6350</v>
      </c>
      <c r="S249" t="s">
        <v>7790</v>
      </c>
    </row>
    <row r="250" spans="1:19" x14ac:dyDescent="0.3">
      <c r="A250" t="s">
        <v>7305</v>
      </c>
      <c r="B250" t="s">
        <v>7594</v>
      </c>
      <c r="C250" t="s">
        <v>7760</v>
      </c>
      <c r="H250">
        <v>41957</v>
      </c>
      <c r="N250" t="s">
        <v>6472</v>
      </c>
      <c r="S250" t="s">
        <v>7787</v>
      </c>
    </row>
    <row r="251" spans="1:19" x14ac:dyDescent="0.3">
      <c r="A251" t="s">
        <v>7306</v>
      </c>
      <c r="B251" t="s">
        <v>7595</v>
      </c>
      <c r="C251" t="s">
        <v>7758</v>
      </c>
      <c r="H251">
        <v>33520</v>
      </c>
      <c r="N251" t="s">
        <v>6348</v>
      </c>
      <c r="S251" t="s">
        <v>7789</v>
      </c>
    </row>
    <row r="252" spans="1:19" x14ac:dyDescent="0.3">
      <c r="A252" t="s">
        <v>7307</v>
      </c>
      <c r="B252" t="s">
        <v>7596</v>
      </c>
      <c r="C252" t="s">
        <v>3980</v>
      </c>
      <c r="H252">
        <v>41277</v>
      </c>
      <c r="N252" t="s">
        <v>6474</v>
      </c>
      <c r="S252" t="s">
        <v>7788</v>
      </c>
    </row>
    <row r="253" spans="1:19" x14ac:dyDescent="0.3">
      <c r="A253" t="s">
        <v>7308</v>
      </c>
      <c r="B253" t="s">
        <v>7597</v>
      </c>
      <c r="C253" t="s">
        <v>3997</v>
      </c>
      <c r="H253">
        <v>45178</v>
      </c>
      <c r="N253" t="s">
        <v>6350</v>
      </c>
      <c r="S253" t="s">
        <v>7790</v>
      </c>
    </row>
    <row r="254" spans="1:19" x14ac:dyDescent="0.3">
      <c r="A254" t="s">
        <v>7309</v>
      </c>
      <c r="B254" t="s">
        <v>7598</v>
      </c>
      <c r="C254" t="s">
        <v>7748</v>
      </c>
      <c r="H254">
        <v>42910</v>
      </c>
      <c r="N254" t="s">
        <v>6350</v>
      </c>
      <c r="S254" t="s">
        <v>7790</v>
      </c>
    </row>
    <row r="255" spans="1:19" x14ac:dyDescent="0.3">
      <c r="A255" t="s">
        <v>7310</v>
      </c>
      <c r="B255" t="s">
        <v>7599</v>
      </c>
      <c r="C255" t="s">
        <v>4037</v>
      </c>
      <c r="H255">
        <v>45132</v>
      </c>
      <c r="N255" t="s">
        <v>6348</v>
      </c>
      <c r="S255" t="s">
        <v>7789</v>
      </c>
    </row>
    <row r="256" spans="1:19" x14ac:dyDescent="0.3">
      <c r="A256" t="s">
        <v>7311</v>
      </c>
      <c r="B256" t="s">
        <v>7600</v>
      </c>
      <c r="C256" t="s">
        <v>4067</v>
      </c>
      <c r="H256">
        <v>31751</v>
      </c>
      <c r="N256" t="s">
        <v>6476</v>
      </c>
      <c r="S256" t="s">
        <v>7783</v>
      </c>
    </row>
    <row r="257" spans="1:19" x14ac:dyDescent="0.3">
      <c r="A257" t="s">
        <v>7312</v>
      </c>
      <c r="B257" t="s">
        <v>7601</v>
      </c>
      <c r="C257" t="s">
        <v>7755</v>
      </c>
      <c r="H257">
        <v>52095</v>
      </c>
      <c r="N257" t="s">
        <v>6478</v>
      </c>
      <c r="S257" t="s">
        <v>7791</v>
      </c>
    </row>
    <row r="258" spans="1:19" x14ac:dyDescent="0.3">
      <c r="A258" t="s">
        <v>7313</v>
      </c>
      <c r="B258" t="s">
        <v>7602</v>
      </c>
      <c r="C258" t="s">
        <v>7760</v>
      </c>
      <c r="H258">
        <v>41957</v>
      </c>
      <c r="N258" t="s">
        <v>6480</v>
      </c>
      <c r="S258" t="s">
        <v>7788</v>
      </c>
    </row>
    <row r="259" spans="1:19" x14ac:dyDescent="0.3">
      <c r="A259" t="s">
        <v>7314</v>
      </c>
      <c r="B259" t="s">
        <v>7603</v>
      </c>
      <c r="C259" t="s">
        <v>7758</v>
      </c>
      <c r="H259">
        <v>33520</v>
      </c>
      <c r="N259" t="s">
        <v>6482</v>
      </c>
      <c r="S259" t="s">
        <v>7794</v>
      </c>
    </row>
    <row r="260" spans="1:19" x14ac:dyDescent="0.3">
      <c r="A260" t="s">
        <v>7315</v>
      </c>
      <c r="B260" t="s">
        <v>7604</v>
      </c>
      <c r="C260" t="s">
        <v>7758</v>
      </c>
      <c r="H260">
        <v>33838</v>
      </c>
      <c r="N260" t="s">
        <v>6484</v>
      </c>
      <c r="S260" t="s">
        <v>7780</v>
      </c>
    </row>
    <row r="261" spans="1:19" x14ac:dyDescent="0.3">
      <c r="A261" t="s">
        <v>7316</v>
      </c>
      <c r="B261" t="s">
        <v>7605</v>
      </c>
      <c r="C261" t="s">
        <v>7747</v>
      </c>
      <c r="H261">
        <v>21092</v>
      </c>
      <c r="N261" t="s">
        <v>6486</v>
      </c>
      <c r="S261" t="s">
        <v>7780</v>
      </c>
    </row>
    <row r="262" spans="1:19" x14ac:dyDescent="0.3">
      <c r="A262" t="s">
        <v>7317</v>
      </c>
      <c r="B262" t="s">
        <v>7606</v>
      </c>
      <c r="C262" t="s">
        <v>4037</v>
      </c>
      <c r="H262">
        <v>45132</v>
      </c>
      <c r="N262" t="s">
        <v>6488</v>
      </c>
      <c r="S262" t="s">
        <v>7792</v>
      </c>
    </row>
    <row r="263" spans="1:19" x14ac:dyDescent="0.3">
      <c r="A263" t="s">
        <v>7318</v>
      </c>
      <c r="B263" t="s">
        <v>7607</v>
      </c>
      <c r="C263" t="s">
        <v>7769</v>
      </c>
      <c r="H263">
        <v>8301</v>
      </c>
      <c r="N263" t="s">
        <v>6490</v>
      </c>
      <c r="S263" t="s">
        <v>7794</v>
      </c>
    </row>
    <row r="264" spans="1:19" x14ac:dyDescent="0.3">
      <c r="A264" t="s">
        <v>7319</v>
      </c>
      <c r="B264" t="s">
        <v>7608</v>
      </c>
      <c r="C264" t="s">
        <v>3980</v>
      </c>
      <c r="H264">
        <v>41050</v>
      </c>
      <c r="N264" t="s">
        <v>6492</v>
      </c>
      <c r="S264" t="s">
        <v>7794</v>
      </c>
    </row>
    <row r="265" spans="1:19" x14ac:dyDescent="0.3">
      <c r="A265" t="s">
        <v>7320</v>
      </c>
      <c r="B265" t="s">
        <v>7609</v>
      </c>
      <c r="C265" t="s">
        <v>7758</v>
      </c>
      <c r="H265">
        <v>33838</v>
      </c>
      <c r="N265" t="s">
        <v>6494</v>
      </c>
      <c r="S265" t="s">
        <v>7791</v>
      </c>
    </row>
    <row r="266" spans="1:19" x14ac:dyDescent="0.3">
      <c r="A266" t="s">
        <v>7321</v>
      </c>
      <c r="B266" t="s">
        <v>7610</v>
      </c>
      <c r="C266" t="s">
        <v>3997</v>
      </c>
      <c r="H266">
        <v>46992</v>
      </c>
      <c r="N266" t="s">
        <v>6458</v>
      </c>
      <c r="S266" t="s">
        <v>7788</v>
      </c>
    </row>
    <row r="267" spans="1:19" x14ac:dyDescent="0.3">
      <c r="A267" t="s">
        <v>7322</v>
      </c>
      <c r="B267" t="s">
        <v>7611</v>
      </c>
      <c r="C267" t="s">
        <v>3997</v>
      </c>
      <c r="H267">
        <v>46992</v>
      </c>
      <c r="N267" t="s">
        <v>6350</v>
      </c>
      <c r="S267" t="s">
        <v>7790</v>
      </c>
    </row>
    <row r="268" spans="1:19" x14ac:dyDescent="0.3">
      <c r="A268" t="s">
        <v>7323</v>
      </c>
      <c r="B268" t="s">
        <v>7612</v>
      </c>
      <c r="C268" t="s">
        <v>7758</v>
      </c>
      <c r="H268">
        <v>33203</v>
      </c>
      <c r="N268" t="s">
        <v>6494</v>
      </c>
      <c r="S268" t="s">
        <v>7791</v>
      </c>
    </row>
    <row r="269" spans="1:19" x14ac:dyDescent="0.3">
      <c r="A269" t="s">
        <v>7324</v>
      </c>
      <c r="B269" t="s">
        <v>7613</v>
      </c>
      <c r="C269" t="s">
        <v>7747</v>
      </c>
      <c r="H269">
        <v>22226</v>
      </c>
      <c r="N269" t="s">
        <v>6496</v>
      </c>
      <c r="S269" t="s">
        <v>7792</v>
      </c>
    </row>
    <row r="270" spans="1:19" x14ac:dyDescent="0.3">
      <c r="A270" t="s">
        <v>7325</v>
      </c>
      <c r="B270" t="s">
        <v>7614</v>
      </c>
      <c r="C270" t="s">
        <v>7758</v>
      </c>
      <c r="H270">
        <v>33203</v>
      </c>
      <c r="N270" t="s">
        <v>6498</v>
      </c>
      <c r="S270" t="s">
        <v>7780</v>
      </c>
    </row>
    <row r="271" spans="1:19" x14ac:dyDescent="0.3">
      <c r="A271" t="s">
        <v>7326</v>
      </c>
      <c r="B271" t="s">
        <v>7615</v>
      </c>
      <c r="C271" t="s">
        <v>7770</v>
      </c>
      <c r="H271">
        <v>13755</v>
      </c>
      <c r="N271" t="s">
        <v>6500</v>
      </c>
      <c r="S271" t="s">
        <v>7794</v>
      </c>
    </row>
    <row r="272" spans="1:19" x14ac:dyDescent="0.3">
      <c r="A272" t="s">
        <v>7327</v>
      </c>
      <c r="B272" t="s">
        <v>7616</v>
      </c>
      <c r="C272" t="s">
        <v>7758</v>
      </c>
      <c r="H272">
        <v>33203</v>
      </c>
      <c r="N272" t="s">
        <v>6498</v>
      </c>
      <c r="S272" t="s">
        <v>7780</v>
      </c>
    </row>
    <row r="273" spans="1:19" x14ac:dyDescent="0.3">
      <c r="A273" t="s">
        <v>7328</v>
      </c>
      <c r="B273" t="s">
        <v>7617</v>
      </c>
      <c r="C273" t="s">
        <v>7755</v>
      </c>
      <c r="H273">
        <v>52095</v>
      </c>
      <c r="N273" t="s">
        <v>6350</v>
      </c>
      <c r="S273" t="s">
        <v>7790</v>
      </c>
    </row>
    <row r="274" spans="1:19" x14ac:dyDescent="0.3">
      <c r="A274" t="s">
        <v>7329</v>
      </c>
      <c r="B274" t="s">
        <v>7618</v>
      </c>
      <c r="C274" t="s">
        <v>4037</v>
      </c>
      <c r="H274">
        <v>45132</v>
      </c>
      <c r="N274" t="s">
        <v>6502</v>
      </c>
      <c r="S274" t="s">
        <v>7792</v>
      </c>
    </row>
    <row r="275" spans="1:19" x14ac:dyDescent="0.3">
      <c r="A275" t="s">
        <v>7330</v>
      </c>
      <c r="B275" t="s">
        <v>7619</v>
      </c>
      <c r="C275" t="s">
        <v>3980</v>
      </c>
      <c r="H275">
        <v>41050</v>
      </c>
      <c r="N275" t="s">
        <v>6504</v>
      </c>
      <c r="S275" t="s">
        <v>7791</v>
      </c>
    </row>
    <row r="276" spans="1:19" x14ac:dyDescent="0.3">
      <c r="A276" t="s">
        <v>7331</v>
      </c>
      <c r="B276" t="s">
        <v>7620</v>
      </c>
      <c r="C276" t="s">
        <v>7762</v>
      </c>
      <c r="H276">
        <v>36106</v>
      </c>
      <c r="N276" t="s">
        <v>6506</v>
      </c>
      <c r="S276" t="s">
        <v>7788</v>
      </c>
    </row>
    <row r="277" spans="1:19" x14ac:dyDescent="0.3">
      <c r="A277" t="s">
        <v>7332</v>
      </c>
      <c r="B277" t="s">
        <v>7621</v>
      </c>
      <c r="C277" t="s">
        <v>7762</v>
      </c>
      <c r="H277">
        <v>36106</v>
      </c>
      <c r="N277" t="s">
        <v>6508</v>
      </c>
      <c r="S277" t="s">
        <v>7794</v>
      </c>
    </row>
    <row r="278" spans="1:19" x14ac:dyDescent="0.3">
      <c r="A278" t="s">
        <v>7333</v>
      </c>
      <c r="B278" t="s">
        <v>7622</v>
      </c>
      <c r="C278" t="s">
        <v>3980</v>
      </c>
      <c r="H278">
        <v>36968</v>
      </c>
      <c r="N278" t="s">
        <v>6510</v>
      </c>
      <c r="S278" t="s">
        <v>7780</v>
      </c>
    </row>
    <row r="279" spans="1:19" x14ac:dyDescent="0.3">
      <c r="A279" t="s">
        <v>7334</v>
      </c>
      <c r="B279" t="s">
        <v>7623</v>
      </c>
      <c r="C279" t="s">
        <v>3980</v>
      </c>
      <c r="H279">
        <v>41277</v>
      </c>
      <c r="N279" t="s">
        <v>6512</v>
      </c>
      <c r="S279" t="s">
        <v>7788</v>
      </c>
    </row>
    <row r="280" spans="1:19" x14ac:dyDescent="0.3">
      <c r="A280" t="s">
        <v>7335</v>
      </c>
      <c r="B280" t="s">
        <v>7624</v>
      </c>
      <c r="C280" t="s">
        <v>7762</v>
      </c>
      <c r="H280">
        <v>36106</v>
      </c>
      <c r="N280" t="s">
        <v>6514</v>
      </c>
      <c r="S280" t="s">
        <v>7794</v>
      </c>
    </row>
    <row r="281" spans="1:19" x14ac:dyDescent="0.3">
      <c r="A281" t="s">
        <v>7336</v>
      </c>
      <c r="B281" t="s">
        <v>7625</v>
      </c>
      <c r="C281" t="s">
        <v>7747</v>
      </c>
      <c r="H281">
        <v>22226</v>
      </c>
      <c r="N281" t="s">
        <v>6510</v>
      </c>
      <c r="S281" t="s">
        <v>7780</v>
      </c>
    </row>
    <row r="282" spans="1:19" x14ac:dyDescent="0.3">
      <c r="A282" t="s">
        <v>7337</v>
      </c>
      <c r="B282" t="s">
        <v>7626</v>
      </c>
      <c r="C282" t="s">
        <v>4037</v>
      </c>
      <c r="H282">
        <v>44452</v>
      </c>
      <c r="N282" t="s">
        <v>6516</v>
      </c>
      <c r="S282" t="s">
        <v>7779</v>
      </c>
    </row>
    <row r="283" spans="1:19" x14ac:dyDescent="0.3">
      <c r="A283" t="s">
        <v>7338</v>
      </c>
      <c r="B283" t="s">
        <v>7627</v>
      </c>
      <c r="C283" t="s">
        <v>7755</v>
      </c>
      <c r="H283">
        <v>52095</v>
      </c>
      <c r="N283" t="s">
        <v>6518</v>
      </c>
      <c r="S283" t="s">
        <v>7794</v>
      </c>
    </row>
    <row r="284" spans="1:19" x14ac:dyDescent="0.3">
      <c r="A284" t="s">
        <v>7339</v>
      </c>
      <c r="B284" t="s">
        <v>7628</v>
      </c>
      <c r="C284" t="s">
        <v>3980</v>
      </c>
      <c r="H284">
        <v>41277</v>
      </c>
      <c r="N284" t="s">
        <v>6520</v>
      </c>
      <c r="S284" t="s">
        <v>7791</v>
      </c>
    </row>
    <row r="285" spans="1:19" x14ac:dyDescent="0.3">
      <c r="A285" t="s">
        <v>7340</v>
      </c>
      <c r="B285" t="s">
        <v>7629</v>
      </c>
      <c r="C285" t="s">
        <v>3980</v>
      </c>
      <c r="H285">
        <v>41277</v>
      </c>
      <c r="N285" t="s">
        <v>6424</v>
      </c>
      <c r="S285" t="s">
        <v>7788</v>
      </c>
    </row>
    <row r="286" spans="1:19" x14ac:dyDescent="0.3">
      <c r="A286" t="s">
        <v>7341</v>
      </c>
      <c r="B286" t="s">
        <v>7630</v>
      </c>
      <c r="C286" t="s">
        <v>7771</v>
      </c>
      <c r="H286">
        <v>6291</v>
      </c>
      <c r="N286" t="s">
        <v>6522</v>
      </c>
      <c r="S286" t="s">
        <v>7778</v>
      </c>
    </row>
    <row r="287" spans="1:19" x14ac:dyDescent="0.3">
      <c r="A287" t="s">
        <v>7342</v>
      </c>
      <c r="B287" t="s">
        <v>7631</v>
      </c>
      <c r="C287" t="s">
        <v>7762</v>
      </c>
      <c r="H287">
        <v>36106</v>
      </c>
      <c r="N287" t="s">
        <v>6348</v>
      </c>
      <c r="S287" t="s">
        <v>7776</v>
      </c>
    </row>
    <row r="288" spans="1:19" x14ac:dyDescent="0.3">
      <c r="A288" t="s">
        <v>7343</v>
      </c>
      <c r="B288" t="s">
        <v>7632</v>
      </c>
      <c r="C288" t="s">
        <v>7772</v>
      </c>
      <c r="H288">
        <v>13744</v>
      </c>
      <c r="N288" t="s">
        <v>6524</v>
      </c>
      <c r="S288" t="s">
        <v>7780</v>
      </c>
    </row>
    <row r="289" spans="1:19" x14ac:dyDescent="0.3">
      <c r="A289" t="s">
        <v>7344</v>
      </c>
      <c r="B289" t="s">
        <v>7633</v>
      </c>
      <c r="C289" t="s">
        <v>3980</v>
      </c>
      <c r="H289">
        <v>41050</v>
      </c>
      <c r="N289" t="s">
        <v>6350</v>
      </c>
      <c r="S289" t="s">
        <v>7790</v>
      </c>
    </row>
    <row r="290" spans="1:19" x14ac:dyDescent="0.3">
      <c r="A290" t="s">
        <v>7345</v>
      </c>
      <c r="B290" t="s">
        <v>7634</v>
      </c>
      <c r="C290" t="s">
        <v>7762</v>
      </c>
      <c r="H290">
        <v>36106</v>
      </c>
      <c r="N290" t="s">
        <v>6526</v>
      </c>
      <c r="S290" t="s">
        <v>7788</v>
      </c>
    </row>
    <row r="291" spans="1:19" x14ac:dyDescent="0.3">
      <c r="A291" t="s">
        <v>7346</v>
      </c>
      <c r="B291" t="s">
        <v>7635</v>
      </c>
      <c r="C291" t="s">
        <v>3980</v>
      </c>
      <c r="H291">
        <v>41277</v>
      </c>
      <c r="N291" t="s">
        <v>6350</v>
      </c>
      <c r="S291" t="s">
        <v>7790</v>
      </c>
    </row>
    <row r="292" spans="1:19" x14ac:dyDescent="0.3">
      <c r="A292" t="s">
        <v>7347</v>
      </c>
      <c r="B292" t="s">
        <v>7636</v>
      </c>
      <c r="C292" t="s">
        <v>3997</v>
      </c>
      <c r="H292">
        <v>45178</v>
      </c>
      <c r="N292" t="s">
        <v>6528</v>
      </c>
      <c r="S292" t="s">
        <v>7788</v>
      </c>
    </row>
    <row r="293" spans="1:19" x14ac:dyDescent="0.3">
      <c r="A293" t="s">
        <v>7348</v>
      </c>
      <c r="B293" t="s">
        <v>7637</v>
      </c>
      <c r="C293" t="s">
        <v>4116</v>
      </c>
      <c r="H293">
        <v>17962</v>
      </c>
      <c r="N293" t="s">
        <v>6530</v>
      </c>
      <c r="S293" t="s">
        <v>7792</v>
      </c>
    </row>
    <row r="294" spans="1:19" x14ac:dyDescent="0.3">
      <c r="A294" t="s">
        <v>7349</v>
      </c>
      <c r="B294" t="s">
        <v>7638</v>
      </c>
      <c r="C294" t="s">
        <v>3980</v>
      </c>
      <c r="F294" t="s">
        <v>7775</v>
      </c>
      <c r="H294">
        <v>41277</v>
      </c>
      <c r="N294" t="s">
        <v>6532</v>
      </c>
      <c r="S294" t="s">
        <v>7802</v>
      </c>
    </row>
    <row r="295" spans="1:19" x14ac:dyDescent="0.3">
      <c r="A295" t="s">
        <v>7350</v>
      </c>
      <c r="B295" t="s">
        <v>7639</v>
      </c>
      <c r="C295" t="s">
        <v>3980</v>
      </c>
      <c r="H295">
        <v>41277</v>
      </c>
      <c r="N295" t="s">
        <v>6362</v>
      </c>
      <c r="S295" t="s">
        <v>7803</v>
      </c>
    </row>
    <row r="296" spans="1:19" x14ac:dyDescent="0.3">
      <c r="A296" t="s">
        <v>7351</v>
      </c>
      <c r="B296" t="s">
        <v>7640</v>
      </c>
      <c r="C296" t="s">
        <v>3980</v>
      </c>
      <c r="H296">
        <v>41277</v>
      </c>
      <c r="N296" t="s">
        <v>6348</v>
      </c>
      <c r="S296" t="s">
        <v>7789</v>
      </c>
    </row>
    <row r="297" spans="1:19" x14ac:dyDescent="0.3">
      <c r="A297" t="s">
        <v>7352</v>
      </c>
      <c r="B297" t="s">
        <v>7641</v>
      </c>
      <c r="C297" t="s">
        <v>3980</v>
      </c>
      <c r="H297">
        <v>41277</v>
      </c>
      <c r="N297" t="s">
        <v>6534</v>
      </c>
      <c r="S297" t="s">
        <v>7792</v>
      </c>
    </row>
    <row r="298" spans="1:19" x14ac:dyDescent="0.3">
      <c r="A298" t="s">
        <v>7353</v>
      </c>
      <c r="B298" t="s">
        <v>7642</v>
      </c>
      <c r="C298" t="s">
        <v>7758</v>
      </c>
      <c r="H298">
        <v>33838</v>
      </c>
      <c r="N298" t="s">
        <v>6536</v>
      </c>
      <c r="S298" t="s">
        <v>7780</v>
      </c>
    </row>
    <row r="299" spans="1:19" x14ac:dyDescent="0.3">
      <c r="A299" t="s">
        <v>7354</v>
      </c>
      <c r="B299" t="s">
        <v>7643</v>
      </c>
      <c r="C299" t="s">
        <v>3980</v>
      </c>
      <c r="H299">
        <v>41277</v>
      </c>
      <c r="N299" t="s">
        <v>6534</v>
      </c>
      <c r="S299" t="s">
        <v>7792</v>
      </c>
    </row>
    <row r="300" spans="1:19" x14ac:dyDescent="0.3">
      <c r="A300" t="s">
        <v>7355</v>
      </c>
      <c r="B300" t="s">
        <v>7644</v>
      </c>
      <c r="C300" t="s">
        <v>3980</v>
      </c>
      <c r="H300">
        <v>41277</v>
      </c>
      <c r="N300" t="s">
        <v>6534</v>
      </c>
      <c r="S300" t="s">
        <v>7792</v>
      </c>
    </row>
    <row r="301" spans="1:19" x14ac:dyDescent="0.3">
      <c r="A301" t="s">
        <v>7356</v>
      </c>
      <c r="B301" t="s">
        <v>7645</v>
      </c>
      <c r="C301" t="s">
        <v>4037</v>
      </c>
      <c r="H301">
        <v>45132</v>
      </c>
      <c r="N301" t="s">
        <v>6538</v>
      </c>
      <c r="S301" t="s">
        <v>7790</v>
      </c>
    </row>
    <row r="302" spans="1:19" x14ac:dyDescent="0.3">
      <c r="A302" t="s">
        <v>7357</v>
      </c>
      <c r="B302" t="s">
        <v>7646</v>
      </c>
      <c r="C302" t="s">
        <v>4089</v>
      </c>
      <c r="H302">
        <v>18416</v>
      </c>
      <c r="N302" t="s">
        <v>6540</v>
      </c>
      <c r="S302" t="s">
        <v>7780</v>
      </c>
    </row>
    <row r="303" spans="1:19" x14ac:dyDescent="0.3">
      <c r="A303" t="s">
        <v>7358</v>
      </c>
      <c r="B303" t="s">
        <v>4094</v>
      </c>
      <c r="C303" t="s">
        <v>3997</v>
      </c>
      <c r="H303">
        <v>46992</v>
      </c>
      <c r="N303" t="s">
        <v>6542</v>
      </c>
      <c r="S303" t="s">
        <v>7791</v>
      </c>
    </row>
    <row r="304" spans="1:19" x14ac:dyDescent="0.3">
      <c r="A304" t="s">
        <v>7359</v>
      </c>
      <c r="B304" t="s">
        <v>7647</v>
      </c>
      <c r="C304" t="s">
        <v>3997</v>
      </c>
      <c r="H304">
        <v>46992</v>
      </c>
      <c r="N304" t="s">
        <v>6544</v>
      </c>
      <c r="S304" t="s">
        <v>7788</v>
      </c>
    </row>
    <row r="305" spans="1:19" x14ac:dyDescent="0.3">
      <c r="A305" t="s">
        <v>7360</v>
      </c>
      <c r="B305" t="s">
        <v>7648</v>
      </c>
      <c r="C305" t="s">
        <v>7758</v>
      </c>
      <c r="H305">
        <v>33203</v>
      </c>
      <c r="N305" t="s">
        <v>6498</v>
      </c>
      <c r="S305" t="s">
        <v>7780</v>
      </c>
    </row>
    <row r="306" spans="1:19" x14ac:dyDescent="0.3">
      <c r="A306" t="s">
        <v>7361</v>
      </c>
      <c r="B306" t="s">
        <v>7649</v>
      </c>
      <c r="C306" t="s">
        <v>3980</v>
      </c>
      <c r="H306">
        <v>41050</v>
      </c>
      <c r="N306" t="s">
        <v>6546</v>
      </c>
      <c r="S306" t="s">
        <v>7780</v>
      </c>
    </row>
    <row r="307" spans="1:19" x14ac:dyDescent="0.3">
      <c r="A307" t="s">
        <v>7362</v>
      </c>
      <c r="B307" t="s">
        <v>7650</v>
      </c>
      <c r="C307" t="s">
        <v>7773</v>
      </c>
      <c r="H307">
        <v>285990</v>
      </c>
      <c r="N307" t="s">
        <v>6548</v>
      </c>
      <c r="S307" t="s">
        <v>7786</v>
      </c>
    </row>
    <row r="308" spans="1:19" x14ac:dyDescent="0.3">
      <c r="A308" t="s">
        <v>7363</v>
      </c>
      <c r="B308" t="s">
        <v>7651</v>
      </c>
      <c r="C308" t="s">
        <v>7762</v>
      </c>
      <c r="H308">
        <v>36106</v>
      </c>
      <c r="N308" t="s">
        <v>6550</v>
      </c>
      <c r="S308" t="s">
        <v>7791</v>
      </c>
    </row>
    <row r="309" spans="1:19" x14ac:dyDescent="0.3">
      <c r="A309" t="s">
        <v>7364</v>
      </c>
      <c r="B309" t="s">
        <v>7652</v>
      </c>
      <c r="C309" t="s">
        <v>3980</v>
      </c>
      <c r="H309">
        <v>41277</v>
      </c>
      <c r="N309" t="s">
        <v>6550</v>
      </c>
      <c r="S309" t="s">
        <v>7791</v>
      </c>
    </row>
    <row r="310" spans="1:19" x14ac:dyDescent="0.3">
      <c r="A310" t="s">
        <v>7365</v>
      </c>
      <c r="B310" t="s">
        <v>7653</v>
      </c>
      <c r="C310" t="s">
        <v>7762</v>
      </c>
      <c r="H310">
        <v>36106</v>
      </c>
      <c r="N310" t="s">
        <v>6362</v>
      </c>
      <c r="S310" t="s">
        <v>7791</v>
      </c>
    </row>
    <row r="311" spans="1:19" x14ac:dyDescent="0.3">
      <c r="A311" t="s">
        <v>7366</v>
      </c>
      <c r="B311" t="s">
        <v>7654</v>
      </c>
      <c r="C311" t="s">
        <v>3980</v>
      </c>
      <c r="F311" t="s">
        <v>4316</v>
      </c>
      <c r="H311">
        <v>41277</v>
      </c>
      <c r="N311" t="s">
        <v>6552</v>
      </c>
      <c r="S311" t="s">
        <v>7804</v>
      </c>
    </row>
    <row r="312" spans="1:19" x14ac:dyDescent="0.3">
      <c r="A312" t="s">
        <v>7367</v>
      </c>
      <c r="B312" t="s">
        <v>7655</v>
      </c>
      <c r="C312" t="s">
        <v>3997</v>
      </c>
      <c r="H312">
        <v>46992</v>
      </c>
      <c r="N312" t="s">
        <v>6554</v>
      </c>
      <c r="S312" t="s">
        <v>7781</v>
      </c>
    </row>
    <row r="313" spans="1:19" x14ac:dyDescent="0.3">
      <c r="A313" t="s">
        <v>7368</v>
      </c>
      <c r="B313" t="s">
        <v>7656</v>
      </c>
      <c r="C313" t="s">
        <v>7747</v>
      </c>
      <c r="H313">
        <v>22226</v>
      </c>
      <c r="N313" t="s">
        <v>6556</v>
      </c>
      <c r="S313" t="s">
        <v>7780</v>
      </c>
    </row>
    <row r="314" spans="1:19" x14ac:dyDescent="0.3">
      <c r="A314" t="s">
        <v>7369</v>
      </c>
      <c r="B314" t="s">
        <v>7657</v>
      </c>
      <c r="C314" t="s">
        <v>4037</v>
      </c>
      <c r="H314">
        <v>43091</v>
      </c>
      <c r="N314" t="s">
        <v>6350</v>
      </c>
      <c r="S314" t="s">
        <v>7790</v>
      </c>
    </row>
    <row r="315" spans="1:19" x14ac:dyDescent="0.3">
      <c r="A315" t="s">
        <v>7370</v>
      </c>
      <c r="B315" t="s">
        <v>7658</v>
      </c>
      <c r="C315" t="s">
        <v>4037</v>
      </c>
      <c r="H315">
        <v>45132</v>
      </c>
      <c r="N315" t="s">
        <v>6558</v>
      </c>
      <c r="S315" t="s">
        <v>7780</v>
      </c>
    </row>
    <row r="316" spans="1:19" x14ac:dyDescent="0.3">
      <c r="A316" t="s">
        <v>7371</v>
      </c>
      <c r="B316" t="s">
        <v>7659</v>
      </c>
      <c r="C316" t="s">
        <v>7762</v>
      </c>
      <c r="H316">
        <v>36106</v>
      </c>
      <c r="N316" t="s">
        <v>6350</v>
      </c>
      <c r="S316" t="s">
        <v>7801</v>
      </c>
    </row>
    <row r="317" spans="1:19" x14ac:dyDescent="0.3">
      <c r="A317" t="s">
        <v>7372</v>
      </c>
      <c r="B317" t="s">
        <v>7660</v>
      </c>
      <c r="C317" t="s">
        <v>7758</v>
      </c>
      <c r="H317">
        <v>33838</v>
      </c>
      <c r="N317" t="s">
        <v>6362</v>
      </c>
      <c r="S317" t="s">
        <v>7791</v>
      </c>
    </row>
    <row r="318" spans="1:19" x14ac:dyDescent="0.3">
      <c r="A318" t="s">
        <v>7373</v>
      </c>
      <c r="B318" t="s">
        <v>7661</v>
      </c>
      <c r="C318" t="s">
        <v>7748</v>
      </c>
      <c r="H318">
        <v>42910</v>
      </c>
      <c r="N318" t="s">
        <v>6560</v>
      </c>
      <c r="S318" t="s">
        <v>7788</v>
      </c>
    </row>
    <row r="319" spans="1:19" x14ac:dyDescent="0.3">
      <c r="A319" t="s">
        <v>7374</v>
      </c>
      <c r="B319" t="s">
        <v>7662</v>
      </c>
      <c r="C319" t="s">
        <v>7748</v>
      </c>
      <c r="H319">
        <v>42910</v>
      </c>
      <c r="N319" t="s">
        <v>6562</v>
      </c>
      <c r="S319" t="s">
        <v>7792</v>
      </c>
    </row>
    <row r="320" spans="1:19" x14ac:dyDescent="0.3">
      <c r="A320" t="s">
        <v>7375</v>
      </c>
      <c r="B320" t="s">
        <v>7663</v>
      </c>
      <c r="C320" t="s">
        <v>7765</v>
      </c>
      <c r="H320">
        <v>19440</v>
      </c>
      <c r="N320" t="s">
        <v>6564</v>
      </c>
      <c r="S320" t="s">
        <v>7794</v>
      </c>
    </row>
    <row r="321" spans="1:19" x14ac:dyDescent="0.3">
      <c r="A321" t="s">
        <v>7376</v>
      </c>
      <c r="B321" t="s">
        <v>7664</v>
      </c>
      <c r="C321" t="s">
        <v>7745</v>
      </c>
      <c r="H321">
        <v>21863</v>
      </c>
      <c r="N321" t="s">
        <v>6566</v>
      </c>
      <c r="S321" t="s">
        <v>7779</v>
      </c>
    </row>
    <row r="322" spans="1:19" x14ac:dyDescent="0.3">
      <c r="A322" t="s">
        <v>7377</v>
      </c>
      <c r="B322" t="s">
        <v>7665</v>
      </c>
      <c r="C322" t="s">
        <v>7745</v>
      </c>
      <c r="H322">
        <v>21863</v>
      </c>
      <c r="N322" t="s">
        <v>6350</v>
      </c>
      <c r="S322" t="s">
        <v>7790</v>
      </c>
    </row>
    <row r="323" spans="1:19" x14ac:dyDescent="0.3">
      <c r="A323" t="s">
        <v>7378</v>
      </c>
      <c r="B323" t="s">
        <v>7666</v>
      </c>
      <c r="C323" t="s">
        <v>7745</v>
      </c>
      <c r="H323">
        <v>21863</v>
      </c>
      <c r="N323" t="s">
        <v>6568</v>
      </c>
      <c r="S323" t="s">
        <v>7787</v>
      </c>
    </row>
    <row r="324" spans="1:19" x14ac:dyDescent="0.3">
      <c r="A324" t="s">
        <v>7379</v>
      </c>
      <c r="B324" t="s">
        <v>7667</v>
      </c>
      <c r="C324" t="s">
        <v>4037</v>
      </c>
      <c r="H324">
        <v>45132</v>
      </c>
      <c r="N324" t="s">
        <v>6350</v>
      </c>
      <c r="S324" t="s">
        <v>7790</v>
      </c>
    </row>
    <row r="325" spans="1:19" x14ac:dyDescent="0.3">
      <c r="A325" t="s">
        <v>7380</v>
      </c>
      <c r="B325" t="s">
        <v>7668</v>
      </c>
      <c r="C325" t="s">
        <v>4037</v>
      </c>
      <c r="H325">
        <v>44452</v>
      </c>
      <c r="N325" t="s">
        <v>6570</v>
      </c>
      <c r="S325" t="s">
        <v>7788</v>
      </c>
    </row>
    <row r="326" spans="1:19" x14ac:dyDescent="0.3">
      <c r="A326" t="s">
        <v>7381</v>
      </c>
      <c r="B326" t="s">
        <v>7669</v>
      </c>
      <c r="C326" t="s">
        <v>4037</v>
      </c>
      <c r="H326">
        <v>44452</v>
      </c>
      <c r="N326" t="s">
        <v>6572</v>
      </c>
      <c r="S326" t="s">
        <v>7792</v>
      </c>
    </row>
    <row r="327" spans="1:19" x14ac:dyDescent="0.3">
      <c r="A327" t="s">
        <v>7382</v>
      </c>
      <c r="B327" t="s">
        <v>7670</v>
      </c>
      <c r="C327" t="s">
        <v>3997</v>
      </c>
      <c r="H327">
        <v>46992</v>
      </c>
      <c r="N327" t="s">
        <v>6350</v>
      </c>
      <c r="S327" t="s">
        <v>7790</v>
      </c>
    </row>
    <row r="328" spans="1:19" x14ac:dyDescent="0.3">
      <c r="A328" t="s">
        <v>7383</v>
      </c>
      <c r="B328" t="s">
        <v>7671</v>
      </c>
      <c r="C328" t="s">
        <v>7747</v>
      </c>
      <c r="H328">
        <v>33838</v>
      </c>
      <c r="N328" t="s">
        <v>6348</v>
      </c>
      <c r="S328" t="s">
        <v>7789</v>
      </c>
    </row>
    <row r="329" spans="1:19" x14ac:dyDescent="0.3">
      <c r="A329" t="s">
        <v>7384</v>
      </c>
      <c r="B329" t="s">
        <v>7672</v>
      </c>
      <c r="C329" t="s">
        <v>3980</v>
      </c>
      <c r="H329">
        <v>41050</v>
      </c>
      <c r="N329" t="s">
        <v>6386</v>
      </c>
      <c r="S329" t="s">
        <v>7788</v>
      </c>
    </row>
    <row r="330" spans="1:19" x14ac:dyDescent="0.3">
      <c r="A330" t="s">
        <v>7385</v>
      </c>
      <c r="B330" t="s">
        <v>7673</v>
      </c>
      <c r="C330" t="s">
        <v>3980</v>
      </c>
      <c r="H330">
        <v>41277</v>
      </c>
      <c r="N330" t="s">
        <v>6350</v>
      </c>
      <c r="S330" t="s">
        <v>7790</v>
      </c>
    </row>
    <row r="331" spans="1:19" x14ac:dyDescent="0.3">
      <c r="A331" t="s">
        <v>7386</v>
      </c>
      <c r="B331" t="s">
        <v>7674</v>
      </c>
      <c r="C331" t="s">
        <v>7763</v>
      </c>
      <c r="H331">
        <v>16080</v>
      </c>
      <c r="N331" t="s">
        <v>6574</v>
      </c>
      <c r="S331" t="s">
        <v>7794</v>
      </c>
    </row>
    <row r="332" spans="1:19" x14ac:dyDescent="0.3">
      <c r="A332" t="s">
        <v>7387</v>
      </c>
      <c r="B332" t="s">
        <v>7675</v>
      </c>
      <c r="C332" t="s">
        <v>4067</v>
      </c>
      <c r="H332">
        <v>31751</v>
      </c>
      <c r="N332" t="s">
        <v>6386</v>
      </c>
      <c r="S332" t="s">
        <v>7780</v>
      </c>
    </row>
    <row r="333" spans="1:19" x14ac:dyDescent="0.3">
      <c r="A333" t="s">
        <v>7388</v>
      </c>
      <c r="B333" t="s">
        <v>7676</v>
      </c>
      <c r="C333" t="s">
        <v>3997</v>
      </c>
      <c r="H333">
        <v>46992</v>
      </c>
      <c r="N333" t="s">
        <v>6348</v>
      </c>
      <c r="S333" t="s">
        <v>7789</v>
      </c>
    </row>
    <row r="334" spans="1:19" x14ac:dyDescent="0.3">
      <c r="A334" t="s">
        <v>7389</v>
      </c>
      <c r="B334" t="s">
        <v>7677</v>
      </c>
      <c r="C334" t="s">
        <v>7745</v>
      </c>
      <c r="H334">
        <v>21863</v>
      </c>
      <c r="N334" t="s">
        <v>6576</v>
      </c>
      <c r="S334" t="s">
        <v>7794</v>
      </c>
    </row>
    <row r="335" spans="1:19" x14ac:dyDescent="0.3">
      <c r="A335" t="s">
        <v>7390</v>
      </c>
      <c r="B335" t="s">
        <v>7678</v>
      </c>
      <c r="C335" t="s">
        <v>3980</v>
      </c>
      <c r="H335">
        <v>41050</v>
      </c>
      <c r="N335" t="s">
        <v>6498</v>
      </c>
      <c r="S335" t="s">
        <v>7780</v>
      </c>
    </row>
    <row r="336" spans="1:19" x14ac:dyDescent="0.3">
      <c r="A336" t="s">
        <v>7391</v>
      </c>
      <c r="B336" t="s">
        <v>7679</v>
      </c>
      <c r="C336" t="s">
        <v>7745</v>
      </c>
      <c r="H336">
        <v>21772</v>
      </c>
      <c r="N336" t="s">
        <v>6578</v>
      </c>
      <c r="S336" t="s">
        <v>7787</v>
      </c>
    </row>
    <row r="337" spans="1:19" x14ac:dyDescent="0.3">
      <c r="A337" t="s">
        <v>7392</v>
      </c>
      <c r="B337" t="s">
        <v>7680</v>
      </c>
      <c r="C337" t="s">
        <v>3997</v>
      </c>
      <c r="H337">
        <v>46992</v>
      </c>
      <c r="N337" t="s">
        <v>6580</v>
      </c>
      <c r="S337" t="s">
        <v>7788</v>
      </c>
    </row>
    <row r="338" spans="1:19" x14ac:dyDescent="0.3">
      <c r="A338" t="s">
        <v>7393</v>
      </c>
      <c r="B338" t="s">
        <v>7681</v>
      </c>
      <c r="C338" t="s">
        <v>3997</v>
      </c>
      <c r="H338">
        <v>45178</v>
      </c>
      <c r="N338" t="s">
        <v>6582</v>
      </c>
      <c r="S338" t="s">
        <v>7792</v>
      </c>
    </row>
    <row r="339" spans="1:19" x14ac:dyDescent="0.3">
      <c r="A339" t="s">
        <v>7394</v>
      </c>
      <c r="B339" t="s">
        <v>7682</v>
      </c>
      <c r="C339" t="s">
        <v>3997</v>
      </c>
      <c r="H339">
        <v>45178</v>
      </c>
      <c r="N339" t="s">
        <v>6584</v>
      </c>
      <c r="S339" t="s">
        <v>7784</v>
      </c>
    </row>
    <row r="340" spans="1:19" x14ac:dyDescent="0.3">
      <c r="A340" t="s">
        <v>7395</v>
      </c>
      <c r="B340" t="s">
        <v>7683</v>
      </c>
      <c r="C340" t="s">
        <v>3997</v>
      </c>
      <c r="H340">
        <v>45178</v>
      </c>
      <c r="N340" t="s">
        <v>6582</v>
      </c>
      <c r="S340" t="s">
        <v>7791</v>
      </c>
    </row>
    <row r="341" spans="1:19" x14ac:dyDescent="0.3">
      <c r="A341" t="s">
        <v>7396</v>
      </c>
      <c r="B341" t="s">
        <v>7684</v>
      </c>
      <c r="C341" t="s">
        <v>3997</v>
      </c>
      <c r="H341">
        <v>46992</v>
      </c>
      <c r="N341" t="s">
        <v>6586</v>
      </c>
      <c r="S341" t="s">
        <v>7786</v>
      </c>
    </row>
    <row r="342" spans="1:19" x14ac:dyDescent="0.3">
      <c r="A342" t="s">
        <v>7397</v>
      </c>
      <c r="B342" t="s">
        <v>7685</v>
      </c>
      <c r="C342" t="s">
        <v>3980</v>
      </c>
      <c r="H342">
        <v>41277</v>
      </c>
      <c r="N342" t="s">
        <v>6538</v>
      </c>
      <c r="S342" t="s">
        <v>7790</v>
      </c>
    </row>
    <row r="343" spans="1:19" x14ac:dyDescent="0.3">
      <c r="A343" t="s">
        <v>7398</v>
      </c>
      <c r="B343" t="s">
        <v>7686</v>
      </c>
      <c r="C343" t="s">
        <v>4037</v>
      </c>
      <c r="H343">
        <v>44452</v>
      </c>
      <c r="N343" t="s">
        <v>6588</v>
      </c>
      <c r="S343" t="s">
        <v>7780</v>
      </c>
    </row>
    <row r="344" spans="1:19" x14ac:dyDescent="0.3">
      <c r="A344" t="s">
        <v>7399</v>
      </c>
      <c r="B344" t="s">
        <v>7687</v>
      </c>
      <c r="C344" t="s">
        <v>3997</v>
      </c>
      <c r="H344">
        <v>46992</v>
      </c>
      <c r="N344" t="s">
        <v>6562</v>
      </c>
      <c r="S344" t="s">
        <v>7792</v>
      </c>
    </row>
    <row r="345" spans="1:19" x14ac:dyDescent="0.3">
      <c r="A345" t="s">
        <v>7400</v>
      </c>
      <c r="B345" t="s">
        <v>7688</v>
      </c>
      <c r="C345" t="s">
        <v>7747</v>
      </c>
      <c r="H345">
        <v>22226</v>
      </c>
      <c r="N345" t="s">
        <v>6590</v>
      </c>
      <c r="S345" t="s">
        <v>7792</v>
      </c>
    </row>
    <row r="346" spans="1:19" x14ac:dyDescent="0.3">
      <c r="A346" t="s">
        <v>7401</v>
      </c>
      <c r="B346" t="s">
        <v>7689</v>
      </c>
      <c r="C346" t="s">
        <v>7748</v>
      </c>
      <c r="H346">
        <v>42910</v>
      </c>
      <c r="N346" t="s">
        <v>6592</v>
      </c>
      <c r="S346" t="s">
        <v>7801</v>
      </c>
    </row>
    <row r="347" spans="1:19" x14ac:dyDescent="0.3">
      <c r="A347" t="s">
        <v>7402</v>
      </c>
      <c r="B347" t="s">
        <v>7690</v>
      </c>
      <c r="C347" t="s">
        <v>3980</v>
      </c>
      <c r="H347">
        <v>41277</v>
      </c>
      <c r="N347" t="s">
        <v>6350</v>
      </c>
      <c r="S347" t="s">
        <v>7790</v>
      </c>
    </row>
    <row r="348" spans="1:19" x14ac:dyDescent="0.3">
      <c r="A348" t="s">
        <v>7403</v>
      </c>
      <c r="B348" t="s">
        <v>7691</v>
      </c>
      <c r="C348" t="s">
        <v>4067</v>
      </c>
      <c r="H348">
        <v>31751</v>
      </c>
      <c r="N348" t="s">
        <v>6590</v>
      </c>
      <c r="S348" t="s">
        <v>7792</v>
      </c>
    </row>
    <row r="349" spans="1:19" x14ac:dyDescent="0.3">
      <c r="A349" t="s">
        <v>7404</v>
      </c>
      <c r="B349" t="s">
        <v>7692</v>
      </c>
      <c r="C349" t="s">
        <v>4067</v>
      </c>
      <c r="H349">
        <v>31751</v>
      </c>
      <c r="N349" t="s">
        <v>6590</v>
      </c>
      <c r="S349" t="s">
        <v>7792</v>
      </c>
    </row>
    <row r="350" spans="1:19" x14ac:dyDescent="0.3">
      <c r="A350" t="s">
        <v>7405</v>
      </c>
      <c r="B350" t="s">
        <v>7693</v>
      </c>
      <c r="C350" t="s">
        <v>4037</v>
      </c>
      <c r="H350">
        <v>45132</v>
      </c>
      <c r="N350" t="s">
        <v>6594</v>
      </c>
      <c r="S350" t="s">
        <v>7792</v>
      </c>
    </row>
    <row r="351" spans="1:19" x14ac:dyDescent="0.3">
      <c r="A351" t="s">
        <v>7406</v>
      </c>
      <c r="B351" t="s">
        <v>7694</v>
      </c>
      <c r="C351" t="s">
        <v>4037</v>
      </c>
      <c r="H351">
        <v>45132</v>
      </c>
      <c r="N351" t="s">
        <v>6446</v>
      </c>
      <c r="S351" t="s">
        <v>7788</v>
      </c>
    </row>
    <row r="352" spans="1:19" x14ac:dyDescent="0.3">
      <c r="A352" t="s">
        <v>7407</v>
      </c>
      <c r="B352" t="s">
        <v>7695</v>
      </c>
      <c r="C352" t="s">
        <v>4037</v>
      </c>
      <c r="H352">
        <v>43545</v>
      </c>
      <c r="N352" t="s">
        <v>6446</v>
      </c>
      <c r="S352" t="s">
        <v>7788</v>
      </c>
    </row>
    <row r="353" spans="1:19" x14ac:dyDescent="0.3">
      <c r="A353" t="s">
        <v>7408</v>
      </c>
      <c r="B353" t="s">
        <v>7696</v>
      </c>
      <c r="C353" t="s">
        <v>7748</v>
      </c>
      <c r="H353">
        <v>42910</v>
      </c>
      <c r="N353" t="s">
        <v>6596</v>
      </c>
      <c r="S353" t="s">
        <v>7792</v>
      </c>
    </row>
    <row r="354" spans="1:19" x14ac:dyDescent="0.3">
      <c r="A354" t="s">
        <v>7409</v>
      </c>
      <c r="B354" t="s">
        <v>7697</v>
      </c>
      <c r="C354" t="s">
        <v>7765</v>
      </c>
      <c r="F354" t="s">
        <v>4316</v>
      </c>
      <c r="H354">
        <v>19440</v>
      </c>
      <c r="N354" t="s">
        <v>6598</v>
      </c>
      <c r="S354" t="s">
        <v>7787</v>
      </c>
    </row>
    <row r="355" spans="1:19" x14ac:dyDescent="0.3">
      <c r="A355" t="s">
        <v>7410</v>
      </c>
      <c r="B355" t="s">
        <v>7698</v>
      </c>
      <c r="C355" t="s">
        <v>4037</v>
      </c>
      <c r="H355">
        <v>45132</v>
      </c>
      <c r="N355" t="s">
        <v>6548</v>
      </c>
      <c r="S355" t="s">
        <v>7788</v>
      </c>
    </row>
    <row r="356" spans="1:19" x14ac:dyDescent="0.3">
      <c r="A356" t="s">
        <v>7411</v>
      </c>
      <c r="B356" t="s">
        <v>7699</v>
      </c>
      <c r="C356" t="s">
        <v>7774</v>
      </c>
      <c r="H356">
        <v>48807</v>
      </c>
      <c r="N356" t="s">
        <v>6362</v>
      </c>
      <c r="S356" t="s">
        <v>7791</v>
      </c>
    </row>
    <row r="357" spans="1:19" x14ac:dyDescent="0.3">
      <c r="A357" t="s">
        <v>7412</v>
      </c>
      <c r="B357" t="s">
        <v>7700</v>
      </c>
      <c r="C357" t="s">
        <v>4037</v>
      </c>
      <c r="H357">
        <v>45132</v>
      </c>
      <c r="N357" t="s">
        <v>6600</v>
      </c>
      <c r="S357" t="s">
        <v>7791</v>
      </c>
    </row>
    <row r="358" spans="1:19" x14ac:dyDescent="0.3">
      <c r="A358" t="s">
        <v>7413</v>
      </c>
      <c r="B358" t="s">
        <v>7701</v>
      </c>
      <c r="C358" t="s">
        <v>4037</v>
      </c>
      <c r="H358">
        <v>45132</v>
      </c>
      <c r="N358" t="s">
        <v>6602</v>
      </c>
      <c r="S358" t="s">
        <v>7780</v>
      </c>
    </row>
    <row r="359" spans="1:19" x14ac:dyDescent="0.3">
      <c r="A359" t="s">
        <v>7414</v>
      </c>
      <c r="B359" t="s">
        <v>7702</v>
      </c>
      <c r="C359" t="s">
        <v>7747</v>
      </c>
      <c r="H359">
        <v>22226</v>
      </c>
      <c r="N359" t="s">
        <v>6604</v>
      </c>
      <c r="S359" t="s">
        <v>7788</v>
      </c>
    </row>
    <row r="360" spans="1:19" x14ac:dyDescent="0.3">
      <c r="A360" t="s">
        <v>7415</v>
      </c>
      <c r="B360" t="s">
        <v>7703</v>
      </c>
      <c r="C360" t="s">
        <v>3980</v>
      </c>
      <c r="H360">
        <v>41277</v>
      </c>
      <c r="N360" t="s">
        <v>6350</v>
      </c>
      <c r="S360" t="s">
        <v>7790</v>
      </c>
    </row>
    <row r="361" spans="1:19" x14ac:dyDescent="0.3">
      <c r="A361" t="s">
        <v>7416</v>
      </c>
      <c r="B361" t="s">
        <v>7704</v>
      </c>
      <c r="C361" t="s">
        <v>4037</v>
      </c>
      <c r="H361">
        <v>43545</v>
      </c>
      <c r="N361" t="s">
        <v>6606</v>
      </c>
      <c r="S361" t="s">
        <v>7788</v>
      </c>
    </row>
    <row r="362" spans="1:19" x14ac:dyDescent="0.3">
      <c r="A362" t="s">
        <v>7417</v>
      </c>
      <c r="B362" t="s">
        <v>7705</v>
      </c>
      <c r="C362" t="s">
        <v>3997</v>
      </c>
      <c r="H362">
        <v>46992</v>
      </c>
      <c r="N362" t="s">
        <v>6350</v>
      </c>
      <c r="S362" t="s">
        <v>7790</v>
      </c>
    </row>
    <row r="363" spans="1:19" x14ac:dyDescent="0.3">
      <c r="A363" t="s">
        <v>7418</v>
      </c>
      <c r="B363" t="s">
        <v>7706</v>
      </c>
      <c r="C363" t="s">
        <v>7747</v>
      </c>
      <c r="H363">
        <v>22226</v>
      </c>
      <c r="N363" t="s">
        <v>6608</v>
      </c>
      <c r="S363" t="s">
        <v>7780</v>
      </c>
    </row>
    <row r="364" spans="1:19" x14ac:dyDescent="0.3">
      <c r="A364" t="s">
        <v>7419</v>
      </c>
      <c r="B364" t="s">
        <v>7707</v>
      </c>
      <c r="C364" t="s">
        <v>3862</v>
      </c>
      <c r="H364">
        <v>54499</v>
      </c>
      <c r="N364" t="s">
        <v>6610</v>
      </c>
      <c r="S364" t="s">
        <v>7780</v>
      </c>
    </row>
    <row r="365" spans="1:19" x14ac:dyDescent="0.3">
      <c r="A365" t="s">
        <v>7420</v>
      </c>
      <c r="B365" t="s">
        <v>7708</v>
      </c>
      <c r="C365" t="s">
        <v>4037</v>
      </c>
      <c r="H365">
        <v>45132</v>
      </c>
      <c r="N365" t="s">
        <v>6350</v>
      </c>
      <c r="S365" t="s">
        <v>7790</v>
      </c>
    </row>
    <row r="366" spans="1:19" x14ac:dyDescent="0.3">
      <c r="A366" t="s">
        <v>7421</v>
      </c>
      <c r="B366" t="s">
        <v>7709</v>
      </c>
      <c r="C366" t="s">
        <v>4029</v>
      </c>
      <c r="H366">
        <v>33112</v>
      </c>
      <c r="N366" t="s">
        <v>6348</v>
      </c>
      <c r="S366" t="s">
        <v>7789</v>
      </c>
    </row>
    <row r="367" spans="1:19" x14ac:dyDescent="0.3">
      <c r="A367" t="s">
        <v>7422</v>
      </c>
      <c r="B367" t="s">
        <v>7710</v>
      </c>
      <c r="C367" t="s">
        <v>7755</v>
      </c>
      <c r="H367">
        <v>52095</v>
      </c>
      <c r="N367" t="s">
        <v>6594</v>
      </c>
      <c r="S367" t="s">
        <v>7792</v>
      </c>
    </row>
    <row r="368" spans="1:19" x14ac:dyDescent="0.3">
      <c r="A368" t="s">
        <v>7423</v>
      </c>
      <c r="B368" t="s">
        <v>7711</v>
      </c>
      <c r="C368" t="s">
        <v>7760</v>
      </c>
      <c r="H368">
        <v>41957</v>
      </c>
      <c r="N368" t="s">
        <v>6612</v>
      </c>
      <c r="S368" t="s">
        <v>7794</v>
      </c>
    </row>
    <row r="369" spans="1:19" x14ac:dyDescent="0.3">
      <c r="A369" t="s">
        <v>7424</v>
      </c>
      <c r="B369" t="s">
        <v>7712</v>
      </c>
      <c r="C369" t="s">
        <v>7758</v>
      </c>
      <c r="H369">
        <v>33838</v>
      </c>
      <c r="N369" t="s">
        <v>6358</v>
      </c>
      <c r="S369" t="s">
        <v>7798</v>
      </c>
    </row>
    <row r="370" spans="1:19" x14ac:dyDescent="0.3">
      <c r="A370" t="s">
        <v>7425</v>
      </c>
      <c r="B370" t="s">
        <v>7713</v>
      </c>
      <c r="C370" t="s">
        <v>7758</v>
      </c>
      <c r="H370">
        <v>33838</v>
      </c>
      <c r="N370" t="s">
        <v>6348</v>
      </c>
      <c r="S370" t="s">
        <v>7789</v>
      </c>
    </row>
    <row r="371" spans="1:19" x14ac:dyDescent="0.3">
      <c r="A371" t="s">
        <v>7426</v>
      </c>
      <c r="B371" t="s">
        <v>7714</v>
      </c>
      <c r="C371" t="s">
        <v>3980</v>
      </c>
      <c r="H371">
        <v>41277</v>
      </c>
      <c r="N371" t="s">
        <v>6348</v>
      </c>
      <c r="S371" t="s">
        <v>7789</v>
      </c>
    </row>
    <row r="372" spans="1:19" x14ac:dyDescent="0.3">
      <c r="A372" t="s">
        <v>7427</v>
      </c>
      <c r="B372" t="s">
        <v>7715</v>
      </c>
      <c r="C372" t="s">
        <v>3980</v>
      </c>
      <c r="H372">
        <v>41277</v>
      </c>
      <c r="N372" t="s">
        <v>6614</v>
      </c>
      <c r="S372" t="s">
        <v>7788</v>
      </c>
    </row>
    <row r="373" spans="1:19" x14ac:dyDescent="0.3">
      <c r="A373" t="s">
        <v>7428</v>
      </c>
      <c r="B373" t="s">
        <v>7716</v>
      </c>
      <c r="C373" t="s">
        <v>3980</v>
      </c>
      <c r="H373">
        <v>41277</v>
      </c>
      <c r="N373" t="s">
        <v>6614</v>
      </c>
      <c r="S373" t="s">
        <v>7788</v>
      </c>
    </row>
    <row r="374" spans="1:19" x14ac:dyDescent="0.3">
      <c r="A374" t="s">
        <v>7429</v>
      </c>
      <c r="B374" t="s">
        <v>7717</v>
      </c>
      <c r="C374" t="s">
        <v>4037</v>
      </c>
      <c r="H374">
        <v>45132</v>
      </c>
      <c r="N374" t="s">
        <v>6428</v>
      </c>
      <c r="S374" t="s">
        <v>7780</v>
      </c>
    </row>
    <row r="375" spans="1:19" x14ac:dyDescent="0.3">
      <c r="A375" t="s">
        <v>7430</v>
      </c>
      <c r="B375" t="s">
        <v>7718</v>
      </c>
      <c r="C375" t="s">
        <v>3980</v>
      </c>
      <c r="H375">
        <v>41277</v>
      </c>
      <c r="N375" t="s">
        <v>6616</v>
      </c>
      <c r="S375" t="s">
        <v>7794</v>
      </c>
    </row>
    <row r="376" spans="1:19" x14ac:dyDescent="0.3">
      <c r="A376" t="s">
        <v>7431</v>
      </c>
      <c r="B376" t="s">
        <v>7719</v>
      </c>
      <c r="C376" t="s">
        <v>6163</v>
      </c>
      <c r="H376">
        <v>77564</v>
      </c>
      <c r="N376" t="s">
        <v>6618</v>
      </c>
      <c r="S376" t="s">
        <v>7786</v>
      </c>
    </row>
    <row r="377" spans="1:19" x14ac:dyDescent="0.3">
      <c r="A377" t="s">
        <v>7432</v>
      </c>
      <c r="B377" t="s">
        <v>7720</v>
      </c>
      <c r="C377" t="s">
        <v>3980</v>
      </c>
      <c r="H377">
        <v>41277</v>
      </c>
      <c r="N377" t="s">
        <v>6596</v>
      </c>
      <c r="S377" t="s">
        <v>7792</v>
      </c>
    </row>
    <row r="378" spans="1:19" x14ac:dyDescent="0.3">
      <c r="A378" t="s">
        <v>7433</v>
      </c>
      <c r="B378" t="s">
        <v>7721</v>
      </c>
      <c r="C378" t="s">
        <v>4029</v>
      </c>
      <c r="H378">
        <v>33112</v>
      </c>
      <c r="N378" t="s">
        <v>6530</v>
      </c>
      <c r="S378" t="s">
        <v>7792</v>
      </c>
    </row>
    <row r="379" spans="1:19" x14ac:dyDescent="0.3">
      <c r="A379" t="s">
        <v>7434</v>
      </c>
      <c r="B379" t="s">
        <v>7722</v>
      </c>
      <c r="C379" t="s">
        <v>3997</v>
      </c>
      <c r="H379">
        <v>46992</v>
      </c>
      <c r="N379" t="s">
        <v>6348</v>
      </c>
      <c r="S379" t="s">
        <v>7794</v>
      </c>
    </row>
    <row r="380" spans="1:19" x14ac:dyDescent="0.3">
      <c r="A380" t="s">
        <v>7435</v>
      </c>
      <c r="B380" t="s">
        <v>7723</v>
      </c>
      <c r="C380" t="s">
        <v>7747</v>
      </c>
      <c r="H380">
        <v>22226</v>
      </c>
      <c r="N380" t="s">
        <v>6620</v>
      </c>
      <c r="S380" t="s">
        <v>7787</v>
      </c>
    </row>
    <row r="381" spans="1:19" x14ac:dyDescent="0.3">
      <c r="A381" t="s">
        <v>7436</v>
      </c>
      <c r="B381" t="s">
        <v>7724</v>
      </c>
      <c r="C381" t="s">
        <v>3997</v>
      </c>
      <c r="H381">
        <v>46992</v>
      </c>
      <c r="N381" t="s">
        <v>6622</v>
      </c>
      <c r="S381" t="s">
        <v>7788</v>
      </c>
    </row>
    <row r="382" spans="1:19" x14ac:dyDescent="0.3">
      <c r="A382" t="s">
        <v>7437</v>
      </c>
      <c r="B382" t="s">
        <v>7725</v>
      </c>
      <c r="C382" t="s">
        <v>3980</v>
      </c>
      <c r="H382">
        <v>41277</v>
      </c>
      <c r="N382" t="s">
        <v>6624</v>
      </c>
      <c r="S382" t="s">
        <v>7792</v>
      </c>
    </row>
    <row r="383" spans="1:19" x14ac:dyDescent="0.3">
      <c r="A383" t="s">
        <v>7438</v>
      </c>
      <c r="B383" t="s">
        <v>7726</v>
      </c>
      <c r="C383" t="s">
        <v>7754</v>
      </c>
      <c r="H383">
        <v>115666</v>
      </c>
      <c r="N383" t="s">
        <v>6626</v>
      </c>
      <c r="S383" t="s">
        <v>7792</v>
      </c>
    </row>
    <row r="384" spans="1:19" x14ac:dyDescent="0.3">
      <c r="A384" t="s">
        <v>7439</v>
      </c>
      <c r="B384" t="s">
        <v>7727</v>
      </c>
      <c r="C384" t="s">
        <v>7758</v>
      </c>
      <c r="H384">
        <v>33838</v>
      </c>
      <c r="N384" t="s">
        <v>6350</v>
      </c>
      <c r="S384" t="s">
        <v>7790</v>
      </c>
    </row>
    <row r="385" spans="1:19" x14ac:dyDescent="0.3">
      <c r="A385" t="s">
        <v>7440</v>
      </c>
      <c r="B385" t="s">
        <v>7728</v>
      </c>
      <c r="C385" t="s">
        <v>7758</v>
      </c>
      <c r="H385">
        <v>33838</v>
      </c>
      <c r="N385" t="s">
        <v>6348</v>
      </c>
      <c r="S385" t="s">
        <v>7789</v>
      </c>
    </row>
    <row r="386" spans="1:19" x14ac:dyDescent="0.3">
      <c r="A386" t="s">
        <v>7441</v>
      </c>
      <c r="B386" t="s">
        <v>7729</v>
      </c>
      <c r="C386" t="s">
        <v>4067</v>
      </c>
      <c r="H386">
        <v>31751</v>
      </c>
      <c r="N386" t="s">
        <v>6628</v>
      </c>
      <c r="S386" t="s">
        <v>7792</v>
      </c>
    </row>
    <row r="387" spans="1:19" x14ac:dyDescent="0.3">
      <c r="A387" t="s">
        <v>7442</v>
      </c>
      <c r="B387" t="s">
        <v>7730</v>
      </c>
      <c r="C387" t="s">
        <v>3997</v>
      </c>
      <c r="H387">
        <v>46992</v>
      </c>
      <c r="N387" t="s">
        <v>6630</v>
      </c>
      <c r="S387" t="s">
        <v>7792</v>
      </c>
    </row>
    <row r="388" spans="1:19" x14ac:dyDescent="0.3">
      <c r="A388" t="s">
        <v>7443</v>
      </c>
      <c r="B388" t="s">
        <v>7731</v>
      </c>
      <c r="C388" t="s">
        <v>4089</v>
      </c>
      <c r="H388">
        <v>18416</v>
      </c>
      <c r="N388" t="s">
        <v>6632</v>
      </c>
      <c r="S388" t="s">
        <v>7794</v>
      </c>
    </row>
    <row r="389" spans="1:19" x14ac:dyDescent="0.3">
      <c r="A389" t="s">
        <v>7444</v>
      </c>
      <c r="B389" t="s">
        <v>7732</v>
      </c>
      <c r="C389" t="s">
        <v>7762</v>
      </c>
      <c r="H389">
        <v>36106</v>
      </c>
      <c r="N389" t="s">
        <v>6348</v>
      </c>
      <c r="S389" t="s">
        <v>7789</v>
      </c>
    </row>
    <row r="390" spans="1:19" x14ac:dyDescent="0.3">
      <c r="A390" t="s">
        <v>7445</v>
      </c>
      <c r="B390" t="s">
        <v>7733</v>
      </c>
      <c r="C390" t="s">
        <v>4037</v>
      </c>
      <c r="H390">
        <v>45132</v>
      </c>
      <c r="N390" t="s">
        <v>6634</v>
      </c>
      <c r="S390" t="s">
        <v>7788</v>
      </c>
    </row>
    <row r="391" spans="1:19" x14ac:dyDescent="0.3">
      <c r="A391" t="s">
        <v>7446</v>
      </c>
      <c r="B391" t="s">
        <v>7734</v>
      </c>
      <c r="C391" t="s">
        <v>4119</v>
      </c>
      <c r="H391">
        <v>16375</v>
      </c>
      <c r="N391" t="s">
        <v>6348</v>
      </c>
      <c r="S391" t="s">
        <v>7789</v>
      </c>
    </row>
    <row r="392" spans="1:19" x14ac:dyDescent="0.3">
      <c r="A392" t="s">
        <v>7447</v>
      </c>
      <c r="B392" t="s">
        <v>7735</v>
      </c>
      <c r="C392" t="s">
        <v>4037</v>
      </c>
      <c r="H392">
        <v>44452</v>
      </c>
      <c r="N392" t="s">
        <v>6636</v>
      </c>
      <c r="S392" t="s">
        <v>7791</v>
      </c>
    </row>
    <row r="393" spans="1:19" x14ac:dyDescent="0.3">
      <c r="A393" t="s">
        <v>7448</v>
      </c>
      <c r="B393" t="s">
        <v>7736</v>
      </c>
      <c r="C393" t="s">
        <v>3997</v>
      </c>
      <c r="H393">
        <v>46992</v>
      </c>
      <c r="N393" t="s">
        <v>6638</v>
      </c>
      <c r="S393" t="s">
        <v>7788</v>
      </c>
    </row>
    <row r="394" spans="1:19" x14ac:dyDescent="0.3">
      <c r="A394" t="s">
        <v>7449</v>
      </c>
      <c r="B394" t="s">
        <v>7737</v>
      </c>
      <c r="C394" t="s">
        <v>7747</v>
      </c>
      <c r="H394">
        <v>22226</v>
      </c>
      <c r="N394" t="s">
        <v>6640</v>
      </c>
      <c r="S394" t="s">
        <v>7791</v>
      </c>
    </row>
    <row r="395" spans="1:19" x14ac:dyDescent="0.3">
      <c r="A395" t="s">
        <v>7450</v>
      </c>
      <c r="B395" t="s">
        <v>7738</v>
      </c>
      <c r="C395" t="s">
        <v>7758</v>
      </c>
      <c r="H395">
        <v>33838</v>
      </c>
      <c r="N395" t="s">
        <v>6642</v>
      </c>
      <c r="S395" t="s">
        <v>7780</v>
      </c>
    </row>
    <row r="396" spans="1:19" x14ac:dyDescent="0.3">
      <c r="A396" t="s">
        <v>7451</v>
      </c>
      <c r="B396" t="s">
        <v>7739</v>
      </c>
      <c r="C396" t="s">
        <v>3980</v>
      </c>
      <c r="H396">
        <v>41277</v>
      </c>
      <c r="N396" t="s">
        <v>6644</v>
      </c>
      <c r="S396" t="s">
        <v>7794</v>
      </c>
    </row>
    <row r="397" spans="1:19" x14ac:dyDescent="0.3">
      <c r="A397" t="s">
        <v>7452</v>
      </c>
      <c r="B397" t="s">
        <v>7740</v>
      </c>
      <c r="C397" t="s">
        <v>3997</v>
      </c>
      <c r="H397">
        <v>46992</v>
      </c>
      <c r="N397" t="s">
        <v>6350</v>
      </c>
      <c r="S397" t="s">
        <v>7790</v>
      </c>
    </row>
    <row r="398" spans="1:19" x14ac:dyDescent="0.3">
      <c r="A398" t="s">
        <v>7453</v>
      </c>
      <c r="B398" t="s">
        <v>7741</v>
      </c>
      <c r="C398" t="s">
        <v>7758</v>
      </c>
      <c r="H398">
        <v>33838</v>
      </c>
      <c r="N398" t="s">
        <v>6414</v>
      </c>
      <c r="S398" t="s">
        <v>7796</v>
      </c>
    </row>
    <row r="399" spans="1:19" x14ac:dyDescent="0.3">
      <c r="A399" t="s">
        <v>7454</v>
      </c>
      <c r="B399" t="s">
        <v>7742</v>
      </c>
      <c r="C399" t="s">
        <v>7748</v>
      </c>
      <c r="H399">
        <v>42910</v>
      </c>
      <c r="N399" t="s">
        <v>6646</v>
      </c>
      <c r="S399" t="s">
        <v>7805</v>
      </c>
    </row>
    <row r="400" spans="1:19" x14ac:dyDescent="0.3">
      <c r="A400" t="s">
        <v>7455</v>
      </c>
      <c r="B400" t="s">
        <v>7743</v>
      </c>
      <c r="C400" t="s">
        <v>7762</v>
      </c>
      <c r="H400">
        <v>36106</v>
      </c>
      <c r="N400" t="s">
        <v>6350</v>
      </c>
      <c r="S400" t="s">
        <v>7790</v>
      </c>
    </row>
    <row r="401" spans="1:19" x14ac:dyDescent="0.3">
      <c r="A401" t="s">
        <v>7456</v>
      </c>
      <c r="B401" t="s">
        <v>7744</v>
      </c>
      <c r="C401" t="s">
        <v>3980</v>
      </c>
      <c r="H401">
        <v>41277</v>
      </c>
      <c r="N401" t="s">
        <v>6358</v>
      </c>
      <c r="S401" t="s">
        <v>7798</v>
      </c>
    </row>
    <row r="402" spans="1:19" x14ac:dyDescent="0.3">
      <c r="A402" t="s">
        <v>7806</v>
      </c>
      <c r="B402" t="s">
        <v>8096</v>
      </c>
      <c r="C402" t="s">
        <v>3980</v>
      </c>
      <c r="H402">
        <v>41277</v>
      </c>
      <c r="N402" t="s">
        <v>6348</v>
      </c>
      <c r="S402" t="s">
        <v>8402</v>
      </c>
    </row>
    <row r="403" spans="1:19" x14ac:dyDescent="0.3">
      <c r="A403" t="s">
        <v>7807</v>
      </c>
      <c r="B403" t="s">
        <v>8097</v>
      </c>
      <c r="C403" t="s">
        <v>7760</v>
      </c>
      <c r="H403">
        <v>40687</v>
      </c>
      <c r="N403" t="s">
        <v>6648</v>
      </c>
      <c r="S403" t="s">
        <v>8402</v>
      </c>
    </row>
    <row r="404" spans="1:19" x14ac:dyDescent="0.3">
      <c r="A404" t="s">
        <v>7808</v>
      </c>
      <c r="B404" t="s">
        <v>8098</v>
      </c>
      <c r="C404" t="s">
        <v>3997</v>
      </c>
      <c r="H404">
        <v>46992</v>
      </c>
      <c r="N404" t="s">
        <v>6650</v>
      </c>
      <c r="S404" t="s">
        <v>8402</v>
      </c>
    </row>
    <row r="405" spans="1:19" x14ac:dyDescent="0.3">
      <c r="A405" t="s">
        <v>7809</v>
      </c>
      <c r="B405" t="s">
        <v>8099</v>
      </c>
      <c r="C405" t="s">
        <v>3980</v>
      </c>
      <c r="H405">
        <v>41277</v>
      </c>
      <c r="N405" t="s">
        <v>6350</v>
      </c>
      <c r="S405" t="s">
        <v>8402</v>
      </c>
    </row>
    <row r="406" spans="1:19" x14ac:dyDescent="0.3">
      <c r="A406" t="s">
        <v>7810</v>
      </c>
      <c r="B406" t="s">
        <v>8100</v>
      </c>
      <c r="C406" t="s">
        <v>3997</v>
      </c>
      <c r="H406">
        <v>45178</v>
      </c>
      <c r="N406" t="s">
        <v>6652</v>
      </c>
      <c r="S406" t="s">
        <v>8402</v>
      </c>
    </row>
    <row r="407" spans="1:19" x14ac:dyDescent="0.3">
      <c r="A407" t="s">
        <v>7811</v>
      </c>
      <c r="B407" t="s">
        <v>8101</v>
      </c>
      <c r="C407" t="s">
        <v>3997</v>
      </c>
      <c r="H407">
        <v>46992</v>
      </c>
      <c r="N407" t="s">
        <v>6654</v>
      </c>
      <c r="S407" t="s">
        <v>8402</v>
      </c>
    </row>
    <row r="408" spans="1:19" x14ac:dyDescent="0.3">
      <c r="A408" t="s">
        <v>7812</v>
      </c>
      <c r="B408" t="s">
        <v>8102</v>
      </c>
      <c r="C408" t="s">
        <v>4037</v>
      </c>
      <c r="H408">
        <v>45132</v>
      </c>
      <c r="N408" t="s">
        <v>6656</v>
      </c>
      <c r="S408" t="s">
        <v>8402</v>
      </c>
    </row>
    <row r="409" spans="1:19" x14ac:dyDescent="0.3">
      <c r="A409" t="s">
        <v>7813</v>
      </c>
      <c r="B409" t="s">
        <v>8103</v>
      </c>
      <c r="C409" t="s">
        <v>3980</v>
      </c>
      <c r="H409">
        <v>41277</v>
      </c>
      <c r="N409" t="s">
        <v>6658</v>
      </c>
      <c r="S409" t="s">
        <v>8402</v>
      </c>
    </row>
    <row r="410" spans="1:19" x14ac:dyDescent="0.3">
      <c r="A410" t="s">
        <v>7814</v>
      </c>
      <c r="B410" t="s">
        <v>8104</v>
      </c>
      <c r="C410" t="s">
        <v>7760</v>
      </c>
      <c r="H410">
        <v>41957</v>
      </c>
      <c r="N410" t="s">
        <v>6660</v>
      </c>
      <c r="S410" t="s">
        <v>8402</v>
      </c>
    </row>
    <row r="411" spans="1:19" x14ac:dyDescent="0.3">
      <c r="A411" t="s">
        <v>7815</v>
      </c>
      <c r="B411" t="s">
        <v>8105</v>
      </c>
      <c r="C411" t="s">
        <v>3980</v>
      </c>
      <c r="H411">
        <v>41277</v>
      </c>
      <c r="N411" t="s">
        <v>6348</v>
      </c>
      <c r="S411" t="s">
        <v>8402</v>
      </c>
    </row>
    <row r="412" spans="1:19" x14ac:dyDescent="0.3">
      <c r="A412" t="s">
        <v>7816</v>
      </c>
      <c r="B412" t="s">
        <v>8106</v>
      </c>
      <c r="C412" t="s">
        <v>4037</v>
      </c>
      <c r="H412">
        <v>45132</v>
      </c>
      <c r="N412" t="s">
        <v>6662</v>
      </c>
      <c r="S412" t="s">
        <v>8402</v>
      </c>
    </row>
    <row r="413" spans="1:19" x14ac:dyDescent="0.3">
      <c r="A413" t="s">
        <v>7817</v>
      </c>
      <c r="B413" t="s">
        <v>8107</v>
      </c>
      <c r="C413" t="s">
        <v>3997</v>
      </c>
      <c r="H413">
        <v>46992</v>
      </c>
      <c r="N413" t="s">
        <v>6664</v>
      </c>
      <c r="S413" t="s">
        <v>8402</v>
      </c>
    </row>
    <row r="414" spans="1:19" x14ac:dyDescent="0.3">
      <c r="A414" t="s">
        <v>7818</v>
      </c>
      <c r="B414" t="s">
        <v>8108</v>
      </c>
      <c r="C414" t="s">
        <v>3980</v>
      </c>
      <c r="H414">
        <v>41277</v>
      </c>
      <c r="N414" t="s">
        <v>6666</v>
      </c>
      <c r="S414" t="s">
        <v>8402</v>
      </c>
    </row>
    <row r="415" spans="1:19" x14ac:dyDescent="0.3">
      <c r="A415" t="s">
        <v>7819</v>
      </c>
      <c r="B415" t="s">
        <v>8109</v>
      </c>
      <c r="C415" t="s">
        <v>7760</v>
      </c>
      <c r="H415">
        <v>41957</v>
      </c>
      <c r="N415" t="s">
        <v>6668</v>
      </c>
      <c r="S415" t="s">
        <v>8402</v>
      </c>
    </row>
    <row r="416" spans="1:19" x14ac:dyDescent="0.3">
      <c r="A416" t="s">
        <v>7820</v>
      </c>
      <c r="B416" t="s">
        <v>8110</v>
      </c>
      <c r="C416" t="s">
        <v>7758</v>
      </c>
      <c r="H416">
        <v>33838</v>
      </c>
      <c r="N416" t="s">
        <v>6544</v>
      </c>
      <c r="S416" t="s">
        <v>8402</v>
      </c>
    </row>
    <row r="417" spans="1:19" x14ac:dyDescent="0.3">
      <c r="A417" t="s">
        <v>7821</v>
      </c>
      <c r="B417" t="s">
        <v>8111</v>
      </c>
      <c r="C417" t="s">
        <v>3980</v>
      </c>
      <c r="H417">
        <v>41277</v>
      </c>
      <c r="N417" t="s">
        <v>6618</v>
      </c>
      <c r="S417" t="s">
        <v>8402</v>
      </c>
    </row>
    <row r="418" spans="1:19" x14ac:dyDescent="0.3">
      <c r="A418" t="s">
        <v>7822</v>
      </c>
      <c r="B418" t="s">
        <v>8112</v>
      </c>
      <c r="C418" t="s">
        <v>7747</v>
      </c>
      <c r="H418">
        <v>22226</v>
      </c>
      <c r="N418" t="s">
        <v>6670</v>
      </c>
      <c r="S418" t="s">
        <v>8402</v>
      </c>
    </row>
    <row r="419" spans="1:19" x14ac:dyDescent="0.3">
      <c r="A419" t="s">
        <v>7823</v>
      </c>
      <c r="B419" t="s">
        <v>8113</v>
      </c>
      <c r="C419" t="s">
        <v>7755</v>
      </c>
      <c r="H419">
        <v>52095</v>
      </c>
      <c r="N419" t="s">
        <v>6672</v>
      </c>
      <c r="S419" t="s">
        <v>8402</v>
      </c>
    </row>
    <row r="420" spans="1:19" x14ac:dyDescent="0.3">
      <c r="A420" t="s">
        <v>7824</v>
      </c>
      <c r="B420" t="s">
        <v>8114</v>
      </c>
      <c r="C420" t="s">
        <v>7748</v>
      </c>
      <c r="H420">
        <v>42910</v>
      </c>
      <c r="N420" t="s">
        <v>6674</v>
      </c>
      <c r="S420" t="s">
        <v>8402</v>
      </c>
    </row>
    <row r="421" spans="1:19" x14ac:dyDescent="0.3">
      <c r="A421" t="s">
        <v>7825</v>
      </c>
      <c r="B421" t="s">
        <v>8115</v>
      </c>
      <c r="C421" t="s">
        <v>3980</v>
      </c>
      <c r="H421">
        <v>41277</v>
      </c>
      <c r="N421" t="s">
        <v>6650</v>
      </c>
      <c r="S421" t="s">
        <v>8402</v>
      </c>
    </row>
    <row r="422" spans="1:19" x14ac:dyDescent="0.3">
      <c r="A422" t="s">
        <v>7826</v>
      </c>
      <c r="B422" t="s">
        <v>8116</v>
      </c>
      <c r="C422" t="s">
        <v>3997</v>
      </c>
      <c r="H422">
        <v>46992</v>
      </c>
      <c r="N422" t="s">
        <v>6396</v>
      </c>
      <c r="S422" t="s">
        <v>8402</v>
      </c>
    </row>
    <row r="423" spans="1:19" x14ac:dyDescent="0.3">
      <c r="A423" t="s">
        <v>7827</v>
      </c>
      <c r="B423" t="s">
        <v>8117</v>
      </c>
      <c r="C423" t="s">
        <v>7758</v>
      </c>
      <c r="H423">
        <v>33838</v>
      </c>
      <c r="N423" t="s">
        <v>6676</v>
      </c>
      <c r="S423" t="s">
        <v>8403</v>
      </c>
    </row>
    <row r="424" spans="1:19" x14ac:dyDescent="0.3">
      <c r="A424" t="s">
        <v>7828</v>
      </c>
      <c r="B424" t="s">
        <v>8118</v>
      </c>
      <c r="C424" t="s">
        <v>3980</v>
      </c>
      <c r="H424">
        <v>41277</v>
      </c>
      <c r="N424" t="s">
        <v>6348</v>
      </c>
      <c r="S424" t="s">
        <v>8402</v>
      </c>
    </row>
    <row r="425" spans="1:19" x14ac:dyDescent="0.3">
      <c r="A425" t="s">
        <v>7829</v>
      </c>
      <c r="B425" t="s">
        <v>8119</v>
      </c>
      <c r="C425" t="s">
        <v>3997</v>
      </c>
      <c r="H425">
        <v>46992</v>
      </c>
      <c r="N425" t="s">
        <v>6350</v>
      </c>
      <c r="S425" t="s">
        <v>8402</v>
      </c>
    </row>
    <row r="426" spans="1:19" x14ac:dyDescent="0.3">
      <c r="A426" t="s">
        <v>7830</v>
      </c>
      <c r="B426" t="s">
        <v>8120</v>
      </c>
      <c r="C426" t="s">
        <v>7758</v>
      </c>
      <c r="H426">
        <v>33838</v>
      </c>
      <c r="N426" t="s">
        <v>6678</v>
      </c>
      <c r="S426" t="s">
        <v>8404</v>
      </c>
    </row>
    <row r="427" spans="1:19" x14ac:dyDescent="0.3">
      <c r="A427" t="s">
        <v>7831</v>
      </c>
      <c r="B427" t="s">
        <v>8121</v>
      </c>
      <c r="C427" t="s">
        <v>3997</v>
      </c>
      <c r="H427">
        <v>45178</v>
      </c>
      <c r="N427" t="s">
        <v>6498</v>
      </c>
      <c r="S427" t="s">
        <v>8402</v>
      </c>
    </row>
    <row r="428" spans="1:19" x14ac:dyDescent="0.3">
      <c r="A428" t="s">
        <v>7832</v>
      </c>
      <c r="B428" t="s">
        <v>8122</v>
      </c>
      <c r="C428" t="s">
        <v>3980</v>
      </c>
      <c r="H428">
        <v>41050</v>
      </c>
      <c r="N428" t="s">
        <v>6498</v>
      </c>
      <c r="S428" t="s">
        <v>8402</v>
      </c>
    </row>
    <row r="429" spans="1:19" x14ac:dyDescent="0.3">
      <c r="A429" t="s">
        <v>7833</v>
      </c>
      <c r="B429" t="s">
        <v>8123</v>
      </c>
      <c r="C429" t="s">
        <v>7758</v>
      </c>
      <c r="H429">
        <v>33838</v>
      </c>
      <c r="N429" t="s">
        <v>6350</v>
      </c>
      <c r="S429" t="s">
        <v>8402</v>
      </c>
    </row>
    <row r="430" spans="1:19" x14ac:dyDescent="0.3">
      <c r="A430" t="s">
        <v>7834</v>
      </c>
      <c r="B430" t="s">
        <v>8124</v>
      </c>
      <c r="C430" t="s">
        <v>7760</v>
      </c>
      <c r="H430">
        <v>41957</v>
      </c>
      <c r="N430" t="s">
        <v>6680</v>
      </c>
      <c r="S430" t="s">
        <v>8402</v>
      </c>
    </row>
    <row r="431" spans="1:19" x14ac:dyDescent="0.3">
      <c r="A431" t="s">
        <v>7835</v>
      </c>
      <c r="B431" t="s">
        <v>8125</v>
      </c>
      <c r="C431" t="s">
        <v>7772</v>
      </c>
      <c r="H431">
        <v>13744</v>
      </c>
      <c r="N431" t="s">
        <v>6682</v>
      </c>
      <c r="S431" t="s">
        <v>8402</v>
      </c>
    </row>
    <row r="432" spans="1:19" x14ac:dyDescent="0.3">
      <c r="A432" t="s">
        <v>7836</v>
      </c>
      <c r="B432" t="s">
        <v>8126</v>
      </c>
      <c r="C432" t="s">
        <v>4037</v>
      </c>
      <c r="H432">
        <v>45132</v>
      </c>
      <c r="N432" t="s">
        <v>6348</v>
      </c>
      <c r="S432" t="s">
        <v>8402</v>
      </c>
    </row>
    <row r="433" spans="1:19" x14ac:dyDescent="0.3">
      <c r="A433" t="s">
        <v>7837</v>
      </c>
      <c r="B433" t="s">
        <v>8127</v>
      </c>
      <c r="C433" t="s">
        <v>7755</v>
      </c>
      <c r="H433">
        <v>52095</v>
      </c>
      <c r="N433" t="s">
        <v>6680</v>
      </c>
      <c r="S433" t="s">
        <v>8404</v>
      </c>
    </row>
    <row r="434" spans="1:19" x14ac:dyDescent="0.3">
      <c r="A434" t="s">
        <v>7838</v>
      </c>
      <c r="B434" t="s">
        <v>8128</v>
      </c>
      <c r="C434" t="s">
        <v>3980</v>
      </c>
      <c r="H434">
        <v>41277</v>
      </c>
      <c r="N434" t="s">
        <v>6350</v>
      </c>
      <c r="S434" t="s">
        <v>8402</v>
      </c>
    </row>
    <row r="435" spans="1:19" x14ac:dyDescent="0.3">
      <c r="A435" t="s">
        <v>7839</v>
      </c>
      <c r="B435" t="s">
        <v>8129</v>
      </c>
      <c r="C435" t="s">
        <v>7760</v>
      </c>
      <c r="H435">
        <v>41957</v>
      </c>
      <c r="N435" t="s">
        <v>6684</v>
      </c>
      <c r="S435" t="s">
        <v>8402</v>
      </c>
    </row>
    <row r="436" spans="1:19" x14ac:dyDescent="0.3">
      <c r="A436" t="s">
        <v>7840</v>
      </c>
      <c r="B436" t="s">
        <v>8130</v>
      </c>
      <c r="C436" t="s">
        <v>4037</v>
      </c>
      <c r="H436">
        <v>45132</v>
      </c>
      <c r="N436" t="s">
        <v>6686</v>
      </c>
      <c r="S436" t="s">
        <v>8403</v>
      </c>
    </row>
    <row r="437" spans="1:19" x14ac:dyDescent="0.3">
      <c r="A437" t="s">
        <v>7841</v>
      </c>
      <c r="B437" t="s">
        <v>8131</v>
      </c>
      <c r="C437" t="s">
        <v>7747</v>
      </c>
      <c r="H437">
        <v>22226</v>
      </c>
      <c r="N437" t="s">
        <v>6348</v>
      </c>
      <c r="S437" t="s">
        <v>8402</v>
      </c>
    </row>
    <row r="438" spans="1:19" x14ac:dyDescent="0.3">
      <c r="A438" t="s">
        <v>7842</v>
      </c>
      <c r="B438" t="s">
        <v>8132</v>
      </c>
      <c r="C438" t="s">
        <v>4037</v>
      </c>
      <c r="H438">
        <v>44452</v>
      </c>
      <c r="N438" t="s">
        <v>6350</v>
      </c>
      <c r="S438" t="s">
        <v>8402</v>
      </c>
    </row>
    <row r="439" spans="1:19" x14ac:dyDescent="0.3">
      <c r="A439" t="s">
        <v>7843</v>
      </c>
      <c r="B439" t="s">
        <v>8133</v>
      </c>
      <c r="C439" t="s">
        <v>7745</v>
      </c>
      <c r="H439">
        <v>21863</v>
      </c>
      <c r="N439" t="s">
        <v>6688</v>
      </c>
      <c r="S439" t="s">
        <v>8402</v>
      </c>
    </row>
    <row r="440" spans="1:19" x14ac:dyDescent="0.3">
      <c r="A440" t="s">
        <v>7844</v>
      </c>
      <c r="B440" t="s">
        <v>8134</v>
      </c>
      <c r="C440" t="s">
        <v>3997</v>
      </c>
      <c r="H440">
        <v>46992</v>
      </c>
      <c r="N440" t="s">
        <v>6530</v>
      </c>
      <c r="S440" t="s">
        <v>8402</v>
      </c>
    </row>
    <row r="441" spans="1:19" x14ac:dyDescent="0.3">
      <c r="A441" t="s">
        <v>7845</v>
      </c>
      <c r="B441" t="s">
        <v>8135</v>
      </c>
      <c r="C441" t="s">
        <v>3997</v>
      </c>
      <c r="H441">
        <v>46992</v>
      </c>
      <c r="N441" t="s">
        <v>6690</v>
      </c>
      <c r="S441" t="s">
        <v>8402</v>
      </c>
    </row>
    <row r="442" spans="1:19" x14ac:dyDescent="0.3">
      <c r="A442" t="s">
        <v>7846</v>
      </c>
      <c r="B442" t="s">
        <v>8136</v>
      </c>
      <c r="C442" t="s">
        <v>3997</v>
      </c>
      <c r="H442">
        <v>46992</v>
      </c>
      <c r="N442" t="s">
        <v>6692</v>
      </c>
      <c r="S442" t="s">
        <v>8402</v>
      </c>
    </row>
    <row r="443" spans="1:19" x14ac:dyDescent="0.3">
      <c r="A443" t="s">
        <v>7847</v>
      </c>
      <c r="B443" t="s">
        <v>8137</v>
      </c>
      <c r="C443" t="s">
        <v>7758</v>
      </c>
      <c r="H443">
        <v>33838</v>
      </c>
      <c r="N443" t="s">
        <v>6484</v>
      </c>
      <c r="S443" t="s">
        <v>8402</v>
      </c>
    </row>
    <row r="444" spans="1:19" x14ac:dyDescent="0.3">
      <c r="A444" t="s">
        <v>7848</v>
      </c>
      <c r="B444" t="s">
        <v>8138</v>
      </c>
      <c r="C444" t="s">
        <v>7748</v>
      </c>
      <c r="H444">
        <v>42910</v>
      </c>
      <c r="N444" t="s">
        <v>6694</v>
      </c>
      <c r="S444" t="s">
        <v>8402</v>
      </c>
    </row>
    <row r="445" spans="1:19" x14ac:dyDescent="0.3">
      <c r="A445" t="s">
        <v>7849</v>
      </c>
      <c r="B445" t="s">
        <v>8139</v>
      </c>
      <c r="C445" t="s">
        <v>4106</v>
      </c>
      <c r="H445">
        <v>18497</v>
      </c>
      <c r="N445" t="s">
        <v>6696</v>
      </c>
      <c r="S445" t="s">
        <v>8402</v>
      </c>
    </row>
    <row r="446" spans="1:19" x14ac:dyDescent="0.3">
      <c r="A446" t="s">
        <v>7850</v>
      </c>
      <c r="B446" t="s">
        <v>8140</v>
      </c>
      <c r="C446" t="s">
        <v>4037</v>
      </c>
      <c r="H446">
        <v>45132</v>
      </c>
      <c r="N446" t="s">
        <v>6446</v>
      </c>
      <c r="S446" t="s">
        <v>8402</v>
      </c>
    </row>
    <row r="447" spans="1:19" x14ac:dyDescent="0.3">
      <c r="A447" t="s">
        <v>7851</v>
      </c>
      <c r="B447" t="s">
        <v>8141</v>
      </c>
      <c r="C447" t="s">
        <v>4037</v>
      </c>
      <c r="H447">
        <v>43545</v>
      </c>
      <c r="N447" t="s">
        <v>6538</v>
      </c>
      <c r="S447" t="s">
        <v>8402</v>
      </c>
    </row>
    <row r="448" spans="1:19" x14ac:dyDescent="0.3">
      <c r="A448" t="s">
        <v>7852</v>
      </c>
      <c r="B448" t="s">
        <v>8142</v>
      </c>
      <c r="C448" t="s">
        <v>7760</v>
      </c>
      <c r="H448">
        <v>41957</v>
      </c>
      <c r="N448" t="s">
        <v>6342</v>
      </c>
      <c r="S448" t="s">
        <v>8402</v>
      </c>
    </row>
    <row r="449" spans="1:19" x14ac:dyDescent="0.3">
      <c r="A449" t="s">
        <v>7853</v>
      </c>
      <c r="B449" t="s">
        <v>8143</v>
      </c>
      <c r="C449" t="s">
        <v>4037</v>
      </c>
      <c r="H449">
        <v>45132</v>
      </c>
      <c r="N449" t="s">
        <v>6348</v>
      </c>
      <c r="S449" t="s">
        <v>8402</v>
      </c>
    </row>
    <row r="450" spans="1:19" x14ac:dyDescent="0.3">
      <c r="A450" t="s">
        <v>7854</v>
      </c>
      <c r="B450" t="s">
        <v>8144</v>
      </c>
      <c r="C450" t="s">
        <v>3980</v>
      </c>
      <c r="H450">
        <v>41050</v>
      </c>
      <c r="N450" t="s">
        <v>6698</v>
      </c>
      <c r="S450" t="s">
        <v>8402</v>
      </c>
    </row>
    <row r="451" spans="1:19" x14ac:dyDescent="0.3">
      <c r="A451" t="s">
        <v>7855</v>
      </c>
      <c r="B451" t="s">
        <v>8145</v>
      </c>
      <c r="C451" t="s">
        <v>7760</v>
      </c>
      <c r="H451">
        <v>41957</v>
      </c>
      <c r="N451" t="s">
        <v>6700</v>
      </c>
      <c r="S451" t="s">
        <v>8402</v>
      </c>
    </row>
    <row r="452" spans="1:19" x14ac:dyDescent="0.3">
      <c r="A452" t="s">
        <v>7856</v>
      </c>
      <c r="B452" t="s">
        <v>8146</v>
      </c>
      <c r="C452" t="s">
        <v>7748</v>
      </c>
      <c r="H452">
        <v>42910</v>
      </c>
      <c r="N452" t="s">
        <v>6674</v>
      </c>
      <c r="S452" t="s">
        <v>8402</v>
      </c>
    </row>
    <row r="453" spans="1:19" x14ac:dyDescent="0.3">
      <c r="A453" t="s">
        <v>7857</v>
      </c>
      <c r="B453" t="s">
        <v>8147</v>
      </c>
      <c r="C453" t="s">
        <v>4067</v>
      </c>
      <c r="H453">
        <v>31751</v>
      </c>
      <c r="N453" t="s">
        <v>6370</v>
      </c>
      <c r="S453" t="s">
        <v>8402</v>
      </c>
    </row>
    <row r="454" spans="1:19" x14ac:dyDescent="0.3">
      <c r="A454" t="s">
        <v>7858</v>
      </c>
      <c r="B454" t="s">
        <v>8148</v>
      </c>
      <c r="C454" t="s">
        <v>3997</v>
      </c>
      <c r="H454">
        <v>46992</v>
      </c>
      <c r="N454" t="s">
        <v>6702</v>
      </c>
      <c r="S454" t="s">
        <v>8403</v>
      </c>
    </row>
    <row r="455" spans="1:19" x14ac:dyDescent="0.3">
      <c r="A455" t="s">
        <v>7859</v>
      </c>
      <c r="B455" t="s">
        <v>8149</v>
      </c>
      <c r="C455" t="s">
        <v>8386</v>
      </c>
      <c r="H455">
        <v>74389</v>
      </c>
      <c r="N455" t="s">
        <v>6704</v>
      </c>
      <c r="S455" t="s">
        <v>8402</v>
      </c>
    </row>
    <row r="456" spans="1:19" x14ac:dyDescent="0.3">
      <c r="A456" t="s">
        <v>7860</v>
      </c>
      <c r="B456" t="s">
        <v>8150</v>
      </c>
      <c r="C456" t="s">
        <v>7747</v>
      </c>
      <c r="H456">
        <v>21319</v>
      </c>
      <c r="N456" t="s">
        <v>6706</v>
      </c>
      <c r="S456" t="s">
        <v>8402</v>
      </c>
    </row>
    <row r="457" spans="1:19" x14ac:dyDescent="0.3">
      <c r="A457" t="s">
        <v>7861</v>
      </c>
      <c r="B457" t="s">
        <v>8151</v>
      </c>
      <c r="C457" t="s">
        <v>7760</v>
      </c>
      <c r="H457">
        <v>41957</v>
      </c>
      <c r="N457" t="s">
        <v>6358</v>
      </c>
      <c r="S457" t="s">
        <v>8402</v>
      </c>
    </row>
    <row r="458" spans="1:19" x14ac:dyDescent="0.3">
      <c r="A458" t="s">
        <v>7862</v>
      </c>
      <c r="B458" t="s">
        <v>8152</v>
      </c>
      <c r="C458" t="s">
        <v>7755</v>
      </c>
      <c r="H458">
        <v>52095</v>
      </c>
      <c r="N458" t="s">
        <v>6708</v>
      </c>
      <c r="S458" t="s">
        <v>8402</v>
      </c>
    </row>
    <row r="459" spans="1:19" x14ac:dyDescent="0.3">
      <c r="A459" t="s">
        <v>7863</v>
      </c>
      <c r="B459" t="s">
        <v>8153</v>
      </c>
      <c r="C459" t="s">
        <v>7748</v>
      </c>
      <c r="H459">
        <v>42910</v>
      </c>
      <c r="N459" t="s">
        <v>6674</v>
      </c>
      <c r="S459" t="s">
        <v>8402</v>
      </c>
    </row>
    <row r="460" spans="1:19" x14ac:dyDescent="0.3">
      <c r="A460" t="s">
        <v>7864</v>
      </c>
      <c r="B460" t="s">
        <v>8154</v>
      </c>
      <c r="C460" t="s">
        <v>7767</v>
      </c>
      <c r="H460">
        <v>17040</v>
      </c>
      <c r="N460" t="s">
        <v>6710</v>
      </c>
      <c r="S460" t="s">
        <v>8402</v>
      </c>
    </row>
    <row r="461" spans="1:19" x14ac:dyDescent="0.3">
      <c r="A461" t="s">
        <v>7865</v>
      </c>
      <c r="B461" t="s">
        <v>8155</v>
      </c>
      <c r="C461" t="s">
        <v>7745</v>
      </c>
      <c r="H461">
        <v>21999</v>
      </c>
      <c r="N461" t="s">
        <v>6712</v>
      </c>
      <c r="S461" t="s">
        <v>8402</v>
      </c>
    </row>
    <row r="462" spans="1:19" x14ac:dyDescent="0.3">
      <c r="A462" t="s">
        <v>7866</v>
      </c>
      <c r="B462" t="s">
        <v>8156</v>
      </c>
      <c r="C462" t="s">
        <v>4029</v>
      </c>
      <c r="H462">
        <v>33112</v>
      </c>
      <c r="N462" t="s">
        <v>6370</v>
      </c>
      <c r="S462" t="s">
        <v>8402</v>
      </c>
    </row>
    <row r="463" spans="1:19" x14ac:dyDescent="0.3">
      <c r="A463" t="s">
        <v>7867</v>
      </c>
      <c r="B463" t="s">
        <v>8157</v>
      </c>
      <c r="C463" t="s">
        <v>3997</v>
      </c>
      <c r="H463">
        <v>46992</v>
      </c>
      <c r="N463" t="s">
        <v>6714</v>
      </c>
      <c r="S463" t="s">
        <v>8402</v>
      </c>
    </row>
    <row r="464" spans="1:19" x14ac:dyDescent="0.3">
      <c r="A464" t="s">
        <v>7868</v>
      </c>
      <c r="B464" t="s">
        <v>8158</v>
      </c>
      <c r="C464" t="s">
        <v>3997</v>
      </c>
      <c r="H464">
        <v>46992</v>
      </c>
      <c r="N464" t="s">
        <v>6716</v>
      </c>
      <c r="S464" t="s">
        <v>8402</v>
      </c>
    </row>
    <row r="465" spans="1:19" x14ac:dyDescent="0.3">
      <c r="A465" t="s">
        <v>7869</v>
      </c>
      <c r="B465" t="s">
        <v>8159</v>
      </c>
      <c r="C465" t="s">
        <v>4029</v>
      </c>
      <c r="H465">
        <v>33112</v>
      </c>
      <c r="N465" t="s">
        <v>6718</v>
      </c>
      <c r="S465" t="s">
        <v>8402</v>
      </c>
    </row>
    <row r="466" spans="1:19" x14ac:dyDescent="0.3">
      <c r="A466" t="s">
        <v>7870</v>
      </c>
      <c r="B466" t="s">
        <v>8160</v>
      </c>
      <c r="C466" t="s">
        <v>4067</v>
      </c>
      <c r="H466">
        <v>31751</v>
      </c>
      <c r="N466" t="s">
        <v>6348</v>
      </c>
      <c r="S466" t="s">
        <v>8402</v>
      </c>
    </row>
    <row r="467" spans="1:19" x14ac:dyDescent="0.3">
      <c r="A467" t="s">
        <v>7871</v>
      </c>
      <c r="B467" t="s">
        <v>8161</v>
      </c>
      <c r="C467" t="s">
        <v>4037</v>
      </c>
      <c r="H467">
        <v>45132</v>
      </c>
      <c r="N467" t="s">
        <v>6720</v>
      </c>
      <c r="S467" t="s">
        <v>8402</v>
      </c>
    </row>
    <row r="468" spans="1:19" x14ac:dyDescent="0.3">
      <c r="A468" t="s">
        <v>7872</v>
      </c>
      <c r="B468" t="s">
        <v>8162</v>
      </c>
      <c r="C468" t="s">
        <v>4037</v>
      </c>
      <c r="H468">
        <v>45132</v>
      </c>
      <c r="N468" t="s">
        <v>6358</v>
      </c>
      <c r="S468" t="s">
        <v>8402</v>
      </c>
    </row>
    <row r="469" spans="1:19" x14ac:dyDescent="0.3">
      <c r="A469" t="s">
        <v>7873</v>
      </c>
      <c r="B469" t="s">
        <v>8163</v>
      </c>
      <c r="C469" t="s">
        <v>4029</v>
      </c>
      <c r="H469">
        <v>33112</v>
      </c>
      <c r="N469" t="s">
        <v>6722</v>
      </c>
      <c r="S469" t="s">
        <v>8402</v>
      </c>
    </row>
    <row r="470" spans="1:19" x14ac:dyDescent="0.3">
      <c r="A470" t="s">
        <v>7874</v>
      </c>
      <c r="B470" t="s">
        <v>8164</v>
      </c>
      <c r="C470" t="s">
        <v>7758</v>
      </c>
      <c r="H470">
        <v>34020</v>
      </c>
      <c r="N470" t="s">
        <v>6724</v>
      </c>
      <c r="S470" t="s">
        <v>8402</v>
      </c>
    </row>
    <row r="471" spans="1:19" x14ac:dyDescent="0.3">
      <c r="A471" t="s">
        <v>7875</v>
      </c>
      <c r="B471" t="s">
        <v>8165</v>
      </c>
      <c r="C471" t="s">
        <v>4037</v>
      </c>
      <c r="H471">
        <v>45132</v>
      </c>
      <c r="N471" t="s">
        <v>6296</v>
      </c>
      <c r="S471" t="s">
        <v>8402</v>
      </c>
    </row>
    <row r="472" spans="1:19" x14ac:dyDescent="0.3">
      <c r="A472" t="s">
        <v>7876</v>
      </c>
      <c r="B472" t="s">
        <v>8166</v>
      </c>
      <c r="C472" t="s">
        <v>7746</v>
      </c>
      <c r="H472">
        <v>19414</v>
      </c>
      <c r="N472" t="s">
        <v>6726</v>
      </c>
      <c r="S472" t="s">
        <v>8402</v>
      </c>
    </row>
    <row r="473" spans="1:19" x14ac:dyDescent="0.3">
      <c r="A473" t="s">
        <v>7877</v>
      </c>
      <c r="B473" t="s">
        <v>8167</v>
      </c>
      <c r="C473" t="s">
        <v>7746</v>
      </c>
      <c r="H473">
        <v>19414</v>
      </c>
      <c r="N473" t="s">
        <v>6726</v>
      </c>
      <c r="S473" t="s">
        <v>8402</v>
      </c>
    </row>
    <row r="474" spans="1:19" x14ac:dyDescent="0.3">
      <c r="A474" t="s">
        <v>7878</v>
      </c>
      <c r="B474" t="s">
        <v>8168</v>
      </c>
      <c r="C474" t="s">
        <v>4067</v>
      </c>
      <c r="H474">
        <v>31751</v>
      </c>
      <c r="N474" t="s">
        <v>6728</v>
      </c>
      <c r="S474" t="s">
        <v>8402</v>
      </c>
    </row>
    <row r="475" spans="1:19" x14ac:dyDescent="0.3">
      <c r="A475" t="s">
        <v>7879</v>
      </c>
      <c r="B475" t="s">
        <v>8169</v>
      </c>
      <c r="C475" t="s">
        <v>3997</v>
      </c>
      <c r="H475">
        <v>45178</v>
      </c>
      <c r="N475" t="s">
        <v>6730</v>
      </c>
      <c r="S475" t="s">
        <v>8402</v>
      </c>
    </row>
    <row r="476" spans="1:19" x14ac:dyDescent="0.3">
      <c r="A476" t="s">
        <v>7880</v>
      </c>
      <c r="B476" t="s">
        <v>8170</v>
      </c>
      <c r="C476" t="s">
        <v>4037</v>
      </c>
      <c r="H476">
        <v>45132</v>
      </c>
      <c r="N476" t="s">
        <v>6732</v>
      </c>
      <c r="S476" t="s">
        <v>8402</v>
      </c>
    </row>
    <row r="477" spans="1:19" x14ac:dyDescent="0.3">
      <c r="A477" t="s">
        <v>7881</v>
      </c>
      <c r="B477" t="s">
        <v>8171</v>
      </c>
      <c r="C477" t="s">
        <v>7746</v>
      </c>
      <c r="H477">
        <v>19414</v>
      </c>
      <c r="N477" t="s">
        <v>6734</v>
      </c>
      <c r="S477" t="s">
        <v>8403</v>
      </c>
    </row>
    <row r="478" spans="1:19" x14ac:dyDescent="0.3">
      <c r="A478" t="s">
        <v>7882</v>
      </c>
      <c r="B478" t="s">
        <v>8172</v>
      </c>
      <c r="C478" t="s">
        <v>7758</v>
      </c>
      <c r="H478">
        <v>33838</v>
      </c>
      <c r="N478" t="s">
        <v>6730</v>
      </c>
      <c r="S478" t="s">
        <v>8402</v>
      </c>
    </row>
    <row r="479" spans="1:19" x14ac:dyDescent="0.3">
      <c r="A479" t="s">
        <v>7883</v>
      </c>
      <c r="B479" t="s">
        <v>8173</v>
      </c>
      <c r="C479" t="s">
        <v>8387</v>
      </c>
      <c r="H479">
        <v>61500</v>
      </c>
      <c r="N479" t="s">
        <v>6306</v>
      </c>
      <c r="S479" t="s">
        <v>8403</v>
      </c>
    </row>
    <row r="480" spans="1:19" x14ac:dyDescent="0.3">
      <c r="A480" t="s">
        <v>7884</v>
      </c>
      <c r="B480" t="s">
        <v>8174</v>
      </c>
      <c r="C480" t="s">
        <v>4029</v>
      </c>
      <c r="H480">
        <v>33112</v>
      </c>
      <c r="N480" t="s">
        <v>6736</v>
      </c>
      <c r="S480" t="s">
        <v>8402</v>
      </c>
    </row>
    <row r="481" spans="1:19" x14ac:dyDescent="0.3">
      <c r="A481" t="s">
        <v>7885</v>
      </c>
      <c r="B481" t="s">
        <v>8175</v>
      </c>
      <c r="C481" t="s">
        <v>8388</v>
      </c>
      <c r="H481">
        <v>11839</v>
      </c>
      <c r="N481" t="s">
        <v>6738</v>
      </c>
      <c r="S481" t="s">
        <v>8402</v>
      </c>
    </row>
    <row r="482" spans="1:19" x14ac:dyDescent="0.3">
      <c r="A482" t="s">
        <v>7886</v>
      </c>
      <c r="B482" t="s">
        <v>8176</v>
      </c>
      <c r="C482" t="s">
        <v>3997</v>
      </c>
      <c r="H482">
        <v>46992</v>
      </c>
      <c r="N482" t="s">
        <v>6740</v>
      </c>
      <c r="S482" t="s">
        <v>8402</v>
      </c>
    </row>
    <row r="483" spans="1:19" x14ac:dyDescent="0.3">
      <c r="A483" t="s">
        <v>7887</v>
      </c>
      <c r="B483" t="s">
        <v>8177</v>
      </c>
      <c r="C483" t="s">
        <v>6167</v>
      </c>
      <c r="H483">
        <v>56400</v>
      </c>
      <c r="N483" t="s">
        <v>6742</v>
      </c>
      <c r="S483" t="s">
        <v>8402</v>
      </c>
    </row>
    <row r="484" spans="1:19" x14ac:dyDescent="0.3">
      <c r="A484" t="s">
        <v>7888</v>
      </c>
      <c r="B484" t="s">
        <v>8178</v>
      </c>
      <c r="C484" t="s">
        <v>3980</v>
      </c>
      <c r="H484">
        <v>41277</v>
      </c>
      <c r="N484" t="s">
        <v>6744</v>
      </c>
      <c r="S484" t="s">
        <v>8402</v>
      </c>
    </row>
    <row r="485" spans="1:19" x14ac:dyDescent="0.3">
      <c r="A485" t="s">
        <v>7889</v>
      </c>
      <c r="B485" t="s">
        <v>8179</v>
      </c>
      <c r="C485" t="s">
        <v>7764</v>
      </c>
      <c r="H485">
        <v>8415</v>
      </c>
      <c r="N485" t="s">
        <v>6746</v>
      </c>
      <c r="S485" t="s">
        <v>8402</v>
      </c>
    </row>
    <row r="486" spans="1:19" x14ac:dyDescent="0.3">
      <c r="A486" t="s">
        <v>7890</v>
      </c>
      <c r="B486" t="s">
        <v>8180</v>
      </c>
      <c r="C486" t="s">
        <v>7745</v>
      </c>
      <c r="H486">
        <v>21863</v>
      </c>
      <c r="N486" t="s">
        <v>6746</v>
      </c>
      <c r="S486" t="s">
        <v>8402</v>
      </c>
    </row>
    <row r="487" spans="1:19" x14ac:dyDescent="0.3">
      <c r="A487" t="s">
        <v>7891</v>
      </c>
      <c r="B487" t="s">
        <v>8181</v>
      </c>
      <c r="C487" t="s">
        <v>7746</v>
      </c>
      <c r="H487">
        <v>16556</v>
      </c>
      <c r="N487" t="s">
        <v>6748</v>
      </c>
      <c r="S487" t="s">
        <v>8402</v>
      </c>
    </row>
    <row r="488" spans="1:19" x14ac:dyDescent="0.3">
      <c r="A488" t="s">
        <v>7892</v>
      </c>
      <c r="B488" t="s">
        <v>8182</v>
      </c>
      <c r="C488" t="s">
        <v>7750</v>
      </c>
      <c r="H488">
        <v>87000</v>
      </c>
      <c r="N488" t="s">
        <v>6306</v>
      </c>
      <c r="S488" t="s">
        <v>8403</v>
      </c>
    </row>
    <row r="489" spans="1:19" x14ac:dyDescent="0.3">
      <c r="A489" t="s">
        <v>7893</v>
      </c>
      <c r="B489" t="s">
        <v>8183</v>
      </c>
      <c r="C489" t="s">
        <v>7750</v>
      </c>
      <c r="H489">
        <v>87000</v>
      </c>
      <c r="N489" t="s">
        <v>6306</v>
      </c>
      <c r="S489" t="s">
        <v>8403</v>
      </c>
    </row>
    <row r="490" spans="1:19" x14ac:dyDescent="0.3">
      <c r="A490" t="s">
        <v>7894</v>
      </c>
      <c r="B490" t="s">
        <v>8184</v>
      </c>
      <c r="C490" t="s">
        <v>3980</v>
      </c>
      <c r="H490">
        <v>41277</v>
      </c>
      <c r="N490" t="s">
        <v>6750</v>
      </c>
      <c r="S490" t="s">
        <v>8402</v>
      </c>
    </row>
    <row r="491" spans="1:19" x14ac:dyDescent="0.3">
      <c r="A491" t="s">
        <v>7895</v>
      </c>
      <c r="B491" t="s">
        <v>8185</v>
      </c>
      <c r="C491" t="s">
        <v>7758</v>
      </c>
      <c r="H491">
        <v>33838</v>
      </c>
      <c r="N491" t="s">
        <v>6752</v>
      </c>
      <c r="S491" t="s">
        <v>8402</v>
      </c>
    </row>
    <row r="492" spans="1:19" x14ac:dyDescent="0.3">
      <c r="A492" t="s">
        <v>7896</v>
      </c>
      <c r="B492" t="s">
        <v>8186</v>
      </c>
      <c r="C492" t="s">
        <v>3887</v>
      </c>
      <c r="H492">
        <v>4740</v>
      </c>
      <c r="N492" t="s">
        <v>6754</v>
      </c>
      <c r="S492" t="s">
        <v>8402</v>
      </c>
    </row>
    <row r="493" spans="1:19" x14ac:dyDescent="0.3">
      <c r="A493" t="s">
        <v>7897</v>
      </c>
      <c r="B493" t="s">
        <v>8187</v>
      </c>
      <c r="C493" t="s">
        <v>7755</v>
      </c>
      <c r="H493">
        <v>52095</v>
      </c>
      <c r="N493" t="s">
        <v>6756</v>
      </c>
      <c r="S493" t="s">
        <v>8402</v>
      </c>
    </row>
    <row r="494" spans="1:19" x14ac:dyDescent="0.3">
      <c r="A494" t="s">
        <v>7898</v>
      </c>
      <c r="B494" t="s">
        <v>8188</v>
      </c>
      <c r="C494" t="s">
        <v>7758</v>
      </c>
      <c r="H494">
        <v>33838</v>
      </c>
      <c r="N494" t="s">
        <v>6758</v>
      </c>
      <c r="S494" t="s">
        <v>8402</v>
      </c>
    </row>
    <row r="495" spans="1:19" x14ac:dyDescent="0.3">
      <c r="A495" t="s">
        <v>7899</v>
      </c>
      <c r="B495" t="s">
        <v>8189</v>
      </c>
      <c r="C495" t="s">
        <v>4067</v>
      </c>
      <c r="H495">
        <v>31751</v>
      </c>
      <c r="N495" t="s">
        <v>6760</v>
      </c>
      <c r="S495" t="s">
        <v>8402</v>
      </c>
    </row>
    <row r="496" spans="1:19" x14ac:dyDescent="0.3">
      <c r="A496" t="s">
        <v>7900</v>
      </c>
      <c r="B496" t="s">
        <v>8190</v>
      </c>
      <c r="C496" t="s">
        <v>7747</v>
      </c>
      <c r="H496">
        <v>21092</v>
      </c>
      <c r="N496" t="s">
        <v>6760</v>
      </c>
      <c r="S496" t="s">
        <v>8402</v>
      </c>
    </row>
    <row r="497" spans="1:19" x14ac:dyDescent="0.3">
      <c r="A497" t="s">
        <v>7901</v>
      </c>
      <c r="B497" t="s">
        <v>8191</v>
      </c>
      <c r="C497" t="s">
        <v>8389</v>
      </c>
      <c r="H497">
        <v>9752</v>
      </c>
      <c r="N497" t="s">
        <v>6760</v>
      </c>
      <c r="S497" t="s">
        <v>8402</v>
      </c>
    </row>
    <row r="498" spans="1:19" x14ac:dyDescent="0.3">
      <c r="A498" t="s">
        <v>7902</v>
      </c>
      <c r="B498" t="s">
        <v>8192</v>
      </c>
      <c r="C498" t="s">
        <v>4045</v>
      </c>
      <c r="H498">
        <v>8301</v>
      </c>
      <c r="N498" t="s">
        <v>6762</v>
      </c>
      <c r="S498" t="s">
        <v>8402</v>
      </c>
    </row>
    <row r="499" spans="1:19" x14ac:dyDescent="0.3">
      <c r="A499" t="s">
        <v>7903</v>
      </c>
      <c r="B499" t="s">
        <v>8193</v>
      </c>
      <c r="C499" t="s">
        <v>3887</v>
      </c>
      <c r="H499">
        <v>4740</v>
      </c>
      <c r="N499" t="s">
        <v>6762</v>
      </c>
      <c r="S499" t="s">
        <v>8402</v>
      </c>
    </row>
    <row r="500" spans="1:19" x14ac:dyDescent="0.3">
      <c r="A500" t="s">
        <v>7904</v>
      </c>
      <c r="B500" t="s">
        <v>8194</v>
      </c>
      <c r="C500" t="s">
        <v>7755</v>
      </c>
      <c r="H500">
        <v>52095</v>
      </c>
      <c r="N500" t="s">
        <v>6460</v>
      </c>
      <c r="S500" t="s">
        <v>8402</v>
      </c>
    </row>
    <row r="501" spans="1:19" x14ac:dyDescent="0.3">
      <c r="A501" t="s">
        <v>7905</v>
      </c>
      <c r="B501" t="s">
        <v>8195</v>
      </c>
      <c r="C501" t="s">
        <v>3887</v>
      </c>
      <c r="H501">
        <v>4740</v>
      </c>
      <c r="N501" t="s">
        <v>6762</v>
      </c>
      <c r="S501" t="s">
        <v>8402</v>
      </c>
    </row>
    <row r="502" spans="1:19" x14ac:dyDescent="0.3">
      <c r="A502" t="s">
        <v>7906</v>
      </c>
      <c r="B502" t="s">
        <v>8196</v>
      </c>
      <c r="C502" t="s">
        <v>4045</v>
      </c>
      <c r="H502">
        <v>8301</v>
      </c>
      <c r="N502" t="s">
        <v>6762</v>
      </c>
      <c r="S502" t="s">
        <v>8402</v>
      </c>
    </row>
    <row r="503" spans="1:19" x14ac:dyDescent="0.3">
      <c r="A503" t="s">
        <v>7907</v>
      </c>
      <c r="B503" t="s">
        <v>8197</v>
      </c>
      <c r="C503" t="s">
        <v>4045</v>
      </c>
      <c r="H503">
        <v>8301</v>
      </c>
      <c r="N503" t="s">
        <v>6762</v>
      </c>
      <c r="S503" t="s">
        <v>8402</v>
      </c>
    </row>
    <row r="504" spans="1:19" x14ac:dyDescent="0.3">
      <c r="A504" t="s">
        <v>7908</v>
      </c>
      <c r="B504" t="s">
        <v>8198</v>
      </c>
      <c r="C504" t="s">
        <v>4037</v>
      </c>
      <c r="H504">
        <v>44452</v>
      </c>
      <c r="N504" t="s">
        <v>6764</v>
      </c>
      <c r="S504" t="s">
        <v>8402</v>
      </c>
    </row>
    <row r="505" spans="1:19" x14ac:dyDescent="0.3">
      <c r="A505" t="s">
        <v>7909</v>
      </c>
      <c r="B505" t="s">
        <v>8199</v>
      </c>
      <c r="C505" t="s">
        <v>3980</v>
      </c>
      <c r="H505">
        <v>41277</v>
      </c>
      <c r="N505" t="s">
        <v>6766</v>
      </c>
      <c r="S505" t="s">
        <v>8402</v>
      </c>
    </row>
    <row r="506" spans="1:19" x14ac:dyDescent="0.3">
      <c r="A506" t="s">
        <v>7910</v>
      </c>
      <c r="B506" t="s">
        <v>8200</v>
      </c>
      <c r="C506" t="s">
        <v>4037</v>
      </c>
      <c r="H506">
        <v>44452</v>
      </c>
      <c r="N506" t="s">
        <v>6768</v>
      </c>
      <c r="S506" t="s">
        <v>8402</v>
      </c>
    </row>
    <row r="507" spans="1:19" x14ac:dyDescent="0.3">
      <c r="A507" t="s">
        <v>7911</v>
      </c>
      <c r="B507" t="s">
        <v>8201</v>
      </c>
      <c r="C507" t="s">
        <v>3887</v>
      </c>
      <c r="H507">
        <v>4740</v>
      </c>
      <c r="N507" t="s">
        <v>6762</v>
      </c>
      <c r="S507" t="s">
        <v>8402</v>
      </c>
    </row>
    <row r="508" spans="1:19" x14ac:dyDescent="0.3">
      <c r="A508" t="s">
        <v>7912</v>
      </c>
      <c r="B508" t="s">
        <v>8202</v>
      </c>
      <c r="C508" t="s">
        <v>4067</v>
      </c>
      <c r="H508">
        <v>31751</v>
      </c>
      <c r="N508" t="s">
        <v>6770</v>
      </c>
      <c r="S508" t="s">
        <v>8402</v>
      </c>
    </row>
    <row r="509" spans="1:19" x14ac:dyDescent="0.3">
      <c r="A509" t="s">
        <v>7913</v>
      </c>
      <c r="B509" t="s">
        <v>8203</v>
      </c>
      <c r="C509" t="s">
        <v>4067</v>
      </c>
      <c r="H509">
        <v>31751</v>
      </c>
      <c r="N509" t="s">
        <v>6772</v>
      </c>
      <c r="S509" t="s">
        <v>8402</v>
      </c>
    </row>
    <row r="510" spans="1:19" x14ac:dyDescent="0.3">
      <c r="A510" t="s">
        <v>7914</v>
      </c>
      <c r="B510" t="s">
        <v>8204</v>
      </c>
      <c r="C510" t="s">
        <v>4037</v>
      </c>
      <c r="H510">
        <v>45132</v>
      </c>
      <c r="N510" t="s">
        <v>6774</v>
      </c>
      <c r="S510" t="s">
        <v>8402</v>
      </c>
    </row>
    <row r="511" spans="1:19" x14ac:dyDescent="0.3">
      <c r="A511" t="s">
        <v>7915</v>
      </c>
      <c r="B511" t="s">
        <v>8205</v>
      </c>
      <c r="C511" t="s">
        <v>3997</v>
      </c>
      <c r="H511">
        <v>45178</v>
      </c>
      <c r="N511" t="s">
        <v>6776</v>
      </c>
      <c r="S511" t="s">
        <v>8402</v>
      </c>
    </row>
    <row r="512" spans="1:19" x14ac:dyDescent="0.3">
      <c r="A512" t="s">
        <v>7916</v>
      </c>
      <c r="B512" t="s">
        <v>8206</v>
      </c>
      <c r="C512" t="s">
        <v>7755</v>
      </c>
      <c r="H512">
        <v>52095</v>
      </c>
      <c r="N512" t="s">
        <v>6774</v>
      </c>
      <c r="S512" t="s">
        <v>8402</v>
      </c>
    </row>
    <row r="513" spans="1:19" x14ac:dyDescent="0.3">
      <c r="A513" t="s">
        <v>7917</v>
      </c>
      <c r="B513" t="s">
        <v>8207</v>
      </c>
      <c r="C513" t="s">
        <v>7746</v>
      </c>
      <c r="H513">
        <v>19142</v>
      </c>
      <c r="N513" t="s">
        <v>6778</v>
      </c>
      <c r="S513" t="s">
        <v>8402</v>
      </c>
    </row>
    <row r="514" spans="1:19" x14ac:dyDescent="0.3">
      <c r="A514" t="s">
        <v>7918</v>
      </c>
      <c r="B514" t="s">
        <v>8208</v>
      </c>
      <c r="C514" t="s">
        <v>4037</v>
      </c>
      <c r="H514">
        <v>43545</v>
      </c>
      <c r="N514" t="s">
        <v>6780</v>
      </c>
      <c r="S514" t="s">
        <v>8402</v>
      </c>
    </row>
    <row r="515" spans="1:19" x14ac:dyDescent="0.3">
      <c r="A515" t="s">
        <v>7919</v>
      </c>
      <c r="B515" t="s">
        <v>8209</v>
      </c>
      <c r="C515" t="s">
        <v>3997</v>
      </c>
      <c r="H515">
        <v>45178</v>
      </c>
      <c r="N515" t="s">
        <v>6782</v>
      </c>
      <c r="S515" t="s">
        <v>8402</v>
      </c>
    </row>
    <row r="516" spans="1:19" x14ac:dyDescent="0.3">
      <c r="A516" t="s">
        <v>7920</v>
      </c>
      <c r="B516" t="s">
        <v>8210</v>
      </c>
      <c r="C516" t="s">
        <v>3980</v>
      </c>
      <c r="H516">
        <v>41050</v>
      </c>
      <c r="N516" t="s">
        <v>6784</v>
      </c>
      <c r="S516" t="s">
        <v>8402</v>
      </c>
    </row>
    <row r="517" spans="1:19" x14ac:dyDescent="0.3">
      <c r="A517" t="s">
        <v>7921</v>
      </c>
      <c r="B517" t="s">
        <v>8211</v>
      </c>
      <c r="C517" t="s">
        <v>4037</v>
      </c>
      <c r="H517">
        <v>45132</v>
      </c>
      <c r="N517" t="s">
        <v>6552</v>
      </c>
      <c r="S517" t="s">
        <v>8403</v>
      </c>
    </row>
    <row r="518" spans="1:19" x14ac:dyDescent="0.3">
      <c r="A518" t="s">
        <v>7922</v>
      </c>
      <c r="B518" t="s">
        <v>8212</v>
      </c>
      <c r="C518" t="s">
        <v>7746</v>
      </c>
      <c r="H518">
        <v>19414</v>
      </c>
      <c r="N518" t="s">
        <v>6786</v>
      </c>
      <c r="S518" t="s">
        <v>8402</v>
      </c>
    </row>
    <row r="519" spans="1:19" x14ac:dyDescent="0.3">
      <c r="A519" t="s">
        <v>7923</v>
      </c>
      <c r="B519" t="s">
        <v>8213</v>
      </c>
      <c r="C519" t="s">
        <v>7746</v>
      </c>
      <c r="N519" t="s">
        <v>6310</v>
      </c>
      <c r="S519" t="s">
        <v>8402</v>
      </c>
    </row>
    <row r="520" spans="1:19" x14ac:dyDescent="0.3">
      <c r="A520" t="s">
        <v>7924</v>
      </c>
      <c r="B520" t="s">
        <v>8214</v>
      </c>
      <c r="C520" t="s">
        <v>4037</v>
      </c>
      <c r="H520">
        <v>45132</v>
      </c>
      <c r="N520" t="s">
        <v>6350</v>
      </c>
      <c r="S520" t="s">
        <v>8402</v>
      </c>
    </row>
    <row r="521" spans="1:19" x14ac:dyDescent="0.3">
      <c r="A521" t="s">
        <v>7925</v>
      </c>
      <c r="B521" t="s">
        <v>8215</v>
      </c>
      <c r="C521" t="s">
        <v>3997</v>
      </c>
      <c r="H521">
        <v>46992</v>
      </c>
      <c r="N521" t="s">
        <v>6348</v>
      </c>
      <c r="S521" t="s">
        <v>8402</v>
      </c>
    </row>
    <row r="522" spans="1:19" x14ac:dyDescent="0.3">
      <c r="A522" t="s">
        <v>7926</v>
      </c>
      <c r="B522" t="s">
        <v>8216</v>
      </c>
      <c r="C522" t="s">
        <v>3980</v>
      </c>
      <c r="H522">
        <v>41277</v>
      </c>
      <c r="N522" t="s">
        <v>6616</v>
      </c>
      <c r="S522" t="s">
        <v>8402</v>
      </c>
    </row>
    <row r="523" spans="1:19" x14ac:dyDescent="0.3">
      <c r="A523" t="s">
        <v>7927</v>
      </c>
      <c r="B523" t="s">
        <v>8217</v>
      </c>
      <c r="C523" t="s">
        <v>7762</v>
      </c>
      <c r="H523">
        <v>36106</v>
      </c>
      <c r="N523" t="s">
        <v>6372</v>
      </c>
      <c r="S523" t="s">
        <v>8402</v>
      </c>
    </row>
    <row r="524" spans="1:19" x14ac:dyDescent="0.3">
      <c r="A524" t="s">
        <v>7928</v>
      </c>
      <c r="B524" t="s">
        <v>8218</v>
      </c>
      <c r="C524" t="s">
        <v>7748</v>
      </c>
      <c r="H524">
        <v>42910</v>
      </c>
      <c r="N524" t="s">
        <v>6788</v>
      </c>
      <c r="S524" t="s">
        <v>8402</v>
      </c>
    </row>
    <row r="525" spans="1:19" x14ac:dyDescent="0.3">
      <c r="A525" t="s">
        <v>7929</v>
      </c>
      <c r="B525" t="s">
        <v>8219</v>
      </c>
      <c r="C525" t="s">
        <v>7755</v>
      </c>
      <c r="H525">
        <v>52095</v>
      </c>
      <c r="N525" t="s">
        <v>6350</v>
      </c>
      <c r="S525" t="s">
        <v>8402</v>
      </c>
    </row>
    <row r="526" spans="1:19" x14ac:dyDescent="0.3">
      <c r="A526" t="s">
        <v>7930</v>
      </c>
      <c r="B526" t="s">
        <v>8220</v>
      </c>
      <c r="C526" t="s">
        <v>4037</v>
      </c>
      <c r="H526">
        <v>45132</v>
      </c>
      <c r="N526" t="s">
        <v>6790</v>
      </c>
      <c r="S526" t="s">
        <v>8402</v>
      </c>
    </row>
    <row r="527" spans="1:19" x14ac:dyDescent="0.3">
      <c r="A527" t="s">
        <v>7931</v>
      </c>
      <c r="B527" t="s">
        <v>8221</v>
      </c>
      <c r="C527" t="s">
        <v>8390</v>
      </c>
      <c r="N527" t="s">
        <v>6792</v>
      </c>
      <c r="S527" t="s">
        <v>8402</v>
      </c>
    </row>
    <row r="528" spans="1:19" x14ac:dyDescent="0.3">
      <c r="A528" t="s">
        <v>7932</v>
      </c>
      <c r="B528" t="s">
        <v>8222</v>
      </c>
      <c r="C528" t="s">
        <v>7750</v>
      </c>
      <c r="H528">
        <v>87000</v>
      </c>
      <c r="N528" t="s">
        <v>6794</v>
      </c>
      <c r="S528" t="s">
        <v>8403</v>
      </c>
    </row>
    <row r="529" spans="1:19" x14ac:dyDescent="0.3">
      <c r="A529" t="s">
        <v>7933</v>
      </c>
      <c r="B529" t="s">
        <v>8223</v>
      </c>
      <c r="C529" t="s">
        <v>8391</v>
      </c>
      <c r="H529">
        <v>5670</v>
      </c>
      <c r="N529" t="s">
        <v>6286</v>
      </c>
      <c r="S529" t="s">
        <v>8402</v>
      </c>
    </row>
    <row r="530" spans="1:19" x14ac:dyDescent="0.3">
      <c r="A530" t="s">
        <v>7934</v>
      </c>
      <c r="B530" t="s">
        <v>8224</v>
      </c>
      <c r="C530" t="s">
        <v>7772</v>
      </c>
      <c r="H530">
        <v>13744</v>
      </c>
      <c r="N530" t="s">
        <v>6752</v>
      </c>
      <c r="S530" t="s">
        <v>8402</v>
      </c>
    </row>
    <row r="531" spans="1:19" x14ac:dyDescent="0.3">
      <c r="A531" t="s">
        <v>7935</v>
      </c>
      <c r="B531" t="s">
        <v>8225</v>
      </c>
      <c r="C531" t="s">
        <v>4037</v>
      </c>
      <c r="H531">
        <v>45132</v>
      </c>
      <c r="N531" t="s">
        <v>6348</v>
      </c>
      <c r="S531" t="s">
        <v>8402</v>
      </c>
    </row>
    <row r="532" spans="1:19" x14ac:dyDescent="0.3">
      <c r="A532" t="s">
        <v>7936</v>
      </c>
      <c r="B532" t="s">
        <v>8226</v>
      </c>
      <c r="C532" t="s">
        <v>3997</v>
      </c>
      <c r="H532">
        <v>46992</v>
      </c>
      <c r="N532" t="s">
        <v>6714</v>
      </c>
      <c r="S532" t="s">
        <v>8402</v>
      </c>
    </row>
    <row r="533" spans="1:19" x14ac:dyDescent="0.3">
      <c r="A533" t="s">
        <v>7937</v>
      </c>
      <c r="B533" t="s">
        <v>8227</v>
      </c>
      <c r="C533" t="s">
        <v>7748</v>
      </c>
      <c r="H533">
        <v>42910</v>
      </c>
      <c r="N533" t="s">
        <v>6788</v>
      </c>
      <c r="S533" t="s">
        <v>8402</v>
      </c>
    </row>
    <row r="534" spans="1:19" x14ac:dyDescent="0.3">
      <c r="A534" t="s">
        <v>7938</v>
      </c>
      <c r="B534" t="s">
        <v>8228</v>
      </c>
      <c r="C534" t="s">
        <v>7762</v>
      </c>
      <c r="H534">
        <v>36106</v>
      </c>
      <c r="N534" t="s">
        <v>6550</v>
      </c>
      <c r="S534" t="s">
        <v>8402</v>
      </c>
    </row>
    <row r="535" spans="1:19" x14ac:dyDescent="0.3">
      <c r="A535" t="s">
        <v>7939</v>
      </c>
      <c r="B535" t="s">
        <v>8229</v>
      </c>
      <c r="C535" t="s">
        <v>7759</v>
      </c>
      <c r="H535">
        <v>17622</v>
      </c>
      <c r="N535" t="s">
        <v>6432</v>
      </c>
      <c r="S535" t="s">
        <v>8402</v>
      </c>
    </row>
    <row r="536" spans="1:19" x14ac:dyDescent="0.3">
      <c r="A536" t="s">
        <v>7940</v>
      </c>
      <c r="B536" t="s">
        <v>8230</v>
      </c>
      <c r="C536" t="s">
        <v>3980</v>
      </c>
      <c r="H536">
        <v>41277</v>
      </c>
      <c r="N536" t="s">
        <v>6730</v>
      </c>
      <c r="S536" t="s">
        <v>8402</v>
      </c>
    </row>
    <row r="537" spans="1:19" x14ac:dyDescent="0.3">
      <c r="A537" t="s">
        <v>7941</v>
      </c>
      <c r="B537" t="s">
        <v>8231</v>
      </c>
      <c r="C537" t="s">
        <v>3997</v>
      </c>
      <c r="H537">
        <v>46992</v>
      </c>
      <c r="N537" t="s">
        <v>6350</v>
      </c>
      <c r="S537" t="s">
        <v>8402</v>
      </c>
    </row>
    <row r="538" spans="1:19" x14ac:dyDescent="0.3">
      <c r="A538" t="s">
        <v>7942</v>
      </c>
      <c r="B538" t="s">
        <v>8232</v>
      </c>
      <c r="C538" t="s">
        <v>3997</v>
      </c>
      <c r="H538">
        <v>46992</v>
      </c>
      <c r="N538" t="s">
        <v>6386</v>
      </c>
      <c r="S538" t="s">
        <v>8402</v>
      </c>
    </row>
    <row r="539" spans="1:19" x14ac:dyDescent="0.3">
      <c r="A539" t="s">
        <v>7943</v>
      </c>
      <c r="B539" t="s">
        <v>8233</v>
      </c>
      <c r="C539" t="s">
        <v>3997</v>
      </c>
      <c r="H539">
        <v>46992</v>
      </c>
      <c r="N539" t="s">
        <v>6796</v>
      </c>
      <c r="S539" t="s">
        <v>8402</v>
      </c>
    </row>
    <row r="540" spans="1:19" x14ac:dyDescent="0.3">
      <c r="A540" t="s">
        <v>7944</v>
      </c>
      <c r="B540" t="s">
        <v>8234</v>
      </c>
      <c r="C540" t="s">
        <v>7748</v>
      </c>
      <c r="H540">
        <v>42910</v>
      </c>
      <c r="N540" t="s">
        <v>6362</v>
      </c>
      <c r="S540" t="s">
        <v>8402</v>
      </c>
    </row>
    <row r="541" spans="1:19" x14ac:dyDescent="0.3">
      <c r="A541" t="s">
        <v>7945</v>
      </c>
      <c r="B541" t="s">
        <v>8235</v>
      </c>
      <c r="C541" t="s">
        <v>4084</v>
      </c>
      <c r="H541">
        <v>17917</v>
      </c>
      <c r="N541" t="s">
        <v>6798</v>
      </c>
      <c r="S541" t="s">
        <v>8402</v>
      </c>
    </row>
    <row r="542" spans="1:19" x14ac:dyDescent="0.3">
      <c r="A542" t="s">
        <v>7946</v>
      </c>
      <c r="B542" t="s">
        <v>8236</v>
      </c>
      <c r="C542" t="s">
        <v>3980</v>
      </c>
      <c r="H542">
        <v>41277</v>
      </c>
      <c r="N542" t="s">
        <v>6384</v>
      </c>
      <c r="S542" t="s">
        <v>8402</v>
      </c>
    </row>
    <row r="543" spans="1:19" x14ac:dyDescent="0.3">
      <c r="A543" t="s">
        <v>7947</v>
      </c>
      <c r="B543" t="s">
        <v>8237</v>
      </c>
      <c r="C543" t="s">
        <v>4067</v>
      </c>
      <c r="H543">
        <v>33112</v>
      </c>
      <c r="N543" t="s">
        <v>6800</v>
      </c>
      <c r="S543" t="s">
        <v>8402</v>
      </c>
    </row>
    <row r="544" spans="1:19" x14ac:dyDescent="0.3">
      <c r="A544" t="s">
        <v>7948</v>
      </c>
      <c r="B544" t="s">
        <v>8238</v>
      </c>
      <c r="C544" t="s">
        <v>3980</v>
      </c>
      <c r="H544">
        <v>41050</v>
      </c>
      <c r="N544" t="s">
        <v>6802</v>
      </c>
      <c r="S544" t="s">
        <v>8402</v>
      </c>
    </row>
    <row r="545" spans="1:19" x14ac:dyDescent="0.3">
      <c r="A545" t="s">
        <v>7949</v>
      </c>
      <c r="B545" t="s">
        <v>8239</v>
      </c>
      <c r="C545" t="s">
        <v>3997</v>
      </c>
      <c r="H545">
        <v>46992</v>
      </c>
      <c r="N545" t="s">
        <v>6804</v>
      </c>
      <c r="S545" t="s">
        <v>8402</v>
      </c>
    </row>
    <row r="546" spans="1:19" x14ac:dyDescent="0.3">
      <c r="A546" t="s">
        <v>7950</v>
      </c>
      <c r="B546" t="s">
        <v>8240</v>
      </c>
      <c r="C546" t="s">
        <v>7765</v>
      </c>
      <c r="H546">
        <v>19440</v>
      </c>
      <c r="N546" t="s">
        <v>6424</v>
      </c>
      <c r="S546" t="s">
        <v>8402</v>
      </c>
    </row>
    <row r="547" spans="1:19" x14ac:dyDescent="0.3">
      <c r="A547" t="s">
        <v>7951</v>
      </c>
      <c r="B547" t="s">
        <v>8241</v>
      </c>
      <c r="C547" t="s">
        <v>6163</v>
      </c>
      <c r="H547">
        <v>77564</v>
      </c>
      <c r="N547" t="s">
        <v>6806</v>
      </c>
      <c r="S547" t="s">
        <v>8402</v>
      </c>
    </row>
    <row r="548" spans="1:19" x14ac:dyDescent="0.3">
      <c r="A548" t="s">
        <v>7952</v>
      </c>
      <c r="B548" t="s">
        <v>8242</v>
      </c>
      <c r="C548" t="s">
        <v>4067</v>
      </c>
      <c r="H548">
        <v>31751</v>
      </c>
      <c r="N548" t="s">
        <v>6808</v>
      </c>
      <c r="S548" t="s">
        <v>8403</v>
      </c>
    </row>
    <row r="549" spans="1:19" x14ac:dyDescent="0.3">
      <c r="A549" t="s">
        <v>7953</v>
      </c>
      <c r="B549" t="s">
        <v>8243</v>
      </c>
      <c r="C549" t="s">
        <v>7755</v>
      </c>
      <c r="H549">
        <v>52095</v>
      </c>
      <c r="N549" t="s">
        <v>6446</v>
      </c>
      <c r="S549" t="s">
        <v>8402</v>
      </c>
    </row>
    <row r="550" spans="1:19" x14ac:dyDescent="0.3">
      <c r="A550" t="s">
        <v>7954</v>
      </c>
      <c r="B550" t="s">
        <v>8244</v>
      </c>
      <c r="C550" t="s">
        <v>7755</v>
      </c>
      <c r="H550">
        <v>52095</v>
      </c>
      <c r="N550" t="s">
        <v>6810</v>
      </c>
      <c r="S550" t="s">
        <v>8402</v>
      </c>
    </row>
    <row r="551" spans="1:19" x14ac:dyDescent="0.3">
      <c r="A551" t="s">
        <v>7955</v>
      </c>
      <c r="B551" t="s">
        <v>8245</v>
      </c>
      <c r="C551" t="s">
        <v>8386</v>
      </c>
      <c r="H551">
        <v>74389</v>
      </c>
      <c r="N551" t="s">
        <v>6704</v>
      </c>
      <c r="S551" t="s">
        <v>8405</v>
      </c>
    </row>
    <row r="552" spans="1:19" x14ac:dyDescent="0.3">
      <c r="A552" t="s">
        <v>7956</v>
      </c>
      <c r="B552" t="s">
        <v>8246</v>
      </c>
      <c r="C552" t="s">
        <v>4037</v>
      </c>
      <c r="H552">
        <v>44452</v>
      </c>
      <c r="N552" t="s">
        <v>6386</v>
      </c>
      <c r="S552" t="s">
        <v>8402</v>
      </c>
    </row>
    <row r="553" spans="1:19" x14ac:dyDescent="0.3">
      <c r="A553" t="s">
        <v>7957</v>
      </c>
      <c r="B553" t="s">
        <v>8247</v>
      </c>
      <c r="C553" t="s">
        <v>7748</v>
      </c>
      <c r="H553">
        <v>42910</v>
      </c>
      <c r="N553" t="s">
        <v>6424</v>
      </c>
      <c r="S553" t="s">
        <v>8402</v>
      </c>
    </row>
    <row r="554" spans="1:19" x14ac:dyDescent="0.3">
      <c r="A554" t="s">
        <v>7958</v>
      </c>
      <c r="B554" t="s">
        <v>8248</v>
      </c>
      <c r="C554" t="s">
        <v>3980</v>
      </c>
      <c r="H554">
        <v>41277</v>
      </c>
      <c r="N554" t="s">
        <v>6812</v>
      </c>
      <c r="S554" t="s">
        <v>8404</v>
      </c>
    </row>
    <row r="555" spans="1:19" x14ac:dyDescent="0.3">
      <c r="A555" t="s">
        <v>7959</v>
      </c>
      <c r="B555" t="s">
        <v>8249</v>
      </c>
      <c r="C555" t="s">
        <v>7755</v>
      </c>
      <c r="H555">
        <v>52095</v>
      </c>
      <c r="N555" t="s">
        <v>6814</v>
      </c>
      <c r="S555" t="s">
        <v>8402</v>
      </c>
    </row>
    <row r="556" spans="1:19" x14ac:dyDescent="0.3">
      <c r="A556" t="s">
        <v>7960</v>
      </c>
      <c r="B556" t="s">
        <v>8250</v>
      </c>
      <c r="C556" t="s">
        <v>4037</v>
      </c>
      <c r="H556">
        <v>45132</v>
      </c>
      <c r="N556" t="s">
        <v>6816</v>
      </c>
      <c r="S556" t="s">
        <v>8402</v>
      </c>
    </row>
    <row r="557" spans="1:19" x14ac:dyDescent="0.3">
      <c r="A557" t="s">
        <v>7961</v>
      </c>
      <c r="B557" t="s">
        <v>8251</v>
      </c>
      <c r="C557" t="s">
        <v>7755</v>
      </c>
      <c r="H557">
        <v>52095</v>
      </c>
      <c r="N557" t="s">
        <v>6818</v>
      </c>
      <c r="S557" t="s">
        <v>8402</v>
      </c>
    </row>
    <row r="558" spans="1:19" x14ac:dyDescent="0.3">
      <c r="A558" t="s">
        <v>7962</v>
      </c>
      <c r="B558" t="s">
        <v>8252</v>
      </c>
      <c r="C558" t="s">
        <v>7755</v>
      </c>
      <c r="H558">
        <v>52095</v>
      </c>
      <c r="N558" t="s">
        <v>6350</v>
      </c>
      <c r="S558" t="s">
        <v>8402</v>
      </c>
    </row>
    <row r="559" spans="1:19" x14ac:dyDescent="0.3">
      <c r="A559" t="s">
        <v>7963</v>
      </c>
      <c r="B559" t="s">
        <v>8253</v>
      </c>
      <c r="C559" t="s">
        <v>3980</v>
      </c>
      <c r="H559">
        <v>41277</v>
      </c>
      <c r="N559" t="s">
        <v>6624</v>
      </c>
      <c r="S559" t="s">
        <v>8402</v>
      </c>
    </row>
    <row r="560" spans="1:19" x14ac:dyDescent="0.3">
      <c r="A560" t="s">
        <v>7964</v>
      </c>
      <c r="B560" t="s">
        <v>8254</v>
      </c>
      <c r="C560" t="s">
        <v>3980</v>
      </c>
      <c r="H560">
        <v>41277</v>
      </c>
      <c r="N560" t="s">
        <v>6350</v>
      </c>
      <c r="S560" t="s">
        <v>8402</v>
      </c>
    </row>
    <row r="561" spans="1:19" x14ac:dyDescent="0.3">
      <c r="A561" t="s">
        <v>7965</v>
      </c>
      <c r="B561" t="s">
        <v>8255</v>
      </c>
      <c r="C561" t="s">
        <v>4029</v>
      </c>
      <c r="H561">
        <v>33112</v>
      </c>
      <c r="N561" t="s">
        <v>6770</v>
      </c>
      <c r="S561" t="s">
        <v>8402</v>
      </c>
    </row>
    <row r="562" spans="1:19" x14ac:dyDescent="0.3">
      <c r="A562" t="s">
        <v>7966</v>
      </c>
      <c r="B562" t="s">
        <v>8256</v>
      </c>
      <c r="C562" t="s">
        <v>3980</v>
      </c>
      <c r="H562">
        <v>41277</v>
      </c>
      <c r="N562" t="s">
        <v>6820</v>
      </c>
      <c r="S562" t="s">
        <v>8404</v>
      </c>
    </row>
    <row r="563" spans="1:19" x14ac:dyDescent="0.3">
      <c r="A563" t="s">
        <v>7967</v>
      </c>
      <c r="B563" t="s">
        <v>8257</v>
      </c>
      <c r="C563" t="s">
        <v>3997</v>
      </c>
      <c r="H563">
        <v>46992</v>
      </c>
      <c r="N563" t="s">
        <v>6630</v>
      </c>
      <c r="S563" t="s">
        <v>8402</v>
      </c>
    </row>
    <row r="564" spans="1:19" x14ac:dyDescent="0.3">
      <c r="A564" t="s">
        <v>7968</v>
      </c>
      <c r="B564" t="s">
        <v>8258</v>
      </c>
      <c r="C564" t="s">
        <v>7760</v>
      </c>
      <c r="H564">
        <v>41957</v>
      </c>
      <c r="N564" t="s">
        <v>6350</v>
      </c>
      <c r="S564" t="s">
        <v>8402</v>
      </c>
    </row>
    <row r="565" spans="1:19" x14ac:dyDescent="0.3">
      <c r="A565" t="s">
        <v>7969</v>
      </c>
      <c r="B565" t="s">
        <v>8259</v>
      </c>
      <c r="C565" t="s">
        <v>8392</v>
      </c>
      <c r="N565" t="s">
        <v>6760</v>
      </c>
      <c r="S565" t="s">
        <v>8402</v>
      </c>
    </row>
    <row r="566" spans="1:19" x14ac:dyDescent="0.3">
      <c r="A566" t="s">
        <v>7970</v>
      </c>
      <c r="B566" t="s">
        <v>8260</v>
      </c>
      <c r="C566" t="s">
        <v>3997</v>
      </c>
      <c r="H566">
        <v>46992</v>
      </c>
      <c r="N566" t="s">
        <v>6822</v>
      </c>
      <c r="S566" t="s">
        <v>8402</v>
      </c>
    </row>
    <row r="567" spans="1:19" x14ac:dyDescent="0.3">
      <c r="A567" t="s">
        <v>7971</v>
      </c>
      <c r="B567" t="s">
        <v>8261</v>
      </c>
      <c r="C567" t="s">
        <v>8386</v>
      </c>
      <c r="H567">
        <v>74389</v>
      </c>
      <c r="N567" t="s">
        <v>6704</v>
      </c>
      <c r="S567" t="s">
        <v>8402</v>
      </c>
    </row>
    <row r="568" spans="1:19" x14ac:dyDescent="0.3">
      <c r="A568" t="s">
        <v>7972</v>
      </c>
      <c r="B568" t="s">
        <v>8262</v>
      </c>
      <c r="C568" t="s">
        <v>4140</v>
      </c>
      <c r="H568">
        <v>6804</v>
      </c>
      <c r="N568" t="s">
        <v>6824</v>
      </c>
      <c r="S568" t="s">
        <v>8402</v>
      </c>
    </row>
    <row r="569" spans="1:19" x14ac:dyDescent="0.3">
      <c r="A569" t="s">
        <v>7973</v>
      </c>
      <c r="B569" t="s">
        <v>8263</v>
      </c>
      <c r="C569" t="s">
        <v>3878</v>
      </c>
      <c r="H569">
        <v>186880</v>
      </c>
      <c r="N569" t="s">
        <v>6826</v>
      </c>
      <c r="S569" t="s">
        <v>8402</v>
      </c>
    </row>
    <row r="570" spans="1:19" x14ac:dyDescent="0.3">
      <c r="A570" t="s">
        <v>7974</v>
      </c>
      <c r="B570" t="s">
        <v>8264</v>
      </c>
      <c r="C570" t="s">
        <v>3852</v>
      </c>
      <c r="N570" t="s">
        <v>6828</v>
      </c>
      <c r="S570" t="s">
        <v>8402</v>
      </c>
    </row>
    <row r="571" spans="1:19" x14ac:dyDescent="0.3">
      <c r="A571" t="s">
        <v>7975</v>
      </c>
      <c r="B571" t="s">
        <v>8265</v>
      </c>
      <c r="C571" t="s">
        <v>4037</v>
      </c>
      <c r="H571">
        <v>45178</v>
      </c>
      <c r="N571" t="s">
        <v>6830</v>
      </c>
      <c r="S571" t="s">
        <v>8402</v>
      </c>
    </row>
    <row r="572" spans="1:19" x14ac:dyDescent="0.3">
      <c r="A572" t="s">
        <v>7976</v>
      </c>
      <c r="B572" t="s">
        <v>8266</v>
      </c>
      <c r="C572" t="s">
        <v>3980</v>
      </c>
      <c r="H572">
        <v>41277</v>
      </c>
      <c r="N572" t="s">
        <v>6832</v>
      </c>
      <c r="S572" t="s">
        <v>8402</v>
      </c>
    </row>
    <row r="573" spans="1:19" x14ac:dyDescent="0.3">
      <c r="A573" t="s">
        <v>7977</v>
      </c>
      <c r="B573" t="s">
        <v>8267</v>
      </c>
      <c r="C573" t="s">
        <v>4037</v>
      </c>
      <c r="H573">
        <v>45132</v>
      </c>
      <c r="N573" t="s">
        <v>6350</v>
      </c>
      <c r="S573" t="s">
        <v>8402</v>
      </c>
    </row>
    <row r="574" spans="1:19" x14ac:dyDescent="0.3">
      <c r="A574" t="s">
        <v>7978</v>
      </c>
      <c r="B574" t="s">
        <v>8268</v>
      </c>
      <c r="C574" t="s">
        <v>7755</v>
      </c>
      <c r="H574">
        <v>52095</v>
      </c>
      <c r="N574" t="s">
        <v>6834</v>
      </c>
      <c r="S574" t="s">
        <v>8402</v>
      </c>
    </row>
    <row r="575" spans="1:19" x14ac:dyDescent="0.3">
      <c r="A575" t="s">
        <v>7979</v>
      </c>
      <c r="B575" t="s">
        <v>8269</v>
      </c>
      <c r="C575" t="s">
        <v>3997</v>
      </c>
      <c r="H575">
        <v>46992</v>
      </c>
      <c r="N575" t="s">
        <v>6836</v>
      </c>
      <c r="S575" t="s">
        <v>8402</v>
      </c>
    </row>
    <row r="576" spans="1:19" x14ac:dyDescent="0.3">
      <c r="A576" t="s">
        <v>7980</v>
      </c>
      <c r="B576" t="s">
        <v>8270</v>
      </c>
      <c r="C576" t="s">
        <v>8393</v>
      </c>
      <c r="N576" t="s">
        <v>6838</v>
      </c>
      <c r="S576" t="s">
        <v>8402</v>
      </c>
    </row>
    <row r="577" spans="1:19" x14ac:dyDescent="0.3">
      <c r="A577" t="s">
        <v>7981</v>
      </c>
      <c r="B577" t="s">
        <v>8271</v>
      </c>
      <c r="C577" t="s">
        <v>7758</v>
      </c>
      <c r="H577">
        <v>33838</v>
      </c>
      <c r="N577" t="s">
        <v>6350</v>
      </c>
      <c r="S577" t="s">
        <v>8402</v>
      </c>
    </row>
    <row r="578" spans="1:19" x14ac:dyDescent="0.3">
      <c r="A578" t="s">
        <v>7982</v>
      </c>
      <c r="B578" t="s">
        <v>8272</v>
      </c>
      <c r="C578" t="s">
        <v>3997</v>
      </c>
      <c r="H578">
        <v>46992</v>
      </c>
      <c r="N578" t="s">
        <v>6840</v>
      </c>
      <c r="S578" t="s">
        <v>8402</v>
      </c>
    </row>
    <row r="579" spans="1:19" x14ac:dyDescent="0.3">
      <c r="A579" t="s">
        <v>7983</v>
      </c>
      <c r="B579" t="s">
        <v>8273</v>
      </c>
      <c r="C579" t="s">
        <v>8394</v>
      </c>
      <c r="N579" t="s">
        <v>6842</v>
      </c>
      <c r="S579" t="s">
        <v>8404</v>
      </c>
    </row>
    <row r="580" spans="1:19" x14ac:dyDescent="0.3">
      <c r="A580" t="s">
        <v>7984</v>
      </c>
      <c r="B580" t="s">
        <v>8274</v>
      </c>
      <c r="C580" t="s">
        <v>3997</v>
      </c>
      <c r="H580">
        <v>46992</v>
      </c>
      <c r="N580" t="s">
        <v>6844</v>
      </c>
      <c r="S580" t="s">
        <v>8402</v>
      </c>
    </row>
    <row r="581" spans="1:19" x14ac:dyDescent="0.3">
      <c r="A581" t="s">
        <v>7985</v>
      </c>
      <c r="B581" t="s">
        <v>8275</v>
      </c>
      <c r="C581" t="s">
        <v>8395</v>
      </c>
      <c r="H581">
        <v>12700</v>
      </c>
      <c r="N581" t="s">
        <v>6846</v>
      </c>
      <c r="S581" t="s">
        <v>8402</v>
      </c>
    </row>
    <row r="582" spans="1:19" x14ac:dyDescent="0.3">
      <c r="A582" t="s">
        <v>7986</v>
      </c>
      <c r="B582" t="s">
        <v>8276</v>
      </c>
      <c r="C582" t="s">
        <v>3980</v>
      </c>
      <c r="H582">
        <v>41277</v>
      </c>
      <c r="N582" t="s">
        <v>6350</v>
      </c>
      <c r="S582" t="s">
        <v>8402</v>
      </c>
    </row>
    <row r="583" spans="1:19" x14ac:dyDescent="0.3">
      <c r="A583" t="s">
        <v>7987</v>
      </c>
      <c r="B583" t="s">
        <v>8277</v>
      </c>
      <c r="C583" t="s">
        <v>3980</v>
      </c>
      <c r="H583">
        <v>41277</v>
      </c>
      <c r="N583" t="s">
        <v>6348</v>
      </c>
      <c r="S583" t="s">
        <v>8402</v>
      </c>
    </row>
    <row r="584" spans="1:19" x14ac:dyDescent="0.3">
      <c r="A584" t="s">
        <v>7988</v>
      </c>
      <c r="B584" t="s">
        <v>8278</v>
      </c>
      <c r="C584" t="s">
        <v>7762</v>
      </c>
      <c r="H584">
        <v>36106</v>
      </c>
      <c r="N584" t="s">
        <v>6848</v>
      </c>
      <c r="S584" t="s">
        <v>8404</v>
      </c>
    </row>
    <row r="585" spans="1:19" x14ac:dyDescent="0.3">
      <c r="A585" t="s">
        <v>7989</v>
      </c>
      <c r="B585" t="s">
        <v>8279</v>
      </c>
      <c r="C585" t="s">
        <v>4067</v>
      </c>
      <c r="H585">
        <v>31751</v>
      </c>
      <c r="N585" t="s">
        <v>6718</v>
      </c>
      <c r="S585" t="s">
        <v>8402</v>
      </c>
    </row>
    <row r="586" spans="1:19" x14ac:dyDescent="0.3">
      <c r="A586" t="s">
        <v>7990</v>
      </c>
      <c r="B586" t="s">
        <v>8280</v>
      </c>
      <c r="C586" t="s">
        <v>4037</v>
      </c>
      <c r="H586">
        <v>44452</v>
      </c>
      <c r="N586" t="s">
        <v>6446</v>
      </c>
      <c r="S586" t="s">
        <v>8402</v>
      </c>
    </row>
    <row r="587" spans="1:19" x14ac:dyDescent="0.3">
      <c r="A587" t="s">
        <v>7991</v>
      </c>
      <c r="B587" t="s">
        <v>8281</v>
      </c>
      <c r="C587" t="s">
        <v>3887</v>
      </c>
      <c r="H587">
        <v>8301</v>
      </c>
      <c r="N587" t="s">
        <v>6762</v>
      </c>
      <c r="S587" t="s">
        <v>8402</v>
      </c>
    </row>
    <row r="588" spans="1:19" x14ac:dyDescent="0.3">
      <c r="A588" t="s">
        <v>7992</v>
      </c>
      <c r="B588" t="s">
        <v>8282</v>
      </c>
      <c r="C588" t="s">
        <v>4089</v>
      </c>
      <c r="H588">
        <v>18416</v>
      </c>
      <c r="N588" t="s">
        <v>6350</v>
      </c>
      <c r="S588" t="s">
        <v>8402</v>
      </c>
    </row>
    <row r="589" spans="1:19" x14ac:dyDescent="0.3">
      <c r="A589" t="s">
        <v>7993</v>
      </c>
      <c r="B589" t="s">
        <v>8283</v>
      </c>
      <c r="C589" t="s">
        <v>4037</v>
      </c>
      <c r="H589">
        <v>45132</v>
      </c>
      <c r="N589" t="s">
        <v>6558</v>
      </c>
      <c r="S589" t="s">
        <v>8402</v>
      </c>
    </row>
    <row r="590" spans="1:19" x14ac:dyDescent="0.3">
      <c r="A590" t="s">
        <v>7994</v>
      </c>
      <c r="B590" t="s">
        <v>8284</v>
      </c>
      <c r="C590" t="s">
        <v>4116</v>
      </c>
      <c r="H590">
        <v>17962</v>
      </c>
      <c r="N590" t="s">
        <v>6850</v>
      </c>
      <c r="S590" t="s">
        <v>8402</v>
      </c>
    </row>
    <row r="591" spans="1:19" x14ac:dyDescent="0.3">
      <c r="A591" t="s">
        <v>7995</v>
      </c>
      <c r="B591" t="s">
        <v>8285</v>
      </c>
      <c r="C591" t="s">
        <v>7760</v>
      </c>
      <c r="H591">
        <v>41957</v>
      </c>
      <c r="N591" t="s">
        <v>6358</v>
      </c>
      <c r="S591" t="s">
        <v>8402</v>
      </c>
    </row>
    <row r="592" spans="1:19" x14ac:dyDescent="0.3">
      <c r="A592" t="s">
        <v>7996</v>
      </c>
      <c r="B592" t="s">
        <v>8286</v>
      </c>
      <c r="C592" t="s">
        <v>3997</v>
      </c>
      <c r="H592">
        <v>46992</v>
      </c>
      <c r="N592" t="s">
        <v>6350</v>
      </c>
      <c r="S592" t="s">
        <v>8402</v>
      </c>
    </row>
    <row r="593" spans="1:19" x14ac:dyDescent="0.3">
      <c r="A593" t="s">
        <v>7997</v>
      </c>
      <c r="B593" t="s">
        <v>8287</v>
      </c>
      <c r="C593" t="s">
        <v>4067</v>
      </c>
      <c r="N593" t="s">
        <v>6350</v>
      </c>
      <c r="S593" t="s">
        <v>8402</v>
      </c>
    </row>
    <row r="594" spans="1:19" x14ac:dyDescent="0.3">
      <c r="A594" t="s">
        <v>7998</v>
      </c>
      <c r="B594" t="s">
        <v>8288</v>
      </c>
      <c r="C594" t="s">
        <v>3887</v>
      </c>
      <c r="H594">
        <v>4740</v>
      </c>
      <c r="N594" t="s">
        <v>6852</v>
      </c>
      <c r="S594" t="s">
        <v>8402</v>
      </c>
    </row>
    <row r="595" spans="1:19" x14ac:dyDescent="0.3">
      <c r="A595" t="s">
        <v>7999</v>
      </c>
      <c r="B595" t="s">
        <v>8289</v>
      </c>
      <c r="C595" t="s">
        <v>7755</v>
      </c>
      <c r="H595">
        <v>52095</v>
      </c>
      <c r="N595" t="s">
        <v>6854</v>
      </c>
      <c r="S595" t="s">
        <v>8402</v>
      </c>
    </row>
    <row r="596" spans="1:19" x14ac:dyDescent="0.3">
      <c r="A596" t="s">
        <v>8000</v>
      </c>
      <c r="B596" t="s">
        <v>8290</v>
      </c>
      <c r="C596" t="s">
        <v>4037</v>
      </c>
      <c r="H596">
        <v>45132</v>
      </c>
      <c r="N596" t="s">
        <v>6854</v>
      </c>
      <c r="S596" t="s">
        <v>8402</v>
      </c>
    </row>
    <row r="597" spans="1:19" x14ac:dyDescent="0.3">
      <c r="A597" t="s">
        <v>8001</v>
      </c>
      <c r="B597" t="s">
        <v>8291</v>
      </c>
      <c r="C597" t="s">
        <v>3980</v>
      </c>
      <c r="H597">
        <v>41277</v>
      </c>
      <c r="N597" t="s">
        <v>6856</v>
      </c>
      <c r="S597" t="s">
        <v>8404</v>
      </c>
    </row>
    <row r="598" spans="1:19" x14ac:dyDescent="0.3">
      <c r="A598" t="s">
        <v>8002</v>
      </c>
      <c r="B598" t="s">
        <v>8292</v>
      </c>
      <c r="C598" t="s">
        <v>6163</v>
      </c>
      <c r="H598">
        <v>77564</v>
      </c>
      <c r="N598" t="s">
        <v>6806</v>
      </c>
      <c r="S598" t="s">
        <v>8402</v>
      </c>
    </row>
    <row r="599" spans="1:19" x14ac:dyDescent="0.3">
      <c r="A599" t="s">
        <v>8003</v>
      </c>
      <c r="B599" t="s">
        <v>8293</v>
      </c>
      <c r="C599" t="s">
        <v>3993</v>
      </c>
      <c r="H599">
        <v>75500</v>
      </c>
      <c r="N599" t="s">
        <v>6806</v>
      </c>
      <c r="S599" t="s">
        <v>8402</v>
      </c>
    </row>
    <row r="600" spans="1:19" x14ac:dyDescent="0.3">
      <c r="A600" t="s">
        <v>8004</v>
      </c>
      <c r="B600" t="s">
        <v>8294</v>
      </c>
      <c r="C600" t="s">
        <v>8396</v>
      </c>
      <c r="H600">
        <v>13971</v>
      </c>
      <c r="N600" t="s">
        <v>6858</v>
      </c>
      <c r="S600" t="s">
        <v>8402</v>
      </c>
    </row>
    <row r="601" spans="1:19" x14ac:dyDescent="0.3">
      <c r="A601" t="s">
        <v>8005</v>
      </c>
      <c r="B601" t="s">
        <v>8295</v>
      </c>
      <c r="C601" t="s">
        <v>3980</v>
      </c>
      <c r="H601">
        <v>41277</v>
      </c>
      <c r="N601" t="s">
        <v>6860</v>
      </c>
      <c r="S601" t="s">
        <v>8402</v>
      </c>
    </row>
    <row r="602" spans="1:19" x14ac:dyDescent="0.3">
      <c r="A602" t="s">
        <v>8006</v>
      </c>
      <c r="B602" t="s">
        <v>8296</v>
      </c>
      <c r="C602" t="s">
        <v>3997</v>
      </c>
      <c r="H602">
        <v>46992</v>
      </c>
      <c r="N602" t="s">
        <v>6862</v>
      </c>
      <c r="S602" t="s">
        <v>8402</v>
      </c>
    </row>
    <row r="603" spans="1:19" x14ac:dyDescent="0.3">
      <c r="A603" t="s">
        <v>8007</v>
      </c>
      <c r="B603" t="s">
        <v>8297</v>
      </c>
      <c r="C603" t="s">
        <v>7748</v>
      </c>
      <c r="H603">
        <v>42910</v>
      </c>
      <c r="N603" t="s">
        <v>6714</v>
      </c>
      <c r="S603" t="s">
        <v>8402</v>
      </c>
    </row>
    <row r="604" spans="1:19" x14ac:dyDescent="0.3">
      <c r="A604" t="s">
        <v>8008</v>
      </c>
      <c r="B604" t="s">
        <v>8298</v>
      </c>
      <c r="C604" t="s">
        <v>4037</v>
      </c>
      <c r="H604">
        <v>44452</v>
      </c>
      <c r="N604" t="s">
        <v>6864</v>
      </c>
      <c r="S604" t="s">
        <v>8402</v>
      </c>
    </row>
    <row r="605" spans="1:19" x14ac:dyDescent="0.3">
      <c r="A605" t="s">
        <v>8009</v>
      </c>
      <c r="B605" t="s">
        <v>8299</v>
      </c>
      <c r="C605" t="s">
        <v>7758</v>
      </c>
      <c r="H605">
        <v>33838</v>
      </c>
      <c r="N605" t="s">
        <v>6866</v>
      </c>
      <c r="S605" t="s">
        <v>8402</v>
      </c>
    </row>
    <row r="606" spans="1:19" x14ac:dyDescent="0.3">
      <c r="A606" t="s">
        <v>8010</v>
      </c>
      <c r="B606" t="s">
        <v>8300</v>
      </c>
      <c r="C606" t="s">
        <v>3997</v>
      </c>
      <c r="H606">
        <v>46992</v>
      </c>
      <c r="N606" t="s">
        <v>6868</v>
      </c>
      <c r="S606" t="s">
        <v>8402</v>
      </c>
    </row>
    <row r="607" spans="1:19" x14ac:dyDescent="0.3">
      <c r="A607" t="s">
        <v>8011</v>
      </c>
      <c r="B607" t="s">
        <v>8301</v>
      </c>
      <c r="C607" t="s">
        <v>3997</v>
      </c>
      <c r="H607">
        <v>46992</v>
      </c>
      <c r="N607" t="s">
        <v>6868</v>
      </c>
      <c r="S607" t="s">
        <v>8402</v>
      </c>
    </row>
    <row r="608" spans="1:19" x14ac:dyDescent="0.3">
      <c r="A608" t="s">
        <v>8012</v>
      </c>
      <c r="B608" t="s">
        <v>8302</v>
      </c>
      <c r="C608" t="s">
        <v>3997</v>
      </c>
      <c r="H608">
        <v>46992</v>
      </c>
      <c r="N608" t="s">
        <v>6512</v>
      </c>
      <c r="S608" t="s">
        <v>8402</v>
      </c>
    </row>
    <row r="609" spans="1:19" x14ac:dyDescent="0.3">
      <c r="A609" t="s">
        <v>8013</v>
      </c>
      <c r="B609" t="s">
        <v>8303</v>
      </c>
      <c r="C609" t="s">
        <v>7755</v>
      </c>
      <c r="H609">
        <v>52095</v>
      </c>
      <c r="N609" t="s">
        <v>6350</v>
      </c>
      <c r="S609" t="s">
        <v>8402</v>
      </c>
    </row>
    <row r="610" spans="1:19" x14ac:dyDescent="0.3">
      <c r="A610" t="s">
        <v>8014</v>
      </c>
      <c r="B610" t="s">
        <v>8304</v>
      </c>
      <c r="C610" t="s">
        <v>4116</v>
      </c>
      <c r="H610">
        <v>17962</v>
      </c>
      <c r="N610" t="s">
        <v>6870</v>
      </c>
      <c r="S610" t="s">
        <v>8402</v>
      </c>
    </row>
    <row r="611" spans="1:19" x14ac:dyDescent="0.3">
      <c r="A611" t="s">
        <v>8015</v>
      </c>
      <c r="B611" t="s">
        <v>8305</v>
      </c>
      <c r="C611" t="s">
        <v>3997</v>
      </c>
      <c r="H611">
        <v>46992</v>
      </c>
      <c r="N611" t="s">
        <v>6350</v>
      </c>
      <c r="S611" t="s">
        <v>8402</v>
      </c>
    </row>
    <row r="612" spans="1:19" x14ac:dyDescent="0.3">
      <c r="A612" t="s">
        <v>8016</v>
      </c>
      <c r="B612" t="s">
        <v>8306</v>
      </c>
      <c r="C612" t="s">
        <v>7758</v>
      </c>
      <c r="H612">
        <v>33838</v>
      </c>
      <c r="N612" t="s">
        <v>6872</v>
      </c>
      <c r="S612" t="s">
        <v>8402</v>
      </c>
    </row>
    <row r="613" spans="1:19" x14ac:dyDescent="0.3">
      <c r="A613" t="s">
        <v>8017</v>
      </c>
      <c r="B613" t="s">
        <v>8307</v>
      </c>
      <c r="C613" t="s">
        <v>3997</v>
      </c>
      <c r="H613">
        <v>46992</v>
      </c>
      <c r="N613" t="s">
        <v>6346</v>
      </c>
      <c r="S613" t="s">
        <v>8402</v>
      </c>
    </row>
    <row r="614" spans="1:19" x14ac:dyDescent="0.3">
      <c r="A614" t="s">
        <v>8018</v>
      </c>
      <c r="B614" t="s">
        <v>8308</v>
      </c>
      <c r="C614" t="s">
        <v>4037</v>
      </c>
      <c r="H614">
        <v>45132</v>
      </c>
      <c r="N614" t="s">
        <v>6372</v>
      </c>
      <c r="S614" t="s">
        <v>8404</v>
      </c>
    </row>
    <row r="615" spans="1:19" x14ac:dyDescent="0.3">
      <c r="A615" t="s">
        <v>8019</v>
      </c>
      <c r="B615" t="s">
        <v>8309</v>
      </c>
      <c r="C615" t="s">
        <v>7760</v>
      </c>
      <c r="H615">
        <v>41957</v>
      </c>
      <c r="N615" t="s">
        <v>6874</v>
      </c>
      <c r="S615" t="s">
        <v>8402</v>
      </c>
    </row>
    <row r="616" spans="1:19" x14ac:dyDescent="0.3">
      <c r="A616" t="s">
        <v>8020</v>
      </c>
      <c r="B616" t="s">
        <v>8310</v>
      </c>
      <c r="C616" t="s">
        <v>7762</v>
      </c>
      <c r="H616">
        <v>35834</v>
      </c>
      <c r="N616" t="s">
        <v>6876</v>
      </c>
      <c r="S616" t="s">
        <v>8402</v>
      </c>
    </row>
    <row r="617" spans="1:19" x14ac:dyDescent="0.3">
      <c r="A617" t="s">
        <v>8021</v>
      </c>
      <c r="B617" t="s">
        <v>8311</v>
      </c>
      <c r="C617" t="s">
        <v>4037</v>
      </c>
      <c r="H617">
        <v>45132</v>
      </c>
      <c r="N617" t="s">
        <v>6662</v>
      </c>
      <c r="S617" t="s">
        <v>8402</v>
      </c>
    </row>
    <row r="618" spans="1:19" x14ac:dyDescent="0.3">
      <c r="A618" t="s">
        <v>8022</v>
      </c>
      <c r="B618" t="s">
        <v>8312</v>
      </c>
      <c r="C618" t="s">
        <v>3997</v>
      </c>
      <c r="H618">
        <v>46992</v>
      </c>
      <c r="N618" t="s">
        <v>6878</v>
      </c>
      <c r="S618" t="s">
        <v>8402</v>
      </c>
    </row>
    <row r="619" spans="1:19" x14ac:dyDescent="0.3">
      <c r="A619" t="s">
        <v>8023</v>
      </c>
      <c r="B619" t="s">
        <v>8313</v>
      </c>
      <c r="C619" t="s">
        <v>7755</v>
      </c>
      <c r="H619">
        <v>52095</v>
      </c>
      <c r="N619" t="s">
        <v>6880</v>
      </c>
      <c r="S619" t="s">
        <v>8404</v>
      </c>
    </row>
    <row r="620" spans="1:19" x14ac:dyDescent="0.3">
      <c r="A620" t="s">
        <v>8024</v>
      </c>
      <c r="B620" t="s">
        <v>8314</v>
      </c>
      <c r="C620" t="s">
        <v>3980</v>
      </c>
      <c r="H620">
        <v>41277</v>
      </c>
      <c r="N620" t="s">
        <v>6882</v>
      </c>
      <c r="S620" t="s">
        <v>8402</v>
      </c>
    </row>
    <row r="621" spans="1:19" x14ac:dyDescent="0.3">
      <c r="A621" t="s">
        <v>8025</v>
      </c>
      <c r="B621" t="s">
        <v>8315</v>
      </c>
      <c r="C621" t="s">
        <v>7755</v>
      </c>
      <c r="H621">
        <v>52095</v>
      </c>
      <c r="N621" t="s">
        <v>6884</v>
      </c>
      <c r="S621" t="s">
        <v>8402</v>
      </c>
    </row>
    <row r="622" spans="1:19" x14ac:dyDescent="0.3">
      <c r="A622" t="s">
        <v>8026</v>
      </c>
      <c r="B622" t="s">
        <v>8316</v>
      </c>
      <c r="C622" t="s">
        <v>8397</v>
      </c>
      <c r="H622">
        <v>37500</v>
      </c>
      <c r="N622" t="s">
        <v>6886</v>
      </c>
      <c r="S622" t="s">
        <v>8403</v>
      </c>
    </row>
    <row r="623" spans="1:19" x14ac:dyDescent="0.3">
      <c r="A623" t="s">
        <v>8027</v>
      </c>
      <c r="B623" t="s">
        <v>8317</v>
      </c>
      <c r="C623" t="s">
        <v>4119</v>
      </c>
      <c r="H623">
        <v>16375</v>
      </c>
      <c r="N623" t="s">
        <v>6888</v>
      </c>
      <c r="S623" t="s">
        <v>8402</v>
      </c>
    </row>
    <row r="624" spans="1:19" x14ac:dyDescent="0.3">
      <c r="A624" t="s">
        <v>8028</v>
      </c>
      <c r="B624" t="s">
        <v>8318</v>
      </c>
      <c r="C624" t="s">
        <v>4037</v>
      </c>
      <c r="H624">
        <v>45132</v>
      </c>
      <c r="N624" t="s">
        <v>6488</v>
      </c>
      <c r="S624" t="s">
        <v>8402</v>
      </c>
    </row>
    <row r="625" spans="1:19" x14ac:dyDescent="0.3">
      <c r="A625" t="s">
        <v>8029</v>
      </c>
      <c r="B625" t="s">
        <v>8319</v>
      </c>
      <c r="C625" t="s">
        <v>3997</v>
      </c>
      <c r="H625">
        <v>46992</v>
      </c>
      <c r="N625" t="s">
        <v>6350</v>
      </c>
      <c r="S625" t="s">
        <v>8402</v>
      </c>
    </row>
    <row r="626" spans="1:19" x14ac:dyDescent="0.3">
      <c r="A626" t="s">
        <v>8030</v>
      </c>
      <c r="B626" t="s">
        <v>8320</v>
      </c>
      <c r="C626" t="s">
        <v>3997</v>
      </c>
      <c r="H626">
        <v>46992</v>
      </c>
      <c r="N626" t="s">
        <v>6890</v>
      </c>
      <c r="S626" t="s">
        <v>8402</v>
      </c>
    </row>
    <row r="627" spans="1:19" x14ac:dyDescent="0.3">
      <c r="A627" t="s">
        <v>8031</v>
      </c>
      <c r="B627" t="s">
        <v>8321</v>
      </c>
      <c r="C627" t="s">
        <v>3872</v>
      </c>
      <c r="H627">
        <v>29574</v>
      </c>
      <c r="N627" t="s">
        <v>6298</v>
      </c>
      <c r="S627" t="s">
        <v>8402</v>
      </c>
    </row>
    <row r="628" spans="1:19" x14ac:dyDescent="0.3">
      <c r="A628" t="s">
        <v>8032</v>
      </c>
      <c r="B628" t="s">
        <v>8322</v>
      </c>
      <c r="C628" t="s">
        <v>3980</v>
      </c>
      <c r="H628">
        <v>41277</v>
      </c>
      <c r="N628" t="s">
        <v>6892</v>
      </c>
      <c r="S628" t="s">
        <v>8402</v>
      </c>
    </row>
    <row r="629" spans="1:19" x14ac:dyDescent="0.3">
      <c r="A629" t="s">
        <v>8033</v>
      </c>
      <c r="B629" t="s">
        <v>8323</v>
      </c>
      <c r="C629" t="s">
        <v>3980</v>
      </c>
      <c r="H629">
        <v>41277</v>
      </c>
      <c r="N629" t="s">
        <v>6586</v>
      </c>
      <c r="S629" t="s">
        <v>8402</v>
      </c>
    </row>
    <row r="630" spans="1:19" x14ac:dyDescent="0.3">
      <c r="A630" t="s">
        <v>8034</v>
      </c>
      <c r="B630" t="s">
        <v>8324</v>
      </c>
      <c r="C630" t="s">
        <v>3997</v>
      </c>
      <c r="H630">
        <v>46992</v>
      </c>
      <c r="N630" t="s">
        <v>6894</v>
      </c>
      <c r="S630" t="s">
        <v>8402</v>
      </c>
    </row>
    <row r="631" spans="1:19" x14ac:dyDescent="0.3">
      <c r="A631" t="s">
        <v>8035</v>
      </c>
      <c r="B631" t="s">
        <v>8325</v>
      </c>
      <c r="C631" t="s">
        <v>3891</v>
      </c>
      <c r="H631">
        <v>79015</v>
      </c>
      <c r="N631" t="s">
        <v>6896</v>
      </c>
      <c r="S631" t="s">
        <v>8402</v>
      </c>
    </row>
    <row r="632" spans="1:19" x14ac:dyDescent="0.3">
      <c r="A632" t="s">
        <v>8036</v>
      </c>
      <c r="B632" t="s">
        <v>8326</v>
      </c>
      <c r="C632" t="s">
        <v>7760</v>
      </c>
      <c r="H632">
        <v>41957</v>
      </c>
      <c r="N632" t="s">
        <v>6358</v>
      </c>
      <c r="S632" t="s">
        <v>8402</v>
      </c>
    </row>
    <row r="633" spans="1:19" x14ac:dyDescent="0.3">
      <c r="A633" t="s">
        <v>8037</v>
      </c>
      <c r="B633" t="s">
        <v>8327</v>
      </c>
      <c r="C633" t="s">
        <v>8398</v>
      </c>
      <c r="H633">
        <v>10659</v>
      </c>
      <c r="N633" t="s">
        <v>6898</v>
      </c>
      <c r="S633" t="s">
        <v>8402</v>
      </c>
    </row>
    <row r="634" spans="1:19" x14ac:dyDescent="0.3">
      <c r="A634" t="s">
        <v>8038</v>
      </c>
      <c r="B634" t="s">
        <v>8328</v>
      </c>
      <c r="C634" t="s">
        <v>8394</v>
      </c>
      <c r="H634">
        <v>9299</v>
      </c>
      <c r="N634" t="s">
        <v>6842</v>
      </c>
      <c r="S634" t="s">
        <v>8402</v>
      </c>
    </row>
    <row r="635" spans="1:19" x14ac:dyDescent="0.3">
      <c r="A635" t="s">
        <v>8039</v>
      </c>
      <c r="B635" t="s">
        <v>8329</v>
      </c>
      <c r="C635" t="s">
        <v>8394</v>
      </c>
      <c r="H635">
        <v>9299</v>
      </c>
      <c r="N635" t="s">
        <v>6842</v>
      </c>
      <c r="S635" t="s">
        <v>8402</v>
      </c>
    </row>
    <row r="636" spans="1:19" x14ac:dyDescent="0.3">
      <c r="A636" t="s">
        <v>8040</v>
      </c>
      <c r="B636" t="s">
        <v>8330</v>
      </c>
      <c r="C636" t="s">
        <v>7748</v>
      </c>
      <c r="H636">
        <v>42910</v>
      </c>
      <c r="N636" t="s">
        <v>6900</v>
      </c>
      <c r="S636" t="s">
        <v>8402</v>
      </c>
    </row>
    <row r="637" spans="1:19" x14ac:dyDescent="0.3">
      <c r="A637" t="s">
        <v>8041</v>
      </c>
      <c r="B637" t="s">
        <v>8331</v>
      </c>
      <c r="C637" t="s">
        <v>3980</v>
      </c>
      <c r="H637">
        <v>41277</v>
      </c>
      <c r="N637" t="s">
        <v>6358</v>
      </c>
      <c r="S637" t="s">
        <v>8402</v>
      </c>
    </row>
    <row r="638" spans="1:19" x14ac:dyDescent="0.3">
      <c r="A638" t="s">
        <v>8042</v>
      </c>
      <c r="B638" t="s">
        <v>8332</v>
      </c>
      <c r="C638" t="s">
        <v>7748</v>
      </c>
      <c r="H638">
        <v>42910</v>
      </c>
      <c r="N638" t="s">
        <v>6902</v>
      </c>
      <c r="S638" t="s">
        <v>8402</v>
      </c>
    </row>
    <row r="639" spans="1:19" x14ac:dyDescent="0.3">
      <c r="A639" t="s">
        <v>8043</v>
      </c>
      <c r="B639" t="s">
        <v>8333</v>
      </c>
      <c r="C639" t="s">
        <v>7755</v>
      </c>
      <c r="H639">
        <v>52095</v>
      </c>
      <c r="N639" t="s">
        <v>6358</v>
      </c>
      <c r="S639" t="s">
        <v>8402</v>
      </c>
    </row>
    <row r="640" spans="1:19" x14ac:dyDescent="0.3">
      <c r="A640" t="s">
        <v>8044</v>
      </c>
      <c r="B640" t="s">
        <v>8334</v>
      </c>
      <c r="C640" t="s">
        <v>4037</v>
      </c>
      <c r="H640">
        <v>45132</v>
      </c>
      <c r="N640" t="s">
        <v>6388</v>
      </c>
      <c r="S640" t="s">
        <v>8402</v>
      </c>
    </row>
    <row r="641" spans="1:19" x14ac:dyDescent="0.3">
      <c r="A641" t="s">
        <v>8045</v>
      </c>
      <c r="B641" t="s">
        <v>8335</v>
      </c>
      <c r="C641" t="s">
        <v>7774</v>
      </c>
      <c r="H641">
        <v>48807</v>
      </c>
      <c r="N641" t="s">
        <v>6348</v>
      </c>
      <c r="S641" t="s">
        <v>8405</v>
      </c>
    </row>
    <row r="642" spans="1:19" x14ac:dyDescent="0.3">
      <c r="A642" t="s">
        <v>8046</v>
      </c>
      <c r="B642" t="s">
        <v>8336</v>
      </c>
      <c r="C642" t="s">
        <v>7764</v>
      </c>
      <c r="H642">
        <v>8415</v>
      </c>
      <c r="N642" t="s">
        <v>6898</v>
      </c>
      <c r="S642" t="s">
        <v>8402</v>
      </c>
    </row>
    <row r="643" spans="1:19" x14ac:dyDescent="0.3">
      <c r="A643" t="s">
        <v>8047</v>
      </c>
      <c r="B643" t="s">
        <v>8337</v>
      </c>
      <c r="C643" t="s">
        <v>7760</v>
      </c>
      <c r="H643">
        <v>41957</v>
      </c>
      <c r="N643" t="s">
        <v>6904</v>
      </c>
      <c r="S643" t="s">
        <v>8402</v>
      </c>
    </row>
    <row r="644" spans="1:19" x14ac:dyDescent="0.3">
      <c r="A644" t="s">
        <v>8048</v>
      </c>
      <c r="B644" t="s">
        <v>8338</v>
      </c>
      <c r="C644" t="s">
        <v>3980</v>
      </c>
      <c r="H644">
        <v>41277</v>
      </c>
      <c r="N644" t="s">
        <v>6906</v>
      </c>
      <c r="S644" t="s">
        <v>8402</v>
      </c>
    </row>
    <row r="645" spans="1:19" x14ac:dyDescent="0.3">
      <c r="A645" t="s">
        <v>8049</v>
      </c>
      <c r="B645" t="s">
        <v>8339</v>
      </c>
      <c r="C645" t="s">
        <v>7755</v>
      </c>
      <c r="H645">
        <v>52095</v>
      </c>
      <c r="N645" t="s">
        <v>6854</v>
      </c>
      <c r="S645" t="s">
        <v>8402</v>
      </c>
    </row>
    <row r="646" spans="1:19" x14ac:dyDescent="0.3">
      <c r="A646" t="s">
        <v>8050</v>
      </c>
      <c r="B646" t="s">
        <v>8340</v>
      </c>
      <c r="C646" t="s">
        <v>3997</v>
      </c>
      <c r="H646">
        <v>46992</v>
      </c>
      <c r="N646" t="s">
        <v>6908</v>
      </c>
      <c r="S646" t="s">
        <v>8402</v>
      </c>
    </row>
    <row r="647" spans="1:19" x14ac:dyDescent="0.3">
      <c r="A647" t="s">
        <v>8051</v>
      </c>
      <c r="B647" t="s">
        <v>8341</v>
      </c>
      <c r="C647" t="s">
        <v>3997</v>
      </c>
      <c r="H647">
        <v>46992</v>
      </c>
      <c r="N647" t="s">
        <v>6910</v>
      </c>
      <c r="S647" t="s">
        <v>8402</v>
      </c>
    </row>
    <row r="648" spans="1:19" x14ac:dyDescent="0.3">
      <c r="A648" t="s">
        <v>8052</v>
      </c>
      <c r="B648" t="s">
        <v>8342</v>
      </c>
      <c r="C648" t="s">
        <v>8399</v>
      </c>
      <c r="N648" t="s">
        <v>6912</v>
      </c>
      <c r="S648" t="s">
        <v>8402</v>
      </c>
    </row>
    <row r="649" spans="1:19" x14ac:dyDescent="0.3">
      <c r="A649" t="s">
        <v>8053</v>
      </c>
      <c r="B649" t="s">
        <v>8343</v>
      </c>
      <c r="C649" t="s">
        <v>3980</v>
      </c>
      <c r="H649">
        <v>41050</v>
      </c>
      <c r="N649" t="s">
        <v>6914</v>
      </c>
      <c r="S649" t="s">
        <v>8402</v>
      </c>
    </row>
    <row r="650" spans="1:19" x14ac:dyDescent="0.3">
      <c r="A650" t="s">
        <v>8054</v>
      </c>
      <c r="B650" t="s">
        <v>8344</v>
      </c>
      <c r="C650" t="s">
        <v>3980</v>
      </c>
      <c r="H650">
        <v>41277</v>
      </c>
      <c r="N650" t="s">
        <v>6916</v>
      </c>
      <c r="S650" t="s">
        <v>8402</v>
      </c>
    </row>
    <row r="651" spans="1:19" x14ac:dyDescent="0.3">
      <c r="A651" t="s">
        <v>8055</v>
      </c>
      <c r="B651" t="s">
        <v>8345</v>
      </c>
      <c r="C651" t="s">
        <v>7773</v>
      </c>
      <c r="H651">
        <v>285990</v>
      </c>
      <c r="N651" t="s">
        <v>6548</v>
      </c>
      <c r="S651" t="s">
        <v>8402</v>
      </c>
    </row>
    <row r="652" spans="1:19" x14ac:dyDescent="0.3">
      <c r="A652" t="s">
        <v>8056</v>
      </c>
      <c r="B652" t="s">
        <v>8346</v>
      </c>
      <c r="C652" t="s">
        <v>3980</v>
      </c>
      <c r="H652">
        <v>41277</v>
      </c>
      <c r="N652" t="s">
        <v>6350</v>
      </c>
      <c r="S652" t="s">
        <v>8402</v>
      </c>
    </row>
    <row r="653" spans="1:19" x14ac:dyDescent="0.3">
      <c r="A653" t="s">
        <v>8057</v>
      </c>
      <c r="B653" t="s">
        <v>8347</v>
      </c>
      <c r="C653" t="s">
        <v>7748</v>
      </c>
      <c r="H653">
        <v>42910</v>
      </c>
      <c r="N653" t="s">
        <v>6918</v>
      </c>
      <c r="S653" t="s">
        <v>8402</v>
      </c>
    </row>
    <row r="654" spans="1:19" x14ac:dyDescent="0.3">
      <c r="A654" t="s">
        <v>8058</v>
      </c>
      <c r="B654" t="s">
        <v>8348</v>
      </c>
      <c r="C654" t="s">
        <v>8399</v>
      </c>
      <c r="N654" t="s">
        <v>6912</v>
      </c>
      <c r="S654" t="s">
        <v>8402</v>
      </c>
    </row>
    <row r="655" spans="1:19" x14ac:dyDescent="0.3">
      <c r="A655" t="s">
        <v>8059</v>
      </c>
      <c r="B655" t="s">
        <v>8349</v>
      </c>
      <c r="C655" t="s">
        <v>7747</v>
      </c>
      <c r="H655">
        <v>21092</v>
      </c>
      <c r="N655" t="s">
        <v>6920</v>
      </c>
      <c r="S655" t="s">
        <v>8402</v>
      </c>
    </row>
    <row r="656" spans="1:19" x14ac:dyDescent="0.3">
      <c r="A656" t="s">
        <v>8060</v>
      </c>
      <c r="B656" t="s">
        <v>8350</v>
      </c>
      <c r="C656" t="s">
        <v>3980</v>
      </c>
      <c r="N656" t="s">
        <v>6642</v>
      </c>
      <c r="S656" t="s">
        <v>8402</v>
      </c>
    </row>
    <row r="657" spans="1:19" x14ac:dyDescent="0.3">
      <c r="A657" t="s">
        <v>8061</v>
      </c>
      <c r="B657" t="s">
        <v>8351</v>
      </c>
      <c r="C657" t="s">
        <v>8400</v>
      </c>
      <c r="N657" t="s">
        <v>6922</v>
      </c>
      <c r="S657" t="s">
        <v>8402</v>
      </c>
    </row>
    <row r="658" spans="1:19" x14ac:dyDescent="0.3">
      <c r="A658" t="s">
        <v>8062</v>
      </c>
      <c r="B658" t="s">
        <v>8352</v>
      </c>
      <c r="C658" t="s">
        <v>7764</v>
      </c>
      <c r="H658">
        <v>8340</v>
      </c>
      <c r="N658" t="s">
        <v>6924</v>
      </c>
      <c r="S658" t="s">
        <v>8402</v>
      </c>
    </row>
    <row r="659" spans="1:19" x14ac:dyDescent="0.3">
      <c r="A659" t="s">
        <v>8063</v>
      </c>
      <c r="B659" t="s">
        <v>8353</v>
      </c>
      <c r="C659" t="s">
        <v>4037</v>
      </c>
      <c r="H659">
        <v>44452</v>
      </c>
      <c r="N659" t="s">
        <v>6350</v>
      </c>
      <c r="S659" t="s">
        <v>8402</v>
      </c>
    </row>
    <row r="660" spans="1:19" x14ac:dyDescent="0.3">
      <c r="A660" t="s">
        <v>8064</v>
      </c>
      <c r="B660" t="s">
        <v>8354</v>
      </c>
      <c r="C660" t="s">
        <v>7748</v>
      </c>
      <c r="H660">
        <v>42910</v>
      </c>
      <c r="N660" t="s">
        <v>6918</v>
      </c>
      <c r="S660" t="s">
        <v>8402</v>
      </c>
    </row>
    <row r="661" spans="1:19" x14ac:dyDescent="0.3">
      <c r="A661" t="s">
        <v>8065</v>
      </c>
      <c r="B661" t="s">
        <v>8355</v>
      </c>
      <c r="C661" t="s">
        <v>7747</v>
      </c>
      <c r="H661">
        <v>22226</v>
      </c>
      <c r="N661" t="s">
        <v>6520</v>
      </c>
      <c r="S661" t="s">
        <v>8402</v>
      </c>
    </row>
    <row r="662" spans="1:19" x14ac:dyDescent="0.3">
      <c r="A662" t="s">
        <v>8066</v>
      </c>
      <c r="B662" t="s">
        <v>8356</v>
      </c>
      <c r="C662" t="s">
        <v>3997</v>
      </c>
      <c r="H662">
        <v>46992</v>
      </c>
      <c r="N662" t="s">
        <v>6922</v>
      </c>
      <c r="S662" t="s">
        <v>8402</v>
      </c>
    </row>
    <row r="663" spans="1:19" x14ac:dyDescent="0.3">
      <c r="A663" t="s">
        <v>8067</v>
      </c>
      <c r="B663" t="s">
        <v>8357</v>
      </c>
      <c r="C663" t="s">
        <v>3980</v>
      </c>
      <c r="H663">
        <v>41277</v>
      </c>
      <c r="N663" t="s">
        <v>6586</v>
      </c>
      <c r="S663" t="s">
        <v>8402</v>
      </c>
    </row>
    <row r="664" spans="1:19" x14ac:dyDescent="0.3">
      <c r="A664" t="s">
        <v>8068</v>
      </c>
      <c r="B664" t="s">
        <v>8358</v>
      </c>
      <c r="C664" t="s">
        <v>3980</v>
      </c>
      <c r="H664">
        <v>41277</v>
      </c>
      <c r="N664" t="s">
        <v>6926</v>
      </c>
      <c r="S664" t="s">
        <v>8402</v>
      </c>
    </row>
    <row r="665" spans="1:19" x14ac:dyDescent="0.3">
      <c r="A665" t="s">
        <v>8069</v>
      </c>
      <c r="B665" t="s">
        <v>8359</v>
      </c>
      <c r="C665" t="s">
        <v>4037</v>
      </c>
      <c r="H665">
        <v>45132</v>
      </c>
      <c r="N665" t="s">
        <v>6928</v>
      </c>
      <c r="S665" t="s">
        <v>8402</v>
      </c>
    </row>
    <row r="666" spans="1:19" x14ac:dyDescent="0.3">
      <c r="A666" t="s">
        <v>8070</v>
      </c>
      <c r="B666" t="s">
        <v>8360</v>
      </c>
      <c r="C666" t="s">
        <v>3997</v>
      </c>
      <c r="H666">
        <v>46992</v>
      </c>
      <c r="N666" t="s">
        <v>6350</v>
      </c>
      <c r="S666" t="s">
        <v>8402</v>
      </c>
    </row>
    <row r="667" spans="1:19" x14ac:dyDescent="0.3">
      <c r="A667" t="s">
        <v>8071</v>
      </c>
      <c r="B667" t="s">
        <v>8361</v>
      </c>
      <c r="C667" t="s">
        <v>3997</v>
      </c>
      <c r="H667">
        <v>46992</v>
      </c>
      <c r="N667" t="s">
        <v>6386</v>
      </c>
      <c r="S667" t="s">
        <v>8402</v>
      </c>
    </row>
    <row r="668" spans="1:19" x14ac:dyDescent="0.3">
      <c r="A668" t="s">
        <v>8072</v>
      </c>
      <c r="B668" t="s">
        <v>8362</v>
      </c>
      <c r="C668" t="s">
        <v>4037</v>
      </c>
      <c r="H668">
        <v>45132</v>
      </c>
      <c r="N668" t="s">
        <v>6930</v>
      </c>
      <c r="S668" t="s">
        <v>8402</v>
      </c>
    </row>
    <row r="669" spans="1:19" x14ac:dyDescent="0.3">
      <c r="A669" t="s">
        <v>8073</v>
      </c>
      <c r="B669" t="s">
        <v>8363</v>
      </c>
      <c r="C669" t="s">
        <v>7755</v>
      </c>
      <c r="H669">
        <v>52095</v>
      </c>
      <c r="N669" t="s">
        <v>6446</v>
      </c>
      <c r="S669" t="s">
        <v>8402</v>
      </c>
    </row>
    <row r="670" spans="1:19" x14ac:dyDescent="0.3">
      <c r="A670" t="s">
        <v>8074</v>
      </c>
      <c r="B670" t="s">
        <v>8364</v>
      </c>
      <c r="C670" t="s">
        <v>4089</v>
      </c>
      <c r="H670">
        <v>18416</v>
      </c>
      <c r="N670" t="s">
        <v>6932</v>
      </c>
      <c r="S670" t="s">
        <v>8402</v>
      </c>
    </row>
    <row r="671" spans="1:19" x14ac:dyDescent="0.3">
      <c r="A671" t="s">
        <v>8075</v>
      </c>
      <c r="B671" t="s">
        <v>8365</v>
      </c>
      <c r="C671" t="s">
        <v>4067</v>
      </c>
      <c r="H671">
        <v>31751</v>
      </c>
      <c r="N671" t="s">
        <v>6934</v>
      </c>
      <c r="S671" t="s">
        <v>8402</v>
      </c>
    </row>
    <row r="672" spans="1:19" x14ac:dyDescent="0.3">
      <c r="A672" t="s">
        <v>8076</v>
      </c>
      <c r="B672" t="s">
        <v>8366</v>
      </c>
      <c r="C672" t="s">
        <v>4037</v>
      </c>
      <c r="H672">
        <v>43545</v>
      </c>
      <c r="N672" t="s">
        <v>6936</v>
      </c>
      <c r="S672" t="s">
        <v>8402</v>
      </c>
    </row>
    <row r="673" spans="1:19" x14ac:dyDescent="0.3">
      <c r="A673" t="s">
        <v>8077</v>
      </c>
      <c r="B673" t="s">
        <v>8367</v>
      </c>
      <c r="C673" t="s">
        <v>3997</v>
      </c>
      <c r="H673">
        <v>46992</v>
      </c>
      <c r="N673" t="s">
        <v>6804</v>
      </c>
      <c r="S673" t="s">
        <v>8402</v>
      </c>
    </row>
    <row r="674" spans="1:19" x14ac:dyDescent="0.3">
      <c r="A674" t="s">
        <v>8078</v>
      </c>
      <c r="B674" t="s">
        <v>8368</v>
      </c>
      <c r="C674" t="s">
        <v>3997</v>
      </c>
      <c r="H674">
        <v>46992</v>
      </c>
      <c r="N674" t="s">
        <v>6938</v>
      </c>
      <c r="S674" t="s">
        <v>8404</v>
      </c>
    </row>
    <row r="675" spans="1:19" x14ac:dyDescent="0.3">
      <c r="A675" t="s">
        <v>8079</v>
      </c>
      <c r="B675" t="s">
        <v>8369</v>
      </c>
      <c r="C675" t="s">
        <v>8401</v>
      </c>
      <c r="N675" t="s">
        <v>6939</v>
      </c>
      <c r="S675" t="s">
        <v>8404</v>
      </c>
    </row>
    <row r="676" spans="1:19" x14ac:dyDescent="0.3">
      <c r="A676" t="s">
        <v>8080</v>
      </c>
      <c r="B676" t="s">
        <v>8370</v>
      </c>
      <c r="N676" t="s">
        <v>6939</v>
      </c>
      <c r="S676" t="s">
        <v>8404</v>
      </c>
    </row>
    <row r="677" spans="1:19" x14ac:dyDescent="0.3">
      <c r="A677" t="s">
        <v>8081</v>
      </c>
      <c r="B677" t="s">
        <v>8371</v>
      </c>
      <c r="N677" t="s">
        <v>6939</v>
      </c>
      <c r="S677" t="s">
        <v>8404</v>
      </c>
    </row>
    <row r="678" spans="1:19" x14ac:dyDescent="0.3">
      <c r="A678" t="s">
        <v>8082</v>
      </c>
      <c r="B678" t="s">
        <v>8372</v>
      </c>
      <c r="N678" t="s">
        <v>6939</v>
      </c>
      <c r="S678" t="s">
        <v>8404</v>
      </c>
    </row>
    <row r="679" spans="1:19" x14ac:dyDescent="0.3">
      <c r="A679" t="s">
        <v>8083</v>
      </c>
      <c r="B679" t="s">
        <v>8373</v>
      </c>
      <c r="N679" t="s">
        <v>6939</v>
      </c>
      <c r="S679" t="s">
        <v>8404</v>
      </c>
    </row>
    <row r="680" spans="1:19" x14ac:dyDescent="0.3">
      <c r="A680" t="s">
        <v>8084</v>
      </c>
      <c r="B680" t="s">
        <v>8374</v>
      </c>
      <c r="N680" t="s">
        <v>6939</v>
      </c>
      <c r="S680" t="s">
        <v>8404</v>
      </c>
    </row>
    <row r="681" spans="1:19" x14ac:dyDescent="0.3">
      <c r="A681" t="s">
        <v>8085</v>
      </c>
      <c r="B681" t="s">
        <v>8375</v>
      </c>
      <c r="C681" t="s">
        <v>3997</v>
      </c>
      <c r="H681">
        <v>46992</v>
      </c>
      <c r="N681" t="s">
        <v>6941</v>
      </c>
      <c r="S681" t="s">
        <v>8404</v>
      </c>
    </row>
    <row r="682" spans="1:19" x14ac:dyDescent="0.3">
      <c r="A682" t="s">
        <v>8086</v>
      </c>
      <c r="B682" t="s">
        <v>8376</v>
      </c>
      <c r="C682" t="s">
        <v>4037</v>
      </c>
      <c r="H682">
        <v>45132</v>
      </c>
      <c r="N682" t="s">
        <v>6322</v>
      </c>
      <c r="S682" t="s">
        <v>8404</v>
      </c>
    </row>
    <row r="683" spans="1:19" x14ac:dyDescent="0.3">
      <c r="A683" t="s">
        <v>8087</v>
      </c>
      <c r="B683" t="s">
        <v>8377</v>
      </c>
      <c r="C683" t="s">
        <v>3997</v>
      </c>
      <c r="H683">
        <v>46992</v>
      </c>
      <c r="N683" t="s">
        <v>6943</v>
      </c>
      <c r="S683" t="s">
        <v>8402</v>
      </c>
    </row>
    <row r="684" spans="1:19" x14ac:dyDescent="0.3">
      <c r="A684" t="s">
        <v>8088</v>
      </c>
      <c r="B684" t="s">
        <v>8378</v>
      </c>
      <c r="C684" t="s">
        <v>3980</v>
      </c>
      <c r="H684">
        <v>41277</v>
      </c>
      <c r="N684" t="s">
        <v>6358</v>
      </c>
      <c r="S684" t="s">
        <v>8402</v>
      </c>
    </row>
    <row r="685" spans="1:19" x14ac:dyDescent="0.3">
      <c r="A685" t="s">
        <v>8089</v>
      </c>
      <c r="B685" t="s">
        <v>8379</v>
      </c>
      <c r="C685" t="s">
        <v>3997</v>
      </c>
      <c r="H685">
        <v>46992</v>
      </c>
      <c r="N685" t="s">
        <v>6945</v>
      </c>
      <c r="S685" t="s">
        <v>8402</v>
      </c>
    </row>
    <row r="686" spans="1:19" x14ac:dyDescent="0.3">
      <c r="A686" t="s">
        <v>8090</v>
      </c>
      <c r="B686" t="s">
        <v>8380</v>
      </c>
      <c r="C686" t="s">
        <v>7760</v>
      </c>
      <c r="H686">
        <v>41957</v>
      </c>
      <c r="N686" t="s">
        <v>6947</v>
      </c>
      <c r="S686" t="s">
        <v>8402</v>
      </c>
    </row>
    <row r="687" spans="1:19" x14ac:dyDescent="0.3">
      <c r="A687" t="s">
        <v>8091</v>
      </c>
      <c r="B687" t="s">
        <v>8381</v>
      </c>
      <c r="C687" t="s">
        <v>4037</v>
      </c>
      <c r="H687">
        <v>45132</v>
      </c>
      <c r="N687" t="s">
        <v>6949</v>
      </c>
      <c r="S687" t="s">
        <v>8402</v>
      </c>
    </row>
    <row r="688" spans="1:19" x14ac:dyDescent="0.3">
      <c r="A688" t="s">
        <v>8092</v>
      </c>
      <c r="B688" t="s">
        <v>8382</v>
      </c>
      <c r="C688" t="s">
        <v>7746</v>
      </c>
      <c r="H688">
        <v>19414</v>
      </c>
      <c r="N688" t="s">
        <v>6302</v>
      </c>
      <c r="S688" t="s">
        <v>8402</v>
      </c>
    </row>
    <row r="689" spans="1:19" x14ac:dyDescent="0.3">
      <c r="A689" t="s">
        <v>8093</v>
      </c>
      <c r="B689" t="s">
        <v>8383</v>
      </c>
      <c r="C689" t="s">
        <v>4089</v>
      </c>
      <c r="H689">
        <v>18416</v>
      </c>
      <c r="N689" t="s">
        <v>6951</v>
      </c>
      <c r="S689" t="s">
        <v>8402</v>
      </c>
    </row>
    <row r="690" spans="1:19" x14ac:dyDescent="0.3">
      <c r="A690" t="s">
        <v>8094</v>
      </c>
      <c r="B690" t="s">
        <v>8384</v>
      </c>
      <c r="C690" t="s">
        <v>7755</v>
      </c>
      <c r="H690">
        <v>52095</v>
      </c>
      <c r="N690" t="s">
        <v>6953</v>
      </c>
      <c r="S690" t="s">
        <v>8402</v>
      </c>
    </row>
    <row r="691" spans="1:19" x14ac:dyDescent="0.3">
      <c r="A691" t="s">
        <v>8095</v>
      </c>
      <c r="B691" t="s">
        <v>8385</v>
      </c>
      <c r="C691" t="s">
        <v>4037</v>
      </c>
      <c r="H691">
        <v>45132</v>
      </c>
      <c r="N691" t="s">
        <v>6955</v>
      </c>
      <c r="S691" t="s">
        <v>8402</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errorTitle="Operator required" error="Every aircraft must be assigned an operator. Pick an operator_id from the list, or add the operator on the Operators sheet first." xr:uid="{27BE8EF7-1FD0-4812-93E9-B5E7939A69C2}">
          <x14:formula1>
            <xm:f>Operators!$A$2:$A$46</xm:f>
          </x14:formula1>
          <xm:sqref>N2:N111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5A8BF-95BB-4C54-B67C-160873E4A774}">
  <dimension ref="A1:JU231"/>
  <sheetViews>
    <sheetView workbookViewId="0"/>
  </sheetViews>
  <sheetFormatPr defaultRowHeight="14.4" x14ac:dyDescent="0.3"/>
  <cols>
    <col min="1" max="1" width="25.88671875" customWidth="1"/>
  </cols>
  <sheetData>
    <row r="1" spans="1:117" x14ac:dyDescent="0.3">
      <c r="A1" s="1" t="s">
        <v>4319</v>
      </c>
    </row>
    <row r="12" spans="1:117" x14ac:dyDescent="0.3">
      <c r="CW12" t="s">
        <v>2691</v>
      </c>
    </row>
    <row r="13" spans="1:117" x14ac:dyDescent="0.3">
      <c r="CU13" t="s">
        <v>2691</v>
      </c>
      <c r="CV13" t="s">
        <v>2691</v>
      </c>
      <c r="CW13" t="s">
        <v>2691</v>
      </c>
      <c r="CX13" t="s">
        <v>2691</v>
      </c>
      <c r="CY13" t="s">
        <v>2691</v>
      </c>
      <c r="CZ13" t="s">
        <v>2691</v>
      </c>
    </row>
    <row r="14" spans="1:117" x14ac:dyDescent="0.3">
      <c r="CT14" t="s">
        <v>2691</v>
      </c>
      <c r="CU14" t="s">
        <v>2691</v>
      </c>
      <c r="CV14" t="s">
        <v>2691</v>
      </c>
      <c r="CW14" t="s">
        <v>2691</v>
      </c>
      <c r="CX14" t="s">
        <v>2691</v>
      </c>
      <c r="CY14" t="s">
        <v>2691</v>
      </c>
      <c r="CZ14" t="s">
        <v>2691</v>
      </c>
      <c r="DA14" t="s">
        <v>2691</v>
      </c>
      <c r="DB14" t="s">
        <v>2691</v>
      </c>
      <c r="DC14" t="s">
        <v>2691</v>
      </c>
      <c r="DD14" t="s">
        <v>2691</v>
      </c>
      <c r="DE14" t="s">
        <v>2691</v>
      </c>
      <c r="DF14" t="s">
        <v>2691</v>
      </c>
      <c r="DG14" t="s">
        <v>2691</v>
      </c>
      <c r="DH14" t="s">
        <v>2691</v>
      </c>
      <c r="DI14" t="s">
        <v>2691</v>
      </c>
    </row>
    <row r="15" spans="1:117" x14ac:dyDescent="0.3">
      <c r="CT15" t="s">
        <v>2691</v>
      </c>
      <c r="CU15" t="s">
        <v>2691</v>
      </c>
      <c r="CV15" t="s">
        <v>2691</v>
      </c>
      <c r="CW15" t="s">
        <v>2691</v>
      </c>
      <c r="CX15" t="s">
        <v>2691</v>
      </c>
      <c r="CY15" t="s">
        <v>2691</v>
      </c>
      <c r="CZ15" t="s">
        <v>2691</v>
      </c>
      <c r="DA15" t="s">
        <v>2691</v>
      </c>
      <c r="DB15" t="s">
        <v>2691</v>
      </c>
      <c r="DC15" t="s">
        <v>2691</v>
      </c>
      <c r="DD15" t="s">
        <v>2691</v>
      </c>
      <c r="DE15" t="s">
        <v>2691</v>
      </c>
      <c r="DF15" t="s">
        <v>2691</v>
      </c>
      <c r="DG15" t="s">
        <v>2691</v>
      </c>
      <c r="DH15" t="s">
        <v>2691</v>
      </c>
      <c r="DI15" t="s">
        <v>2691</v>
      </c>
      <c r="DJ15" t="s">
        <v>2691</v>
      </c>
      <c r="DK15" t="s">
        <v>2691</v>
      </c>
      <c r="DL15" t="s">
        <v>2691</v>
      </c>
    </row>
    <row r="16" spans="1:117" x14ac:dyDescent="0.3">
      <c r="CT16" t="s">
        <v>2691</v>
      </c>
      <c r="CU16" t="s">
        <v>2691</v>
      </c>
      <c r="CV16" t="s">
        <v>2691</v>
      </c>
      <c r="CW16" t="s">
        <v>2691</v>
      </c>
      <c r="CX16" t="s">
        <v>2691</v>
      </c>
      <c r="CY16" t="s">
        <v>2691</v>
      </c>
      <c r="CZ16" t="s">
        <v>2691</v>
      </c>
      <c r="DA16" t="s">
        <v>2691</v>
      </c>
      <c r="DB16" t="s">
        <v>2691</v>
      </c>
      <c r="DC16" t="s">
        <v>2691</v>
      </c>
      <c r="DD16" t="s">
        <v>2691</v>
      </c>
      <c r="DE16" t="s">
        <v>2691</v>
      </c>
      <c r="DF16" t="s">
        <v>2691</v>
      </c>
      <c r="DG16" t="s">
        <v>2691</v>
      </c>
      <c r="DH16" t="s">
        <v>2691</v>
      </c>
      <c r="DI16" t="s">
        <v>2691</v>
      </c>
      <c r="DJ16" t="s">
        <v>2691</v>
      </c>
      <c r="DK16" t="s">
        <v>2691</v>
      </c>
      <c r="DL16" t="s">
        <v>2691</v>
      </c>
      <c r="DM16" t="s">
        <v>2691</v>
      </c>
    </row>
    <row r="17" spans="91:155" x14ac:dyDescent="0.3">
      <c r="CT17" t="s">
        <v>2691</v>
      </c>
      <c r="CU17" t="s">
        <v>2691</v>
      </c>
      <c r="CV17" t="s">
        <v>2691</v>
      </c>
      <c r="CW17" t="s">
        <v>2691</v>
      </c>
      <c r="CX17" t="s">
        <v>2691</v>
      </c>
      <c r="CY17" t="s">
        <v>2691</v>
      </c>
      <c r="CZ17" t="s">
        <v>2691</v>
      </c>
      <c r="DA17" t="s">
        <v>2691</v>
      </c>
      <c r="DB17" t="s">
        <v>2691</v>
      </c>
      <c r="DC17" t="s">
        <v>2691</v>
      </c>
      <c r="DD17" t="s">
        <v>2691</v>
      </c>
      <c r="DE17" t="s">
        <v>2691</v>
      </c>
      <c r="DF17" t="s">
        <v>2691</v>
      </c>
      <c r="DG17" t="s">
        <v>2691</v>
      </c>
      <c r="DH17" t="s">
        <v>2691</v>
      </c>
      <c r="DI17" t="s">
        <v>2691</v>
      </c>
      <c r="DJ17" t="s">
        <v>2691</v>
      </c>
      <c r="DK17" t="s">
        <v>2691</v>
      </c>
      <c r="DL17" t="s">
        <v>2691</v>
      </c>
      <c r="DM17" t="s">
        <v>2691</v>
      </c>
      <c r="DN17" t="s">
        <v>2691</v>
      </c>
      <c r="DO17" t="s">
        <v>2691</v>
      </c>
    </row>
    <row r="18" spans="91:155" x14ac:dyDescent="0.3">
      <c r="CT18" t="s">
        <v>2691</v>
      </c>
      <c r="CU18" t="s">
        <v>2691</v>
      </c>
      <c r="CV18" t="s">
        <v>2691</v>
      </c>
      <c r="CW18" t="s">
        <v>2691</v>
      </c>
      <c r="CX18" t="s">
        <v>2691</v>
      </c>
      <c r="CY18" t="s">
        <v>2691</v>
      </c>
      <c r="CZ18" t="s">
        <v>2691</v>
      </c>
      <c r="DA18" t="s">
        <v>2691</v>
      </c>
      <c r="DB18" t="s">
        <v>2691</v>
      </c>
      <c r="DC18" t="s">
        <v>2691</v>
      </c>
      <c r="DD18" t="s">
        <v>2691</v>
      </c>
      <c r="DE18" t="s">
        <v>2691</v>
      </c>
      <c r="DF18" t="s">
        <v>2691</v>
      </c>
      <c r="DG18" t="s">
        <v>2691</v>
      </c>
      <c r="DH18" t="s">
        <v>2691</v>
      </c>
      <c r="DI18" t="s">
        <v>2691</v>
      </c>
      <c r="DJ18" t="s">
        <v>2691</v>
      </c>
      <c r="DK18" t="s">
        <v>2691</v>
      </c>
      <c r="DL18" t="s">
        <v>2691</v>
      </c>
      <c r="DM18" t="s">
        <v>2691</v>
      </c>
      <c r="DN18" t="s">
        <v>2691</v>
      </c>
      <c r="DO18" t="s">
        <v>2691</v>
      </c>
      <c r="DP18" t="s">
        <v>2691</v>
      </c>
    </row>
    <row r="19" spans="91:155" x14ac:dyDescent="0.3">
      <c r="CT19" t="s">
        <v>2691</v>
      </c>
      <c r="CU19" t="s">
        <v>2691</v>
      </c>
      <c r="CV19" t="s">
        <v>2691</v>
      </c>
      <c r="CW19" t="s">
        <v>2691</v>
      </c>
      <c r="CX19" t="s">
        <v>2691</v>
      </c>
      <c r="CY19" t="s">
        <v>2691</v>
      </c>
      <c r="CZ19" t="s">
        <v>2691</v>
      </c>
      <c r="DA19" t="s">
        <v>2691</v>
      </c>
      <c r="DB19" t="s">
        <v>2691</v>
      </c>
      <c r="DC19" t="s">
        <v>2691</v>
      </c>
      <c r="DD19" t="s">
        <v>2691</v>
      </c>
      <c r="DE19" t="s">
        <v>2691</v>
      </c>
      <c r="DF19" t="s">
        <v>2691</v>
      </c>
      <c r="DG19" t="s">
        <v>2691</v>
      </c>
      <c r="DH19" t="s">
        <v>2691</v>
      </c>
      <c r="DI19" t="s">
        <v>2691</v>
      </c>
      <c r="DJ19" t="s">
        <v>2691</v>
      </c>
      <c r="DK19" t="s">
        <v>2691</v>
      </c>
      <c r="DL19" t="s">
        <v>2691</v>
      </c>
      <c r="DM19" t="s">
        <v>2691</v>
      </c>
      <c r="DN19" t="s">
        <v>2691</v>
      </c>
      <c r="DO19" t="s">
        <v>2691</v>
      </c>
      <c r="DP19" t="s">
        <v>2691</v>
      </c>
      <c r="DQ19" t="s">
        <v>2691</v>
      </c>
    </row>
    <row r="20" spans="91:155" x14ac:dyDescent="0.3">
      <c r="CS20" t="s">
        <v>2691</v>
      </c>
      <c r="CT20" t="s">
        <v>2691</v>
      </c>
      <c r="CU20" t="s">
        <v>2691</v>
      </c>
      <c r="CV20" t="s">
        <v>2691</v>
      </c>
      <c r="CW20" t="s">
        <v>2691</v>
      </c>
      <c r="CX20" t="s">
        <v>2691</v>
      </c>
      <c r="CY20" t="s">
        <v>2691</v>
      </c>
      <c r="CZ20" t="s">
        <v>2691</v>
      </c>
      <c r="DA20" t="s">
        <v>2691</v>
      </c>
      <c r="DB20" t="s">
        <v>2691</v>
      </c>
      <c r="DC20" t="s">
        <v>2691</v>
      </c>
      <c r="DD20" t="s">
        <v>2691</v>
      </c>
      <c r="DE20" t="s">
        <v>2691</v>
      </c>
      <c r="DF20" t="s">
        <v>2691</v>
      </c>
      <c r="DG20" t="s">
        <v>2691</v>
      </c>
      <c r="DH20" t="s">
        <v>2691</v>
      </c>
      <c r="DI20" t="s">
        <v>2691</v>
      </c>
      <c r="DJ20" t="s">
        <v>2691</v>
      </c>
      <c r="DK20" t="s">
        <v>2691</v>
      </c>
      <c r="DL20" t="s">
        <v>2691</v>
      </c>
      <c r="DM20" t="s">
        <v>2691</v>
      </c>
      <c r="DN20" t="s">
        <v>2691</v>
      </c>
      <c r="DO20" t="s">
        <v>2691</v>
      </c>
      <c r="DP20" t="s">
        <v>2691</v>
      </c>
      <c r="DQ20" t="s">
        <v>2691</v>
      </c>
      <c r="DR20" t="s">
        <v>2691</v>
      </c>
    </row>
    <row r="21" spans="91:155" x14ac:dyDescent="0.3">
      <c r="CS21" t="s">
        <v>2691</v>
      </c>
      <c r="CT21" t="s">
        <v>2691</v>
      </c>
      <c r="CU21" t="s">
        <v>2691</v>
      </c>
      <c r="CV21" t="s">
        <v>2691</v>
      </c>
      <c r="CW21" t="s">
        <v>2691</v>
      </c>
      <c r="CX21" t="s">
        <v>2691</v>
      </c>
      <c r="CY21" t="s">
        <v>2691</v>
      </c>
      <c r="CZ21" t="s">
        <v>2691</v>
      </c>
      <c r="DA21" t="s">
        <v>2691</v>
      </c>
      <c r="DB21" t="s">
        <v>2691</v>
      </c>
      <c r="DC21" t="s">
        <v>2691</v>
      </c>
      <c r="DD21" t="s">
        <v>2691</v>
      </c>
      <c r="DE21" t="s">
        <v>2691</v>
      </c>
      <c r="DF21" t="s">
        <v>2691</v>
      </c>
      <c r="DG21" t="s">
        <v>2691</v>
      </c>
      <c r="DH21" t="s">
        <v>2691</v>
      </c>
      <c r="DI21" t="s">
        <v>2691</v>
      </c>
      <c r="DJ21" t="s">
        <v>2691</v>
      </c>
      <c r="DK21" t="s">
        <v>2691</v>
      </c>
      <c r="DL21" t="s">
        <v>2691</v>
      </c>
      <c r="DM21" t="s">
        <v>2619</v>
      </c>
      <c r="DN21" t="s">
        <v>2619</v>
      </c>
      <c r="DO21" t="s">
        <v>2691</v>
      </c>
      <c r="DP21" t="s">
        <v>2691</v>
      </c>
      <c r="DQ21" t="s">
        <v>2691</v>
      </c>
      <c r="DR21" t="s">
        <v>2691</v>
      </c>
    </row>
    <row r="22" spans="91:155" x14ac:dyDescent="0.3">
      <c r="CR22" t="s">
        <v>2691</v>
      </c>
      <c r="CS22" t="s">
        <v>2691</v>
      </c>
      <c r="CT22" t="s">
        <v>2691</v>
      </c>
      <c r="CU22" t="s">
        <v>2691</v>
      </c>
      <c r="CV22" t="s">
        <v>2691</v>
      </c>
      <c r="CW22" t="s">
        <v>2691</v>
      </c>
      <c r="CX22" t="s">
        <v>2691</v>
      </c>
      <c r="CY22" t="s">
        <v>2691</v>
      </c>
      <c r="CZ22" t="s">
        <v>2691</v>
      </c>
      <c r="DA22" t="s">
        <v>2691</v>
      </c>
      <c r="DB22" t="s">
        <v>2691</v>
      </c>
      <c r="DC22" t="s">
        <v>2691</v>
      </c>
      <c r="DD22" t="s">
        <v>2691</v>
      </c>
      <c r="DE22" t="s">
        <v>2691</v>
      </c>
      <c r="DF22" t="s">
        <v>2691</v>
      </c>
      <c r="DG22" t="s">
        <v>2691</v>
      </c>
      <c r="DH22" t="s">
        <v>2691</v>
      </c>
      <c r="DI22" t="s">
        <v>2691</v>
      </c>
      <c r="DJ22" t="s">
        <v>2691</v>
      </c>
      <c r="DK22" t="s">
        <v>2691</v>
      </c>
      <c r="DL22" t="s">
        <v>2619</v>
      </c>
      <c r="DM22" t="s">
        <v>2619</v>
      </c>
      <c r="DN22" t="s">
        <v>2619</v>
      </c>
      <c r="DO22" t="s">
        <v>2619</v>
      </c>
      <c r="DP22" t="s">
        <v>2691</v>
      </c>
      <c r="DQ22" t="s">
        <v>2691</v>
      </c>
      <c r="DR22" t="s">
        <v>2691</v>
      </c>
      <c r="DS22" t="s">
        <v>2691</v>
      </c>
    </row>
    <row r="23" spans="91:155" x14ac:dyDescent="0.3">
      <c r="CQ23" t="s">
        <v>2691</v>
      </c>
      <c r="CR23" t="s">
        <v>2691</v>
      </c>
      <c r="CS23" t="s">
        <v>2691</v>
      </c>
      <c r="CT23" t="s">
        <v>2691</v>
      </c>
      <c r="CU23" t="s">
        <v>2691</v>
      </c>
      <c r="CV23" t="s">
        <v>2691</v>
      </c>
      <c r="CW23" t="s">
        <v>2691</v>
      </c>
      <c r="CX23" t="s">
        <v>2691</v>
      </c>
      <c r="CY23" t="s">
        <v>2691</v>
      </c>
      <c r="CZ23" t="s">
        <v>2691</v>
      </c>
      <c r="DA23" t="s">
        <v>2691</v>
      </c>
      <c r="DB23" t="s">
        <v>2691</v>
      </c>
      <c r="DC23" t="s">
        <v>2691</v>
      </c>
      <c r="DD23" t="s">
        <v>2691</v>
      </c>
      <c r="DE23" t="s">
        <v>2691</v>
      </c>
      <c r="DF23" t="s">
        <v>2691</v>
      </c>
      <c r="DG23" t="s">
        <v>2691</v>
      </c>
      <c r="DH23" t="s">
        <v>2691</v>
      </c>
      <c r="DI23" t="s">
        <v>2691</v>
      </c>
      <c r="DJ23" t="s">
        <v>2691</v>
      </c>
      <c r="DK23" t="s">
        <v>2691</v>
      </c>
      <c r="DL23" t="s">
        <v>2691</v>
      </c>
      <c r="DM23" t="s">
        <v>2619</v>
      </c>
      <c r="DN23" t="s">
        <v>2619</v>
      </c>
      <c r="DO23" t="s">
        <v>2619</v>
      </c>
      <c r="DP23" t="s">
        <v>2619</v>
      </c>
      <c r="DQ23" t="s">
        <v>2691</v>
      </c>
      <c r="DR23" t="s">
        <v>2691</v>
      </c>
      <c r="DS23" t="s">
        <v>2691</v>
      </c>
      <c r="DT23" t="s">
        <v>2691</v>
      </c>
    </row>
    <row r="24" spans="91:155" x14ac:dyDescent="0.3">
      <c r="CQ24" t="s">
        <v>2691</v>
      </c>
      <c r="CR24" t="s">
        <v>2691</v>
      </c>
      <c r="CS24" t="s">
        <v>2653</v>
      </c>
      <c r="CT24" t="s">
        <v>2653</v>
      </c>
      <c r="CU24" t="s">
        <v>2653</v>
      </c>
      <c r="CV24" t="s">
        <v>2653</v>
      </c>
      <c r="CW24" t="s">
        <v>2691</v>
      </c>
      <c r="CX24" t="s">
        <v>2691</v>
      </c>
      <c r="CY24" t="s">
        <v>2691</v>
      </c>
      <c r="CZ24" t="s">
        <v>2691</v>
      </c>
      <c r="DA24" t="s">
        <v>2691</v>
      </c>
      <c r="DB24" t="s">
        <v>2691</v>
      </c>
      <c r="DC24" t="s">
        <v>2691</v>
      </c>
      <c r="DD24" t="s">
        <v>2691</v>
      </c>
      <c r="DE24" t="s">
        <v>2691</v>
      </c>
      <c r="DF24" t="s">
        <v>2691</v>
      </c>
      <c r="DG24" t="s">
        <v>2691</v>
      </c>
      <c r="DH24" t="s">
        <v>2691</v>
      </c>
      <c r="DI24" t="s">
        <v>2691</v>
      </c>
      <c r="DJ24" t="s">
        <v>2691</v>
      </c>
      <c r="DK24" t="s">
        <v>2691</v>
      </c>
      <c r="DL24" t="s">
        <v>2691</v>
      </c>
      <c r="DM24" t="s">
        <v>2691</v>
      </c>
      <c r="DN24" t="s">
        <v>2691</v>
      </c>
      <c r="DO24" t="s">
        <v>2691</v>
      </c>
      <c r="DP24" t="s">
        <v>2691</v>
      </c>
      <c r="DQ24" t="s">
        <v>2691</v>
      </c>
      <c r="DR24" t="s">
        <v>2691</v>
      </c>
      <c r="DS24" t="s">
        <v>2691</v>
      </c>
      <c r="DT24" t="s">
        <v>2691</v>
      </c>
      <c r="DU24" t="s">
        <v>2691</v>
      </c>
    </row>
    <row r="25" spans="91:155" x14ac:dyDescent="0.3">
      <c r="CP25" t="s">
        <v>2653</v>
      </c>
      <c r="CQ25" t="s">
        <v>2691</v>
      </c>
      <c r="CR25" t="s">
        <v>2653</v>
      </c>
      <c r="CS25" t="s">
        <v>2653</v>
      </c>
      <c r="CT25" t="s">
        <v>2653</v>
      </c>
      <c r="CU25" t="s">
        <v>2653</v>
      </c>
      <c r="CV25" t="s">
        <v>2653</v>
      </c>
      <c r="CW25" t="s">
        <v>2653</v>
      </c>
      <c r="CX25" t="s">
        <v>2691</v>
      </c>
      <c r="CY25" t="s">
        <v>2691</v>
      </c>
      <c r="CZ25" t="s">
        <v>2691</v>
      </c>
      <c r="DA25" t="s">
        <v>2691</v>
      </c>
      <c r="DB25" t="s">
        <v>2691</v>
      </c>
      <c r="DC25" t="s">
        <v>2691</v>
      </c>
      <c r="DD25" t="s">
        <v>2691</v>
      </c>
      <c r="DE25" t="s">
        <v>2691</v>
      </c>
      <c r="DF25" t="s">
        <v>2691</v>
      </c>
      <c r="DG25" t="s">
        <v>2691</v>
      </c>
      <c r="DH25" t="s">
        <v>2691</v>
      </c>
      <c r="DI25" t="s">
        <v>2691</v>
      </c>
      <c r="DJ25" t="s">
        <v>2691</v>
      </c>
      <c r="DK25" t="s">
        <v>2691</v>
      </c>
      <c r="DL25" t="s">
        <v>2691</v>
      </c>
      <c r="DM25" t="s">
        <v>2691</v>
      </c>
      <c r="DN25" t="s">
        <v>2691</v>
      </c>
      <c r="DO25" t="s">
        <v>2691</v>
      </c>
      <c r="DP25" t="s">
        <v>2691</v>
      </c>
      <c r="DQ25" t="s">
        <v>2691</v>
      </c>
      <c r="DR25" t="s">
        <v>2691</v>
      </c>
      <c r="DS25" t="s">
        <v>2691</v>
      </c>
      <c r="DT25" t="s">
        <v>2691</v>
      </c>
      <c r="DU25" t="s">
        <v>2691</v>
      </c>
      <c r="DV25" t="s">
        <v>2691</v>
      </c>
    </row>
    <row r="26" spans="91:155" x14ac:dyDescent="0.3">
      <c r="CO26" t="s">
        <v>2653</v>
      </c>
      <c r="CP26" t="s">
        <v>2653</v>
      </c>
      <c r="CQ26" t="s">
        <v>2653</v>
      </c>
      <c r="CR26" t="s">
        <v>2653</v>
      </c>
      <c r="CS26" t="s">
        <v>2653</v>
      </c>
      <c r="CT26" t="s">
        <v>2653</v>
      </c>
      <c r="CU26" t="s">
        <v>2653</v>
      </c>
      <c r="CV26" t="s">
        <v>2653</v>
      </c>
      <c r="CW26" t="s">
        <v>2653</v>
      </c>
      <c r="CX26" t="s">
        <v>2691</v>
      </c>
      <c r="CY26" t="s">
        <v>2691</v>
      </c>
      <c r="CZ26" t="s">
        <v>2691</v>
      </c>
      <c r="DA26" t="s">
        <v>2691</v>
      </c>
      <c r="DB26" t="s">
        <v>2691</v>
      </c>
      <c r="DC26" t="s">
        <v>2691</v>
      </c>
      <c r="DD26" t="s">
        <v>2691</v>
      </c>
      <c r="DE26" t="s">
        <v>2691</v>
      </c>
      <c r="DF26" t="s">
        <v>2691</v>
      </c>
      <c r="DG26" t="s">
        <v>2691</v>
      </c>
      <c r="DH26" t="s">
        <v>2691</v>
      </c>
      <c r="DI26" t="s">
        <v>2691</v>
      </c>
      <c r="DJ26" t="s">
        <v>2691</v>
      </c>
      <c r="DK26" t="s">
        <v>2691</v>
      </c>
      <c r="DL26" t="s">
        <v>2691</v>
      </c>
      <c r="DM26" t="s">
        <v>2691</v>
      </c>
      <c r="DN26" t="s">
        <v>2691</v>
      </c>
      <c r="DO26" t="s">
        <v>2691</v>
      </c>
      <c r="DP26" t="s">
        <v>2691</v>
      </c>
      <c r="DQ26" t="s">
        <v>2691</v>
      </c>
      <c r="DR26" t="s">
        <v>2691</v>
      </c>
      <c r="DS26" t="s">
        <v>2691</v>
      </c>
      <c r="DT26" t="s">
        <v>2691</v>
      </c>
      <c r="DU26" t="s">
        <v>2691</v>
      </c>
      <c r="DV26" t="s">
        <v>2691</v>
      </c>
    </row>
    <row r="27" spans="91:155" x14ac:dyDescent="0.3">
      <c r="CO27" t="s">
        <v>2653</v>
      </c>
      <c r="CP27" t="s">
        <v>2653</v>
      </c>
      <c r="CQ27" t="s">
        <v>2653</v>
      </c>
      <c r="CR27" t="s">
        <v>2653</v>
      </c>
      <c r="CS27" t="s">
        <v>2653</v>
      </c>
      <c r="CT27" t="s">
        <v>2653</v>
      </c>
      <c r="CU27" t="s">
        <v>2653</v>
      </c>
      <c r="CV27" t="s">
        <v>2653</v>
      </c>
      <c r="CW27" t="s">
        <v>2653</v>
      </c>
      <c r="CX27" t="s">
        <v>2691</v>
      </c>
      <c r="CY27" t="s">
        <v>2691</v>
      </c>
      <c r="CZ27" t="s">
        <v>2691</v>
      </c>
      <c r="DA27" t="s">
        <v>2691</v>
      </c>
      <c r="DB27" t="s">
        <v>2691</v>
      </c>
      <c r="DC27" t="s">
        <v>2691</v>
      </c>
      <c r="DD27" t="s">
        <v>2691</v>
      </c>
      <c r="DE27" t="s">
        <v>2691</v>
      </c>
      <c r="DF27" t="s">
        <v>2691</v>
      </c>
      <c r="DG27" t="s">
        <v>2691</v>
      </c>
      <c r="DH27" t="s">
        <v>2691</v>
      </c>
      <c r="DI27" t="s">
        <v>2691</v>
      </c>
      <c r="DJ27" t="s">
        <v>2691</v>
      </c>
      <c r="DK27" t="s">
        <v>2691</v>
      </c>
      <c r="DL27" t="s">
        <v>2691</v>
      </c>
      <c r="DM27" t="s">
        <v>2691</v>
      </c>
      <c r="DN27" t="s">
        <v>2691</v>
      </c>
      <c r="DO27" t="s">
        <v>2691</v>
      </c>
      <c r="DP27" t="s">
        <v>2691</v>
      </c>
      <c r="DQ27" t="s">
        <v>2691</v>
      </c>
      <c r="DR27" t="s">
        <v>2691</v>
      </c>
      <c r="DS27" t="s">
        <v>2691</v>
      </c>
      <c r="DT27" t="s">
        <v>2596</v>
      </c>
      <c r="DU27" t="s">
        <v>2691</v>
      </c>
      <c r="DV27" t="s">
        <v>2691</v>
      </c>
    </row>
    <row r="28" spans="91:155" x14ac:dyDescent="0.3">
      <c r="CN28" t="s">
        <v>2653</v>
      </c>
      <c r="CO28" t="s">
        <v>2653</v>
      </c>
      <c r="CP28" t="s">
        <v>2653</v>
      </c>
      <c r="CQ28" t="s">
        <v>2653</v>
      </c>
      <c r="CR28" t="s">
        <v>2653</v>
      </c>
      <c r="CS28" t="s">
        <v>2653</v>
      </c>
      <c r="CT28" t="s">
        <v>2653</v>
      </c>
      <c r="CU28" t="s">
        <v>2653</v>
      </c>
      <c r="CV28" t="s">
        <v>2653</v>
      </c>
      <c r="CW28" t="s">
        <v>2653</v>
      </c>
      <c r="CX28" t="s">
        <v>2691</v>
      </c>
      <c r="CY28" t="s">
        <v>2691</v>
      </c>
      <c r="CZ28" t="s">
        <v>1330</v>
      </c>
      <c r="DA28" t="s">
        <v>2691</v>
      </c>
      <c r="DB28" t="s">
        <v>2691</v>
      </c>
      <c r="DC28" t="s">
        <v>2691</v>
      </c>
      <c r="DD28" t="s">
        <v>2691</v>
      </c>
      <c r="DE28" t="s">
        <v>2691</v>
      </c>
      <c r="DF28" t="s">
        <v>2691</v>
      </c>
      <c r="DG28" t="s">
        <v>2691</v>
      </c>
      <c r="DH28" t="s">
        <v>2691</v>
      </c>
      <c r="DI28" t="s">
        <v>2691</v>
      </c>
      <c r="DJ28" t="s">
        <v>2691</v>
      </c>
      <c r="DK28" t="s">
        <v>2691</v>
      </c>
      <c r="DL28" t="s">
        <v>2691</v>
      </c>
      <c r="DM28" t="s">
        <v>2691</v>
      </c>
      <c r="DN28" t="s">
        <v>2691</v>
      </c>
      <c r="DO28" t="s">
        <v>2691</v>
      </c>
      <c r="DP28" t="s">
        <v>2691</v>
      </c>
      <c r="DQ28" t="s">
        <v>2691</v>
      </c>
      <c r="DR28" t="s">
        <v>2691</v>
      </c>
      <c r="DS28" t="s">
        <v>2596</v>
      </c>
      <c r="DT28" t="s">
        <v>2596</v>
      </c>
      <c r="DU28" t="s">
        <v>2596</v>
      </c>
      <c r="DV28" t="s">
        <v>2691</v>
      </c>
      <c r="DW28" t="s">
        <v>2691</v>
      </c>
    </row>
    <row r="29" spans="91:155" x14ac:dyDescent="0.3">
      <c r="CN29" t="s">
        <v>2653</v>
      </c>
      <c r="CO29" t="s">
        <v>2653</v>
      </c>
      <c r="CP29" t="s">
        <v>2653</v>
      </c>
      <c r="CQ29" t="s">
        <v>2653</v>
      </c>
      <c r="CR29" t="s">
        <v>2653</v>
      </c>
      <c r="CS29" t="s">
        <v>2653</v>
      </c>
      <c r="CT29" t="s">
        <v>2653</v>
      </c>
      <c r="CU29" t="s">
        <v>2653</v>
      </c>
      <c r="CV29" t="s">
        <v>2653</v>
      </c>
      <c r="CW29" t="s">
        <v>2653</v>
      </c>
      <c r="CX29" t="s">
        <v>2691</v>
      </c>
      <c r="CY29" t="s">
        <v>1330</v>
      </c>
      <c r="CZ29" t="s">
        <v>1330</v>
      </c>
      <c r="DA29" t="s">
        <v>1330</v>
      </c>
      <c r="DB29" t="s">
        <v>2691</v>
      </c>
      <c r="DC29" t="s">
        <v>2691</v>
      </c>
      <c r="DD29" t="s">
        <v>2691</v>
      </c>
      <c r="DE29" t="s">
        <v>2691</v>
      </c>
      <c r="DF29" t="s">
        <v>2691</v>
      </c>
      <c r="DG29" t="s">
        <v>2691</v>
      </c>
      <c r="DH29" t="s">
        <v>2691</v>
      </c>
      <c r="DI29" t="s">
        <v>2691</v>
      </c>
      <c r="DJ29" t="s">
        <v>2691</v>
      </c>
      <c r="DK29" t="s">
        <v>2691</v>
      </c>
      <c r="DL29" t="s">
        <v>2691</v>
      </c>
      <c r="DM29" t="s">
        <v>2691</v>
      </c>
      <c r="DN29" t="s">
        <v>2691</v>
      </c>
      <c r="DO29" t="s">
        <v>2691</v>
      </c>
      <c r="DP29" t="s">
        <v>2691</v>
      </c>
      <c r="DQ29" t="s">
        <v>2691</v>
      </c>
      <c r="DR29" t="s">
        <v>2691</v>
      </c>
      <c r="DS29" t="s">
        <v>2691</v>
      </c>
      <c r="DT29" t="s">
        <v>2596</v>
      </c>
      <c r="DU29" t="s">
        <v>2596</v>
      </c>
      <c r="DV29" t="s">
        <v>2649</v>
      </c>
      <c r="DW29" t="s">
        <v>2649</v>
      </c>
    </row>
    <row r="30" spans="91:155" x14ac:dyDescent="0.3">
      <c r="CN30" t="s">
        <v>2653</v>
      </c>
      <c r="CO30" t="s">
        <v>2653</v>
      </c>
      <c r="CP30" t="s">
        <v>2653</v>
      </c>
      <c r="CQ30" t="s">
        <v>2653</v>
      </c>
      <c r="CR30" t="s">
        <v>2653</v>
      </c>
      <c r="CS30" t="s">
        <v>2653</v>
      </c>
      <c r="CT30" t="s">
        <v>2653</v>
      </c>
      <c r="CU30" t="s">
        <v>2653</v>
      </c>
      <c r="CV30" t="s">
        <v>2653</v>
      </c>
      <c r="CW30" t="s">
        <v>2653</v>
      </c>
      <c r="CX30" t="s">
        <v>2691</v>
      </c>
      <c r="CY30" t="s">
        <v>1330</v>
      </c>
      <c r="CZ30" t="s">
        <v>1330</v>
      </c>
      <c r="DA30" t="s">
        <v>1330</v>
      </c>
      <c r="DB30" t="s">
        <v>1330</v>
      </c>
      <c r="DC30" t="s">
        <v>2691</v>
      </c>
      <c r="DD30" t="s">
        <v>2691</v>
      </c>
      <c r="DE30" t="s">
        <v>2691</v>
      </c>
      <c r="DF30" t="s">
        <v>2691</v>
      </c>
      <c r="DG30" t="s">
        <v>2691</v>
      </c>
      <c r="DH30" t="s">
        <v>2691</v>
      </c>
      <c r="DI30" t="s">
        <v>2691</v>
      </c>
      <c r="DJ30" t="s">
        <v>2691</v>
      </c>
      <c r="DK30" t="s">
        <v>2691</v>
      </c>
      <c r="DL30" t="s">
        <v>2691</v>
      </c>
      <c r="DM30" t="s">
        <v>2691</v>
      </c>
      <c r="DN30" t="s">
        <v>2691</v>
      </c>
      <c r="DO30" t="s">
        <v>2691</v>
      </c>
      <c r="DP30" t="s">
        <v>2691</v>
      </c>
      <c r="DQ30" t="s">
        <v>2691</v>
      </c>
      <c r="DR30" t="s">
        <v>2691</v>
      </c>
      <c r="DS30" t="s">
        <v>2691</v>
      </c>
      <c r="DT30" t="s">
        <v>2596</v>
      </c>
      <c r="DU30" t="s">
        <v>2691</v>
      </c>
      <c r="DV30" t="s">
        <v>2649</v>
      </c>
    </row>
    <row r="31" spans="91:155" x14ac:dyDescent="0.3">
      <c r="CM31" t="s">
        <v>2653</v>
      </c>
      <c r="CN31" t="s">
        <v>2653</v>
      </c>
      <c r="CO31" t="s">
        <v>2653</v>
      </c>
      <c r="CP31" t="s">
        <v>2653</v>
      </c>
      <c r="CQ31" t="s">
        <v>2653</v>
      </c>
      <c r="CR31" t="s">
        <v>2653</v>
      </c>
      <c r="CS31" t="s">
        <v>2653</v>
      </c>
      <c r="CT31" t="s">
        <v>2653</v>
      </c>
      <c r="CU31" t="s">
        <v>2653</v>
      </c>
      <c r="CV31" t="s">
        <v>2653</v>
      </c>
      <c r="CW31" t="s">
        <v>2653</v>
      </c>
      <c r="CX31" t="s">
        <v>2691</v>
      </c>
      <c r="CY31" t="s">
        <v>1330</v>
      </c>
      <c r="CZ31" t="s">
        <v>1330</v>
      </c>
      <c r="DA31" t="s">
        <v>1330</v>
      </c>
      <c r="DB31" t="s">
        <v>1330</v>
      </c>
      <c r="DC31" t="s">
        <v>1330</v>
      </c>
      <c r="DD31" t="s">
        <v>1330</v>
      </c>
      <c r="DE31" t="s">
        <v>1330</v>
      </c>
      <c r="DF31" t="s">
        <v>1330</v>
      </c>
      <c r="DG31" t="s">
        <v>1330</v>
      </c>
      <c r="DH31" t="s">
        <v>1330</v>
      </c>
      <c r="DI31" t="s">
        <v>2691</v>
      </c>
      <c r="DJ31" t="s">
        <v>2691</v>
      </c>
      <c r="DK31" t="s">
        <v>2691</v>
      </c>
      <c r="DL31" t="s">
        <v>2691</v>
      </c>
      <c r="DM31" t="s">
        <v>2691</v>
      </c>
      <c r="DN31" t="s">
        <v>2691</v>
      </c>
      <c r="DO31" t="s">
        <v>2691</v>
      </c>
      <c r="DP31" t="s">
        <v>2691</v>
      </c>
      <c r="DQ31" t="s">
        <v>2691</v>
      </c>
      <c r="DR31" t="s">
        <v>2691</v>
      </c>
      <c r="DS31" t="s">
        <v>2691</v>
      </c>
      <c r="DT31" t="s">
        <v>2691</v>
      </c>
      <c r="DU31" t="s">
        <v>2691</v>
      </c>
      <c r="DV31" t="s">
        <v>2649</v>
      </c>
      <c r="DW31" t="s">
        <v>2649</v>
      </c>
      <c r="DX31" t="s">
        <v>2649</v>
      </c>
      <c r="EU31" t="s">
        <v>2628</v>
      </c>
      <c r="EV31" t="s">
        <v>2628</v>
      </c>
      <c r="EW31" t="s">
        <v>2628</v>
      </c>
    </row>
    <row r="32" spans="91:155" x14ac:dyDescent="0.3">
      <c r="CM32" t="s">
        <v>2653</v>
      </c>
      <c r="CN32" t="s">
        <v>2653</v>
      </c>
      <c r="CO32" t="s">
        <v>2653</v>
      </c>
      <c r="CP32" t="s">
        <v>2653</v>
      </c>
      <c r="CQ32" t="s">
        <v>2653</v>
      </c>
      <c r="CR32" t="s">
        <v>2653</v>
      </c>
      <c r="CS32" t="s">
        <v>2653</v>
      </c>
      <c r="CT32" t="s">
        <v>2653</v>
      </c>
      <c r="CU32" t="s">
        <v>2653</v>
      </c>
      <c r="CV32" t="s">
        <v>2653</v>
      </c>
      <c r="CW32" t="s">
        <v>2653</v>
      </c>
      <c r="CX32" t="s">
        <v>1330</v>
      </c>
      <c r="CY32" t="s">
        <v>1330</v>
      </c>
      <c r="CZ32" t="s">
        <v>1330</v>
      </c>
      <c r="DA32" t="s">
        <v>1330</v>
      </c>
      <c r="DB32" t="s">
        <v>1330</v>
      </c>
      <c r="DC32" t="s">
        <v>1330</v>
      </c>
      <c r="DD32" t="s">
        <v>1330</v>
      </c>
      <c r="DE32" t="s">
        <v>1330</v>
      </c>
      <c r="DF32" t="s">
        <v>1330</v>
      </c>
      <c r="DG32" t="s">
        <v>1330</v>
      </c>
      <c r="DH32" t="s">
        <v>1330</v>
      </c>
      <c r="DI32" t="s">
        <v>1330</v>
      </c>
      <c r="DJ32" t="s">
        <v>2691</v>
      </c>
      <c r="DK32" t="s">
        <v>2691</v>
      </c>
      <c r="DL32" t="s">
        <v>2691</v>
      </c>
      <c r="DM32" t="s">
        <v>2691</v>
      </c>
      <c r="DN32" t="s">
        <v>2691</v>
      </c>
      <c r="DO32" t="s">
        <v>2691</v>
      </c>
      <c r="DP32" t="s">
        <v>2691</v>
      </c>
      <c r="DQ32" t="s">
        <v>2691</v>
      </c>
      <c r="DR32" t="s">
        <v>2691</v>
      </c>
      <c r="DS32" t="s">
        <v>2691</v>
      </c>
      <c r="DT32" t="s">
        <v>2691</v>
      </c>
      <c r="DU32" t="s">
        <v>2691</v>
      </c>
      <c r="DV32" t="s">
        <v>2649</v>
      </c>
      <c r="DW32" t="s">
        <v>2649</v>
      </c>
      <c r="DX32" t="s">
        <v>2649</v>
      </c>
      <c r="DY32" t="s">
        <v>2649</v>
      </c>
      <c r="DZ32" t="s">
        <v>2649</v>
      </c>
      <c r="ET32" t="s">
        <v>2628</v>
      </c>
      <c r="EU32" t="s">
        <v>2628</v>
      </c>
      <c r="EV32" t="s">
        <v>2628</v>
      </c>
      <c r="EW32" t="s">
        <v>2628</v>
      </c>
      <c r="EX32" t="s">
        <v>2628</v>
      </c>
      <c r="EY32" t="s">
        <v>2628</v>
      </c>
    </row>
    <row r="33" spans="85:177" x14ac:dyDescent="0.3">
      <c r="CM33" t="s">
        <v>2653</v>
      </c>
      <c r="CN33" t="s">
        <v>2653</v>
      </c>
      <c r="CO33" t="s">
        <v>2653</v>
      </c>
      <c r="CP33" t="s">
        <v>2653</v>
      </c>
      <c r="CQ33" t="s">
        <v>2653</v>
      </c>
      <c r="CR33" t="s">
        <v>2653</v>
      </c>
      <c r="CS33" t="s">
        <v>2653</v>
      </c>
      <c r="CT33" t="s">
        <v>2653</v>
      </c>
      <c r="CU33" t="s">
        <v>2653</v>
      </c>
      <c r="CV33" t="s">
        <v>2653</v>
      </c>
      <c r="CW33" t="s">
        <v>2653</v>
      </c>
      <c r="CX33" t="s">
        <v>1330</v>
      </c>
      <c r="CY33" t="s">
        <v>1330</v>
      </c>
      <c r="CZ33" t="s">
        <v>1330</v>
      </c>
      <c r="DA33" t="s">
        <v>1330</v>
      </c>
      <c r="DB33" t="s">
        <v>1330</v>
      </c>
      <c r="DC33" t="s">
        <v>1330</v>
      </c>
      <c r="DD33" t="s">
        <v>1330</v>
      </c>
      <c r="DE33" t="s">
        <v>1330</v>
      </c>
      <c r="DF33" t="s">
        <v>1330</v>
      </c>
      <c r="DG33" t="s">
        <v>1330</v>
      </c>
      <c r="DH33" t="s">
        <v>1330</v>
      </c>
      <c r="DI33" t="s">
        <v>1330</v>
      </c>
      <c r="DJ33" t="s">
        <v>1330</v>
      </c>
      <c r="DK33" t="s">
        <v>1330</v>
      </c>
      <c r="DL33" t="s">
        <v>2691</v>
      </c>
      <c r="DM33" t="s">
        <v>2691</v>
      </c>
      <c r="DN33" t="s">
        <v>2691</v>
      </c>
      <c r="DO33" t="s">
        <v>2691</v>
      </c>
      <c r="DP33" t="s">
        <v>2691</v>
      </c>
      <c r="DQ33" t="s">
        <v>2691</v>
      </c>
      <c r="DR33" t="s">
        <v>2691</v>
      </c>
      <c r="DS33" t="s">
        <v>2691</v>
      </c>
      <c r="DT33" t="s">
        <v>2691</v>
      </c>
      <c r="DU33" t="s">
        <v>2691</v>
      </c>
      <c r="DV33" t="s">
        <v>2649</v>
      </c>
      <c r="DW33" t="s">
        <v>2649</v>
      </c>
      <c r="DX33" t="s">
        <v>2649</v>
      </c>
      <c r="DY33" t="s">
        <v>2649</v>
      </c>
      <c r="DZ33" t="s">
        <v>2649</v>
      </c>
      <c r="EA33" t="s">
        <v>2649</v>
      </c>
      <c r="EB33" t="s">
        <v>2649</v>
      </c>
      <c r="ES33" t="s">
        <v>2628</v>
      </c>
      <c r="ET33" t="s">
        <v>2628</v>
      </c>
      <c r="EU33" t="s">
        <v>2628</v>
      </c>
      <c r="EV33" t="s">
        <v>2628</v>
      </c>
      <c r="EW33" t="s">
        <v>2628</v>
      </c>
      <c r="EX33" t="s">
        <v>2628</v>
      </c>
      <c r="EY33" t="s">
        <v>2628</v>
      </c>
      <c r="EZ33" t="s">
        <v>2628</v>
      </c>
    </row>
    <row r="34" spans="85:177" x14ac:dyDescent="0.3">
      <c r="CM34" t="s">
        <v>2653</v>
      </c>
      <c r="CN34" t="s">
        <v>2653</v>
      </c>
      <c r="CO34" t="s">
        <v>2653</v>
      </c>
      <c r="CP34" t="s">
        <v>2653</v>
      </c>
      <c r="CQ34" t="s">
        <v>2653</v>
      </c>
      <c r="CR34" t="s">
        <v>2653</v>
      </c>
      <c r="CS34" t="s">
        <v>2653</v>
      </c>
      <c r="CT34" t="s">
        <v>2653</v>
      </c>
      <c r="CU34" t="s">
        <v>2653</v>
      </c>
      <c r="CV34" t="s">
        <v>2653</v>
      </c>
      <c r="CW34" t="s">
        <v>2653</v>
      </c>
      <c r="CX34" t="s">
        <v>1330</v>
      </c>
      <c r="CY34" t="s">
        <v>1330</v>
      </c>
      <c r="CZ34" t="s">
        <v>1330</v>
      </c>
      <c r="DA34" t="s">
        <v>1330</v>
      </c>
      <c r="DB34" t="s">
        <v>1330</v>
      </c>
      <c r="DC34" t="s">
        <v>1330</v>
      </c>
      <c r="DD34" t="s">
        <v>1330</v>
      </c>
      <c r="DE34" t="s">
        <v>1330</v>
      </c>
      <c r="DF34" t="s">
        <v>1330</v>
      </c>
      <c r="DG34" t="s">
        <v>1330</v>
      </c>
      <c r="DH34" t="s">
        <v>1330</v>
      </c>
      <c r="DI34" t="s">
        <v>1330</v>
      </c>
      <c r="DJ34" t="s">
        <v>1330</v>
      </c>
      <c r="DK34" t="s">
        <v>1330</v>
      </c>
      <c r="DL34" t="s">
        <v>2691</v>
      </c>
      <c r="DM34" t="s">
        <v>2691</v>
      </c>
      <c r="DN34" t="s">
        <v>2691</v>
      </c>
      <c r="DO34" t="s">
        <v>2691</v>
      </c>
      <c r="DP34" t="s">
        <v>2691</v>
      </c>
      <c r="DQ34" t="s">
        <v>2691</v>
      </c>
      <c r="DR34" t="s">
        <v>2691</v>
      </c>
      <c r="DS34" t="s">
        <v>2691</v>
      </c>
      <c r="DT34" t="s">
        <v>2691</v>
      </c>
      <c r="DU34" t="s">
        <v>2649</v>
      </c>
      <c r="DV34" t="s">
        <v>2649</v>
      </c>
      <c r="DW34" t="s">
        <v>2649</v>
      </c>
      <c r="DX34" t="s">
        <v>2649</v>
      </c>
      <c r="DY34" t="s">
        <v>2649</v>
      </c>
      <c r="DZ34" t="s">
        <v>2649</v>
      </c>
      <c r="EA34" t="s">
        <v>2649</v>
      </c>
      <c r="EB34" t="s">
        <v>2649</v>
      </c>
      <c r="ES34" t="s">
        <v>2628</v>
      </c>
      <c r="ET34" t="s">
        <v>2628</v>
      </c>
      <c r="EU34" t="s">
        <v>2628</v>
      </c>
      <c r="EV34" t="s">
        <v>2628</v>
      </c>
      <c r="EW34" t="s">
        <v>2628</v>
      </c>
      <c r="EX34" t="s">
        <v>2628</v>
      </c>
      <c r="EY34" t="s">
        <v>2628</v>
      </c>
      <c r="EZ34" t="s">
        <v>2628</v>
      </c>
    </row>
    <row r="35" spans="85:177" x14ac:dyDescent="0.3">
      <c r="CM35" t="s">
        <v>2653</v>
      </c>
      <c r="CN35" t="s">
        <v>2653</v>
      </c>
      <c r="CO35" t="s">
        <v>2653</v>
      </c>
      <c r="CP35" t="s">
        <v>2653</v>
      </c>
      <c r="CQ35" t="s">
        <v>2653</v>
      </c>
      <c r="CR35" t="s">
        <v>2653</v>
      </c>
      <c r="CS35" t="s">
        <v>2653</v>
      </c>
      <c r="CT35" t="s">
        <v>2653</v>
      </c>
      <c r="CU35" t="s">
        <v>2653</v>
      </c>
      <c r="CV35" t="s">
        <v>2653</v>
      </c>
      <c r="CW35" t="s">
        <v>2653</v>
      </c>
      <c r="CX35" t="s">
        <v>1330</v>
      </c>
      <c r="CY35" t="s">
        <v>1330</v>
      </c>
      <c r="CZ35" t="s">
        <v>1330</v>
      </c>
      <c r="DA35" t="s">
        <v>1330</v>
      </c>
      <c r="DB35" t="s">
        <v>1330</v>
      </c>
      <c r="DC35" t="s">
        <v>1330</v>
      </c>
      <c r="DD35" t="s">
        <v>1330</v>
      </c>
      <c r="DE35" t="s">
        <v>1330</v>
      </c>
      <c r="DF35" t="s">
        <v>1330</v>
      </c>
      <c r="DG35" t="s">
        <v>1330</v>
      </c>
      <c r="DH35" t="s">
        <v>1330</v>
      </c>
      <c r="DI35" t="s">
        <v>1330</v>
      </c>
      <c r="DJ35" t="s">
        <v>1330</v>
      </c>
      <c r="DK35" t="s">
        <v>1330</v>
      </c>
      <c r="DL35" t="s">
        <v>1330</v>
      </c>
      <c r="DM35" t="s">
        <v>2691</v>
      </c>
      <c r="DN35" t="s">
        <v>2691</v>
      </c>
      <c r="DO35" t="s">
        <v>2691</v>
      </c>
      <c r="DP35" t="s">
        <v>2691</v>
      </c>
      <c r="DQ35" t="s">
        <v>2691</v>
      </c>
      <c r="DR35" t="s">
        <v>2691</v>
      </c>
      <c r="DS35" t="s">
        <v>2691</v>
      </c>
      <c r="DT35" t="s">
        <v>2691</v>
      </c>
      <c r="DU35" t="s">
        <v>2649</v>
      </c>
      <c r="DV35" t="s">
        <v>2649</v>
      </c>
      <c r="DW35" t="s">
        <v>2649</v>
      </c>
      <c r="DX35" t="s">
        <v>2649</v>
      </c>
      <c r="DY35" t="s">
        <v>2649</v>
      </c>
      <c r="DZ35" t="s">
        <v>2649</v>
      </c>
      <c r="EA35" t="s">
        <v>2649</v>
      </c>
      <c r="EB35" t="s">
        <v>2649</v>
      </c>
      <c r="ES35" t="s">
        <v>2628</v>
      </c>
      <c r="ET35" t="s">
        <v>2628</v>
      </c>
      <c r="EU35" t="s">
        <v>2628</v>
      </c>
      <c r="EV35" t="s">
        <v>2628</v>
      </c>
      <c r="EW35" t="s">
        <v>2628</v>
      </c>
      <c r="EX35" t="s">
        <v>2628</v>
      </c>
      <c r="EY35" t="s">
        <v>2628</v>
      </c>
      <c r="EZ35" t="s">
        <v>2628</v>
      </c>
    </row>
    <row r="36" spans="85:177" x14ac:dyDescent="0.3">
      <c r="CM36" t="s">
        <v>2653</v>
      </c>
      <c r="CN36" t="s">
        <v>2653</v>
      </c>
      <c r="CO36" t="s">
        <v>2653</v>
      </c>
      <c r="CP36" t="s">
        <v>2653</v>
      </c>
      <c r="CQ36" t="s">
        <v>2653</v>
      </c>
      <c r="CR36" t="s">
        <v>2653</v>
      </c>
      <c r="CS36" t="s">
        <v>2653</v>
      </c>
      <c r="CT36" t="s">
        <v>2653</v>
      </c>
      <c r="CU36" t="s">
        <v>2653</v>
      </c>
      <c r="CV36" t="s">
        <v>2653</v>
      </c>
      <c r="CW36" t="s">
        <v>2653</v>
      </c>
      <c r="CX36" t="s">
        <v>1330</v>
      </c>
      <c r="CY36" t="s">
        <v>1330</v>
      </c>
      <c r="CZ36" t="s">
        <v>1330</v>
      </c>
      <c r="DA36" t="s">
        <v>1330</v>
      </c>
      <c r="DB36" t="s">
        <v>1330</v>
      </c>
      <c r="DC36" t="s">
        <v>1330</v>
      </c>
      <c r="DD36" t="s">
        <v>1330</v>
      </c>
      <c r="DE36" t="s">
        <v>1330</v>
      </c>
      <c r="DF36" t="s">
        <v>1330</v>
      </c>
      <c r="DG36" t="s">
        <v>1330</v>
      </c>
      <c r="DH36" t="s">
        <v>1330</v>
      </c>
      <c r="DI36" t="s">
        <v>1330</v>
      </c>
      <c r="DJ36" t="s">
        <v>1330</v>
      </c>
      <c r="DK36" t="s">
        <v>1330</v>
      </c>
      <c r="DL36" t="s">
        <v>1330</v>
      </c>
      <c r="DM36" t="s">
        <v>1330</v>
      </c>
      <c r="DN36" t="s">
        <v>2691</v>
      </c>
      <c r="DO36" t="s">
        <v>2691</v>
      </c>
      <c r="DP36" t="s">
        <v>2691</v>
      </c>
      <c r="DQ36" t="s">
        <v>2691</v>
      </c>
      <c r="DR36" t="s">
        <v>2691</v>
      </c>
      <c r="DS36" t="s">
        <v>2691</v>
      </c>
      <c r="DT36" t="s">
        <v>2691</v>
      </c>
      <c r="DU36" t="s">
        <v>2649</v>
      </c>
      <c r="DV36" t="s">
        <v>2649</v>
      </c>
      <c r="DW36" t="s">
        <v>2649</v>
      </c>
      <c r="DX36" t="s">
        <v>2649</v>
      </c>
      <c r="DY36" t="s">
        <v>2649</v>
      </c>
      <c r="DZ36" t="s">
        <v>2649</v>
      </c>
      <c r="EA36" t="s">
        <v>2649</v>
      </c>
      <c r="EB36" t="s">
        <v>2649</v>
      </c>
      <c r="ES36" t="s">
        <v>2628</v>
      </c>
      <c r="ET36" t="s">
        <v>2628</v>
      </c>
      <c r="EU36" t="s">
        <v>2628</v>
      </c>
      <c r="EV36" t="s">
        <v>2628</v>
      </c>
      <c r="EW36" t="s">
        <v>2628</v>
      </c>
      <c r="EX36" t="s">
        <v>2628</v>
      </c>
      <c r="EY36" t="s">
        <v>2628</v>
      </c>
      <c r="EZ36" t="s">
        <v>2628</v>
      </c>
      <c r="FA36" t="s">
        <v>2628</v>
      </c>
    </row>
    <row r="37" spans="85:177" x14ac:dyDescent="0.3">
      <c r="CM37" t="s">
        <v>2653</v>
      </c>
      <c r="CN37" t="s">
        <v>2653</v>
      </c>
      <c r="CO37" t="s">
        <v>2653</v>
      </c>
      <c r="CP37" t="s">
        <v>2653</v>
      </c>
      <c r="CQ37" t="s">
        <v>2653</v>
      </c>
      <c r="CR37" t="s">
        <v>2653</v>
      </c>
      <c r="CS37" t="s">
        <v>2653</v>
      </c>
      <c r="CT37" t="s">
        <v>2653</v>
      </c>
      <c r="CU37" t="s">
        <v>2653</v>
      </c>
      <c r="CV37" t="s">
        <v>2653</v>
      </c>
      <c r="CW37" t="s">
        <v>2653</v>
      </c>
      <c r="CX37" t="s">
        <v>1330</v>
      </c>
      <c r="CY37" t="s">
        <v>1330</v>
      </c>
      <c r="CZ37" t="s">
        <v>1330</v>
      </c>
      <c r="DA37" t="s">
        <v>1330</v>
      </c>
      <c r="DB37" t="s">
        <v>1330</v>
      </c>
      <c r="DC37" t="s">
        <v>1330</v>
      </c>
      <c r="DD37" t="s">
        <v>1330</v>
      </c>
      <c r="DE37" t="s">
        <v>1330</v>
      </c>
      <c r="DF37" t="s">
        <v>1330</v>
      </c>
      <c r="DG37" t="s">
        <v>1330</v>
      </c>
      <c r="DH37" t="s">
        <v>1330</v>
      </c>
      <c r="DI37" t="s">
        <v>1330</v>
      </c>
      <c r="DJ37" t="s">
        <v>1330</v>
      </c>
      <c r="DK37" t="s">
        <v>1330</v>
      </c>
      <c r="DL37" t="s">
        <v>1330</v>
      </c>
      <c r="DM37" t="s">
        <v>1330</v>
      </c>
      <c r="DN37" t="s">
        <v>1330</v>
      </c>
      <c r="DO37" t="s">
        <v>1330</v>
      </c>
      <c r="DP37" t="s">
        <v>2691</v>
      </c>
      <c r="DQ37" t="s">
        <v>2691</v>
      </c>
      <c r="DR37" t="s">
        <v>2691</v>
      </c>
      <c r="DS37" t="s">
        <v>2691</v>
      </c>
      <c r="DT37" t="s">
        <v>2649</v>
      </c>
      <c r="DU37" t="s">
        <v>2649</v>
      </c>
      <c r="DV37" t="s">
        <v>2649</v>
      </c>
      <c r="DW37" t="s">
        <v>2649</v>
      </c>
      <c r="DX37" t="s">
        <v>2649</v>
      </c>
      <c r="DY37" t="s">
        <v>2649</v>
      </c>
      <c r="DZ37" t="s">
        <v>2649</v>
      </c>
      <c r="EA37" t="s">
        <v>2649</v>
      </c>
      <c r="EB37" t="s">
        <v>2649</v>
      </c>
      <c r="ES37" t="s">
        <v>2628</v>
      </c>
      <c r="ET37" t="s">
        <v>2628</v>
      </c>
      <c r="EU37" t="s">
        <v>2628</v>
      </c>
      <c r="EV37" t="s">
        <v>2628</v>
      </c>
      <c r="EW37" t="s">
        <v>2628</v>
      </c>
      <c r="EX37" t="s">
        <v>2628</v>
      </c>
      <c r="EY37" t="s">
        <v>2628</v>
      </c>
      <c r="EZ37" t="s">
        <v>2628</v>
      </c>
      <c r="FA37" t="s">
        <v>2628</v>
      </c>
    </row>
    <row r="38" spans="85:177" x14ac:dyDescent="0.3">
      <c r="CL38" t="s">
        <v>2653</v>
      </c>
      <c r="CM38" t="s">
        <v>2653</v>
      </c>
      <c r="CN38" t="s">
        <v>2653</v>
      </c>
      <c r="CO38" t="s">
        <v>2653</v>
      </c>
      <c r="CP38" t="s">
        <v>2653</v>
      </c>
      <c r="CQ38" t="s">
        <v>2653</v>
      </c>
      <c r="CR38" t="s">
        <v>2653</v>
      </c>
      <c r="CS38" t="s">
        <v>2653</v>
      </c>
      <c r="CT38" t="s">
        <v>2653</v>
      </c>
      <c r="CU38" t="s">
        <v>2653</v>
      </c>
      <c r="CV38" t="s">
        <v>2653</v>
      </c>
      <c r="CW38" t="s">
        <v>2653</v>
      </c>
      <c r="CX38" t="s">
        <v>2653</v>
      </c>
      <c r="CY38" t="s">
        <v>2653</v>
      </c>
      <c r="CZ38" t="s">
        <v>1330</v>
      </c>
      <c r="DA38" t="s">
        <v>1330</v>
      </c>
      <c r="DB38" t="s">
        <v>1330</v>
      </c>
      <c r="DC38" t="s">
        <v>1330</v>
      </c>
      <c r="DD38" t="s">
        <v>1330</v>
      </c>
      <c r="DE38" t="s">
        <v>1330</v>
      </c>
      <c r="DF38" t="s">
        <v>1330</v>
      </c>
      <c r="DG38" t="s">
        <v>1330</v>
      </c>
      <c r="DH38" t="s">
        <v>1330</v>
      </c>
      <c r="DI38" t="s">
        <v>1330</v>
      </c>
      <c r="DJ38" t="s">
        <v>1330</v>
      </c>
      <c r="DK38" t="s">
        <v>1330</v>
      </c>
      <c r="DL38" t="s">
        <v>1330</v>
      </c>
      <c r="DM38" t="s">
        <v>1330</v>
      </c>
      <c r="DN38" t="s">
        <v>1330</v>
      </c>
      <c r="DO38" t="s">
        <v>1330</v>
      </c>
      <c r="DP38" t="s">
        <v>2716</v>
      </c>
      <c r="DQ38" t="s">
        <v>2716</v>
      </c>
      <c r="DR38" t="s">
        <v>2716</v>
      </c>
      <c r="DS38" t="s">
        <v>2716</v>
      </c>
      <c r="DT38" t="s">
        <v>2716</v>
      </c>
      <c r="DU38" t="s">
        <v>2649</v>
      </c>
      <c r="DV38" t="s">
        <v>2649</v>
      </c>
      <c r="DW38" t="s">
        <v>2649</v>
      </c>
      <c r="DX38" t="s">
        <v>2649</v>
      </c>
      <c r="DY38" t="s">
        <v>2649</v>
      </c>
      <c r="DZ38" t="s">
        <v>2649</v>
      </c>
      <c r="EA38" t="s">
        <v>2649</v>
      </c>
      <c r="EB38" t="s">
        <v>2649</v>
      </c>
      <c r="ES38" t="s">
        <v>2628</v>
      </c>
      <c r="ET38" t="s">
        <v>2628</v>
      </c>
      <c r="EU38" t="s">
        <v>2628</v>
      </c>
      <c r="EV38" t="s">
        <v>2628</v>
      </c>
      <c r="EW38" t="s">
        <v>2628</v>
      </c>
      <c r="EX38" t="s">
        <v>2628</v>
      </c>
      <c r="EY38" t="s">
        <v>2628</v>
      </c>
      <c r="EZ38" t="s">
        <v>2628</v>
      </c>
      <c r="FA38" t="s">
        <v>2628</v>
      </c>
    </row>
    <row r="39" spans="85:177" x14ac:dyDescent="0.3">
      <c r="CK39" t="s">
        <v>2653</v>
      </c>
      <c r="CL39" t="s">
        <v>2653</v>
      </c>
      <c r="CM39" t="s">
        <v>2653</v>
      </c>
      <c r="CN39" t="s">
        <v>2653</v>
      </c>
      <c r="CO39" t="s">
        <v>2653</v>
      </c>
      <c r="CP39" t="s">
        <v>2653</v>
      </c>
      <c r="CQ39" t="s">
        <v>2653</v>
      </c>
      <c r="CR39" t="s">
        <v>2653</v>
      </c>
      <c r="CS39" t="s">
        <v>2653</v>
      </c>
      <c r="CT39" t="s">
        <v>2653</v>
      </c>
      <c r="CU39" t="s">
        <v>2653</v>
      </c>
      <c r="CV39" t="s">
        <v>2653</v>
      </c>
      <c r="CW39" t="s">
        <v>2653</v>
      </c>
      <c r="CX39" t="s">
        <v>2653</v>
      </c>
      <c r="CY39" t="s">
        <v>2653</v>
      </c>
      <c r="CZ39" t="s">
        <v>1330</v>
      </c>
      <c r="DA39" t="s">
        <v>1330</v>
      </c>
      <c r="DB39" t="s">
        <v>1330</v>
      </c>
      <c r="DC39" t="s">
        <v>1330</v>
      </c>
      <c r="DD39" t="s">
        <v>1330</v>
      </c>
      <c r="DE39" t="s">
        <v>1330</v>
      </c>
      <c r="DF39" t="s">
        <v>1330</v>
      </c>
      <c r="DG39" t="s">
        <v>1330</v>
      </c>
      <c r="DH39" t="s">
        <v>1330</v>
      </c>
      <c r="DI39" t="s">
        <v>1330</v>
      </c>
      <c r="DJ39" t="s">
        <v>1330</v>
      </c>
      <c r="DK39" t="s">
        <v>1330</v>
      </c>
      <c r="DL39" t="s">
        <v>1330</v>
      </c>
      <c r="DM39" t="s">
        <v>1330</v>
      </c>
      <c r="DN39" t="s">
        <v>2716</v>
      </c>
      <c r="DO39" t="s">
        <v>2716</v>
      </c>
      <c r="DP39" t="s">
        <v>2716</v>
      </c>
      <c r="DQ39" t="s">
        <v>2716</v>
      </c>
      <c r="DR39" t="s">
        <v>2716</v>
      </c>
      <c r="DS39" t="s">
        <v>2716</v>
      </c>
      <c r="DT39" t="s">
        <v>2716</v>
      </c>
      <c r="DU39" t="s">
        <v>2716</v>
      </c>
      <c r="DV39" t="s">
        <v>2649</v>
      </c>
      <c r="DW39" t="s">
        <v>2649</v>
      </c>
      <c r="DX39" t="s">
        <v>2649</v>
      </c>
      <c r="DY39" t="s">
        <v>2649</v>
      </c>
      <c r="DZ39" t="s">
        <v>2649</v>
      </c>
      <c r="EA39" t="s">
        <v>2649</v>
      </c>
      <c r="ES39" t="s">
        <v>2628</v>
      </c>
      <c r="ET39" t="s">
        <v>2628</v>
      </c>
      <c r="EU39" t="s">
        <v>2628</v>
      </c>
      <c r="EV39" t="s">
        <v>2628</v>
      </c>
      <c r="EW39" t="s">
        <v>2628</v>
      </c>
      <c r="EX39" t="s">
        <v>2628</v>
      </c>
      <c r="EY39" t="s">
        <v>2628</v>
      </c>
      <c r="EZ39" t="s">
        <v>2628</v>
      </c>
      <c r="FA39" t="s">
        <v>2628</v>
      </c>
      <c r="FB39" t="s">
        <v>2628</v>
      </c>
    </row>
    <row r="40" spans="85:177" x14ac:dyDescent="0.3">
      <c r="CK40" t="s">
        <v>2653</v>
      </c>
      <c r="CL40" t="s">
        <v>2653</v>
      </c>
      <c r="CM40" t="s">
        <v>2653</v>
      </c>
      <c r="CN40" t="s">
        <v>2653</v>
      </c>
      <c r="CO40" t="s">
        <v>2653</v>
      </c>
      <c r="CP40" t="s">
        <v>2653</v>
      </c>
      <c r="CQ40" t="s">
        <v>2653</v>
      </c>
      <c r="CR40" t="s">
        <v>2653</v>
      </c>
      <c r="CS40" t="s">
        <v>2653</v>
      </c>
      <c r="CT40" t="s">
        <v>2653</v>
      </c>
      <c r="CU40" t="s">
        <v>2653</v>
      </c>
      <c r="CV40" t="s">
        <v>2653</v>
      </c>
      <c r="CW40" t="s">
        <v>2653</v>
      </c>
      <c r="CX40" t="s">
        <v>2653</v>
      </c>
      <c r="CY40" t="s">
        <v>2653</v>
      </c>
      <c r="CZ40" t="s">
        <v>1330</v>
      </c>
      <c r="DA40" t="s">
        <v>1330</v>
      </c>
      <c r="DB40" t="s">
        <v>1330</v>
      </c>
      <c r="DC40" t="s">
        <v>1330</v>
      </c>
      <c r="DD40" t="s">
        <v>1330</v>
      </c>
      <c r="DE40" t="s">
        <v>1330</v>
      </c>
      <c r="DF40" t="s">
        <v>1330</v>
      </c>
      <c r="DG40" t="s">
        <v>1330</v>
      </c>
      <c r="DH40" t="s">
        <v>1330</v>
      </c>
      <c r="DI40" t="s">
        <v>1330</v>
      </c>
      <c r="DJ40" t="s">
        <v>1330</v>
      </c>
      <c r="DK40" t="s">
        <v>1330</v>
      </c>
      <c r="DL40" t="s">
        <v>1330</v>
      </c>
      <c r="DM40" t="s">
        <v>2716</v>
      </c>
      <c r="DN40" t="s">
        <v>2716</v>
      </c>
      <c r="DO40" t="s">
        <v>2716</v>
      </c>
      <c r="DP40" t="s">
        <v>2716</v>
      </c>
      <c r="DQ40" t="s">
        <v>2716</v>
      </c>
      <c r="DR40" t="s">
        <v>2716</v>
      </c>
      <c r="DS40" t="s">
        <v>2716</v>
      </c>
      <c r="DT40" t="s">
        <v>2716</v>
      </c>
      <c r="DU40" t="s">
        <v>2716</v>
      </c>
      <c r="DV40" t="s">
        <v>2716</v>
      </c>
      <c r="DW40" t="s">
        <v>2649</v>
      </c>
      <c r="DX40" t="s">
        <v>2649</v>
      </c>
      <c r="DY40" t="s">
        <v>2649</v>
      </c>
      <c r="DZ40" t="s">
        <v>2649</v>
      </c>
      <c r="EA40" t="s">
        <v>2649</v>
      </c>
      <c r="ET40" t="s">
        <v>2628</v>
      </c>
      <c r="EU40" t="s">
        <v>2628</v>
      </c>
      <c r="EV40" t="s">
        <v>2628</v>
      </c>
      <c r="EW40" t="s">
        <v>2628</v>
      </c>
      <c r="EX40" t="s">
        <v>2628</v>
      </c>
      <c r="EY40" t="s">
        <v>2628</v>
      </c>
      <c r="EZ40" t="s">
        <v>2628</v>
      </c>
      <c r="FA40" t="s">
        <v>2628</v>
      </c>
      <c r="FB40" t="s">
        <v>2628</v>
      </c>
    </row>
    <row r="41" spans="85:177" x14ac:dyDescent="0.3">
      <c r="CJ41" t="s">
        <v>2653</v>
      </c>
      <c r="CK41" t="s">
        <v>2653</v>
      </c>
      <c r="CL41" t="s">
        <v>2653</v>
      </c>
      <c r="CM41" t="s">
        <v>2653</v>
      </c>
      <c r="CN41" t="s">
        <v>2653</v>
      </c>
      <c r="CO41" t="s">
        <v>2653</v>
      </c>
      <c r="CP41" t="s">
        <v>2653</v>
      </c>
      <c r="CQ41" t="s">
        <v>2653</v>
      </c>
      <c r="CR41" t="s">
        <v>2653</v>
      </c>
      <c r="CS41" t="s">
        <v>2653</v>
      </c>
      <c r="CT41" t="s">
        <v>2653</v>
      </c>
      <c r="CU41" t="s">
        <v>2653</v>
      </c>
      <c r="CV41" t="s">
        <v>2653</v>
      </c>
      <c r="CW41" t="s">
        <v>2653</v>
      </c>
      <c r="CX41" t="s">
        <v>2653</v>
      </c>
      <c r="CY41" t="s">
        <v>2653</v>
      </c>
      <c r="CZ41" t="s">
        <v>1330</v>
      </c>
      <c r="DA41" t="s">
        <v>1330</v>
      </c>
      <c r="DB41" t="s">
        <v>1330</v>
      </c>
      <c r="DC41" t="s">
        <v>1330</v>
      </c>
      <c r="DD41" t="s">
        <v>1330</v>
      </c>
      <c r="DE41" t="s">
        <v>1330</v>
      </c>
      <c r="DF41" t="s">
        <v>1330</v>
      </c>
      <c r="DG41" t="s">
        <v>1330</v>
      </c>
      <c r="DH41" t="s">
        <v>1330</v>
      </c>
      <c r="DI41" t="s">
        <v>1330</v>
      </c>
      <c r="DJ41" t="s">
        <v>1330</v>
      </c>
      <c r="DK41" t="s">
        <v>1330</v>
      </c>
      <c r="DL41" t="s">
        <v>2716</v>
      </c>
      <c r="DM41" t="s">
        <v>2716</v>
      </c>
      <c r="DN41" t="s">
        <v>2716</v>
      </c>
      <c r="DO41" t="s">
        <v>2716</v>
      </c>
      <c r="DP41" t="s">
        <v>2716</v>
      </c>
      <c r="DQ41" t="s">
        <v>2716</v>
      </c>
      <c r="DR41" t="s">
        <v>2716</v>
      </c>
      <c r="DS41" t="s">
        <v>2716</v>
      </c>
      <c r="DT41" t="s">
        <v>2716</v>
      </c>
      <c r="DU41" t="s">
        <v>2716</v>
      </c>
      <c r="DV41" t="s">
        <v>2716</v>
      </c>
      <c r="DW41" t="s">
        <v>2649</v>
      </c>
      <c r="DX41" t="s">
        <v>2649</v>
      </c>
      <c r="DY41" t="s">
        <v>2649</v>
      </c>
      <c r="DZ41" t="s">
        <v>2649</v>
      </c>
      <c r="EU41" t="s">
        <v>2628</v>
      </c>
      <c r="EV41" t="s">
        <v>2628</v>
      </c>
      <c r="EW41" t="s">
        <v>2628</v>
      </c>
      <c r="EX41" t="s">
        <v>2628</v>
      </c>
      <c r="EY41" t="s">
        <v>2628</v>
      </c>
      <c r="EZ41" t="s">
        <v>2628</v>
      </c>
      <c r="FA41" t="s">
        <v>2628</v>
      </c>
      <c r="FB41" t="s">
        <v>2628</v>
      </c>
      <c r="FU41" t="s">
        <v>2640</v>
      </c>
    </row>
    <row r="42" spans="85:177" x14ac:dyDescent="0.3">
      <c r="CJ42" t="s">
        <v>2653</v>
      </c>
      <c r="CK42" t="s">
        <v>2653</v>
      </c>
      <c r="CL42" t="s">
        <v>2653</v>
      </c>
      <c r="CM42" t="s">
        <v>2653</v>
      </c>
      <c r="CN42" t="s">
        <v>2653</v>
      </c>
      <c r="CO42" t="s">
        <v>2653</v>
      </c>
      <c r="CP42" t="s">
        <v>2653</v>
      </c>
      <c r="CQ42" t="s">
        <v>2653</v>
      </c>
      <c r="CR42" t="s">
        <v>2653</v>
      </c>
      <c r="CS42" t="s">
        <v>2653</v>
      </c>
      <c r="CT42" t="s">
        <v>2653</v>
      </c>
      <c r="CU42" t="s">
        <v>2653</v>
      </c>
      <c r="CV42" t="s">
        <v>2653</v>
      </c>
      <c r="CW42" t="s">
        <v>2653</v>
      </c>
      <c r="CX42" t="s">
        <v>2653</v>
      </c>
      <c r="CY42" t="s">
        <v>2653</v>
      </c>
      <c r="CZ42" t="s">
        <v>1330</v>
      </c>
      <c r="DA42" t="s">
        <v>1330</v>
      </c>
      <c r="DB42" t="s">
        <v>1330</v>
      </c>
      <c r="DC42" t="s">
        <v>1330</v>
      </c>
      <c r="DD42" t="s">
        <v>1330</v>
      </c>
      <c r="DE42" t="s">
        <v>1330</v>
      </c>
      <c r="DF42" t="s">
        <v>1330</v>
      </c>
      <c r="DG42" t="s">
        <v>1330</v>
      </c>
      <c r="DH42" t="s">
        <v>1330</v>
      </c>
      <c r="DI42" t="s">
        <v>1330</v>
      </c>
      <c r="DJ42" t="s">
        <v>1330</v>
      </c>
      <c r="DK42" t="s">
        <v>2716</v>
      </c>
      <c r="DL42" t="s">
        <v>2716</v>
      </c>
      <c r="DM42" t="s">
        <v>2716</v>
      </c>
      <c r="DN42" t="s">
        <v>2716</v>
      </c>
      <c r="DO42" t="s">
        <v>2716</v>
      </c>
      <c r="DP42" t="s">
        <v>2716</v>
      </c>
      <c r="DQ42" t="s">
        <v>2716</v>
      </c>
      <c r="DR42" t="s">
        <v>2716</v>
      </c>
      <c r="DS42" t="s">
        <v>2716</v>
      </c>
      <c r="DT42" t="s">
        <v>2716</v>
      </c>
      <c r="DU42" t="s">
        <v>2716</v>
      </c>
      <c r="DV42" t="s">
        <v>2716</v>
      </c>
      <c r="DW42" t="s">
        <v>2716</v>
      </c>
      <c r="DX42" t="s">
        <v>2649</v>
      </c>
      <c r="DY42" t="s">
        <v>2649</v>
      </c>
      <c r="DZ42" t="s">
        <v>2649</v>
      </c>
      <c r="EA42" t="s">
        <v>2649</v>
      </c>
      <c r="EU42" t="s">
        <v>2628</v>
      </c>
      <c r="EV42" t="s">
        <v>2628</v>
      </c>
      <c r="EW42" t="s">
        <v>2628</v>
      </c>
      <c r="EX42" t="s">
        <v>2628</v>
      </c>
      <c r="EY42" t="s">
        <v>2628</v>
      </c>
      <c r="EZ42" t="s">
        <v>2628</v>
      </c>
      <c r="FA42" t="s">
        <v>2628</v>
      </c>
      <c r="FB42" t="s">
        <v>2628</v>
      </c>
      <c r="FC42" t="s">
        <v>2628</v>
      </c>
    </row>
    <row r="43" spans="85:177" x14ac:dyDescent="0.3">
      <c r="CI43" t="s">
        <v>2653</v>
      </c>
      <c r="CJ43" t="s">
        <v>2653</v>
      </c>
      <c r="CK43" t="s">
        <v>2653</v>
      </c>
      <c r="CL43" t="s">
        <v>2653</v>
      </c>
      <c r="CM43" t="s">
        <v>2653</v>
      </c>
      <c r="CN43" t="s">
        <v>2653</v>
      </c>
      <c r="CO43" t="s">
        <v>2653</v>
      </c>
      <c r="CP43" t="s">
        <v>2653</v>
      </c>
      <c r="CQ43" t="s">
        <v>2653</v>
      </c>
      <c r="CR43" t="s">
        <v>2653</v>
      </c>
      <c r="CS43" t="s">
        <v>2653</v>
      </c>
      <c r="CT43" t="s">
        <v>2653</v>
      </c>
      <c r="CU43" t="s">
        <v>2653</v>
      </c>
      <c r="CV43" t="s">
        <v>2653</v>
      </c>
      <c r="CW43" t="s">
        <v>2653</v>
      </c>
      <c r="CX43" t="s">
        <v>2653</v>
      </c>
      <c r="CY43" t="s">
        <v>2653</v>
      </c>
      <c r="CZ43" t="s">
        <v>1330</v>
      </c>
      <c r="DA43" t="s">
        <v>1330</v>
      </c>
      <c r="DB43" t="s">
        <v>1330</v>
      </c>
      <c r="DC43" t="s">
        <v>1330</v>
      </c>
      <c r="DD43" t="s">
        <v>1330</v>
      </c>
      <c r="DE43" t="s">
        <v>1330</v>
      </c>
      <c r="DF43" t="s">
        <v>1330</v>
      </c>
      <c r="DG43" t="s">
        <v>1330</v>
      </c>
      <c r="DH43" t="s">
        <v>1330</v>
      </c>
      <c r="DI43" t="s">
        <v>1330</v>
      </c>
      <c r="DJ43" t="s">
        <v>2716</v>
      </c>
      <c r="DK43" t="s">
        <v>2716</v>
      </c>
      <c r="DL43" t="s">
        <v>2716</v>
      </c>
      <c r="DM43" t="s">
        <v>2716</v>
      </c>
      <c r="DN43" t="s">
        <v>2716</v>
      </c>
      <c r="DO43" t="s">
        <v>2716</v>
      </c>
      <c r="DP43" t="s">
        <v>2716</v>
      </c>
      <c r="DQ43" t="s">
        <v>2716</v>
      </c>
      <c r="DR43" t="s">
        <v>2716</v>
      </c>
      <c r="DS43" t="s">
        <v>2716</v>
      </c>
      <c r="DT43" t="s">
        <v>2716</v>
      </c>
      <c r="DU43" t="s">
        <v>2716</v>
      </c>
      <c r="DV43" t="s">
        <v>2716</v>
      </c>
      <c r="DW43" t="s">
        <v>2649</v>
      </c>
      <c r="DX43" t="s">
        <v>2649</v>
      </c>
      <c r="DY43" t="s">
        <v>2649</v>
      </c>
      <c r="DZ43" t="s">
        <v>2649</v>
      </c>
      <c r="EA43" t="s">
        <v>2649</v>
      </c>
      <c r="EB43" t="s">
        <v>2649</v>
      </c>
      <c r="EU43" t="s">
        <v>2628</v>
      </c>
      <c r="EV43" t="s">
        <v>2628</v>
      </c>
      <c r="EW43" t="s">
        <v>2628</v>
      </c>
      <c r="EX43" t="s">
        <v>2628</v>
      </c>
      <c r="EY43" t="s">
        <v>2628</v>
      </c>
      <c r="EZ43" t="s">
        <v>2628</v>
      </c>
      <c r="FA43" t="s">
        <v>2628</v>
      </c>
      <c r="FB43" t="s">
        <v>2628</v>
      </c>
      <c r="FC43" t="s">
        <v>2628</v>
      </c>
    </row>
    <row r="44" spans="85:177" x14ac:dyDescent="0.3">
      <c r="CI44" t="s">
        <v>2653</v>
      </c>
      <c r="CJ44" t="s">
        <v>2653</v>
      </c>
      <c r="CK44" t="s">
        <v>2653</v>
      </c>
      <c r="CL44" t="s">
        <v>2653</v>
      </c>
      <c r="CM44" t="s">
        <v>2653</v>
      </c>
      <c r="CN44" t="s">
        <v>2653</v>
      </c>
      <c r="CO44" t="s">
        <v>2653</v>
      </c>
      <c r="CP44" t="s">
        <v>2653</v>
      </c>
      <c r="CQ44" t="s">
        <v>2653</v>
      </c>
      <c r="CR44" t="s">
        <v>2653</v>
      </c>
      <c r="CS44" t="s">
        <v>2653</v>
      </c>
      <c r="CT44" t="s">
        <v>2653</v>
      </c>
      <c r="CU44" t="s">
        <v>2653</v>
      </c>
      <c r="CV44" t="s">
        <v>2653</v>
      </c>
      <c r="CW44" t="s">
        <v>2653</v>
      </c>
      <c r="CX44" t="s">
        <v>2653</v>
      </c>
      <c r="CY44" t="s">
        <v>2653</v>
      </c>
      <c r="CZ44" t="s">
        <v>1330</v>
      </c>
      <c r="DA44" t="s">
        <v>1330</v>
      </c>
      <c r="DB44" t="s">
        <v>1330</v>
      </c>
      <c r="DC44" t="s">
        <v>1330</v>
      </c>
      <c r="DD44" t="s">
        <v>1330</v>
      </c>
      <c r="DE44" t="s">
        <v>1330</v>
      </c>
      <c r="DF44" t="s">
        <v>1330</v>
      </c>
      <c r="DG44" t="s">
        <v>1330</v>
      </c>
      <c r="DH44" t="s">
        <v>1330</v>
      </c>
      <c r="DI44" t="s">
        <v>1330</v>
      </c>
      <c r="DJ44" t="s">
        <v>2716</v>
      </c>
      <c r="DK44" t="s">
        <v>2716</v>
      </c>
      <c r="DL44" t="s">
        <v>2716</v>
      </c>
      <c r="DM44" t="s">
        <v>2716</v>
      </c>
      <c r="DN44" t="s">
        <v>2716</v>
      </c>
      <c r="DO44" t="s">
        <v>2716</v>
      </c>
      <c r="DP44" t="s">
        <v>2716</v>
      </c>
      <c r="DQ44" t="s">
        <v>2716</v>
      </c>
      <c r="DR44" t="s">
        <v>2716</v>
      </c>
      <c r="DS44" t="s">
        <v>2716</v>
      </c>
      <c r="DT44" t="s">
        <v>2716</v>
      </c>
      <c r="DU44" t="s">
        <v>2716</v>
      </c>
      <c r="DV44" t="s">
        <v>2716</v>
      </c>
      <c r="DW44" t="s">
        <v>2649</v>
      </c>
      <c r="DX44" t="s">
        <v>2649</v>
      </c>
      <c r="DY44" t="s">
        <v>2649</v>
      </c>
      <c r="DZ44" t="s">
        <v>2649</v>
      </c>
      <c r="EA44" t="s">
        <v>2649</v>
      </c>
      <c r="EB44" t="s">
        <v>2649</v>
      </c>
      <c r="EC44" t="s">
        <v>2649</v>
      </c>
      <c r="ET44" t="s">
        <v>2628</v>
      </c>
      <c r="EU44" t="s">
        <v>2628</v>
      </c>
      <c r="EV44" t="s">
        <v>2628</v>
      </c>
      <c r="EW44" t="s">
        <v>2628</v>
      </c>
      <c r="EX44" t="s">
        <v>2628</v>
      </c>
      <c r="EY44" t="s">
        <v>2628</v>
      </c>
      <c r="EZ44" t="s">
        <v>2628</v>
      </c>
      <c r="FA44" t="s">
        <v>2628</v>
      </c>
      <c r="FB44" t="s">
        <v>2628</v>
      </c>
      <c r="FC44" t="s">
        <v>2628</v>
      </c>
    </row>
    <row r="45" spans="85:177" x14ac:dyDescent="0.3">
      <c r="CH45" t="s">
        <v>2653</v>
      </c>
      <c r="CI45" t="s">
        <v>2653</v>
      </c>
      <c r="CJ45" t="s">
        <v>2653</v>
      </c>
      <c r="CK45" t="s">
        <v>2653</v>
      </c>
      <c r="CL45" t="s">
        <v>2653</v>
      </c>
      <c r="CM45" t="s">
        <v>2653</v>
      </c>
      <c r="CN45" t="s">
        <v>2653</v>
      </c>
      <c r="CO45" t="s">
        <v>2653</v>
      </c>
      <c r="CP45" t="s">
        <v>2653</v>
      </c>
      <c r="CQ45" t="s">
        <v>2653</v>
      </c>
      <c r="CR45" t="s">
        <v>2653</v>
      </c>
      <c r="CS45" t="s">
        <v>2653</v>
      </c>
      <c r="CT45" t="s">
        <v>2653</v>
      </c>
      <c r="CU45" t="s">
        <v>2653</v>
      </c>
      <c r="CV45" t="s">
        <v>2653</v>
      </c>
      <c r="CW45" t="s">
        <v>2653</v>
      </c>
      <c r="CX45" t="s">
        <v>2653</v>
      </c>
      <c r="CY45" t="s">
        <v>2653</v>
      </c>
      <c r="CZ45" t="s">
        <v>1330</v>
      </c>
      <c r="DA45" t="s">
        <v>1330</v>
      </c>
      <c r="DB45" t="s">
        <v>1330</v>
      </c>
      <c r="DC45" t="s">
        <v>1330</v>
      </c>
      <c r="DD45" t="s">
        <v>1330</v>
      </c>
      <c r="DE45" t="s">
        <v>1330</v>
      </c>
      <c r="DF45" t="s">
        <v>1330</v>
      </c>
      <c r="DG45" t="s">
        <v>1330</v>
      </c>
      <c r="DH45" t="s">
        <v>1330</v>
      </c>
      <c r="DI45" t="s">
        <v>2716</v>
      </c>
      <c r="DJ45" t="s">
        <v>2716</v>
      </c>
      <c r="DK45" t="s">
        <v>2716</v>
      </c>
      <c r="DL45" t="s">
        <v>2716</v>
      </c>
      <c r="DM45" t="s">
        <v>2716</v>
      </c>
      <c r="DN45" t="s">
        <v>2716</v>
      </c>
      <c r="DO45" t="s">
        <v>2716</v>
      </c>
      <c r="DP45" t="s">
        <v>2716</v>
      </c>
      <c r="DQ45" t="s">
        <v>2716</v>
      </c>
      <c r="DR45" t="s">
        <v>2716</v>
      </c>
      <c r="DS45" t="s">
        <v>2716</v>
      </c>
      <c r="DT45" t="s">
        <v>2716</v>
      </c>
      <c r="DU45" t="s">
        <v>2716</v>
      </c>
      <c r="DV45" t="s">
        <v>2716</v>
      </c>
      <c r="DW45" t="s">
        <v>2716</v>
      </c>
      <c r="DX45" t="s">
        <v>2649</v>
      </c>
      <c r="DY45" t="s">
        <v>2649</v>
      </c>
      <c r="DZ45" t="s">
        <v>2649</v>
      </c>
      <c r="EA45" t="s">
        <v>2649</v>
      </c>
      <c r="EB45" t="s">
        <v>2649</v>
      </c>
      <c r="EC45" t="s">
        <v>2649</v>
      </c>
      <c r="ED45" t="s">
        <v>2649</v>
      </c>
      <c r="ET45" t="s">
        <v>2628</v>
      </c>
      <c r="EU45" t="s">
        <v>2628</v>
      </c>
      <c r="EV45" t="s">
        <v>2628</v>
      </c>
      <c r="EW45" t="s">
        <v>2628</v>
      </c>
      <c r="EX45" t="s">
        <v>2628</v>
      </c>
      <c r="EY45" t="s">
        <v>2628</v>
      </c>
      <c r="EZ45" t="s">
        <v>2628</v>
      </c>
      <c r="FA45" t="s">
        <v>2628</v>
      </c>
      <c r="FB45" t="s">
        <v>2628</v>
      </c>
      <c r="FC45" t="s">
        <v>2628</v>
      </c>
      <c r="FD45" t="s">
        <v>2628</v>
      </c>
    </row>
    <row r="46" spans="85:177" x14ac:dyDescent="0.3">
      <c r="CH46" t="s">
        <v>2653</v>
      </c>
      <c r="CI46" t="s">
        <v>2653</v>
      </c>
      <c r="CJ46" t="s">
        <v>2653</v>
      </c>
      <c r="CK46" t="s">
        <v>2653</v>
      </c>
      <c r="CL46" t="s">
        <v>2653</v>
      </c>
      <c r="CM46" t="s">
        <v>2653</v>
      </c>
      <c r="CN46" t="s">
        <v>2653</v>
      </c>
      <c r="CO46" t="s">
        <v>2653</v>
      </c>
      <c r="CP46" t="s">
        <v>2653</v>
      </c>
      <c r="CQ46" t="s">
        <v>2653</v>
      </c>
      <c r="CR46" t="s">
        <v>2653</v>
      </c>
      <c r="CS46" t="s">
        <v>2653</v>
      </c>
      <c r="CT46" t="s">
        <v>2653</v>
      </c>
      <c r="CU46" t="s">
        <v>2653</v>
      </c>
      <c r="CV46" t="s">
        <v>2550</v>
      </c>
      <c r="CW46" t="s">
        <v>2550</v>
      </c>
      <c r="CX46" t="s">
        <v>2550</v>
      </c>
      <c r="CY46" t="s">
        <v>2550</v>
      </c>
      <c r="CZ46" t="s">
        <v>2550</v>
      </c>
      <c r="DA46" t="s">
        <v>2550</v>
      </c>
      <c r="DB46" t="s">
        <v>2653</v>
      </c>
      <c r="DC46" t="s">
        <v>2653</v>
      </c>
      <c r="DD46" t="s">
        <v>2653</v>
      </c>
      <c r="DE46" t="s">
        <v>2653</v>
      </c>
      <c r="DF46" t="s">
        <v>2653</v>
      </c>
      <c r="DG46" t="s">
        <v>2653</v>
      </c>
      <c r="DH46" t="s">
        <v>1330</v>
      </c>
      <c r="DI46" t="s">
        <v>2714</v>
      </c>
      <c r="DJ46" t="s">
        <v>2714</v>
      </c>
      <c r="DK46" t="s">
        <v>2714</v>
      </c>
      <c r="DL46" t="s">
        <v>2716</v>
      </c>
      <c r="DM46" t="s">
        <v>2716</v>
      </c>
      <c r="DN46" t="s">
        <v>2716</v>
      </c>
      <c r="DO46" t="s">
        <v>2716</v>
      </c>
      <c r="DP46" t="s">
        <v>2716</v>
      </c>
      <c r="DQ46" t="s">
        <v>2716</v>
      </c>
      <c r="DR46" t="s">
        <v>2716</v>
      </c>
      <c r="DS46" t="s">
        <v>2716</v>
      </c>
      <c r="DT46" t="s">
        <v>2716</v>
      </c>
      <c r="DU46" t="s">
        <v>2716</v>
      </c>
      <c r="DV46" t="s">
        <v>2716</v>
      </c>
      <c r="DW46" t="s">
        <v>2716</v>
      </c>
      <c r="DX46" t="s">
        <v>2649</v>
      </c>
      <c r="DY46" t="s">
        <v>2649</v>
      </c>
      <c r="DZ46" t="s">
        <v>2649</v>
      </c>
      <c r="EA46" t="s">
        <v>2649</v>
      </c>
      <c r="EB46" t="s">
        <v>2649</v>
      </c>
      <c r="EC46" t="s">
        <v>2649</v>
      </c>
      <c r="ED46" t="s">
        <v>2649</v>
      </c>
      <c r="EE46" t="s">
        <v>2649</v>
      </c>
      <c r="ET46" t="s">
        <v>2628</v>
      </c>
      <c r="EU46" t="s">
        <v>2628</v>
      </c>
      <c r="EV46" t="s">
        <v>2628</v>
      </c>
      <c r="EW46" t="s">
        <v>2628</v>
      </c>
      <c r="EX46" t="s">
        <v>2628</v>
      </c>
      <c r="EY46" t="s">
        <v>2628</v>
      </c>
      <c r="EZ46" t="s">
        <v>2628</v>
      </c>
      <c r="FA46" t="s">
        <v>2628</v>
      </c>
      <c r="FB46" t="s">
        <v>2628</v>
      </c>
      <c r="FC46" t="s">
        <v>2628</v>
      </c>
      <c r="FD46" t="s">
        <v>2628</v>
      </c>
    </row>
    <row r="47" spans="85:177" x14ac:dyDescent="0.3">
      <c r="CG47" t="s">
        <v>2550</v>
      </c>
      <c r="CH47" t="s">
        <v>2653</v>
      </c>
      <c r="CI47" t="s">
        <v>2653</v>
      </c>
      <c r="CJ47" t="s">
        <v>2653</v>
      </c>
      <c r="CK47" t="s">
        <v>2653</v>
      </c>
      <c r="CL47" t="s">
        <v>2550</v>
      </c>
      <c r="CM47" t="s">
        <v>2550</v>
      </c>
      <c r="CN47" t="s">
        <v>2550</v>
      </c>
      <c r="CO47" t="s">
        <v>2550</v>
      </c>
      <c r="CP47" t="s">
        <v>2550</v>
      </c>
      <c r="CQ47" t="s">
        <v>2550</v>
      </c>
      <c r="CR47" t="s">
        <v>2550</v>
      </c>
      <c r="CS47" t="s">
        <v>2550</v>
      </c>
      <c r="CT47" t="s">
        <v>2550</v>
      </c>
      <c r="CU47" t="s">
        <v>2550</v>
      </c>
      <c r="CV47" t="s">
        <v>2550</v>
      </c>
      <c r="CW47" t="s">
        <v>2550</v>
      </c>
      <c r="CX47" t="s">
        <v>2550</v>
      </c>
      <c r="CY47" t="s">
        <v>2550</v>
      </c>
      <c r="CZ47" t="s">
        <v>2550</v>
      </c>
      <c r="DA47" t="s">
        <v>2550</v>
      </c>
      <c r="DB47" t="s">
        <v>2550</v>
      </c>
      <c r="DC47" t="s">
        <v>2550</v>
      </c>
      <c r="DD47" t="s">
        <v>2714</v>
      </c>
      <c r="DE47" t="s">
        <v>2714</v>
      </c>
      <c r="DF47" t="s">
        <v>2714</v>
      </c>
      <c r="DG47" t="s">
        <v>2714</v>
      </c>
      <c r="DH47" t="s">
        <v>2714</v>
      </c>
      <c r="DI47" t="s">
        <v>2714</v>
      </c>
      <c r="DJ47" t="s">
        <v>2714</v>
      </c>
      <c r="DK47" t="s">
        <v>2714</v>
      </c>
      <c r="DL47" t="s">
        <v>2714</v>
      </c>
      <c r="DM47" t="s">
        <v>2716</v>
      </c>
      <c r="DN47" t="s">
        <v>2716</v>
      </c>
      <c r="DO47" t="s">
        <v>2716</v>
      </c>
      <c r="DP47" t="s">
        <v>2716</v>
      </c>
      <c r="DQ47" t="s">
        <v>2716</v>
      </c>
      <c r="DR47" t="s">
        <v>2716</v>
      </c>
      <c r="DS47" t="s">
        <v>2716</v>
      </c>
      <c r="DT47" t="s">
        <v>2716</v>
      </c>
      <c r="DU47" t="s">
        <v>2716</v>
      </c>
      <c r="DV47" t="s">
        <v>2716</v>
      </c>
      <c r="DW47" t="s">
        <v>2716</v>
      </c>
      <c r="DX47" t="s">
        <v>2649</v>
      </c>
      <c r="DY47" t="s">
        <v>2649</v>
      </c>
      <c r="DZ47" t="s">
        <v>2649</v>
      </c>
      <c r="EA47" t="s">
        <v>2649</v>
      </c>
      <c r="EB47" t="s">
        <v>2649</v>
      </c>
      <c r="EC47" t="s">
        <v>2649</v>
      </c>
      <c r="ED47" t="s">
        <v>2649</v>
      </c>
      <c r="EE47" t="s">
        <v>2649</v>
      </c>
      <c r="EF47" t="s">
        <v>2649</v>
      </c>
      <c r="EG47" t="s">
        <v>2649</v>
      </c>
      <c r="ET47" t="s">
        <v>2628</v>
      </c>
      <c r="EU47" t="s">
        <v>2628</v>
      </c>
      <c r="EV47" t="s">
        <v>2628</v>
      </c>
      <c r="EW47" t="s">
        <v>2628</v>
      </c>
      <c r="EX47" t="s">
        <v>2628</v>
      </c>
      <c r="EY47" t="s">
        <v>2628</v>
      </c>
      <c r="EZ47" t="s">
        <v>2628</v>
      </c>
      <c r="FA47" t="s">
        <v>2628</v>
      </c>
      <c r="FB47" t="s">
        <v>2628</v>
      </c>
      <c r="FC47" t="s">
        <v>2628</v>
      </c>
      <c r="FD47" t="s">
        <v>2628</v>
      </c>
    </row>
    <row r="48" spans="85:177" x14ac:dyDescent="0.3">
      <c r="CG48" t="s">
        <v>2550</v>
      </c>
      <c r="CH48" t="s">
        <v>2550</v>
      </c>
      <c r="CI48" t="s">
        <v>2550</v>
      </c>
      <c r="CJ48" t="s">
        <v>2550</v>
      </c>
      <c r="CK48" t="s">
        <v>2550</v>
      </c>
      <c r="CL48" t="s">
        <v>2550</v>
      </c>
      <c r="CM48" t="s">
        <v>2550</v>
      </c>
      <c r="CN48" t="s">
        <v>2550</v>
      </c>
      <c r="CO48" t="s">
        <v>2550</v>
      </c>
      <c r="CP48" t="s">
        <v>2550</v>
      </c>
      <c r="CQ48" t="s">
        <v>2550</v>
      </c>
      <c r="CR48" t="s">
        <v>2550</v>
      </c>
      <c r="CS48" t="s">
        <v>2550</v>
      </c>
      <c r="CT48" t="s">
        <v>2550</v>
      </c>
      <c r="CU48" t="s">
        <v>2550</v>
      </c>
      <c r="CV48" t="s">
        <v>2550</v>
      </c>
      <c r="CW48" t="s">
        <v>2550</v>
      </c>
      <c r="CX48" t="s">
        <v>2550</v>
      </c>
      <c r="CY48" t="s">
        <v>2550</v>
      </c>
      <c r="CZ48" t="s">
        <v>2550</v>
      </c>
      <c r="DA48" t="s">
        <v>2550</v>
      </c>
      <c r="DB48" t="s">
        <v>2550</v>
      </c>
      <c r="DC48" t="s">
        <v>2714</v>
      </c>
      <c r="DD48" t="s">
        <v>2714</v>
      </c>
      <c r="DE48" t="s">
        <v>2714</v>
      </c>
      <c r="DF48" t="s">
        <v>2714</v>
      </c>
      <c r="DG48" t="s">
        <v>2714</v>
      </c>
      <c r="DH48" t="s">
        <v>2714</v>
      </c>
      <c r="DI48" t="s">
        <v>2714</v>
      </c>
      <c r="DJ48" t="s">
        <v>2714</v>
      </c>
      <c r="DK48" t="s">
        <v>2714</v>
      </c>
      <c r="DL48" t="s">
        <v>2714</v>
      </c>
      <c r="DM48" t="s">
        <v>2714</v>
      </c>
      <c r="DN48" t="s">
        <v>2716</v>
      </c>
      <c r="DO48" t="s">
        <v>2716</v>
      </c>
      <c r="DP48" t="s">
        <v>2716</v>
      </c>
      <c r="DQ48" t="s">
        <v>2716</v>
      </c>
      <c r="DR48" t="s">
        <v>2716</v>
      </c>
      <c r="DS48" t="s">
        <v>2716</v>
      </c>
      <c r="DT48" t="s">
        <v>2716</v>
      </c>
      <c r="DU48" t="s">
        <v>2716</v>
      </c>
      <c r="DV48" t="s">
        <v>2716</v>
      </c>
      <c r="DW48" t="s">
        <v>2716</v>
      </c>
      <c r="DX48" t="s">
        <v>2649</v>
      </c>
      <c r="DY48" t="s">
        <v>2649</v>
      </c>
      <c r="DZ48" t="s">
        <v>2649</v>
      </c>
      <c r="EA48" t="s">
        <v>2649</v>
      </c>
      <c r="EB48" t="s">
        <v>2649</v>
      </c>
      <c r="EC48" t="s">
        <v>2649</v>
      </c>
      <c r="ED48" t="s">
        <v>2649</v>
      </c>
      <c r="EE48" t="s">
        <v>2649</v>
      </c>
      <c r="EF48" t="s">
        <v>2649</v>
      </c>
      <c r="EG48" t="s">
        <v>2649</v>
      </c>
      <c r="EH48" t="s">
        <v>2649</v>
      </c>
      <c r="EI48" t="s">
        <v>2649</v>
      </c>
      <c r="EJ48" t="s">
        <v>2649</v>
      </c>
      <c r="EU48" t="s">
        <v>2628</v>
      </c>
      <c r="EV48" t="s">
        <v>2628</v>
      </c>
      <c r="EW48" t="s">
        <v>2628</v>
      </c>
      <c r="EX48" t="s">
        <v>2628</v>
      </c>
      <c r="EY48" t="s">
        <v>2628</v>
      </c>
      <c r="EZ48" t="s">
        <v>2628</v>
      </c>
      <c r="FA48" t="s">
        <v>2628</v>
      </c>
      <c r="FB48" t="s">
        <v>2628</v>
      </c>
      <c r="FC48" t="s">
        <v>2628</v>
      </c>
      <c r="FD48" t="s">
        <v>2628</v>
      </c>
      <c r="FE48" t="s">
        <v>2628</v>
      </c>
    </row>
    <row r="49" spans="85:162" x14ac:dyDescent="0.3">
      <c r="CG49" t="s">
        <v>2550</v>
      </c>
      <c r="CH49" t="s">
        <v>2550</v>
      </c>
      <c r="CI49" t="s">
        <v>2550</v>
      </c>
      <c r="CJ49" t="s">
        <v>2550</v>
      </c>
      <c r="CK49" t="s">
        <v>2550</v>
      </c>
      <c r="CL49" t="s">
        <v>2550</v>
      </c>
      <c r="CM49" t="s">
        <v>2550</v>
      </c>
      <c r="CN49" t="s">
        <v>2550</v>
      </c>
      <c r="CO49" t="s">
        <v>2550</v>
      </c>
      <c r="CP49" t="s">
        <v>2550</v>
      </c>
      <c r="CQ49" t="s">
        <v>2550</v>
      </c>
      <c r="CR49" t="s">
        <v>2550</v>
      </c>
      <c r="CS49" t="s">
        <v>2550</v>
      </c>
      <c r="CT49" t="s">
        <v>2550</v>
      </c>
      <c r="CU49" t="s">
        <v>2550</v>
      </c>
      <c r="CV49" t="s">
        <v>2550</v>
      </c>
      <c r="CW49" t="s">
        <v>2550</v>
      </c>
      <c r="CX49" t="s">
        <v>2550</v>
      </c>
      <c r="CY49" t="s">
        <v>2550</v>
      </c>
      <c r="CZ49" t="s">
        <v>2550</v>
      </c>
      <c r="DA49" t="s">
        <v>2550</v>
      </c>
      <c r="DB49" t="s">
        <v>2714</v>
      </c>
      <c r="DC49" t="s">
        <v>2714</v>
      </c>
      <c r="DD49" t="s">
        <v>2714</v>
      </c>
      <c r="DE49" t="s">
        <v>2714</v>
      </c>
      <c r="DF49" t="s">
        <v>2714</v>
      </c>
      <c r="DG49" t="s">
        <v>2714</v>
      </c>
      <c r="DH49" t="s">
        <v>2714</v>
      </c>
      <c r="DI49" t="s">
        <v>2714</v>
      </c>
      <c r="DJ49" t="s">
        <v>2714</v>
      </c>
      <c r="DK49" t="s">
        <v>2714</v>
      </c>
      <c r="DL49" t="s">
        <v>2714</v>
      </c>
      <c r="DM49" t="s">
        <v>2714</v>
      </c>
      <c r="DN49" t="s">
        <v>2714</v>
      </c>
      <c r="DO49" t="s">
        <v>2714</v>
      </c>
      <c r="DP49" t="s">
        <v>2716</v>
      </c>
      <c r="DQ49" t="s">
        <v>2716</v>
      </c>
      <c r="DR49" t="s">
        <v>2716</v>
      </c>
      <c r="DS49" t="s">
        <v>2716</v>
      </c>
      <c r="DT49" t="s">
        <v>2716</v>
      </c>
      <c r="DU49" t="s">
        <v>2716</v>
      </c>
      <c r="DV49" t="s">
        <v>2649</v>
      </c>
      <c r="DW49" t="s">
        <v>2649</v>
      </c>
      <c r="DX49" t="s">
        <v>2649</v>
      </c>
      <c r="DY49" t="s">
        <v>2649</v>
      </c>
      <c r="DZ49" t="s">
        <v>2649</v>
      </c>
      <c r="EA49" t="s">
        <v>2631</v>
      </c>
      <c r="EB49" t="s">
        <v>2631</v>
      </c>
      <c r="EC49" t="s">
        <v>2649</v>
      </c>
      <c r="ED49" t="s">
        <v>2649</v>
      </c>
      <c r="EE49" t="s">
        <v>2649</v>
      </c>
      <c r="EF49" t="s">
        <v>2649</v>
      </c>
      <c r="EG49" t="s">
        <v>2649</v>
      </c>
      <c r="EH49" t="s">
        <v>2649</v>
      </c>
      <c r="EI49" t="s">
        <v>2649</v>
      </c>
      <c r="EJ49" t="s">
        <v>2649</v>
      </c>
      <c r="EK49" t="s">
        <v>2649</v>
      </c>
      <c r="EU49" t="s">
        <v>2628</v>
      </c>
      <c r="EV49" t="s">
        <v>2628</v>
      </c>
      <c r="EW49" t="s">
        <v>2628</v>
      </c>
      <c r="EX49" t="s">
        <v>2628</v>
      </c>
      <c r="EY49" t="s">
        <v>2628</v>
      </c>
      <c r="EZ49" t="s">
        <v>2628</v>
      </c>
      <c r="FA49" t="s">
        <v>2628</v>
      </c>
      <c r="FB49" t="s">
        <v>2628</v>
      </c>
      <c r="FC49" t="s">
        <v>2628</v>
      </c>
      <c r="FD49" t="s">
        <v>2628</v>
      </c>
      <c r="FE49" t="s">
        <v>2628</v>
      </c>
    </row>
    <row r="50" spans="85:162" x14ac:dyDescent="0.3">
      <c r="CH50" t="s">
        <v>2550</v>
      </c>
      <c r="CI50" t="s">
        <v>2550</v>
      </c>
      <c r="CJ50" t="s">
        <v>2550</v>
      </c>
      <c r="CK50" t="s">
        <v>2550</v>
      </c>
      <c r="CL50" t="s">
        <v>2550</v>
      </c>
      <c r="CM50" t="s">
        <v>2550</v>
      </c>
      <c r="CN50" t="s">
        <v>2550</v>
      </c>
      <c r="CO50" t="s">
        <v>2550</v>
      </c>
      <c r="CP50" t="s">
        <v>2550</v>
      </c>
      <c r="CQ50" t="s">
        <v>2550</v>
      </c>
      <c r="CR50" t="s">
        <v>2550</v>
      </c>
      <c r="CS50" t="s">
        <v>2550</v>
      </c>
      <c r="CT50" t="s">
        <v>2550</v>
      </c>
      <c r="CU50" t="s">
        <v>2550</v>
      </c>
      <c r="CV50" t="s">
        <v>2550</v>
      </c>
      <c r="CW50" t="s">
        <v>2550</v>
      </c>
      <c r="CX50" t="s">
        <v>2550</v>
      </c>
      <c r="CY50" t="s">
        <v>2550</v>
      </c>
      <c r="CZ50" t="s">
        <v>2550</v>
      </c>
      <c r="DA50" t="s">
        <v>2550</v>
      </c>
      <c r="DB50" t="s">
        <v>2714</v>
      </c>
      <c r="DC50" t="s">
        <v>2714</v>
      </c>
      <c r="DD50" t="s">
        <v>2714</v>
      </c>
      <c r="DE50" t="s">
        <v>2714</v>
      </c>
      <c r="DF50" t="s">
        <v>2714</v>
      </c>
      <c r="DG50" t="s">
        <v>2714</v>
      </c>
      <c r="DH50" t="s">
        <v>2714</v>
      </c>
      <c r="DI50" t="s">
        <v>2714</v>
      </c>
      <c r="DJ50" t="s">
        <v>2714</v>
      </c>
      <c r="DK50" t="s">
        <v>2714</v>
      </c>
      <c r="DL50" t="s">
        <v>2714</v>
      </c>
      <c r="DM50" t="s">
        <v>2714</v>
      </c>
      <c r="DN50" t="s">
        <v>2714</v>
      </c>
      <c r="DO50" t="s">
        <v>2714</v>
      </c>
      <c r="DP50" t="s">
        <v>2714</v>
      </c>
      <c r="DQ50" t="s">
        <v>2716</v>
      </c>
      <c r="DR50" t="s">
        <v>2716</v>
      </c>
      <c r="DS50" t="s">
        <v>2649</v>
      </c>
      <c r="DT50" t="s">
        <v>2649</v>
      </c>
      <c r="DU50" t="s">
        <v>2649</v>
      </c>
      <c r="DV50" t="s">
        <v>2649</v>
      </c>
      <c r="DW50" t="s">
        <v>2649</v>
      </c>
      <c r="DX50" t="s">
        <v>2649</v>
      </c>
      <c r="DY50" t="s">
        <v>2649</v>
      </c>
      <c r="DZ50" t="s">
        <v>2649</v>
      </c>
      <c r="EA50" t="s">
        <v>2631</v>
      </c>
      <c r="EB50" t="s">
        <v>2631</v>
      </c>
      <c r="EC50" t="s">
        <v>2631</v>
      </c>
      <c r="ED50" t="s">
        <v>2649</v>
      </c>
      <c r="EE50" t="s">
        <v>2649</v>
      </c>
      <c r="EF50" t="s">
        <v>2649</v>
      </c>
      <c r="EG50" t="s">
        <v>2649</v>
      </c>
      <c r="EH50" t="s">
        <v>2649</v>
      </c>
      <c r="EI50" t="s">
        <v>2649</v>
      </c>
      <c r="EJ50" t="s">
        <v>2649</v>
      </c>
      <c r="EK50" t="s">
        <v>2649</v>
      </c>
      <c r="EL50" t="s">
        <v>2649</v>
      </c>
      <c r="EY50" t="s">
        <v>2628</v>
      </c>
      <c r="EZ50" t="s">
        <v>2628</v>
      </c>
      <c r="FA50" t="s">
        <v>2628</v>
      </c>
      <c r="FB50" t="s">
        <v>2628</v>
      </c>
      <c r="FC50" t="s">
        <v>2628</v>
      </c>
      <c r="FD50" t="s">
        <v>2628</v>
      </c>
      <c r="FF50" t="s">
        <v>2628</v>
      </c>
    </row>
    <row r="51" spans="85:162" x14ac:dyDescent="0.3">
      <c r="CH51" t="s">
        <v>2550</v>
      </c>
      <c r="CI51" t="s">
        <v>2550</v>
      </c>
      <c r="CJ51" t="s">
        <v>2550</v>
      </c>
      <c r="CK51" t="s">
        <v>2550</v>
      </c>
      <c r="CL51" t="s">
        <v>2550</v>
      </c>
      <c r="CM51" t="s">
        <v>2550</v>
      </c>
      <c r="CN51" t="s">
        <v>2550</v>
      </c>
      <c r="CO51" t="s">
        <v>2550</v>
      </c>
      <c r="CP51" t="s">
        <v>2550</v>
      </c>
      <c r="CQ51" t="s">
        <v>2550</v>
      </c>
      <c r="CR51" t="s">
        <v>2550</v>
      </c>
      <c r="CS51" t="s">
        <v>2550</v>
      </c>
      <c r="CT51" t="s">
        <v>2550</v>
      </c>
      <c r="CU51" t="s">
        <v>2550</v>
      </c>
      <c r="CV51" t="s">
        <v>2550</v>
      </c>
      <c r="CW51" t="s">
        <v>2550</v>
      </c>
      <c r="CX51" t="s">
        <v>2550</v>
      </c>
      <c r="CY51" t="s">
        <v>2550</v>
      </c>
      <c r="CZ51" t="s">
        <v>2550</v>
      </c>
      <c r="DA51" t="s">
        <v>2550</v>
      </c>
      <c r="DB51" t="s">
        <v>2714</v>
      </c>
      <c r="DC51" t="s">
        <v>2714</v>
      </c>
      <c r="DD51" t="s">
        <v>2714</v>
      </c>
      <c r="DE51" t="s">
        <v>2714</v>
      </c>
      <c r="DF51" t="s">
        <v>2714</v>
      </c>
      <c r="DG51" t="s">
        <v>2714</v>
      </c>
      <c r="DH51" t="s">
        <v>2714</v>
      </c>
      <c r="DI51" t="s">
        <v>2714</v>
      </c>
      <c r="DJ51" t="s">
        <v>2714</v>
      </c>
      <c r="DK51" t="s">
        <v>2714</v>
      </c>
      <c r="DL51" t="s">
        <v>2714</v>
      </c>
      <c r="DM51" t="s">
        <v>2714</v>
      </c>
      <c r="DN51" t="s">
        <v>2714</v>
      </c>
      <c r="DO51" t="s">
        <v>2714</v>
      </c>
      <c r="DP51" t="s">
        <v>2714</v>
      </c>
      <c r="DQ51" t="s">
        <v>2714</v>
      </c>
      <c r="DR51" t="s">
        <v>2649</v>
      </c>
      <c r="DS51" t="s">
        <v>2649</v>
      </c>
      <c r="DT51" t="s">
        <v>2649</v>
      </c>
      <c r="DU51" t="s">
        <v>2649</v>
      </c>
      <c r="DV51" t="s">
        <v>2649</v>
      </c>
      <c r="DW51" t="s">
        <v>2649</v>
      </c>
      <c r="DX51" t="s">
        <v>2649</v>
      </c>
      <c r="DY51" t="s">
        <v>2649</v>
      </c>
      <c r="DZ51" t="s">
        <v>2649</v>
      </c>
      <c r="EA51" t="s">
        <v>2631</v>
      </c>
      <c r="EB51" t="s">
        <v>2631</v>
      </c>
      <c r="EC51" t="s">
        <v>2649</v>
      </c>
      <c r="ED51" t="s">
        <v>2649</v>
      </c>
      <c r="EE51" t="s">
        <v>2649</v>
      </c>
      <c r="EF51" t="s">
        <v>2649</v>
      </c>
      <c r="EG51" t="s">
        <v>2649</v>
      </c>
      <c r="EH51" t="s">
        <v>2649</v>
      </c>
      <c r="EI51" t="s">
        <v>2649</v>
      </c>
      <c r="EJ51" t="s">
        <v>2649</v>
      </c>
      <c r="EK51" t="s">
        <v>2649</v>
      </c>
      <c r="EL51" t="s">
        <v>2649</v>
      </c>
      <c r="EZ51" t="s">
        <v>2628</v>
      </c>
      <c r="FA51" t="s">
        <v>2628</v>
      </c>
      <c r="FB51" t="s">
        <v>2628</v>
      </c>
      <c r="FC51" t="s">
        <v>2628</v>
      </c>
      <c r="FD51" t="s">
        <v>2628</v>
      </c>
      <c r="FE51" t="s">
        <v>2628</v>
      </c>
      <c r="FF51" t="s">
        <v>2628</v>
      </c>
    </row>
    <row r="52" spans="85:162" x14ac:dyDescent="0.3">
      <c r="CH52" t="s">
        <v>2550</v>
      </c>
      <c r="CI52" t="s">
        <v>2550</v>
      </c>
      <c r="CJ52" t="s">
        <v>2550</v>
      </c>
      <c r="CK52" t="s">
        <v>2550</v>
      </c>
      <c r="CL52" t="s">
        <v>2550</v>
      </c>
      <c r="CM52" t="s">
        <v>2550</v>
      </c>
      <c r="CN52" t="s">
        <v>2550</v>
      </c>
      <c r="CO52" t="s">
        <v>2550</v>
      </c>
      <c r="CP52" t="s">
        <v>2550</v>
      </c>
      <c r="CQ52" t="s">
        <v>2550</v>
      </c>
      <c r="CR52" t="s">
        <v>2550</v>
      </c>
      <c r="CS52" t="s">
        <v>2550</v>
      </c>
      <c r="CT52" t="s">
        <v>2550</v>
      </c>
      <c r="CU52" t="s">
        <v>2550</v>
      </c>
      <c r="CV52" t="s">
        <v>2550</v>
      </c>
      <c r="CW52" t="s">
        <v>2550</v>
      </c>
      <c r="CX52" t="s">
        <v>2550</v>
      </c>
      <c r="CY52" t="s">
        <v>2550</v>
      </c>
      <c r="CZ52" t="s">
        <v>2550</v>
      </c>
      <c r="DA52" t="s">
        <v>2550</v>
      </c>
      <c r="DB52" t="s">
        <v>2714</v>
      </c>
      <c r="DC52" t="s">
        <v>2714</v>
      </c>
      <c r="DD52" t="s">
        <v>2714</v>
      </c>
      <c r="DE52" t="s">
        <v>2714</v>
      </c>
      <c r="DF52" t="s">
        <v>2714</v>
      </c>
      <c r="DG52" t="s">
        <v>2714</v>
      </c>
      <c r="DH52" t="s">
        <v>2714</v>
      </c>
      <c r="DI52" t="s">
        <v>2714</v>
      </c>
      <c r="DJ52" t="s">
        <v>2714</v>
      </c>
      <c r="DK52" t="s">
        <v>2714</v>
      </c>
      <c r="DL52" t="s">
        <v>2714</v>
      </c>
      <c r="DM52" t="s">
        <v>2714</v>
      </c>
      <c r="DN52" t="s">
        <v>2714</v>
      </c>
      <c r="DO52" t="s">
        <v>2714</v>
      </c>
      <c r="DP52" t="s">
        <v>2714</v>
      </c>
      <c r="DQ52" t="s">
        <v>2714</v>
      </c>
      <c r="DR52" t="s">
        <v>2714</v>
      </c>
      <c r="DS52" t="s">
        <v>2649</v>
      </c>
      <c r="DT52" t="s">
        <v>2649</v>
      </c>
      <c r="DU52" t="s">
        <v>2649</v>
      </c>
      <c r="DV52" t="s">
        <v>2649</v>
      </c>
      <c r="DW52" t="s">
        <v>2649</v>
      </c>
      <c r="DX52" t="s">
        <v>2649</v>
      </c>
      <c r="DY52" t="s">
        <v>2649</v>
      </c>
      <c r="DZ52" t="s">
        <v>2649</v>
      </c>
      <c r="EA52" t="s">
        <v>2631</v>
      </c>
      <c r="EB52" t="s">
        <v>2631</v>
      </c>
      <c r="EC52" t="s">
        <v>2649</v>
      </c>
      <c r="ED52" t="s">
        <v>2649</v>
      </c>
      <c r="EE52" t="s">
        <v>2649</v>
      </c>
      <c r="EF52" t="s">
        <v>2649</v>
      </c>
      <c r="EG52" t="s">
        <v>2649</v>
      </c>
      <c r="EH52" t="s">
        <v>2649</v>
      </c>
      <c r="EI52" t="s">
        <v>2649</v>
      </c>
      <c r="EJ52" t="s">
        <v>2649</v>
      </c>
      <c r="EK52" t="s">
        <v>2649</v>
      </c>
      <c r="EL52" t="s">
        <v>2649</v>
      </c>
      <c r="EM52" t="s">
        <v>2649</v>
      </c>
      <c r="FA52" t="s">
        <v>2628</v>
      </c>
      <c r="FB52" t="s">
        <v>2628</v>
      </c>
      <c r="FC52" t="s">
        <v>2628</v>
      </c>
      <c r="FD52" t="s">
        <v>2628</v>
      </c>
      <c r="FE52" t="s">
        <v>2628</v>
      </c>
    </row>
    <row r="53" spans="85:162" x14ac:dyDescent="0.3">
      <c r="CH53" t="s">
        <v>2550</v>
      </c>
      <c r="CI53" t="s">
        <v>2550</v>
      </c>
      <c r="CJ53" t="s">
        <v>2550</v>
      </c>
      <c r="CK53" t="s">
        <v>2550</v>
      </c>
      <c r="CL53" t="s">
        <v>2550</v>
      </c>
      <c r="CM53" t="s">
        <v>2550</v>
      </c>
      <c r="CN53" t="s">
        <v>2550</v>
      </c>
      <c r="CO53" t="s">
        <v>2550</v>
      </c>
      <c r="CP53" t="s">
        <v>2550</v>
      </c>
      <c r="CQ53" t="s">
        <v>2550</v>
      </c>
      <c r="CR53" t="s">
        <v>2550</v>
      </c>
      <c r="CS53" t="s">
        <v>2550</v>
      </c>
      <c r="CT53" t="s">
        <v>2550</v>
      </c>
      <c r="CU53" t="s">
        <v>2550</v>
      </c>
      <c r="CV53" t="s">
        <v>2550</v>
      </c>
      <c r="CW53" t="s">
        <v>2550</v>
      </c>
      <c r="CX53" t="s">
        <v>2550</v>
      </c>
      <c r="CY53" t="s">
        <v>2550</v>
      </c>
      <c r="CZ53" t="s">
        <v>2550</v>
      </c>
      <c r="DA53" t="s">
        <v>2550</v>
      </c>
      <c r="DB53" t="s">
        <v>2714</v>
      </c>
      <c r="DC53" t="s">
        <v>2714</v>
      </c>
      <c r="DD53" t="s">
        <v>2714</v>
      </c>
      <c r="DE53" t="s">
        <v>2714</v>
      </c>
      <c r="DF53" t="s">
        <v>2714</v>
      </c>
      <c r="DG53" t="s">
        <v>2714</v>
      </c>
      <c r="DH53" t="s">
        <v>2714</v>
      </c>
      <c r="DI53" t="s">
        <v>2714</v>
      </c>
      <c r="DJ53" t="s">
        <v>2714</v>
      </c>
      <c r="DK53" t="s">
        <v>2714</v>
      </c>
      <c r="DL53" t="s">
        <v>2714</v>
      </c>
      <c r="DM53" t="s">
        <v>2714</v>
      </c>
      <c r="DN53" t="s">
        <v>2714</v>
      </c>
      <c r="DO53" t="s">
        <v>2714</v>
      </c>
      <c r="DP53" t="s">
        <v>2714</v>
      </c>
      <c r="DQ53" t="s">
        <v>2714</v>
      </c>
      <c r="DR53" t="s">
        <v>2714</v>
      </c>
      <c r="DS53" t="s">
        <v>2714</v>
      </c>
      <c r="DT53" t="s">
        <v>2714</v>
      </c>
      <c r="DU53" t="s">
        <v>2714</v>
      </c>
      <c r="DV53" t="s">
        <v>2649</v>
      </c>
      <c r="DW53" t="s">
        <v>2649</v>
      </c>
      <c r="DX53" t="s">
        <v>2649</v>
      </c>
      <c r="DY53" t="s">
        <v>2631</v>
      </c>
      <c r="DZ53" t="s">
        <v>2631</v>
      </c>
      <c r="EA53" t="s">
        <v>2631</v>
      </c>
      <c r="EB53" t="s">
        <v>2631</v>
      </c>
      <c r="EC53" t="s">
        <v>2649</v>
      </c>
      <c r="ED53" t="s">
        <v>2649</v>
      </c>
      <c r="EE53" t="s">
        <v>2649</v>
      </c>
      <c r="EF53" t="s">
        <v>2649</v>
      </c>
      <c r="EG53" t="s">
        <v>2649</v>
      </c>
      <c r="EH53" t="s">
        <v>2649</v>
      </c>
      <c r="EI53" t="s">
        <v>2649</v>
      </c>
      <c r="EJ53" t="s">
        <v>2649</v>
      </c>
      <c r="EK53" t="s">
        <v>2649</v>
      </c>
      <c r="EL53" t="s">
        <v>2649</v>
      </c>
      <c r="FB53" t="s">
        <v>2628</v>
      </c>
      <c r="FC53" t="s">
        <v>2628</v>
      </c>
      <c r="FD53" t="s">
        <v>2628</v>
      </c>
      <c r="FE53" t="s">
        <v>2628</v>
      </c>
    </row>
    <row r="54" spans="85:162" x14ac:dyDescent="0.3">
      <c r="CI54" t="s">
        <v>2550</v>
      </c>
      <c r="CJ54" t="s">
        <v>2550</v>
      </c>
      <c r="CK54" t="s">
        <v>2550</v>
      </c>
      <c r="CL54" t="s">
        <v>2550</v>
      </c>
      <c r="CM54" t="s">
        <v>2550</v>
      </c>
      <c r="CN54" t="s">
        <v>2550</v>
      </c>
      <c r="CO54" t="s">
        <v>2550</v>
      </c>
      <c r="CP54" t="s">
        <v>2550</v>
      </c>
      <c r="CQ54" t="s">
        <v>2550</v>
      </c>
      <c r="CR54" t="s">
        <v>2550</v>
      </c>
      <c r="CS54" t="s">
        <v>2550</v>
      </c>
      <c r="CT54" t="s">
        <v>2550</v>
      </c>
      <c r="CU54" t="s">
        <v>2550</v>
      </c>
      <c r="CV54" t="s">
        <v>2550</v>
      </c>
      <c r="CW54" t="s">
        <v>2550</v>
      </c>
      <c r="CX54" t="s">
        <v>2550</v>
      </c>
      <c r="CY54" t="s">
        <v>2550</v>
      </c>
      <c r="CZ54" t="s">
        <v>2550</v>
      </c>
      <c r="DA54" t="s">
        <v>2550</v>
      </c>
      <c r="DB54" t="s">
        <v>2714</v>
      </c>
      <c r="DC54" t="s">
        <v>2714</v>
      </c>
      <c r="DD54" t="s">
        <v>2714</v>
      </c>
      <c r="DE54" t="s">
        <v>2714</v>
      </c>
      <c r="DF54" t="s">
        <v>2714</v>
      </c>
      <c r="DG54" t="s">
        <v>2714</v>
      </c>
      <c r="DH54" t="s">
        <v>2714</v>
      </c>
      <c r="DI54" t="s">
        <v>2714</v>
      </c>
      <c r="DJ54" t="s">
        <v>2714</v>
      </c>
      <c r="DK54" t="s">
        <v>2714</v>
      </c>
      <c r="DL54" t="s">
        <v>2714</v>
      </c>
      <c r="DM54" t="s">
        <v>2714</v>
      </c>
      <c r="DN54" t="s">
        <v>2714</v>
      </c>
      <c r="DO54" t="s">
        <v>2714</v>
      </c>
      <c r="DP54" t="s">
        <v>2714</v>
      </c>
      <c r="DQ54" t="s">
        <v>2714</v>
      </c>
      <c r="DR54" t="s">
        <v>2714</v>
      </c>
      <c r="DS54" t="s">
        <v>2714</v>
      </c>
      <c r="DT54" t="s">
        <v>2714</v>
      </c>
      <c r="DU54" t="s">
        <v>2714</v>
      </c>
      <c r="DV54" t="s">
        <v>2714</v>
      </c>
      <c r="DW54" t="s">
        <v>2714</v>
      </c>
      <c r="DX54" t="s">
        <v>2631</v>
      </c>
      <c r="DY54" t="s">
        <v>2631</v>
      </c>
      <c r="DZ54" t="s">
        <v>2631</v>
      </c>
      <c r="EA54" t="s">
        <v>2631</v>
      </c>
      <c r="EB54" t="s">
        <v>2649</v>
      </c>
      <c r="EC54" t="s">
        <v>2649</v>
      </c>
      <c r="ED54" t="s">
        <v>2649</v>
      </c>
      <c r="EE54" t="s">
        <v>2649</v>
      </c>
      <c r="EF54" t="s">
        <v>2649</v>
      </c>
      <c r="EG54" t="s">
        <v>2649</v>
      </c>
      <c r="EH54" t="s">
        <v>2649</v>
      </c>
      <c r="EI54" t="s">
        <v>2649</v>
      </c>
      <c r="EJ54" t="s">
        <v>2649</v>
      </c>
      <c r="EK54" t="s">
        <v>2649</v>
      </c>
      <c r="EL54" t="s">
        <v>2649</v>
      </c>
      <c r="FC54" t="s">
        <v>2628</v>
      </c>
      <c r="FD54" t="s">
        <v>2628</v>
      </c>
      <c r="FE54" t="s">
        <v>2628</v>
      </c>
    </row>
    <row r="55" spans="85:162" x14ac:dyDescent="0.3">
      <c r="CI55" t="s">
        <v>2550</v>
      </c>
      <c r="CJ55" t="s">
        <v>2550</v>
      </c>
      <c r="CK55" t="s">
        <v>2550</v>
      </c>
      <c r="CL55" t="s">
        <v>2550</v>
      </c>
      <c r="CM55" t="s">
        <v>2550</v>
      </c>
      <c r="CN55" t="s">
        <v>2550</v>
      </c>
      <c r="CO55" t="s">
        <v>2550</v>
      </c>
      <c r="CP55" t="s">
        <v>2550</v>
      </c>
      <c r="CQ55" t="s">
        <v>2550</v>
      </c>
      <c r="CR55" t="s">
        <v>2550</v>
      </c>
      <c r="CS55" t="s">
        <v>2550</v>
      </c>
      <c r="CT55" t="s">
        <v>2550</v>
      </c>
      <c r="CU55" t="s">
        <v>2550</v>
      </c>
      <c r="CV55" t="s">
        <v>2550</v>
      </c>
      <c r="CW55" t="s">
        <v>2550</v>
      </c>
      <c r="CX55" t="s">
        <v>2550</v>
      </c>
      <c r="CY55" t="s">
        <v>2550</v>
      </c>
      <c r="CZ55" t="s">
        <v>2550</v>
      </c>
      <c r="DA55" t="s">
        <v>2550</v>
      </c>
      <c r="DB55" t="s">
        <v>2714</v>
      </c>
      <c r="DC55" t="s">
        <v>2714</v>
      </c>
      <c r="DD55" t="s">
        <v>2714</v>
      </c>
      <c r="DE55" t="s">
        <v>2714</v>
      </c>
      <c r="DF55" t="s">
        <v>2714</v>
      </c>
      <c r="DG55" t="s">
        <v>2714</v>
      </c>
      <c r="DH55" t="s">
        <v>2714</v>
      </c>
      <c r="DI55" t="s">
        <v>2714</v>
      </c>
      <c r="DJ55" t="s">
        <v>2714</v>
      </c>
      <c r="DK55" t="s">
        <v>2714</v>
      </c>
      <c r="DL55" t="s">
        <v>2714</v>
      </c>
      <c r="DM55" t="s">
        <v>2714</v>
      </c>
      <c r="DN55" t="s">
        <v>2714</v>
      </c>
      <c r="DO55" t="s">
        <v>2714</v>
      </c>
      <c r="DP55" t="s">
        <v>2581</v>
      </c>
      <c r="DQ55" t="s">
        <v>2714</v>
      </c>
      <c r="DR55" t="s">
        <v>2714</v>
      </c>
      <c r="DS55" t="s">
        <v>2714</v>
      </c>
      <c r="DT55" t="s">
        <v>2714</v>
      </c>
      <c r="DU55" t="s">
        <v>2714</v>
      </c>
      <c r="DV55" t="s">
        <v>2714</v>
      </c>
      <c r="DW55" t="s">
        <v>2714</v>
      </c>
      <c r="DX55" t="s">
        <v>2631</v>
      </c>
      <c r="DY55" t="s">
        <v>2631</v>
      </c>
      <c r="DZ55" t="s">
        <v>2631</v>
      </c>
      <c r="EA55" t="s">
        <v>2649</v>
      </c>
      <c r="EB55" t="s">
        <v>2649</v>
      </c>
      <c r="EC55" t="s">
        <v>2649</v>
      </c>
      <c r="ED55" t="s">
        <v>2649</v>
      </c>
      <c r="EE55" t="s">
        <v>2649</v>
      </c>
      <c r="EF55" t="s">
        <v>2649</v>
      </c>
      <c r="EG55" t="s">
        <v>2649</v>
      </c>
      <c r="EH55" t="s">
        <v>2649</v>
      </c>
      <c r="EI55" t="s">
        <v>2649</v>
      </c>
      <c r="EJ55" t="s">
        <v>2649</v>
      </c>
      <c r="EK55" t="s">
        <v>2649</v>
      </c>
      <c r="EL55" t="s">
        <v>2649</v>
      </c>
      <c r="FC55" t="s">
        <v>2628</v>
      </c>
      <c r="FD55" t="s">
        <v>2628</v>
      </c>
      <c r="FE55" t="s">
        <v>2628</v>
      </c>
    </row>
    <row r="56" spans="85:162" x14ac:dyDescent="0.3">
      <c r="CJ56" t="s">
        <v>2550</v>
      </c>
      <c r="CK56" t="s">
        <v>2550</v>
      </c>
      <c r="CL56" t="s">
        <v>2550</v>
      </c>
      <c r="CM56" t="s">
        <v>2550</v>
      </c>
      <c r="CN56" t="s">
        <v>2550</v>
      </c>
      <c r="CO56" t="s">
        <v>2550</v>
      </c>
      <c r="CP56" t="s">
        <v>2550</v>
      </c>
      <c r="CQ56" t="s">
        <v>2550</v>
      </c>
      <c r="CR56" t="s">
        <v>2550</v>
      </c>
      <c r="CS56" t="s">
        <v>2550</v>
      </c>
      <c r="CT56" t="s">
        <v>2550</v>
      </c>
      <c r="CU56" t="s">
        <v>2550</v>
      </c>
      <c r="CV56" t="s">
        <v>2550</v>
      </c>
      <c r="CW56" t="s">
        <v>2550</v>
      </c>
      <c r="CX56" t="s">
        <v>2550</v>
      </c>
      <c r="CY56" t="s">
        <v>2550</v>
      </c>
      <c r="CZ56" t="s">
        <v>2550</v>
      </c>
      <c r="DA56" t="s">
        <v>2550</v>
      </c>
      <c r="DB56" t="s">
        <v>2550</v>
      </c>
      <c r="DC56" t="s">
        <v>2550</v>
      </c>
      <c r="DD56" t="s">
        <v>2550</v>
      </c>
      <c r="DE56" t="s">
        <v>2550</v>
      </c>
      <c r="DF56" t="s">
        <v>2714</v>
      </c>
      <c r="DG56" t="s">
        <v>2714</v>
      </c>
      <c r="DH56" t="s">
        <v>2714</v>
      </c>
      <c r="DI56" t="s">
        <v>2714</v>
      </c>
      <c r="DJ56" t="s">
        <v>2714</v>
      </c>
      <c r="DK56" t="s">
        <v>2714</v>
      </c>
      <c r="DL56" t="s">
        <v>2714</v>
      </c>
      <c r="DM56" t="s">
        <v>2714</v>
      </c>
      <c r="DN56" t="s">
        <v>2714</v>
      </c>
      <c r="DO56" t="s">
        <v>2581</v>
      </c>
      <c r="DP56" t="s">
        <v>2581</v>
      </c>
      <c r="DQ56" t="s">
        <v>2714</v>
      </c>
      <c r="DR56" t="s">
        <v>2714</v>
      </c>
      <c r="DS56" t="s">
        <v>2714</v>
      </c>
      <c r="DT56" t="s">
        <v>2714</v>
      </c>
      <c r="DU56" t="s">
        <v>2714</v>
      </c>
      <c r="DV56" t="s">
        <v>2714</v>
      </c>
      <c r="DW56" t="s">
        <v>2714</v>
      </c>
      <c r="DX56" t="s">
        <v>2631</v>
      </c>
      <c r="DY56" t="s">
        <v>2631</v>
      </c>
      <c r="DZ56" t="s">
        <v>2631</v>
      </c>
      <c r="EA56" t="s">
        <v>2649</v>
      </c>
      <c r="EB56" t="s">
        <v>2649</v>
      </c>
      <c r="EC56" t="s">
        <v>2649</v>
      </c>
      <c r="ED56" t="s">
        <v>2649</v>
      </c>
      <c r="EE56" t="s">
        <v>2649</v>
      </c>
      <c r="EF56" t="s">
        <v>2649</v>
      </c>
      <c r="EG56" t="s">
        <v>2649</v>
      </c>
      <c r="EH56" t="s">
        <v>2649</v>
      </c>
      <c r="EI56" t="s">
        <v>2649</v>
      </c>
      <c r="EJ56" t="s">
        <v>2649</v>
      </c>
      <c r="EK56" t="s">
        <v>2649</v>
      </c>
      <c r="EL56" t="s">
        <v>2649</v>
      </c>
      <c r="FD56" t="s">
        <v>2628</v>
      </c>
    </row>
    <row r="57" spans="85:162" x14ac:dyDescent="0.3">
      <c r="CK57" t="s">
        <v>2550</v>
      </c>
      <c r="CL57" t="s">
        <v>2550</v>
      </c>
      <c r="CM57" t="s">
        <v>2550</v>
      </c>
      <c r="CN57" t="s">
        <v>2550</v>
      </c>
      <c r="CO57" t="s">
        <v>2550</v>
      </c>
      <c r="CP57" t="s">
        <v>2550</v>
      </c>
      <c r="CQ57" t="s">
        <v>2550</v>
      </c>
      <c r="CR57" t="s">
        <v>2550</v>
      </c>
      <c r="CS57" t="s">
        <v>2550</v>
      </c>
      <c r="CT57" t="s">
        <v>2550</v>
      </c>
      <c r="CU57" t="s">
        <v>2550</v>
      </c>
      <c r="CV57" t="s">
        <v>2550</v>
      </c>
      <c r="CW57" t="s">
        <v>2550</v>
      </c>
      <c r="CX57" t="s">
        <v>2550</v>
      </c>
      <c r="CY57" t="s">
        <v>2550</v>
      </c>
      <c r="CZ57" t="s">
        <v>2550</v>
      </c>
      <c r="DA57" t="s">
        <v>2550</v>
      </c>
      <c r="DB57" t="s">
        <v>2550</v>
      </c>
      <c r="DC57" t="s">
        <v>2550</v>
      </c>
      <c r="DD57" t="s">
        <v>2550</v>
      </c>
      <c r="DE57" t="s">
        <v>2550</v>
      </c>
      <c r="DF57" t="s">
        <v>2714</v>
      </c>
      <c r="DG57" t="s">
        <v>2714</v>
      </c>
      <c r="DH57" t="s">
        <v>2714</v>
      </c>
      <c r="DI57" t="s">
        <v>2714</v>
      </c>
      <c r="DJ57" t="s">
        <v>2714</v>
      </c>
      <c r="DK57" t="s">
        <v>2714</v>
      </c>
      <c r="DL57" t="s">
        <v>2714</v>
      </c>
      <c r="DM57" t="s">
        <v>2714</v>
      </c>
      <c r="DN57" t="s">
        <v>2581</v>
      </c>
      <c r="DO57" t="s">
        <v>2581</v>
      </c>
      <c r="DP57" t="s">
        <v>2714</v>
      </c>
      <c r="DQ57" t="s">
        <v>2714</v>
      </c>
      <c r="DR57" t="s">
        <v>2714</v>
      </c>
      <c r="DS57" t="s">
        <v>2714</v>
      </c>
      <c r="DT57" t="s">
        <v>2714</v>
      </c>
      <c r="DU57" t="s">
        <v>2714</v>
      </c>
      <c r="DV57" t="s">
        <v>2714</v>
      </c>
      <c r="DW57" t="s">
        <v>2714</v>
      </c>
      <c r="DX57" t="s">
        <v>2714</v>
      </c>
      <c r="DY57" t="s">
        <v>2631</v>
      </c>
      <c r="DZ57" t="s">
        <v>2631</v>
      </c>
      <c r="EA57" t="s">
        <v>2649</v>
      </c>
      <c r="EB57" t="s">
        <v>2649</v>
      </c>
      <c r="EC57" t="s">
        <v>2649</v>
      </c>
      <c r="ED57" t="s">
        <v>2649</v>
      </c>
      <c r="EE57" t="s">
        <v>2649</v>
      </c>
      <c r="EF57" t="s">
        <v>2649</v>
      </c>
      <c r="EG57" t="s">
        <v>2649</v>
      </c>
      <c r="EH57" t="s">
        <v>2649</v>
      </c>
      <c r="EI57" t="s">
        <v>2649</v>
      </c>
      <c r="EJ57" t="s">
        <v>2649</v>
      </c>
      <c r="EK57" t="s">
        <v>2649</v>
      </c>
      <c r="EL57" t="s">
        <v>2649</v>
      </c>
      <c r="ER57" t="s">
        <v>2575</v>
      </c>
      <c r="ES57" t="s">
        <v>2575</v>
      </c>
      <c r="ET57" t="s">
        <v>2575</v>
      </c>
      <c r="FD57" t="s">
        <v>2628</v>
      </c>
    </row>
    <row r="58" spans="85:162" x14ac:dyDescent="0.3">
      <c r="CK58" t="s">
        <v>2550</v>
      </c>
      <c r="CL58" t="s">
        <v>2550</v>
      </c>
      <c r="CM58" t="s">
        <v>2550</v>
      </c>
      <c r="CN58" t="s">
        <v>2550</v>
      </c>
      <c r="CO58" t="s">
        <v>2550</v>
      </c>
      <c r="CP58" t="s">
        <v>2550</v>
      </c>
      <c r="CQ58" t="s">
        <v>2550</v>
      </c>
      <c r="CR58" t="s">
        <v>2550</v>
      </c>
      <c r="CS58" t="s">
        <v>2550</v>
      </c>
      <c r="CT58" t="s">
        <v>2550</v>
      </c>
      <c r="CU58" t="s">
        <v>2550</v>
      </c>
      <c r="CV58" t="s">
        <v>2550</v>
      </c>
      <c r="CW58" t="s">
        <v>2550</v>
      </c>
      <c r="CX58" t="s">
        <v>2550</v>
      </c>
      <c r="CY58" t="s">
        <v>2550</v>
      </c>
      <c r="CZ58" t="s">
        <v>2550</v>
      </c>
      <c r="DA58" t="s">
        <v>2550</v>
      </c>
      <c r="DB58" t="s">
        <v>2550</v>
      </c>
      <c r="DC58" t="s">
        <v>2550</v>
      </c>
      <c r="DD58" t="s">
        <v>2550</v>
      </c>
      <c r="DE58" t="s">
        <v>2550</v>
      </c>
      <c r="DF58" t="s">
        <v>2714</v>
      </c>
      <c r="DG58" t="s">
        <v>2714</v>
      </c>
      <c r="DH58" t="s">
        <v>2714</v>
      </c>
      <c r="DI58" t="s">
        <v>2581</v>
      </c>
      <c r="DJ58" t="s">
        <v>2581</v>
      </c>
      <c r="DK58" t="s">
        <v>2581</v>
      </c>
      <c r="DL58" t="s">
        <v>2581</v>
      </c>
      <c r="DM58" t="s">
        <v>2581</v>
      </c>
      <c r="DN58" t="s">
        <v>2581</v>
      </c>
      <c r="DO58" t="s">
        <v>2714</v>
      </c>
      <c r="DP58" t="s">
        <v>2714</v>
      </c>
      <c r="DQ58" t="s">
        <v>2714</v>
      </c>
      <c r="DR58" t="s">
        <v>2714</v>
      </c>
      <c r="DS58" t="s">
        <v>2714</v>
      </c>
      <c r="DT58" t="s">
        <v>2714</v>
      </c>
      <c r="DU58" t="s">
        <v>2714</v>
      </c>
      <c r="DV58" t="s">
        <v>2714</v>
      </c>
      <c r="DW58" t="s">
        <v>2714</v>
      </c>
      <c r="DX58" t="s">
        <v>2631</v>
      </c>
      <c r="DY58" t="s">
        <v>2631</v>
      </c>
      <c r="DZ58" t="s">
        <v>2631</v>
      </c>
      <c r="EA58" t="s">
        <v>2649</v>
      </c>
      <c r="EB58" t="s">
        <v>2649</v>
      </c>
      <c r="EC58" t="s">
        <v>2649</v>
      </c>
      <c r="ED58" t="s">
        <v>2649</v>
      </c>
      <c r="EE58" t="s">
        <v>2649</v>
      </c>
      <c r="EF58" t="s">
        <v>2649</v>
      </c>
      <c r="EG58" t="s">
        <v>2649</v>
      </c>
      <c r="EH58" t="s">
        <v>2649</v>
      </c>
      <c r="EI58" t="s">
        <v>2649</v>
      </c>
      <c r="EJ58" t="s">
        <v>2649</v>
      </c>
      <c r="EK58" t="s">
        <v>2649</v>
      </c>
      <c r="EL58" t="s">
        <v>2649</v>
      </c>
      <c r="ER58" t="s">
        <v>2575</v>
      </c>
      <c r="ES58" t="s">
        <v>2575</v>
      </c>
      <c r="ET58" t="s">
        <v>2575</v>
      </c>
    </row>
    <row r="59" spans="85:162" x14ac:dyDescent="0.3">
      <c r="CK59" t="s">
        <v>2550</v>
      </c>
      <c r="CL59" t="s">
        <v>2550</v>
      </c>
      <c r="CM59" t="s">
        <v>2550</v>
      </c>
      <c r="CN59" t="s">
        <v>2550</v>
      </c>
      <c r="CO59" t="s">
        <v>2550</v>
      </c>
      <c r="CP59" t="s">
        <v>2550</v>
      </c>
      <c r="CQ59" t="s">
        <v>2550</v>
      </c>
      <c r="CR59" t="s">
        <v>2550</v>
      </c>
      <c r="CS59" t="s">
        <v>2550</v>
      </c>
      <c r="CT59" t="s">
        <v>2550</v>
      </c>
      <c r="CU59" t="s">
        <v>2550</v>
      </c>
      <c r="CV59" t="s">
        <v>2550</v>
      </c>
      <c r="CW59" t="s">
        <v>2550</v>
      </c>
      <c r="CX59" t="s">
        <v>2550</v>
      </c>
      <c r="CY59" t="s">
        <v>2550</v>
      </c>
      <c r="CZ59" t="s">
        <v>2550</v>
      </c>
      <c r="DA59" t="s">
        <v>2550</v>
      </c>
      <c r="DB59" t="s">
        <v>2550</v>
      </c>
      <c r="DC59" t="s">
        <v>2550</v>
      </c>
      <c r="DD59" t="s">
        <v>2550</v>
      </c>
      <c r="DE59" t="s">
        <v>2550</v>
      </c>
      <c r="DF59" t="s">
        <v>2714</v>
      </c>
      <c r="DG59" t="s">
        <v>2714</v>
      </c>
      <c r="DH59" t="s">
        <v>2581</v>
      </c>
      <c r="DI59" t="s">
        <v>2581</v>
      </c>
      <c r="DJ59" t="s">
        <v>2581</v>
      </c>
      <c r="DK59" t="s">
        <v>2581</v>
      </c>
      <c r="DL59" t="s">
        <v>2581</v>
      </c>
      <c r="DM59" t="s">
        <v>2581</v>
      </c>
      <c r="DN59" t="s">
        <v>2581</v>
      </c>
      <c r="DO59" t="s">
        <v>2714</v>
      </c>
      <c r="DP59" t="s">
        <v>2714</v>
      </c>
      <c r="DQ59" t="s">
        <v>2714</v>
      </c>
      <c r="DR59" t="s">
        <v>2714</v>
      </c>
      <c r="DS59" t="s">
        <v>2714</v>
      </c>
      <c r="DT59" t="s">
        <v>2714</v>
      </c>
      <c r="DU59" t="s">
        <v>2714</v>
      </c>
      <c r="DV59" t="s">
        <v>2714</v>
      </c>
      <c r="DW59" t="s">
        <v>2714</v>
      </c>
      <c r="DX59" t="s">
        <v>2631</v>
      </c>
      <c r="DY59" t="s">
        <v>2631</v>
      </c>
      <c r="DZ59" t="s">
        <v>2631</v>
      </c>
      <c r="EA59" t="s">
        <v>2700</v>
      </c>
      <c r="EB59" t="s">
        <v>2700</v>
      </c>
      <c r="EC59" t="s">
        <v>2700</v>
      </c>
      <c r="ED59" t="s">
        <v>2700</v>
      </c>
      <c r="EE59" t="s">
        <v>2700</v>
      </c>
      <c r="EF59" t="s">
        <v>2700</v>
      </c>
      <c r="EG59" t="s">
        <v>2700</v>
      </c>
      <c r="EH59" t="s">
        <v>2700</v>
      </c>
      <c r="EI59" t="s">
        <v>2649</v>
      </c>
      <c r="EJ59" t="s">
        <v>2649</v>
      </c>
      <c r="EK59" t="s">
        <v>2649</v>
      </c>
      <c r="EL59" t="s">
        <v>2649</v>
      </c>
    </row>
    <row r="60" spans="85:162" x14ac:dyDescent="0.3">
      <c r="CK60" t="s">
        <v>2550</v>
      </c>
      <c r="CL60" t="s">
        <v>2550</v>
      </c>
      <c r="CM60" t="s">
        <v>2550</v>
      </c>
      <c r="CN60" t="s">
        <v>2550</v>
      </c>
      <c r="CO60" t="s">
        <v>2550</v>
      </c>
      <c r="CP60" t="s">
        <v>2550</v>
      </c>
      <c r="CQ60" t="s">
        <v>2550</v>
      </c>
      <c r="CR60" t="s">
        <v>2550</v>
      </c>
      <c r="CS60" t="s">
        <v>2550</v>
      </c>
      <c r="CT60" t="s">
        <v>2550</v>
      </c>
      <c r="CU60" t="s">
        <v>2550</v>
      </c>
      <c r="CV60" t="s">
        <v>2550</v>
      </c>
      <c r="CW60" t="s">
        <v>2550</v>
      </c>
      <c r="CX60" t="s">
        <v>2550</v>
      </c>
      <c r="CY60" t="s">
        <v>2550</v>
      </c>
      <c r="CZ60" t="s">
        <v>2550</v>
      </c>
      <c r="DA60" t="s">
        <v>2550</v>
      </c>
      <c r="DB60" t="s">
        <v>2581</v>
      </c>
      <c r="DC60" t="s">
        <v>2581</v>
      </c>
      <c r="DD60" t="s">
        <v>2581</v>
      </c>
      <c r="DE60" t="s">
        <v>2581</v>
      </c>
      <c r="DF60" t="s">
        <v>2581</v>
      </c>
      <c r="DG60" t="s">
        <v>2581</v>
      </c>
      <c r="DH60" t="s">
        <v>2581</v>
      </c>
      <c r="DI60" t="s">
        <v>2581</v>
      </c>
      <c r="DJ60" t="s">
        <v>2581</v>
      </c>
      <c r="DK60" t="s">
        <v>2581</v>
      </c>
      <c r="DL60" t="s">
        <v>2581</v>
      </c>
      <c r="DM60" t="s">
        <v>2581</v>
      </c>
      <c r="DN60" t="s">
        <v>2581</v>
      </c>
      <c r="DO60" t="s">
        <v>2714</v>
      </c>
      <c r="DP60" t="s">
        <v>2714</v>
      </c>
      <c r="DQ60" t="s">
        <v>2714</v>
      </c>
      <c r="DR60" t="s">
        <v>2714</v>
      </c>
      <c r="DS60" t="s">
        <v>2714</v>
      </c>
      <c r="DT60" t="s">
        <v>2714</v>
      </c>
      <c r="DU60" t="s">
        <v>2714</v>
      </c>
      <c r="DV60" t="s">
        <v>2714</v>
      </c>
      <c r="DW60" t="s">
        <v>2714</v>
      </c>
      <c r="DX60" t="s">
        <v>2714</v>
      </c>
      <c r="DY60" t="s">
        <v>2631</v>
      </c>
      <c r="DZ60" t="s">
        <v>2631</v>
      </c>
      <c r="EA60" t="s">
        <v>2700</v>
      </c>
      <c r="EB60" t="s">
        <v>2700</v>
      </c>
      <c r="EC60" t="s">
        <v>2700</v>
      </c>
      <c r="ED60" t="s">
        <v>2700</v>
      </c>
      <c r="EE60" t="s">
        <v>2700</v>
      </c>
      <c r="EF60" t="s">
        <v>2700</v>
      </c>
      <c r="EG60" t="s">
        <v>2700</v>
      </c>
      <c r="EH60" t="s">
        <v>2700</v>
      </c>
      <c r="EI60" t="s">
        <v>2700</v>
      </c>
      <c r="EJ60" t="s">
        <v>2700</v>
      </c>
      <c r="EK60" t="s">
        <v>2649</v>
      </c>
      <c r="EL60" t="s">
        <v>2649</v>
      </c>
    </row>
    <row r="61" spans="85:162" x14ac:dyDescent="0.3">
      <c r="CK61" t="s">
        <v>2550</v>
      </c>
      <c r="CL61" t="s">
        <v>2550</v>
      </c>
      <c r="CM61" t="s">
        <v>2550</v>
      </c>
      <c r="CN61" t="s">
        <v>2550</v>
      </c>
      <c r="CO61" t="s">
        <v>2550</v>
      </c>
      <c r="CP61" t="s">
        <v>2550</v>
      </c>
      <c r="CQ61" t="s">
        <v>2550</v>
      </c>
      <c r="CR61" t="s">
        <v>2550</v>
      </c>
      <c r="CS61" t="s">
        <v>2550</v>
      </c>
      <c r="CT61" t="s">
        <v>2550</v>
      </c>
      <c r="CU61" t="s">
        <v>2550</v>
      </c>
      <c r="CV61" t="s">
        <v>2550</v>
      </c>
      <c r="CW61" t="s">
        <v>2550</v>
      </c>
      <c r="CX61" t="s">
        <v>2550</v>
      </c>
      <c r="CY61" t="s">
        <v>2550</v>
      </c>
      <c r="CZ61" t="s">
        <v>2550</v>
      </c>
      <c r="DA61" t="s">
        <v>2550</v>
      </c>
      <c r="DB61" t="s">
        <v>2581</v>
      </c>
      <c r="DC61" t="s">
        <v>2581</v>
      </c>
      <c r="DD61" t="s">
        <v>2581</v>
      </c>
      <c r="DE61" t="s">
        <v>2581</v>
      </c>
      <c r="DF61" t="s">
        <v>2581</v>
      </c>
      <c r="DG61" t="s">
        <v>2581</v>
      </c>
      <c r="DH61" t="s">
        <v>2581</v>
      </c>
      <c r="DI61" t="s">
        <v>2581</v>
      </c>
      <c r="DJ61" t="s">
        <v>2581</v>
      </c>
      <c r="DK61" t="s">
        <v>2581</v>
      </c>
      <c r="DL61" t="s">
        <v>2581</v>
      </c>
      <c r="DM61" t="s">
        <v>2581</v>
      </c>
      <c r="DN61" t="s">
        <v>2581</v>
      </c>
      <c r="DO61" t="s">
        <v>2714</v>
      </c>
      <c r="DP61" t="s">
        <v>2714</v>
      </c>
      <c r="DQ61" t="s">
        <v>2714</v>
      </c>
      <c r="DR61" t="s">
        <v>2714</v>
      </c>
      <c r="DS61" t="s">
        <v>2714</v>
      </c>
      <c r="DT61" t="s">
        <v>2714</v>
      </c>
      <c r="DU61" t="s">
        <v>2714</v>
      </c>
      <c r="DV61" t="s">
        <v>2714</v>
      </c>
      <c r="DW61" t="s">
        <v>2714</v>
      </c>
      <c r="DX61" t="s">
        <v>2714</v>
      </c>
      <c r="DY61" t="s">
        <v>2631</v>
      </c>
      <c r="DZ61" t="s">
        <v>2631</v>
      </c>
      <c r="EA61" t="s">
        <v>2700</v>
      </c>
      <c r="EB61" t="s">
        <v>2700</v>
      </c>
      <c r="EC61" t="s">
        <v>2700</v>
      </c>
      <c r="ED61" t="s">
        <v>2700</v>
      </c>
      <c r="EE61" t="s">
        <v>2700</v>
      </c>
      <c r="EF61" t="s">
        <v>2700</v>
      </c>
      <c r="EG61" t="s">
        <v>2700</v>
      </c>
      <c r="EH61" t="s">
        <v>2700</v>
      </c>
      <c r="EI61" t="s">
        <v>2700</v>
      </c>
      <c r="EJ61" t="s">
        <v>2700</v>
      </c>
      <c r="EK61" t="s">
        <v>2700</v>
      </c>
    </row>
    <row r="62" spans="85:162" x14ac:dyDescent="0.3">
      <c r="CJ62" t="s">
        <v>2550</v>
      </c>
      <c r="CK62" t="s">
        <v>2550</v>
      </c>
      <c r="CL62" t="s">
        <v>2550</v>
      </c>
      <c r="CM62" t="s">
        <v>2550</v>
      </c>
      <c r="CN62" t="s">
        <v>2550</v>
      </c>
      <c r="CO62" t="s">
        <v>2550</v>
      </c>
      <c r="CP62" t="s">
        <v>2550</v>
      </c>
      <c r="CQ62" t="s">
        <v>2550</v>
      </c>
      <c r="CR62" t="s">
        <v>2550</v>
      </c>
      <c r="CS62" t="s">
        <v>2550</v>
      </c>
      <c r="CT62" t="s">
        <v>2550</v>
      </c>
      <c r="CU62" t="s">
        <v>2550</v>
      </c>
      <c r="CV62" t="s">
        <v>2550</v>
      </c>
      <c r="CW62" t="s">
        <v>2550</v>
      </c>
      <c r="CX62" t="s">
        <v>2550</v>
      </c>
      <c r="CY62" t="s">
        <v>2550</v>
      </c>
      <c r="CZ62" t="s">
        <v>2550</v>
      </c>
      <c r="DA62" t="s">
        <v>2550</v>
      </c>
      <c r="DB62" t="s">
        <v>2581</v>
      </c>
      <c r="DC62" t="s">
        <v>2581</v>
      </c>
      <c r="DD62" t="s">
        <v>2581</v>
      </c>
      <c r="DE62" t="s">
        <v>2581</v>
      </c>
      <c r="DF62" t="s">
        <v>2581</v>
      </c>
      <c r="DG62" t="s">
        <v>2581</v>
      </c>
      <c r="DH62" t="s">
        <v>2581</v>
      </c>
      <c r="DI62" t="s">
        <v>2581</v>
      </c>
      <c r="DJ62" t="s">
        <v>2581</v>
      </c>
      <c r="DK62" t="s">
        <v>2581</v>
      </c>
      <c r="DL62" t="s">
        <v>2581</v>
      </c>
      <c r="DM62" t="s">
        <v>2581</v>
      </c>
      <c r="DN62" t="s">
        <v>2581</v>
      </c>
      <c r="DO62" t="s">
        <v>2714</v>
      </c>
      <c r="DP62" t="s">
        <v>2714</v>
      </c>
      <c r="DQ62" t="s">
        <v>2714</v>
      </c>
      <c r="DR62" t="s">
        <v>2714</v>
      </c>
      <c r="DS62" t="s">
        <v>2714</v>
      </c>
      <c r="DT62" t="s">
        <v>2714</v>
      </c>
      <c r="DU62" t="s">
        <v>2714</v>
      </c>
      <c r="DV62" t="s">
        <v>2714</v>
      </c>
      <c r="DW62" t="s">
        <v>2714</v>
      </c>
      <c r="DX62" t="s">
        <v>2714</v>
      </c>
      <c r="DY62" t="s">
        <v>2631</v>
      </c>
      <c r="DZ62" t="s">
        <v>2700</v>
      </c>
      <c r="EA62" t="s">
        <v>2700</v>
      </c>
      <c r="EB62" t="s">
        <v>2700</v>
      </c>
      <c r="EC62" t="s">
        <v>2700</v>
      </c>
      <c r="ED62" t="s">
        <v>2700</v>
      </c>
      <c r="EE62" t="s">
        <v>2700</v>
      </c>
      <c r="EF62" t="s">
        <v>2700</v>
      </c>
      <c r="EG62" t="s">
        <v>2700</v>
      </c>
      <c r="EH62" t="s">
        <v>2700</v>
      </c>
      <c r="EI62" t="s">
        <v>2700</v>
      </c>
      <c r="EJ62" t="s">
        <v>2700</v>
      </c>
      <c r="EK62" t="s">
        <v>2700</v>
      </c>
    </row>
    <row r="63" spans="85:162" x14ac:dyDescent="0.3">
      <c r="CJ63" t="s">
        <v>2550</v>
      </c>
      <c r="CK63" t="s">
        <v>2550</v>
      </c>
      <c r="CL63" t="s">
        <v>2550</v>
      </c>
      <c r="CM63" t="s">
        <v>2550</v>
      </c>
      <c r="CN63" t="s">
        <v>2550</v>
      </c>
      <c r="CO63" t="s">
        <v>2550</v>
      </c>
      <c r="CP63" t="s">
        <v>2550</v>
      </c>
      <c r="CQ63" t="s">
        <v>2550</v>
      </c>
      <c r="CR63" t="s">
        <v>2550</v>
      </c>
      <c r="CS63" t="s">
        <v>2550</v>
      </c>
      <c r="CT63" t="s">
        <v>2550</v>
      </c>
      <c r="CU63" t="s">
        <v>2550</v>
      </c>
      <c r="CV63" t="s">
        <v>2550</v>
      </c>
      <c r="CW63" t="s">
        <v>2550</v>
      </c>
      <c r="CX63" t="s">
        <v>2550</v>
      </c>
      <c r="CY63" t="s">
        <v>2550</v>
      </c>
      <c r="CZ63" t="s">
        <v>2550</v>
      </c>
      <c r="DA63" t="s">
        <v>2550</v>
      </c>
      <c r="DB63" t="s">
        <v>2581</v>
      </c>
      <c r="DC63" t="s">
        <v>2581</v>
      </c>
      <c r="DD63" t="s">
        <v>2581</v>
      </c>
      <c r="DE63" t="s">
        <v>2581</v>
      </c>
      <c r="DF63" t="s">
        <v>2581</v>
      </c>
      <c r="DG63" t="s">
        <v>2581</v>
      </c>
      <c r="DH63" t="s">
        <v>2581</v>
      </c>
      <c r="DI63" t="s">
        <v>2581</v>
      </c>
      <c r="DJ63" t="s">
        <v>2581</v>
      </c>
      <c r="DK63" t="s">
        <v>2581</v>
      </c>
      <c r="DL63" t="s">
        <v>2581</v>
      </c>
      <c r="DM63" t="s">
        <v>2581</v>
      </c>
      <c r="DN63" t="s">
        <v>2581</v>
      </c>
      <c r="DO63" t="s">
        <v>2714</v>
      </c>
      <c r="DP63" t="s">
        <v>2714</v>
      </c>
      <c r="DQ63" t="s">
        <v>2714</v>
      </c>
      <c r="DR63" t="s">
        <v>2714</v>
      </c>
      <c r="DS63" t="s">
        <v>2714</v>
      </c>
      <c r="DT63" t="s">
        <v>2714</v>
      </c>
      <c r="DU63" t="s">
        <v>2714</v>
      </c>
      <c r="DV63" t="s">
        <v>2714</v>
      </c>
      <c r="DW63" t="s">
        <v>2714</v>
      </c>
      <c r="DX63" t="s">
        <v>2700</v>
      </c>
      <c r="DY63" t="s">
        <v>2700</v>
      </c>
      <c r="DZ63" t="s">
        <v>2700</v>
      </c>
      <c r="EA63" t="s">
        <v>2700</v>
      </c>
      <c r="EB63" t="s">
        <v>2700</v>
      </c>
      <c r="EC63" t="s">
        <v>2700</v>
      </c>
      <c r="ED63" t="s">
        <v>2700</v>
      </c>
      <c r="EE63" t="s">
        <v>2700</v>
      </c>
      <c r="EF63" t="s">
        <v>2700</v>
      </c>
      <c r="EG63" t="s">
        <v>2700</v>
      </c>
      <c r="EH63" t="s">
        <v>2700</v>
      </c>
      <c r="EI63" t="s">
        <v>2700</v>
      </c>
      <c r="EJ63" t="s">
        <v>2700</v>
      </c>
    </row>
    <row r="64" spans="85:162" x14ac:dyDescent="0.3">
      <c r="CJ64" t="s">
        <v>2550</v>
      </c>
      <c r="CK64" t="s">
        <v>2550</v>
      </c>
      <c r="CL64" t="s">
        <v>2550</v>
      </c>
      <c r="CM64" t="s">
        <v>2550</v>
      </c>
      <c r="CN64" t="s">
        <v>2550</v>
      </c>
      <c r="CO64" t="s">
        <v>2550</v>
      </c>
      <c r="CP64" t="s">
        <v>2550</v>
      </c>
      <c r="CQ64" t="s">
        <v>2550</v>
      </c>
      <c r="CR64" t="s">
        <v>2550</v>
      </c>
      <c r="CS64" t="s">
        <v>2550</v>
      </c>
      <c r="CT64" t="s">
        <v>2550</v>
      </c>
      <c r="CU64" t="s">
        <v>2550</v>
      </c>
      <c r="CV64" t="s">
        <v>2550</v>
      </c>
      <c r="CW64" t="s">
        <v>2550</v>
      </c>
      <c r="CX64" t="s">
        <v>2550</v>
      </c>
      <c r="CY64" t="s">
        <v>2550</v>
      </c>
      <c r="CZ64" t="s">
        <v>2550</v>
      </c>
      <c r="DA64" t="s">
        <v>2550</v>
      </c>
      <c r="DB64" t="s">
        <v>2581</v>
      </c>
      <c r="DC64" t="s">
        <v>2581</v>
      </c>
      <c r="DD64" t="s">
        <v>2581</v>
      </c>
      <c r="DE64" t="s">
        <v>2581</v>
      </c>
      <c r="DF64" t="s">
        <v>2581</v>
      </c>
      <c r="DG64" t="s">
        <v>2581</v>
      </c>
      <c r="DH64" t="s">
        <v>2581</v>
      </c>
      <c r="DI64" t="s">
        <v>2581</v>
      </c>
      <c r="DJ64" t="s">
        <v>2581</v>
      </c>
      <c r="DK64" t="s">
        <v>2581</v>
      </c>
      <c r="DL64" t="s">
        <v>2581</v>
      </c>
      <c r="DM64" t="s">
        <v>2581</v>
      </c>
      <c r="DN64" t="s">
        <v>2581</v>
      </c>
      <c r="DO64" t="s">
        <v>2714</v>
      </c>
      <c r="DP64" t="s">
        <v>2714</v>
      </c>
      <c r="DQ64" t="s">
        <v>2714</v>
      </c>
      <c r="DR64" t="s">
        <v>2714</v>
      </c>
      <c r="DS64" t="s">
        <v>2714</v>
      </c>
      <c r="DT64" t="s">
        <v>2714</v>
      </c>
      <c r="DU64" t="s">
        <v>2700</v>
      </c>
      <c r="DV64" t="s">
        <v>2700</v>
      </c>
      <c r="DW64" t="s">
        <v>2700</v>
      </c>
      <c r="DX64" t="s">
        <v>2700</v>
      </c>
      <c r="DY64" t="s">
        <v>2700</v>
      </c>
      <c r="DZ64" t="s">
        <v>2700</v>
      </c>
      <c r="EA64" t="s">
        <v>2700</v>
      </c>
      <c r="EB64" t="s">
        <v>2700</v>
      </c>
      <c r="EC64" t="s">
        <v>2700</v>
      </c>
      <c r="ED64" t="s">
        <v>2700</v>
      </c>
      <c r="EE64" t="s">
        <v>2700</v>
      </c>
      <c r="EF64" t="s">
        <v>2700</v>
      </c>
      <c r="EG64" t="s">
        <v>2700</v>
      </c>
      <c r="EH64" t="s">
        <v>2700</v>
      </c>
      <c r="EI64" t="s">
        <v>2700</v>
      </c>
      <c r="EJ64" t="s">
        <v>2700</v>
      </c>
    </row>
    <row r="65" spans="80:281" x14ac:dyDescent="0.3">
      <c r="CJ65" t="s">
        <v>2550</v>
      </c>
      <c r="CK65" t="s">
        <v>2550</v>
      </c>
      <c r="CL65" t="s">
        <v>2550</v>
      </c>
      <c r="CM65" t="s">
        <v>2550</v>
      </c>
      <c r="CN65" t="s">
        <v>2550</v>
      </c>
      <c r="CO65" t="s">
        <v>2550</v>
      </c>
      <c r="CP65" t="s">
        <v>2550</v>
      </c>
      <c r="CQ65" t="s">
        <v>2550</v>
      </c>
      <c r="CR65" t="s">
        <v>2550</v>
      </c>
      <c r="CS65" t="s">
        <v>2550</v>
      </c>
      <c r="CT65" t="s">
        <v>2550</v>
      </c>
      <c r="CU65" t="s">
        <v>2550</v>
      </c>
      <c r="CV65" t="s">
        <v>2550</v>
      </c>
      <c r="CW65" t="s">
        <v>2550</v>
      </c>
      <c r="CX65" t="s">
        <v>2550</v>
      </c>
      <c r="CY65" t="s">
        <v>2550</v>
      </c>
      <c r="CZ65" t="s">
        <v>2550</v>
      </c>
      <c r="DA65" t="s">
        <v>2550</v>
      </c>
      <c r="DB65" t="s">
        <v>2581</v>
      </c>
      <c r="DC65" t="s">
        <v>2581</v>
      </c>
      <c r="DD65" t="s">
        <v>2581</v>
      </c>
      <c r="DE65" t="s">
        <v>2581</v>
      </c>
      <c r="DF65" t="s">
        <v>2581</v>
      </c>
      <c r="DG65" t="s">
        <v>2581</v>
      </c>
      <c r="DH65" t="s">
        <v>2581</v>
      </c>
      <c r="DI65" t="s">
        <v>2581</v>
      </c>
      <c r="DJ65" t="s">
        <v>2581</v>
      </c>
      <c r="DK65" t="s">
        <v>2581</v>
      </c>
      <c r="DL65" t="s">
        <v>2581</v>
      </c>
      <c r="DM65" t="s">
        <v>2581</v>
      </c>
      <c r="DN65" t="s">
        <v>2581</v>
      </c>
      <c r="DO65" t="s">
        <v>2581</v>
      </c>
      <c r="DP65" t="s">
        <v>2581</v>
      </c>
      <c r="DQ65" t="s">
        <v>2581</v>
      </c>
      <c r="DR65" t="s">
        <v>2581</v>
      </c>
      <c r="DS65" t="s">
        <v>2700</v>
      </c>
      <c r="DT65" t="s">
        <v>2700</v>
      </c>
      <c r="DU65" t="s">
        <v>2700</v>
      </c>
      <c r="DV65" t="s">
        <v>2700</v>
      </c>
      <c r="DW65" t="s">
        <v>2700</v>
      </c>
      <c r="DX65" t="s">
        <v>2700</v>
      </c>
      <c r="DY65" t="s">
        <v>2700</v>
      </c>
      <c r="DZ65" t="s">
        <v>2700</v>
      </c>
      <c r="EA65" t="s">
        <v>2700</v>
      </c>
      <c r="EB65" t="s">
        <v>2700</v>
      </c>
      <c r="EC65" t="s">
        <v>2700</v>
      </c>
      <c r="ED65" t="s">
        <v>2700</v>
      </c>
      <c r="EE65" t="s">
        <v>2700</v>
      </c>
      <c r="EF65" t="s">
        <v>2700</v>
      </c>
      <c r="EG65" t="s">
        <v>2700</v>
      </c>
      <c r="EH65" t="s">
        <v>2700</v>
      </c>
      <c r="EI65" t="s">
        <v>2700</v>
      </c>
    </row>
    <row r="66" spans="80:281" x14ac:dyDescent="0.3">
      <c r="CJ66" t="s">
        <v>2550</v>
      </c>
      <c r="CK66" t="s">
        <v>2550</v>
      </c>
      <c r="CL66" t="s">
        <v>2550</v>
      </c>
      <c r="CM66" t="s">
        <v>2550</v>
      </c>
      <c r="CN66" t="s">
        <v>2550</v>
      </c>
      <c r="CO66" t="s">
        <v>2550</v>
      </c>
      <c r="CP66" t="s">
        <v>2550</v>
      </c>
      <c r="CQ66" t="s">
        <v>2550</v>
      </c>
      <c r="CR66" t="s">
        <v>2581</v>
      </c>
      <c r="CS66" t="s">
        <v>2581</v>
      </c>
      <c r="CT66" t="s">
        <v>2581</v>
      </c>
      <c r="CU66" t="s">
        <v>2581</v>
      </c>
      <c r="CV66" t="s">
        <v>2550</v>
      </c>
      <c r="CW66" t="s">
        <v>2550</v>
      </c>
      <c r="CX66" t="s">
        <v>2550</v>
      </c>
      <c r="CY66" t="s">
        <v>2550</v>
      </c>
      <c r="CZ66" t="s">
        <v>2550</v>
      </c>
      <c r="DA66" t="s">
        <v>2581</v>
      </c>
      <c r="DB66" t="s">
        <v>2581</v>
      </c>
      <c r="DC66" t="s">
        <v>2581</v>
      </c>
      <c r="DD66" t="s">
        <v>2581</v>
      </c>
      <c r="DE66" t="s">
        <v>2581</v>
      </c>
      <c r="DF66" t="s">
        <v>2581</v>
      </c>
      <c r="DG66" t="s">
        <v>2581</v>
      </c>
      <c r="DH66" t="s">
        <v>2581</v>
      </c>
      <c r="DI66" t="s">
        <v>2581</v>
      </c>
      <c r="DJ66" t="s">
        <v>2581</v>
      </c>
      <c r="DK66" t="s">
        <v>2581</v>
      </c>
      <c r="DL66" t="s">
        <v>2581</v>
      </c>
      <c r="DM66" t="s">
        <v>2581</v>
      </c>
      <c r="DN66" t="s">
        <v>2581</v>
      </c>
      <c r="DO66" t="s">
        <v>2581</v>
      </c>
      <c r="DP66" t="s">
        <v>2581</v>
      </c>
      <c r="DQ66" t="s">
        <v>2581</v>
      </c>
      <c r="DR66" t="s">
        <v>2581</v>
      </c>
      <c r="DS66" t="s">
        <v>2700</v>
      </c>
      <c r="DT66" t="s">
        <v>2700</v>
      </c>
      <c r="DU66" t="s">
        <v>2700</v>
      </c>
      <c r="DV66" t="s">
        <v>2700</v>
      </c>
      <c r="DW66" t="s">
        <v>2700</v>
      </c>
      <c r="DX66" t="s">
        <v>2700</v>
      </c>
      <c r="DY66" t="s">
        <v>2700</v>
      </c>
      <c r="DZ66" t="s">
        <v>2700</v>
      </c>
      <c r="EA66" t="s">
        <v>2700</v>
      </c>
      <c r="EB66" t="s">
        <v>2700</v>
      </c>
      <c r="EC66" t="s">
        <v>2700</v>
      </c>
      <c r="ED66" t="s">
        <v>2700</v>
      </c>
      <c r="EE66" t="s">
        <v>2700</v>
      </c>
      <c r="EF66" t="s">
        <v>2700</v>
      </c>
      <c r="EG66" t="s">
        <v>2700</v>
      </c>
      <c r="EH66" t="s">
        <v>2700</v>
      </c>
      <c r="EI66" t="s">
        <v>2700</v>
      </c>
      <c r="JR66" t="s">
        <v>4320</v>
      </c>
      <c r="JU66" t="s">
        <v>4320</v>
      </c>
    </row>
    <row r="67" spans="80:281" x14ac:dyDescent="0.3">
      <c r="CJ67" t="s">
        <v>2550</v>
      </c>
      <c r="CK67" t="s">
        <v>2550</v>
      </c>
      <c r="CL67" t="s">
        <v>2550</v>
      </c>
      <c r="CM67" t="s">
        <v>2550</v>
      </c>
      <c r="CN67" t="s">
        <v>2550</v>
      </c>
      <c r="CO67" t="s">
        <v>2550</v>
      </c>
      <c r="CP67" t="s">
        <v>2550</v>
      </c>
      <c r="CQ67" t="s">
        <v>2550</v>
      </c>
      <c r="CR67" t="s">
        <v>2581</v>
      </c>
      <c r="CS67" t="s">
        <v>2581</v>
      </c>
      <c r="CT67" t="s">
        <v>2581</v>
      </c>
      <c r="CU67" t="s">
        <v>2581</v>
      </c>
      <c r="CV67" t="s">
        <v>2581</v>
      </c>
      <c r="CW67" t="s">
        <v>2550</v>
      </c>
      <c r="CX67" t="s">
        <v>2550</v>
      </c>
      <c r="CY67" t="s">
        <v>2581</v>
      </c>
      <c r="CZ67" t="s">
        <v>2581</v>
      </c>
      <c r="DA67" t="s">
        <v>2581</v>
      </c>
      <c r="DB67" t="s">
        <v>2581</v>
      </c>
      <c r="DC67" t="s">
        <v>2581</v>
      </c>
      <c r="DD67" t="s">
        <v>2581</v>
      </c>
      <c r="DE67" t="s">
        <v>2581</v>
      </c>
      <c r="DF67" t="s">
        <v>2581</v>
      </c>
      <c r="DG67" t="s">
        <v>2581</v>
      </c>
      <c r="DH67" t="s">
        <v>2581</v>
      </c>
      <c r="DI67" t="s">
        <v>2581</v>
      </c>
      <c r="DJ67" t="s">
        <v>2581</v>
      </c>
      <c r="DK67" t="s">
        <v>2581</v>
      </c>
      <c r="DL67" t="s">
        <v>2581</v>
      </c>
      <c r="DM67" t="s">
        <v>2581</v>
      </c>
      <c r="DN67" t="s">
        <v>2581</v>
      </c>
      <c r="DO67" t="s">
        <v>2581</v>
      </c>
      <c r="DP67" t="s">
        <v>2581</v>
      </c>
      <c r="DQ67" t="s">
        <v>2581</v>
      </c>
      <c r="DR67" t="s">
        <v>2581</v>
      </c>
      <c r="DS67" t="s">
        <v>2700</v>
      </c>
      <c r="DT67" t="s">
        <v>2700</v>
      </c>
      <c r="DU67" t="s">
        <v>2700</v>
      </c>
      <c r="DV67" t="s">
        <v>2700</v>
      </c>
      <c r="DW67" t="s">
        <v>2700</v>
      </c>
      <c r="DX67" t="s">
        <v>2700</v>
      </c>
      <c r="DY67" t="s">
        <v>2700</v>
      </c>
      <c r="DZ67" t="s">
        <v>2700</v>
      </c>
      <c r="EA67" t="s">
        <v>2700</v>
      </c>
      <c r="EB67" t="s">
        <v>2700</v>
      </c>
      <c r="EC67" t="s">
        <v>2700</v>
      </c>
      <c r="ED67" t="s">
        <v>2700</v>
      </c>
      <c r="EE67" t="s">
        <v>2700</v>
      </c>
      <c r="EF67" t="s">
        <v>2700</v>
      </c>
      <c r="EG67" t="s">
        <v>2700</v>
      </c>
      <c r="EH67" t="s">
        <v>2700</v>
      </c>
      <c r="EI67" t="s">
        <v>2700</v>
      </c>
      <c r="EJ67" t="s">
        <v>2700</v>
      </c>
      <c r="JO67" t="s">
        <v>4320</v>
      </c>
      <c r="JP67" t="s">
        <v>4320</v>
      </c>
      <c r="JQ67" t="s">
        <v>4320</v>
      </c>
      <c r="JR67" t="s">
        <v>4320</v>
      </c>
      <c r="JS67" t="s">
        <v>4320</v>
      </c>
      <c r="JT67" t="s">
        <v>4320</v>
      </c>
      <c r="JU67" t="s">
        <v>4320</v>
      </c>
    </row>
    <row r="68" spans="80:281" x14ac:dyDescent="0.3">
      <c r="CI68" t="s">
        <v>2550</v>
      </c>
      <c r="CJ68" t="s">
        <v>2550</v>
      </c>
      <c r="CK68" t="s">
        <v>2550</v>
      </c>
      <c r="CL68" t="s">
        <v>2550</v>
      </c>
      <c r="CM68" t="s">
        <v>2550</v>
      </c>
      <c r="CN68" t="s">
        <v>2550</v>
      </c>
      <c r="CO68" t="s">
        <v>2550</v>
      </c>
      <c r="CP68" t="s">
        <v>2550</v>
      </c>
      <c r="CQ68" t="s">
        <v>2581</v>
      </c>
      <c r="CR68" t="s">
        <v>2581</v>
      </c>
      <c r="CS68" t="s">
        <v>2581</v>
      </c>
      <c r="CT68" t="s">
        <v>2581</v>
      </c>
      <c r="CU68" t="s">
        <v>2581</v>
      </c>
      <c r="CV68" t="s">
        <v>2581</v>
      </c>
      <c r="CW68" t="s">
        <v>2581</v>
      </c>
      <c r="CX68" t="s">
        <v>2581</v>
      </c>
      <c r="CY68" t="s">
        <v>2581</v>
      </c>
      <c r="CZ68" t="s">
        <v>2581</v>
      </c>
      <c r="DA68" t="s">
        <v>2581</v>
      </c>
      <c r="DB68" t="s">
        <v>2581</v>
      </c>
      <c r="DC68" t="s">
        <v>2581</v>
      </c>
      <c r="DD68" t="s">
        <v>2581</v>
      </c>
      <c r="DE68" t="s">
        <v>2581</v>
      </c>
      <c r="DF68" t="s">
        <v>2581</v>
      </c>
      <c r="DG68" t="s">
        <v>2581</v>
      </c>
      <c r="DH68" t="s">
        <v>2581</v>
      </c>
      <c r="DI68" t="s">
        <v>2581</v>
      </c>
      <c r="DJ68" t="s">
        <v>2581</v>
      </c>
      <c r="DK68" t="s">
        <v>2581</v>
      </c>
      <c r="DL68" t="s">
        <v>2581</v>
      </c>
      <c r="DM68" t="s">
        <v>2581</v>
      </c>
      <c r="DN68" t="s">
        <v>2581</v>
      </c>
      <c r="DO68" t="s">
        <v>2581</v>
      </c>
      <c r="DP68" t="s">
        <v>2581</v>
      </c>
      <c r="DQ68" t="s">
        <v>2581</v>
      </c>
      <c r="DR68" t="s">
        <v>2700</v>
      </c>
      <c r="DS68" t="s">
        <v>2700</v>
      </c>
      <c r="DT68" t="s">
        <v>2700</v>
      </c>
      <c r="DU68" t="s">
        <v>2700</v>
      </c>
      <c r="DV68" t="s">
        <v>2700</v>
      </c>
      <c r="DW68" t="s">
        <v>2700</v>
      </c>
      <c r="DX68" t="s">
        <v>2700</v>
      </c>
      <c r="DY68" t="s">
        <v>2700</v>
      </c>
      <c r="DZ68" t="s">
        <v>2700</v>
      </c>
      <c r="EA68" t="s">
        <v>2700</v>
      </c>
      <c r="EB68" t="s">
        <v>2700</v>
      </c>
      <c r="EC68" t="s">
        <v>2700</v>
      </c>
      <c r="ED68" t="s">
        <v>2700</v>
      </c>
      <c r="EE68" t="s">
        <v>2700</v>
      </c>
      <c r="EF68" t="s">
        <v>2700</v>
      </c>
      <c r="EG68" t="s">
        <v>2700</v>
      </c>
      <c r="EH68" t="s">
        <v>2700</v>
      </c>
      <c r="EI68" t="s">
        <v>2700</v>
      </c>
      <c r="EJ68" t="s">
        <v>2700</v>
      </c>
      <c r="JM68" t="s">
        <v>4320</v>
      </c>
      <c r="JN68" t="s">
        <v>4320</v>
      </c>
      <c r="JO68" t="s">
        <v>4320</v>
      </c>
      <c r="JP68" t="s">
        <v>4320</v>
      </c>
      <c r="JQ68" t="s">
        <v>4320</v>
      </c>
      <c r="JR68" t="s">
        <v>4320</v>
      </c>
    </row>
    <row r="69" spans="80:281" x14ac:dyDescent="0.3">
      <c r="CH69" t="s">
        <v>2550</v>
      </c>
      <c r="CI69" t="s">
        <v>2550</v>
      </c>
      <c r="CJ69" t="s">
        <v>2550</v>
      </c>
      <c r="CK69" t="s">
        <v>2550</v>
      </c>
      <c r="CL69" t="s">
        <v>2550</v>
      </c>
      <c r="CM69" t="s">
        <v>2550</v>
      </c>
      <c r="CN69" t="s">
        <v>2550</v>
      </c>
      <c r="CO69" t="s">
        <v>2550</v>
      </c>
      <c r="CP69" t="s">
        <v>2550</v>
      </c>
      <c r="CQ69" t="s">
        <v>2581</v>
      </c>
      <c r="CR69" t="s">
        <v>2581</v>
      </c>
      <c r="CS69" t="s">
        <v>2581</v>
      </c>
      <c r="CT69" t="s">
        <v>2581</v>
      </c>
      <c r="CU69" t="s">
        <v>2581</v>
      </c>
      <c r="CV69" t="s">
        <v>2581</v>
      </c>
      <c r="CW69" t="s">
        <v>2581</v>
      </c>
      <c r="CX69" t="s">
        <v>2581</v>
      </c>
      <c r="CY69" t="s">
        <v>2581</v>
      </c>
      <c r="CZ69" t="s">
        <v>2581</v>
      </c>
      <c r="DA69" t="s">
        <v>2581</v>
      </c>
      <c r="DB69" t="s">
        <v>2581</v>
      </c>
      <c r="DC69" t="s">
        <v>2581</v>
      </c>
      <c r="DD69" t="s">
        <v>2581</v>
      </c>
      <c r="DE69" t="s">
        <v>2581</v>
      </c>
      <c r="DF69" t="s">
        <v>2581</v>
      </c>
      <c r="DG69" t="s">
        <v>2581</v>
      </c>
      <c r="DH69" t="s">
        <v>2581</v>
      </c>
      <c r="DI69" t="s">
        <v>2581</v>
      </c>
      <c r="DJ69" t="s">
        <v>2581</v>
      </c>
      <c r="DK69" t="s">
        <v>2581</v>
      </c>
      <c r="DL69" t="s">
        <v>2581</v>
      </c>
      <c r="DM69" t="s">
        <v>2581</v>
      </c>
      <c r="DN69" t="s">
        <v>2581</v>
      </c>
      <c r="DO69" t="s">
        <v>2581</v>
      </c>
      <c r="DP69" t="s">
        <v>2581</v>
      </c>
      <c r="DQ69" t="s">
        <v>2700</v>
      </c>
      <c r="DR69" t="s">
        <v>2700</v>
      </c>
      <c r="DS69" t="s">
        <v>2700</v>
      </c>
      <c r="DT69" t="s">
        <v>2700</v>
      </c>
      <c r="DU69" t="s">
        <v>2700</v>
      </c>
      <c r="DV69" t="s">
        <v>2700</v>
      </c>
      <c r="DW69" t="s">
        <v>2700</v>
      </c>
      <c r="DX69" t="s">
        <v>2700</v>
      </c>
      <c r="DY69" t="s">
        <v>2700</v>
      </c>
      <c r="DZ69" t="s">
        <v>2700</v>
      </c>
      <c r="EA69" t="s">
        <v>2700</v>
      </c>
      <c r="EB69" t="s">
        <v>2700</v>
      </c>
      <c r="EC69" t="s">
        <v>2700</v>
      </c>
      <c r="ED69" t="s">
        <v>2700</v>
      </c>
      <c r="EE69" t="s">
        <v>2700</v>
      </c>
      <c r="EF69" t="s">
        <v>2700</v>
      </c>
      <c r="EG69" t="s">
        <v>2700</v>
      </c>
      <c r="EH69" t="s">
        <v>2700</v>
      </c>
      <c r="EI69" t="s">
        <v>2700</v>
      </c>
      <c r="JN69" t="s">
        <v>4320</v>
      </c>
      <c r="JO69" t="s">
        <v>4320</v>
      </c>
      <c r="JP69" t="s">
        <v>4320</v>
      </c>
      <c r="JQ69" t="s">
        <v>4320</v>
      </c>
    </row>
    <row r="70" spans="80:281" x14ac:dyDescent="0.3">
      <c r="CH70" t="s">
        <v>2550</v>
      </c>
      <c r="CI70" t="s">
        <v>2581</v>
      </c>
      <c r="CJ70" t="s">
        <v>2581</v>
      </c>
      <c r="CK70" t="s">
        <v>2581</v>
      </c>
      <c r="CL70" t="s">
        <v>2581</v>
      </c>
      <c r="CM70" t="s">
        <v>2581</v>
      </c>
      <c r="CN70" t="s">
        <v>2581</v>
      </c>
      <c r="CO70" t="s">
        <v>2581</v>
      </c>
      <c r="CP70" t="s">
        <v>2581</v>
      </c>
      <c r="CQ70" t="s">
        <v>2581</v>
      </c>
      <c r="CR70" t="s">
        <v>2581</v>
      </c>
      <c r="CS70" t="s">
        <v>2581</v>
      </c>
      <c r="CT70" t="s">
        <v>2581</v>
      </c>
      <c r="CU70" t="s">
        <v>2581</v>
      </c>
      <c r="CV70" t="s">
        <v>2581</v>
      </c>
      <c r="CW70" t="s">
        <v>2581</v>
      </c>
      <c r="CX70" t="s">
        <v>2581</v>
      </c>
      <c r="CY70" t="s">
        <v>2581</v>
      </c>
      <c r="CZ70" t="s">
        <v>2581</v>
      </c>
      <c r="DA70" t="s">
        <v>2581</v>
      </c>
      <c r="DB70" t="s">
        <v>2581</v>
      </c>
      <c r="DC70" t="s">
        <v>2581</v>
      </c>
      <c r="DD70" t="s">
        <v>2581</v>
      </c>
      <c r="DE70" t="s">
        <v>2581</v>
      </c>
      <c r="DF70" t="s">
        <v>2581</v>
      </c>
      <c r="DG70" t="s">
        <v>2581</v>
      </c>
      <c r="DH70" t="s">
        <v>2581</v>
      </c>
      <c r="DI70" t="s">
        <v>2581</v>
      </c>
      <c r="DJ70" t="s">
        <v>2581</v>
      </c>
      <c r="DK70" t="s">
        <v>2581</v>
      </c>
      <c r="DL70" t="s">
        <v>2581</v>
      </c>
      <c r="DM70" t="s">
        <v>2581</v>
      </c>
      <c r="DN70" t="s">
        <v>2581</v>
      </c>
      <c r="DO70" t="s">
        <v>2581</v>
      </c>
      <c r="DP70" t="s">
        <v>2581</v>
      </c>
      <c r="DQ70" t="s">
        <v>2700</v>
      </c>
      <c r="DR70" t="s">
        <v>2700</v>
      </c>
      <c r="DS70" t="s">
        <v>2700</v>
      </c>
      <c r="DT70" t="s">
        <v>2700</v>
      </c>
      <c r="DU70" t="s">
        <v>2700</v>
      </c>
      <c r="DV70" t="s">
        <v>2700</v>
      </c>
      <c r="DW70" t="s">
        <v>2700</v>
      </c>
      <c r="DX70" t="s">
        <v>2700</v>
      </c>
      <c r="DY70" t="s">
        <v>2700</v>
      </c>
      <c r="DZ70" t="s">
        <v>2700</v>
      </c>
      <c r="EA70" t="s">
        <v>2700</v>
      </c>
      <c r="EB70" t="s">
        <v>2700</v>
      </c>
      <c r="EC70" t="s">
        <v>2700</v>
      </c>
      <c r="ED70" t="s">
        <v>2700</v>
      </c>
      <c r="EE70" t="s">
        <v>2700</v>
      </c>
      <c r="EF70" t="s">
        <v>2700</v>
      </c>
      <c r="EG70" t="s">
        <v>2700</v>
      </c>
      <c r="EH70" t="s">
        <v>2700</v>
      </c>
      <c r="EI70" t="s">
        <v>2700</v>
      </c>
      <c r="JK70" t="s">
        <v>4320</v>
      </c>
      <c r="JL70" t="s">
        <v>4320</v>
      </c>
      <c r="JM70" t="s">
        <v>4320</v>
      </c>
    </row>
    <row r="71" spans="80:281" x14ac:dyDescent="0.3">
      <c r="CH71" t="s">
        <v>2550</v>
      </c>
      <c r="CI71" t="s">
        <v>2581</v>
      </c>
      <c r="CJ71" t="s">
        <v>2581</v>
      </c>
      <c r="CK71" t="s">
        <v>2581</v>
      </c>
      <c r="CL71" t="s">
        <v>2581</v>
      </c>
      <c r="CM71" t="s">
        <v>2581</v>
      </c>
      <c r="CN71" t="s">
        <v>2581</v>
      </c>
      <c r="CO71" t="s">
        <v>2581</v>
      </c>
      <c r="CP71" t="s">
        <v>2581</v>
      </c>
      <c r="CQ71" t="s">
        <v>2581</v>
      </c>
      <c r="CR71" t="s">
        <v>2581</v>
      </c>
      <c r="CS71" t="s">
        <v>2581</v>
      </c>
      <c r="CT71" t="s">
        <v>2581</v>
      </c>
      <c r="CU71" t="s">
        <v>2581</v>
      </c>
      <c r="CV71" t="s">
        <v>2581</v>
      </c>
      <c r="CW71" t="s">
        <v>2581</v>
      </c>
      <c r="CX71" t="s">
        <v>2581</v>
      </c>
      <c r="CY71" t="s">
        <v>2581</v>
      </c>
      <c r="CZ71" t="s">
        <v>2581</v>
      </c>
      <c r="DA71" t="s">
        <v>2581</v>
      </c>
      <c r="DB71" t="s">
        <v>2581</v>
      </c>
      <c r="DC71" t="s">
        <v>2581</v>
      </c>
      <c r="DD71" t="s">
        <v>2581</v>
      </c>
      <c r="DE71" t="s">
        <v>2581</v>
      </c>
      <c r="DF71" t="s">
        <v>2581</v>
      </c>
      <c r="DG71" t="s">
        <v>2581</v>
      </c>
      <c r="DH71" t="s">
        <v>2581</v>
      </c>
      <c r="DI71" t="s">
        <v>2581</v>
      </c>
      <c r="DJ71" t="s">
        <v>2581</v>
      </c>
      <c r="DK71" t="s">
        <v>2581</v>
      </c>
      <c r="DL71" t="s">
        <v>2581</v>
      </c>
      <c r="DM71" t="s">
        <v>2581</v>
      </c>
      <c r="DN71" t="s">
        <v>2581</v>
      </c>
      <c r="DO71" t="s">
        <v>2581</v>
      </c>
      <c r="DP71" t="s">
        <v>2581</v>
      </c>
      <c r="DQ71" t="s">
        <v>2700</v>
      </c>
      <c r="DR71" t="s">
        <v>2700</v>
      </c>
      <c r="DS71" t="s">
        <v>2700</v>
      </c>
      <c r="DT71" t="s">
        <v>2700</v>
      </c>
      <c r="DU71" t="s">
        <v>2700</v>
      </c>
      <c r="DV71" t="s">
        <v>2700</v>
      </c>
      <c r="DW71" t="s">
        <v>2700</v>
      </c>
      <c r="DX71" t="s">
        <v>2700</v>
      </c>
      <c r="DY71" t="s">
        <v>2700</v>
      </c>
      <c r="DZ71" t="s">
        <v>2700</v>
      </c>
      <c r="EA71" t="s">
        <v>2700</v>
      </c>
      <c r="EB71" t="s">
        <v>2700</v>
      </c>
      <c r="EC71" t="s">
        <v>2700</v>
      </c>
      <c r="ED71" t="s">
        <v>2700</v>
      </c>
      <c r="EE71" t="s">
        <v>2700</v>
      </c>
      <c r="EF71" t="s">
        <v>2700</v>
      </c>
      <c r="EG71" t="s">
        <v>2700</v>
      </c>
      <c r="EH71" t="s">
        <v>2700</v>
      </c>
      <c r="EI71" t="s">
        <v>2700</v>
      </c>
      <c r="JJ71" t="s">
        <v>4320</v>
      </c>
      <c r="JK71" t="s">
        <v>4320</v>
      </c>
      <c r="JL71" t="s">
        <v>4320</v>
      </c>
      <c r="JM71" t="s">
        <v>4320</v>
      </c>
    </row>
    <row r="72" spans="80:281" x14ac:dyDescent="0.3">
      <c r="CG72" t="s">
        <v>2662</v>
      </c>
      <c r="CH72" t="s">
        <v>2550</v>
      </c>
      <c r="CI72" t="s">
        <v>2550</v>
      </c>
      <c r="CJ72" t="s">
        <v>2662</v>
      </c>
      <c r="CK72" t="s">
        <v>2581</v>
      </c>
      <c r="CL72" t="s">
        <v>2662</v>
      </c>
      <c r="CM72" t="s">
        <v>2662</v>
      </c>
      <c r="CN72" t="s">
        <v>2581</v>
      </c>
      <c r="CO72" t="s">
        <v>2581</v>
      </c>
      <c r="CP72" t="s">
        <v>2581</v>
      </c>
      <c r="CQ72" t="s">
        <v>2581</v>
      </c>
      <c r="CR72" t="s">
        <v>2581</v>
      </c>
      <c r="CS72" t="s">
        <v>2581</v>
      </c>
      <c r="CT72" t="s">
        <v>2581</v>
      </c>
      <c r="CU72" t="s">
        <v>2581</v>
      </c>
      <c r="CV72" t="s">
        <v>2581</v>
      </c>
      <c r="CW72" t="s">
        <v>2581</v>
      </c>
      <c r="CX72" t="s">
        <v>2581</v>
      </c>
      <c r="CY72" t="s">
        <v>2581</v>
      </c>
      <c r="CZ72" t="s">
        <v>2581</v>
      </c>
      <c r="DA72" t="s">
        <v>2581</v>
      </c>
      <c r="DB72" t="s">
        <v>2581</v>
      </c>
      <c r="DC72" t="s">
        <v>2581</v>
      </c>
      <c r="DD72" t="s">
        <v>2581</v>
      </c>
      <c r="DE72" t="s">
        <v>2581</v>
      </c>
      <c r="DF72" t="s">
        <v>2581</v>
      </c>
      <c r="DG72" t="s">
        <v>2581</v>
      </c>
      <c r="DH72" t="s">
        <v>2581</v>
      </c>
      <c r="DI72" t="s">
        <v>2581</v>
      </c>
      <c r="DJ72" t="s">
        <v>2581</v>
      </c>
      <c r="DK72" t="s">
        <v>2581</v>
      </c>
      <c r="DL72" t="s">
        <v>2581</v>
      </c>
      <c r="DM72" t="s">
        <v>2581</v>
      </c>
      <c r="DN72" t="s">
        <v>2581</v>
      </c>
      <c r="DO72" t="s">
        <v>2581</v>
      </c>
      <c r="DP72" t="s">
        <v>2581</v>
      </c>
      <c r="DQ72" t="s">
        <v>2700</v>
      </c>
      <c r="DR72" t="s">
        <v>2700</v>
      </c>
      <c r="DS72" t="s">
        <v>2700</v>
      </c>
      <c r="DT72" t="s">
        <v>2700</v>
      </c>
      <c r="DU72" t="s">
        <v>2700</v>
      </c>
      <c r="DV72" t="s">
        <v>2700</v>
      </c>
      <c r="DW72" t="s">
        <v>2700</v>
      </c>
      <c r="DX72" t="s">
        <v>2700</v>
      </c>
      <c r="DY72" t="s">
        <v>2700</v>
      </c>
      <c r="DZ72" t="s">
        <v>2700</v>
      </c>
      <c r="EA72" t="s">
        <v>2700</v>
      </c>
      <c r="EB72" t="s">
        <v>2700</v>
      </c>
      <c r="EC72" t="s">
        <v>2700</v>
      </c>
      <c r="ED72" t="s">
        <v>2700</v>
      </c>
      <c r="EE72" t="s">
        <v>2700</v>
      </c>
      <c r="EF72" t="s">
        <v>2700</v>
      </c>
      <c r="EG72" t="s">
        <v>2700</v>
      </c>
      <c r="EH72" t="s">
        <v>2700</v>
      </c>
      <c r="EI72" t="s">
        <v>2700</v>
      </c>
      <c r="JI72" t="s">
        <v>4320</v>
      </c>
      <c r="JJ72" t="s">
        <v>4320</v>
      </c>
      <c r="JK72" t="s">
        <v>4320</v>
      </c>
      <c r="JL72" t="s">
        <v>4320</v>
      </c>
      <c r="JM72" t="s">
        <v>4320</v>
      </c>
    </row>
    <row r="73" spans="80:281" x14ac:dyDescent="0.3">
      <c r="CG73" t="s">
        <v>2662</v>
      </c>
      <c r="CH73" t="s">
        <v>2662</v>
      </c>
      <c r="CI73" t="s">
        <v>2662</v>
      </c>
      <c r="CJ73" t="s">
        <v>2662</v>
      </c>
      <c r="CK73" t="s">
        <v>2662</v>
      </c>
      <c r="CL73" t="s">
        <v>2662</v>
      </c>
      <c r="CM73" t="s">
        <v>2662</v>
      </c>
      <c r="CN73" t="s">
        <v>2662</v>
      </c>
      <c r="CO73" t="s">
        <v>2581</v>
      </c>
      <c r="CP73" t="s">
        <v>2581</v>
      </c>
      <c r="CQ73" t="s">
        <v>2581</v>
      </c>
      <c r="CR73" t="s">
        <v>2581</v>
      </c>
      <c r="CS73" t="s">
        <v>2581</v>
      </c>
      <c r="CT73" t="s">
        <v>2581</v>
      </c>
      <c r="CU73" t="s">
        <v>2581</v>
      </c>
      <c r="CV73" t="s">
        <v>2581</v>
      </c>
      <c r="CW73" t="s">
        <v>2581</v>
      </c>
      <c r="CX73" t="s">
        <v>2581</v>
      </c>
      <c r="CY73" t="s">
        <v>2581</v>
      </c>
      <c r="CZ73" t="s">
        <v>2581</v>
      </c>
      <c r="DA73" t="s">
        <v>2581</v>
      </c>
      <c r="DB73" t="s">
        <v>2581</v>
      </c>
      <c r="DC73" t="s">
        <v>2581</v>
      </c>
      <c r="DD73" t="s">
        <v>2581</v>
      </c>
      <c r="DE73" t="s">
        <v>2581</v>
      </c>
      <c r="DF73" t="s">
        <v>2581</v>
      </c>
      <c r="DG73" t="s">
        <v>2581</v>
      </c>
      <c r="DH73" t="s">
        <v>2581</v>
      </c>
      <c r="DI73" t="s">
        <v>2581</v>
      </c>
      <c r="DJ73" t="s">
        <v>2581</v>
      </c>
      <c r="DK73" t="s">
        <v>2581</v>
      </c>
      <c r="DL73" t="s">
        <v>2581</v>
      </c>
      <c r="DM73" t="s">
        <v>2581</v>
      </c>
      <c r="DN73" t="s">
        <v>2581</v>
      </c>
      <c r="DO73" t="s">
        <v>2581</v>
      </c>
      <c r="DP73" t="s">
        <v>2581</v>
      </c>
      <c r="DQ73" t="s">
        <v>2560</v>
      </c>
      <c r="DR73" t="s">
        <v>2700</v>
      </c>
      <c r="DS73" t="s">
        <v>2700</v>
      </c>
      <c r="DT73" t="s">
        <v>2700</v>
      </c>
      <c r="DU73" t="s">
        <v>2700</v>
      </c>
      <c r="DV73" t="s">
        <v>2700</v>
      </c>
      <c r="DW73" t="s">
        <v>2700</v>
      </c>
      <c r="DX73" t="s">
        <v>2700</v>
      </c>
      <c r="DY73" t="s">
        <v>2700</v>
      </c>
      <c r="DZ73" t="s">
        <v>2700</v>
      </c>
      <c r="EA73" t="s">
        <v>2700</v>
      </c>
      <c r="EB73" t="s">
        <v>2700</v>
      </c>
      <c r="EC73" t="s">
        <v>2700</v>
      </c>
      <c r="ED73" t="s">
        <v>2700</v>
      </c>
      <c r="EE73" t="s">
        <v>2700</v>
      </c>
      <c r="EF73" t="s">
        <v>2700</v>
      </c>
      <c r="EG73" t="s">
        <v>2700</v>
      </c>
      <c r="EH73" t="s">
        <v>2700</v>
      </c>
      <c r="EI73" t="s">
        <v>2616</v>
      </c>
      <c r="EJ73" t="s">
        <v>2616</v>
      </c>
      <c r="JG73" t="s">
        <v>4320</v>
      </c>
      <c r="JH73" t="s">
        <v>4320</v>
      </c>
      <c r="JI73" t="s">
        <v>4320</v>
      </c>
      <c r="JJ73" t="s">
        <v>4320</v>
      </c>
      <c r="JK73" t="s">
        <v>4320</v>
      </c>
      <c r="JL73" t="s">
        <v>4320</v>
      </c>
      <c r="JM73" t="s">
        <v>4320</v>
      </c>
    </row>
    <row r="74" spans="80:281" x14ac:dyDescent="0.3">
      <c r="CF74" t="s">
        <v>2602</v>
      </c>
      <c r="CG74" t="s">
        <v>2662</v>
      </c>
      <c r="CH74" t="s">
        <v>2662</v>
      </c>
      <c r="CI74" t="s">
        <v>2662</v>
      </c>
      <c r="CJ74" t="s">
        <v>2662</v>
      </c>
      <c r="CK74" t="s">
        <v>2662</v>
      </c>
      <c r="CL74" t="s">
        <v>2662</v>
      </c>
      <c r="CM74" t="s">
        <v>2662</v>
      </c>
      <c r="CN74" t="s">
        <v>2662</v>
      </c>
      <c r="CO74" t="s">
        <v>2662</v>
      </c>
      <c r="CP74" t="s">
        <v>2581</v>
      </c>
      <c r="CQ74" t="s">
        <v>2581</v>
      </c>
      <c r="CR74" t="s">
        <v>2581</v>
      </c>
      <c r="CS74" t="s">
        <v>2581</v>
      </c>
      <c r="CT74" t="s">
        <v>2581</v>
      </c>
      <c r="CU74" t="s">
        <v>2581</v>
      </c>
      <c r="CV74" t="s">
        <v>2581</v>
      </c>
      <c r="CW74" t="s">
        <v>2581</v>
      </c>
      <c r="CX74" t="s">
        <v>2581</v>
      </c>
      <c r="CY74" t="s">
        <v>2581</v>
      </c>
      <c r="CZ74" t="s">
        <v>2581</v>
      </c>
      <c r="DA74" t="s">
        <v>2581</v>
      </c>
      <c r="DB74" t="s">
        <v>2581</v>
      </c>
      <c r="DC74" t="s">
        <v>2581</v>
      </c>
      <c r="DD74" t="s">
        <v>2581</v>
      </c>
      <c r="DE74" t="s">
        <v>2581</v>
      </c>
      <c r="DF74" t="s">
        <v>2581</v>
      </c>
      <c r="DG74" t="s">
        <v>2581</v>
      </c>
      <c r="DH74" t="s">
        <v>2581</v>
      </c>
      <c r="DI74" t="s">
        <v>2581</v>
      </c>
      <c r="DJ74" t="s">
        <v>2581</v>
      </c>
      <c r="DK74" t="s">
        <v>2581</v>
      </c>
      <c r="DL74" t="s">
        <v>2581</v>
      </c>
      <c r="DM74" t="s">
        <v>2581</v>
      </c>
      <c r="DN74" t="s">
        <v>2581</v>
      </c>
      <c r="DO74" t="s">
        <v>2581</v>
      </c>
      <c r="DP74" t="s">
        <v>2581</v>
      </c>
      <c r="DQ74" t="s">
        <v>2560</v>
      </c>
      <c r="DR74" t="s">
        <v>2560</v>
      </c>
      <c r="DS74" t="s">
        <v>2700</v>
      </c>
      <c r="DT74" t="s">
        <v>2700</v>
      </c>
      <c r="DU74" t="s">
        <v>2700</v>
      </c>
      <c r="DV74" t="s">
        <v>2700</v>
      </c>
      <c r="DW74" t="s">
        <v>2700</v>
      </c>
      <c r="DX74" t="s">
        <v>2700</v>
      </c>
      <c r="DY74" t="s">
        <v>2700</v>
      </c>
      <c r="DZ74" t="s">
        <v>2700</v>
      </c>
      <c r="EA74" t="s">
        <v>2700</v>
      </c>
      <c r="EB74" t="s">
        <v>2700</v>
      </c>
      <c r="EC74" t="s">
        <v>2700</v>
      </c>
      <c r="ED74" t="s">
        <v>2700</v>
      </c>
      <c r="EE74" t="s">
        <v>2700</v>
      </c>
      <c r="EF74" t="s">
        <v>2700</v>
      </c>
      <c r="EG74" t="s">
        <v>2700</v>
      </c>
      <c r="EH74" t="s">
        <v>2616</v>
      </c>
      <c r="EI74" t="s">
        <v>2616</v>
      </c>
      <c r="EJ74" t="s">
        <v>2616</v>
      </c>
      <c r="EK74" t="s">
        <v>2616</v>
      </c>
      <c r="JG74" t="s">
        <v>4320</v>
      </c>
      <c r="JH74" t="s">
        <v>4320</v>
      </c>
      <c r="JI74" t="s">
        <v>4320</v>
      </c>
      <c r="JJ74" t="s">
        <v>4320</v>
      </c>
      <c r="JK74" t="s">
        <v>4320</v>
      </c>
      <c r="JL74" t="s">
        <v>4320</v>
      </c>
      <c r="JM74" t="s">
        <v>4320</v>
      </c>
    </row>
    <row r="75" spans="80:281" x14ac:dyDescent="0.3">
      <c r="CE75" t="s">
        <v>2602</v>
      </c>
      <c r="CF75" t="s">
        <v>2602</v>
      </c>
      <c r="CG75" t="s">
        <v>2602</v>
      </c>
      <c r="CH75" t="s">
        <v>2662</v>
      </c>
      <c r="CI75" t="s">
        <v>2662</v>
      </c>
      <c r="CJ75" t="s">
        <v>2662</v>
      </c>
      <c r="CK75" t="s">
        <v>2662</v>
      </c>
      <c r="CL75" t="s">
        <v>2662</v>
      </c>
      <c r="CM75" t="s">
        <v>2662</v>
      </c>
      <c r="CN75" t="s">
        <v>2662</v>
      </c>
      <c r="CO75" t="s">
        <v>2662</v>
      </c>
      <c r="CP75" t="s">
        <v>2581</v>
      </c>
      <c r="CQ75" t="s">
        <v>2581</v>
      </c>
      <c r="CR75" t="s">
        <v>2581</v>
      </c>
      <c r="CS75" t="s">
        <v>2581</v>
      </c>
      <c r="CT75" t="s">
        <v>2581</v>
      </c>
      <c r="CU75" t="s">
        <v>2581</v>
      </c>
      <c r="CV75" t="s">
        <v>2581</v>
      </c>
      <c r="CW75" t="s">
        <v>2581</v>
      </c>
      <c r="CX75" t="s">
        <v>2581</v>
      </c>
      <c r="CY75" t="s">
        <v>2581</v>
      </c>
      <c r="CZ75" t="s">
        <v>2581</v>
      </c>
      <c r="DA75" t="s">
        <v>2581</v>
      </c>
      <c r="DB75" t="s">
        <v>2581</v>
      </c>
      <c r="DC75" t="s">
        <v>2581</v>
      </c>
      <c r="DD75" t="s">
        <v>2581</v>
      </c>
      <c r="DE75" t="s">
        <v>2581</v>
      </c>
      <c r="DF75" t="s">
        <v>2581</v>
      </c>
      <c r="DG75" t="s">
        <v>2581</v>
      </c>
      <c r="DH75" t="s">
        <v>2581</v>
      </c>
      <c r="DI75" t="s">
        <v>2581</v>
      </c>
      <c r="DJ75" t="s">
        <v>2581</v>
      </c>
      <c r="DK75" t="s">
        <v>2581</v>
      </c>
      <c r="DL75" t="s">
        <v>2581</v>
      </c>
      <c r="DM75" t="s">
        <v>2581</v>
      </c>
      <c r="DN75" t="s">
        <v>2581</v>
      </c>
      <c r="DO75" t="s">
        <v>2581</v>
      </c>
      <c r="DP75" t="s">
        <v>2581</v>
      </c>
      <c r="DQ75" t="s">
        <v>2560</v>
      </c>
      <c r="DR75" t="s">
        <v>2560</v>
      </c>
      <c r="DS75" t="s">
        <v>2700</v>
      </c>
      <c r="DT75" t="s">
        <v>2700</v>
      </c>
      <c r="DU75" t="s">
        <v>2700</v>
      </c>
      <c r="DV75" t="s">
        <v>2700</v>
      </c>
      <c r="DW75" t="s">
        <v>2700</v>
      </c>
      <c r="DX75" t="s">
        <v>2700</v>
      </c>
      <c r="DY75" t="s">
        <v>2700</v>
      </c>
      <c r="DZ75" t="s">
        <v>2700</v>
      </c>
      <c r="EA75" t="s">
        <v>2700</v>
      </c>
      <c r="EB75" t="s">
        <v>2700</v>
      </c>
      <c r="EC75" t="s">
        <v>2700</v>
      </c>
      <c r="ED75" t="s">
        <v>2700</v>
      </c>
      <c r="EE75" t="s">
        <v>2700</v>
      </c>
      <c r="EF75" t="s">
        <v>2700</v>
      </c>
      <c r="EG75" t="s">
        <v>2616</v>
      </c>
      <c r="EH75" t="s">
        <v>2616</v>
      </c>
      <c r="EI75" t="s">
        <v>2616</v>
      </c>
      <c r="EJ75" t="s">
        <v>2616</v>
      </c>
      <c r="EK75" t="s">
        <v>2616</v>
      </c>
      <c r="JF75" t="s">
        <v>4320</v>
      </c>
      <c r="JG75" t="s">
        <v>4320</v>
      </c>
      <c r="JH75" t="s">
        <v>4320</v>
      </c>
      <c r="JI75" t="s">
        <v>4320</v>
      </c>
      <c r="JJ75" t="s">
        <v>4320</v>
      </c>
      <c r="JK75" t="s">
        <v>4320</v>
      </c>
      <c r="JL75" t="s">
        <v>4320</v>
      </c>
      <c r="JM75" t="s">
        <v>4320</v>
      </c>
    </row>
    <row r="76" spans="80:281" x14ac:dyDescent="0.3">
      <c r="CD76" t="s">
        <v>2602</v>
      </c>
      <c r="CE76" t="s">
        <v>2602</v>
      </c>
      <c r="CF76" t="s">
        <v>2602</v>
      </c>
      <c r="CG76" t="s">
        <v>2662</v>
      </c>
      <c r="CH76" t="s">
        <v>2662</v>
      </c>
      <c r="CI76" t="s">
        <v>2662</v>
      </c>
      <c r="CJ76" t="s">
        <v>2662</v>
      </c>
      <c r="CK76" t="s">
        <v>2662</v>
      </c>
      <c r="CL76" t="s">
        <v>2662</v>
      </c>
      <c r="CM76" t="s">
        <v>2662</v>
      </c>
      <c r="CN76" t="s">
        <v>2662</v>
      </c>
      <c r="CO76" t="s">
        <v>2662</v>
      </c>
      <c r="CP76" t="s">
        <v>2581</v>
      </c>
      <c r="CQ76" t="s">
        <v>2581</v>
      </c>
      <c r="CR76" t="s">
        <v>2581</v>
      </c>
      <c r="CS76" t="s">
        <v>2581</v>
      </c>
      <c r="CT76" t="s">
        <v>2581</v>
      </c>
      <c r="CU76" t="s">
        <v>2581</v>
      </c>
      <c r="CV76" t="s">
        <v>2581</v>
      </c>
      <c r="CW76" t="s">
        <v>2581</v>
      </c>
      <c r="CX76" t="s">
        <v>2581</v>
      </c>
      <c r="CY76" t="s">
        <v>2581</v>
      </c>
      <c r="CZ76" t="s">
        <v>2581</v>
      </c>
      <c r="DA76" t="s">
        <v>2581</v>
      </c>
      <c r="DB76" t="s">
        <v>2581</v>
      </c>
      <c r="DC76" t="s">
        <v>2581</v>
      </c>
      <c r="DD76" t="s">
        <v>2581</v>
      </c>
      <c r="DE76" t="s">
        <v>2581</v>
      </c>
      <c r="DF76" t="s">
        <v>2581</v>
      </c>
      <c r="DG76" t="s">
        <v>2581</v>
      </c>
      <c r="DH76" t="s">
        <v>2581</v>
      </c>
      <c r="DI76" t="s">
        <v>2581</v>
      </c>
      <c r="DJ76" t="s">
        <v>2581</v>
      </c>
      <c r="DK76" t="s">
        <v>2581</v>
      </c>
      <c r="DL76" t="s">
        <v>2581</v>
      </c>
      <c r="DM76" t="s">
        <v>2581</v>
      </c>
      <c r="DN76" t="s">
        <v>2581</v>
      </c>
      <c r="DO76" t="s">
        <v>2581</v>
      </c>
      <c r="DP76" t="s">
        <v>2665</v>
      </c>
      <c r="DQ76" t="s">
        <v>2560</v>
      </c>
      <c r="DR76" t="s">
        <v>2560</v>
      </c>
      <c r="DS76" t="s">
        <v>2700</v>
      </c>
      <c r="DT76" t="s">
        <v>2700</v>
      </c>
      <c r="DU76" t="s">
        <v>2700</v>
      </c>
      <c r="DV76" t="s">
        <v>2700</v>
      </c>
      <c r="DW76" t="s">
        <v>2700</v>
      </c>
      <c r="DX76" t="s">
        <v>2700</v>
      </c>
      <c r="DY76" t="s">
        <v>2700</v>
      </c>
      <c r="DZ76" t="s">
        <v>2700</v>
      </c>
      <c r="EA76" t="s">
        <v>2700</v>
      </c>
      <c r="EB76" t="s">
        <v>2700</v>
      </c>
      <c r="EC76" t="s">
        <v>2700</v>
      </c>
      <c r="ED76" t="s">
        <v>2700</v>
      </c>
      <c r="EE76" t="s">
        <v>2700</v>
      </c>
      <c r="EF76" t="s">
        <v>2616</v>
      </c>
      <c r="EG76" t="s">
        <v>2616</v>
      </c>
      <c r="EH76" t="s">
        <v>2616</v>
      </c>
      <c r="EI76" t="s">
        <v>2616</v>
      </c>
      <c r="EJ76" t="s">
        <v>2616</v>
      </c>
      <c r="EK76" t="s">
        <v>2616</v>
      </c>
      <c r="JE76" t="s">
        <v>4320</v>
      </c>
      <c r="JF76" t="s">
        <v>4320</v>
      </c>
      <c r="JG76" t="s">
        <v>4320</v>
      </c>
      <c r="JH76" t="s">
        <v>4320</v>
      </c>
      <c r="JI76" t="s">
        <v>4320</v>
      </c>
      <c r="JJ76" t="s">
        <v>4320</v>
      </c>
      <c r="JK76" t="s">
        <v>4320</v>
      </c>
      <c r="JL76" t="s">
        <v>4320</v>
      </c>
      <c r="JM76" t="s">
        <v>4320</v>
      </c>
    </row>
    <row r="77" spans="80:281" x14ac:dyDescent="0.3">
      <c r="CC77" t="s">
        <v>2602</v>
      </c>
      <c r="CD77" t="s">
        <v>2602</v>
      </c>
      <c r="CE77" t="s">
        <v>2602</v>
      </c>
      <c r="CF77" t="s">
        <v>2602</v>
      </c>
      <c r="CG77" t="s">
        <v>2602</v>
      </c>
      <c r="CH77" t="s">
        <v>2602</v>
      </c>
      <c r="CI77" t="s">
        <v>2662</v>
      </c>
      <c r="CJ77" t="s">
        <v>2602</v>
      </c>
      <c r="CK77" t="s">
        <v>2602</v>
      </c>
      <c r="CL77" t="s">
        <v>2662</v>
      </c>
      <c r="CM77" t="s">
        <v>2662</v>
      </c>
      <c r="CN77" t="s">
        <v>2662</v>
      </c>
      <c r="CO77" t="s">
        <v>2662</v>
      </c>
      <c r="CP77" t="s">
        <v>2581</v>
      </c>
      <c r="CQ77" t="s">
        <v>2581</v>
      </c>
      <c r="CR77" t="s">
        <v>2581</v>
      </c>
      <c r="CS77" t="s">
        <v>2581</v>
      </c>
      <c r="CT77" t="s">
        <v>2581</v>
      </c>
      <c r="CU77" t="s">
        <v>2581</v>
      </c>
      <c r="CV77" t="s">
        <v>2581</v>
      </c>
      <c r="CW77" t="s">
        <v>2581</v>
      </c>
      <c r="CX77" t="s">
        <v>2581</v>
      </c>
      <c r="CY77" t="s">
        <v>2581</v>
      </c>
      <c r="CZ77" t="s">
        <v>2581</v>
      </c>
      <c r="DA77" t="s">
        <v>2581</v>
      </c>
      <c r="DB77" t="s">
        <v>2581</v>
      </c>
      <c r="DC77" t="s">
        <v>2581</v>
      </c>
      <c r="DD77" t="s">
        <v>2581</v>
      </c>
      <c r="DE77" t="s">
        <v>2581</v>
      </c>
      <c r="DF77" t="s">
        <v>2581</v>
      </c>
      <c r="DG77" t="s">
        <v>2581</v>
      </c>
      <c r="DH77" t="s">
        <v>2581</v>
      </c>
      <c r="DI77" t="s">
        <v>2581</v>
      </c>
      <c r="DJ77" t="s">
        <v>2581</v>
      </c>
      <c r="DK77" t="s">
        <v>2581</v>
      </c>
      <c r="DL77" t="s">
        <v>2581</v>
      </c>
      <c r="DM77" t="s">
        <v>2581</v>
      </c>
      <c r="DN77" t="s">
        <v>2581</v>
      </c>
      <c r="DO77" t="s">
        <v>2581</v>
      </c>
      <c r="DP77" t="s">
        <v>2665</v>
      </c>
      <c r="DQ77" t="s">
        <v>2665</v>
      </c>
      <c r="DR77" t="s">
        <v>2665</v>
      </c>
      <c r="DS77" t="s">
        <v>2665</v>
      </c>
      <c r="DT77" t="s">
        <v>2700</v>
      </c>
      <c r="DU77" t="s">
        <v>2700</v>
      </c>
      <c r="DV77" t="s">
        <v>2700</v>
      </c>
      <c r="DW77" t="s">
        <v>2700</v>
      </c>
      <c r="DX77" t="s">
        <v>2700</v>
      </c>
      <c r="DY77" t="s">
        <v>2700</v>
      </c>
      <c r="DZ77" t="s">
        <v>2700</v>
      </c>
      <c r="EA77" t="s">
        <v>2700</v>
      </c>
      <c r="EB77" t="s">
        <v>2700</v>
      </c>
      <c r="EC77" t="s">
        <v>2700</v>
      </c>
      <c r="ED77" t="s">
        <v>2616</v>
      </c>
      <c r="EE77" t="s">
        <v>2616</v>
      </c>
      <c r="EF77" t="s">
        <v>2616</v>
      </c>
      <c r="EG77" t="s">
        <v>2616</v>
      </c>
      <c r="EH77" t="s">
        <v>2616</v>
      </c>
      <c r="EI77" t="s">
        <v>2616</v>
      </c>
      <c r="EJ77" t="s">
        <v>2616</v>
      </c>
      <c r="EK77" t="s">
        <v>2616</v>
      </c>
      <c r="EL77" t="s">
        <v>2616</v>
      </c>
      <c r="EM77" t="s">
        <v>2616</v>
      </c>
      <c r="JD77" t="s">
        <v>4320</v>
      </c>
      <c r="JE77" t="s">
        <v>4320</v>
      </c>
      <c r="JF77" t="s">
        <v>4320</v>
      </c>
      <c r="JG77" t="s">
        <v>4320</v>
      </c>
      <c r="JH77" t="s">
        <v>4320</v>
      </c>
      <c r="JI77" t="s">
        <v>4320</v>
      </c>
      <c r="JJ77" t="s">
        <v>4320</v>
      </c>
      <c r="JK77" t="s">
        <v>4320</v>
      </c>
    </row>
    <row r="78" spans="80:281" x14ac:dyDescent="0.3">
      <c r="CB78" t="s">
        <v>2602</v>
      </c>
      <c r="CC78" t="s">
        <v>2602</v>
      </c>
      <c r="CD78" t="s">
        <v>2602</v>
      </c>
      <c r="CE78" t="s">
        <v>2602</v>
      </c>
      <c r="CF78" t="s">
        <v>2602</v>
      </c>
      <c r="CG78" t="s">
        <v>2602</v>
      </c>
      <c r="CH78" t="s">
        <v>2602</v>
      </c>
      <c r="CI78" t="s">
        <v>2602</v>
      </c>
      <c r="CJ78" t="s">
        <v>2602</v>
      </c>
      <c r="CK78" t="s">
        <v>2602</v>
      </c>
      <c r="CL78" t="s">
        <v>2602</v>
      </c>
      <c r="CM78" t="s">
        <v>2662</v>
      </c>
      <c r="CN78" t="s">
        <v>2662</v>
      </c>
      <c r="CO78" t="s">
        <v>2662</v>
      </c>
      <c r="CP78" t="s">
        <v>2662</v>
      </c>
      <c r="CQ78" t="s">
        <v>2581</v>
      </c>
      <c r="CR78" t="s">
        <v>2581</v>
      </c>
      <c r="CS78" t="s">
        <v>2581</v>
      </c>
      <c r="CT78" t="s">
        <v>2581</v>
      </c>
      <c r="CU78" t="s">
        <v>2581</v>
      </c>
      <c r="CV78" t="s">
        <v>2581</v>
      </c>
      <c r="CW78" t="s">
        <v>2581</v>
      </c>
      <c r="CX78" t="s">
        <v>2581</v>
      </c>
      <c r="CY78" t="s">
        <v>2581</v>
      </c>
      <c r="CZ78" t="s">
        <v>2581</v>
      </c>
      <c r="DA78" t="s">
        <v>2581</v>
      </c>
      <c r="DB78" t="s">
        <v>2581</v>
      </c>
      <c r="DC78" t="s">
        <v>2581</v>
      </c>
      <c r="DD78" t="s">
        <v>2581</v>
      </c>
      <c r="DE78" t="s">
        <v>2581</v>
      </c>
      <c r="DF78" t="s">
        <v>2581</v>
      </c>
      <c r="DG78" t="s">
        <v>2581</v>
      </c>
      <c r="DH78" t="s">
        <v>2581</v>
      </c>
      <c r="DI78" t="s">
        <v>2581</v>
      </c>
      <c r="DJ78" t="s">
        <v>2581</v>
      </c>
      <c r="DK78" t="s">
        <v>2581</v>
      </c>
      <c r="DL78" t="s">
        <v>2581</v>
      </c>
      <c r="DM78" t="s">
        <v>2581</v>
      </c>
      <c r="DN78" t="s">
        <v>2581</v>
      </c>
      <c r="DO78" t="s">
        <v>2581</v>
      </c>
      <c r="DP78" t="s">
        <v>2581</v>
      </c>
      <c r="DQ78" t="s">
        <v>2665</v>
      </c>
      <c r="DR78" t="s">
        <v>2665</v>
      </c>
      <c r="DS78" t="s">
        <v>2665</v>
      </c>
      <c r="DT78" t="s">
        <v>2700</v>
      </c>
      <c r="DU78" t="s">
        <v>2700</v>
      </c>
      <c r="DV78" t="s">
        <v>2700</v>
      </c>
      <c r="DW78" t="s">
        <v>2700</v>
      </c>
      <c r="DX78" t="s">
        <v>2700</v>
      </c>
      <c r="DY78" t="s">
        <v>2700</v>
      </c>
      <c r="DZ78" t="s">
        <v>2700</v>
      </c>
      <c r="EA78" t="s">
        <v>2700</v>
      </c>
      <c r="EB78" t="s">
        <v>2700</v>
      </c>
      <c r="EC78" t="s">
        <v>2616</v>
      </c>
      <c r="ED78" t="s">
        <v>2616</v>
      </c>
      <c r="EE78" t="s">
        <v>2616</v>
      </c>
      <c r="EF78" t="s">
        <v>2616</v>
      </c>
      <c r="EG78" t="s">
        <v>2616</v>
      </c>
      <c r="EH78" t="s">
        <v>2616</v>
      </c>
      <c r="EI78" t="s">
        <v>2616</v>
      </c>
      <c r="EJ78" t="s">
        <v>2616</v>
      </c>
      <c r="EK78" t="s">
        <v>2616</v>
      </c>
      <c r="EL78" t="s">
        <v>2616</v>
      </c>
      <c r="EM78" t="s">
        <v>2616</v>
      </c>
      <c r="EN78" t="s">
        <v>2616</v>
      </c>
      <c r="JC78" t="s">
        <v>4320</v>
      </c>
      <c r="JD78" t="s">
        <v>4320</v>
      </c>
      <c r="JE78" t="s">
        <v>4320</v>
      </c>
      <c r="JF78" t="s">
        <v>4320</v>
      </c>
      <c r="JG78" t="s">
        <v>4320</v>
      </c>
      <c r="JH78" t="s">
        <v>4320</v>
      </c>
      <c r="JI78" t="s">
        <v>4320</v>
      </c>
      <c r="JJ78" t="s">
        <v>4320</v>
      </c>
    </row>
    <row r="79" spans="80:281" x14ac:dyDescent="0.3">
      <c r="CB79" t="s">
        <v>2602</v>
      </c>
      <c r="CC79" t="s">
        <v>2602</v>
      </c>
      <c r="CD79" t="s">
        <v>2602</v>
      </c>
      <c r="CE79" t="s">
        <v>2602</v>
      </c>
      <c r="CF79" t="s">
        <v>2602</v>
      </c>
      <c r="CG79" t="s">
        <v>2602</v>
      </c>
      <c r="CH79" t="s">
        <v>2602</v>
      </c>
      <c r="CI79" t="s">
        <v>2602</v>
      </c>
      <c r="CJ79" t="s">
        <v>2602</v>
      </c>
      <c r="CK79" t="s">
        <v>2602</v>
      </c>
      <c r="CL79" t="s">
        <v>2602</v>
      </c>
      <c r="CM79" t="s">
        <v>2662</v>
      </c>
      <c r="CN79" t="s">
        <v>2662</v>
      </c>
      <c r="CO79" t="s">
        <v>2662</v>
      </c>
      <c r="CP79" t="s">
        <v>2662</v>
      </c>
      <c r="CQ79" t="s">
        <v>2662</v>
      </c>
      <c r="CR79" t="s">
        <v>2581</v>
      </c>
      <c r="CS79" t="s">
        <v>2581</v>
      </c>
      <c r="CT79" t="s">
        <v>2581</v>
      </c>
      <c r="CU79" t="s">
        <v>2581</v>
      </c>
      <c r="CV79" t="s">
        <v>2581</v>
      </c>
      <c r="CW79" t="s">
        <v>2581</v>
      </c>
      <c r="CX79" t="s">
        <v>2581</v>
      </c>
      <c r="CY79" t="s">
        <v>2581</v>
      </c>
      <c r="CZ79" t="s">
        <v>2581</v>
      </c>
      <c r="DA79" t="s">
        <v>2581</v>
      </c>
      <c r="DB79" t="s">
        <v>2581</v>
      </c>
      <c r="DC79" t="s">
        <v>2581</v>
      </c>
      <c r="DD79" t="s">
        <v>2581</v>
      </c>
      <c r="DE79" t="s">
        <v>2581</v>
      </c>
      <c r="DF79" t="s">
        <v>2581</v>
      </c>
      <c r="DG79" t="s">
        <v>2581</v>
      </c>
      <c r="DH79" t="s">
        <v>2581</v>
      </c>
      <c r="DI79" t="s">
        <v>2581</v>
      </c>
      <c r="DJ79" t="s">
        <v>2581</v>
      </c>
      <c r="DK79" t="s">
        <v>2581</v>
      </c>
      <c r="DL79" t="s">
        <v>2581</v>
      </c>
      <c r="DM79" t="s">
        <v>2581</v>
      </c>
      <c r="DN79" t="s">
        <v>2581</v>
      </c>
      <c r="DO79" t="s">
        <v>2581</v>
      </c>
      <c r="DP79" t="s">
        <v>2581</v>
      </c>
      <c r="DQ79" t="s">
        <v>2708</v>
      </c>
      <c r="DR79" t="s">
        <v>2665</v>
      </c>
      <c r="DS79" t="s">
        <v>2700</v>
      </c>
      <c r="DT79" t="s">
        <v>2700</v>
      </c>
      <c r="DU79" t="s">
        <v>2700</v>
      </c>
      <c r="DV79" t="s">
        <v>2700</v>
      </c>
      <c r="DW79" t="s">
        <v>2700</v>
      </c>
      <c r="DX79" t="s">
        <v>2700</v>
      </c>
      <c r="DY79" t="s">
        <v>2700</v>
      </c>
      <c r="DZ79" t="s">
        <v>2700</v>
      </c>
      <c r="EA79" t="s">
        <v>2616</v>
      </c>
      <c r="EB79" t="s">
        <v>2616</v>
      </c>
      <c r="EC79" t="s">
        <v>2616</v>
      </c>
      <c r="ED79" t="s">
        <v>2616</v>
      </c>
      <c r="EE79" t="s">
        <v>2616</v>
      </c>
      <c r="EF79" t="s">
        <v>2616</v>
      </c>
      <c r="EG79" t="s">
        <v>2616</v>
      </c>
      <c r="EH79" t="s">
        <v>2616</v>
      </c>
      <c r="EI79" t="s">
        <v>2616</v>
      </c>
      <c r="EJ79" t="s">
        <v>2616</v>
      </c>
      <c r="EK79" t="s">
        <v>2616</v>
      </c>
      <c r="EL79" t="s">
        <v>2616</v>
      </c>
      <c r="EM79" t="s">
        <v>2616</v>
      </c>
      <c r="EN79" t="s">
        <v>2616</v>
      </c>
      <c r="EO79" t="s">
        <v>2688</v>
      </c>
      <c r="JC79" t="s">
        <v>4320</v>
      </c>
      <c r="JD79" t="s">
        <v>4320</v>
      </c>
      <c r="JE79" t="s">
        <v>4320</v>
      </c>
      <c r="JF79" t="s">
        <v>4320</v>
      </c>
      <c r="JG79" t="s">
        <v>4320</v>
      </c>
      <c r="JH79" t="s">
        <v>4320</v>
      </c>
      <c r="JI79" t="s">
        <v>4320</v>
      </c>
      <c r="JJ79" t="s">
        <v>4320</v>
      </c>
      <c r="JU79" t="s">
        <v>4320</v>
      </c>
    </row>
    <row r="80" spans="80:281" x14ac:dyDescent="0.3">
      <c r="CB80" t="s">
        <v>2602</v>
      </c>
      <c r="CC80" t="s">
        <v>2602</v>
      </c>
      <c r="CD80" t="s">
        <v>2602</v>
      </c>
      <c r="CE80" t="s">
        <v>2602</v>
      </c>
      <c r="CF80" t="s">
        <v>2602</v>
      </c>
      <c r="CG80" t="s">
        <v>2602</v>
      </c>
      <c r="CH80" t="s">
        <v>2602</v>
      </c>
      <c r="CI80" t="s">
        <v>2602</v>
      </c>
      <c r="CJ80" t="s">
        <v>2602</v>
      </c>
      <c r="CK80" t="s">
        <v>2602</v>
      </c>
      <c r="CL80" t="s">
        <v>2602</v>
      </c>
      <c r="CM80" t="s">
        <v>2662</v>
      </c>
      <c r="CN80" t="s">
        <v>2662</v>
      </c>
      <c r="CO80" t="s">
        <v>2662</v>
      </c>
      <c r="CP80" t="s">
        <v>2662</v>
      </c>
      <c r="CQ80" t="s">
        <v>2662</v>
      </c>
      <c r="CR80" t="s">
        <v>2662</v>
      </c>
      <c r="CS80" t="s">
        <v>2581</v>
      </c>
      <c r="CT80" t="s">
        <v>2581</v>
      </c>
      <c r="CU80" t="s">
        <v>2581</v>
      </c>
      <c r="CV80" t="s">
        <v>2581</v>
      </c>
      <c r="CW80" t="s">
        <v>2581</v>
      </c>
      <c r="CX80" t="s">
        <v>2581</v>
      </c>
      <c r="CY80" t="s">
        <v>2581</v>
      </c>
      <c r="CZ80" t="s">
        <v>2581</v>
      </c>
      <c r="DA80" t="s">
        <v>2581</v>
      </c>
      <c r="DB80" t="s">
        <v>2581</v>
      </c>
      <c r="DC80" t="s">
        <v>2581</v>
      </c>
      <c r="DD80" t="s">
        <v>2581</v>
      </c>
      <c r="DE80" t="s">
        <v>2581</v>
      </c>
      <c r="DF80" t="s">
        <v>2581</v>
      </c>
      <c r="DG80" t="s">
        <v>2581</v>
      </c>
      <c r="DH80" t="s">
        <v>2581</v>
      </c>
      <c r="DI80" t="s">
        <v>2581</v>
      </c>
      <c r="DJ80" t="s">
        <v>2581</v>
      </c>
      <c r="DK80" t="s">
        <v>2581</v>
      </c>
      <c r="DL80" t="s">
        <v>2581</v>
      </c>
      <c r="DM80" t="s">
        <v>2581</v>
      </c>
      <c r="DN80" t="s">
        <v>2581</v>
      </c>
      <c r="DO80" t="s">
        <v>2581</v>
      </c>
      <c r="DP80" t="s">
        <v>2581</v>
      </c>
      <c r="DQ80" t="s">
        <v>2708</v>
      </c>
      <c r="DR80" t="s">
        <v>2708</v>
      </c>
      <c r="DS80" t="s">
        <v>2708</v>
      </c>
      <c r="DT80" t="s">
        <v>2708</v>
      </c>
      <c r="DU80" t="s">
        <v>2708</v>
      </c>
      <c r="DV80" t="s">
        <v>2708</v>
      </c>
      <c r="DW80" t="s">
        <v>2708</v>
      </c>
      <c r="DX80" t="s">
        <v>2708</v>
      </c>
      <c r="DY80" t="s">
        <v>2708</v>
      </c>
      <c r="DZ80" t="s">
        <v>2616</v>
      </c>
      <c r="EA80" t="s">
        <v>2616</v>
      </c>
      <c r="EB80" t="s">
        <v>2616</v>
      </c>
      <c r="EC80" t="s">
        <v>2616</v>
      </c>
      <c r="ED80" t="s">
        <v>2616</v>
      </c>
      <c r="EE80" t="s">
        <v>2616</v>
      </c>
      <c r="EF80" t="s">
        <v>2616</v>
      </c>
      <c r="EG80" t="s">
        <v>2616</v>
      </c>
      <c r="EH80" t="s">
        <v>2616</v>
      </c>
      <c r="EI80" t="s">
        <v>2616</v>
      </c>
      <c r="EJ80" t="s">
        <v>2616</v>
      </c>
      <c r="EK80" t="s">
        <v>2616</v>
      </c>
      <c r="EL80" t="s">
        <v>2616</v>
      </c>
      <c r="EM80" t="s">
        <v>2616</v>
      </c>
      <c r="EN80" t="s">
        <v>2688</v>
      </c>
      <c r="EO80" t="s">
        <v>2688</v>
      </c>
      <c r="JB80" t="s">
        <v>4320</v>
      </c>
      <c r="JC80" t="s">
        <v>4320</v>
      </c>
      <c r="JD80" t="s">
        <v>4320</v>
      </c>
      <c r="JE80" t="s">
        <v>4320</v>
      </c>
      <c r="JF80" t="s">
        <v>4320</v>
      </c>
      <c r="JG80" t="s">
        <v>4320</v>
      </c>
      <c r="JH80" t="s">
        <v>4320</v>
      </c>
      <c r="JU80" t="s">
        <v>4320</v>
      </c>
    </row>
    <row r="81" spans="37:281" x14ac:dyDescent="0.3">
      <c r="CB81" t="s">
        <v>2602</v>
      </c>
      <c r="CC81" t="s">
        <v>2602</v>
      </c>
      <c r="CD81" t="s">
        <v>2602</v>
      </c>
      <c r="CE81" t="s">
        <v>2602</v>
      </c>
      <c r="CF81" t="s">
        <v>2602</v>
      </c>
      <c r="CG81" t="s">
        <v>2602</v>
      </c>
      <c r="CH81" t="s">
        <v>2602</v>
      </c>
      <c r="CI81" t="s">
        <v>2602</v>
      </c>
      <c r="CJ81" t="s">
        <v>2602</v>
      </c>
      <c r="CK81" t="s">
        <v>2602</v>
      </c>
      <c r="CL81" t="s">
        <v>2662</v>
      </c>
      <c r="CM81" t="s">
        <v>2662</v>
      </c>
      <c r="CN81" t="s">
        <v>2662</v>
      </c>
      <c r="CO81" t="s">
        <v>2662</v>
      </c>
      <c r="CP81" t="s">
        <v>2662</v>
      </c>
      <c r="CQ81" t="s">
        <v>2662</v>
      </c>
      <c r="CR81" t="s">
        <v>2662</v>
      </c>
      <c r="CS81" t="s">
        <v>2581</v>
      </c>
      <c r="CT81" t="s">
        <v>2581</v>
      </c>
      <c r="CU81" t="s">
        <v>2581</v>
      </c>
      <c r="CV81" t="s">
        <v>2581</v>
      </c>
      <c r="CW81" t="s">
        <v>2581</v>
      </c>
      <c r="CX81" t="s">
        <v>2581</v>
      </c>
      <c r="CY81" t="s">
        <v>2581</v>
      </c>
      <c r="CZ81" t="s">
        <v>2581</v>
      </c>
      <c r="DA81" t="s">
        <v>2581</v>
      </c>
      <c r="DB81" t="s">
        <v>2581</v>
      </c>
      <c r="DC81" t="s">
        <v>2581</v>
      </c>
      <c r="DD81" t="s">
        <v>2581</v>
      </c>
      <c r="DE81" t="s">
        <v>2581</v>
      </c>
      <c r="DF81" t="s">
        <v>2581</v>
      </c>
      <c r="DG81" t="s">
        <v>2581</v>
      </c>
      <c r="DH81" t="s">
        <v>2581</v>
      </c>
      <c r="DI81" t="s">
        <v>2581</v>
      </c>
      <c r="DJ81" t="s">
        <v>2581</v>
      </c>
      <c r="DK81" t="s">
        <v>2581</v>
      </c>
      <c r="DL81" t="s">
        <v>2581</v>
      </c>
      <c r="DM81" t="s">
        <v>2581</v>
      </c>
      <c r="DN81" t="s">
        <v>2581</v>
      </c>
      <c r="DO81" t="s">
        <v>2581</v>
      </c>
      <c r="DP81" t="s">
        <v>2581</v>
      </c>
      <c r="DQ81" t="s">
        <v>2581</v>
      </c>
      <c r="DR81" t="s">
        <v>2708</v>
      </c>
      <c r="DS81" t="s">
        <v>2708</v>
      </c>
      <c r="DT81" t="s">
        <v>2708</v>
      </c>
      <c r="DU81" t="s">
        <v>2708</v>
      </c>
      <c r="DV81" t="s">
        <v>2708</v>
      </c>
      <c r="DW81" t="s">
        <v>2708</v>
      </c>
      <c r="DX81" t="s">
        <v>2708</v>
      </c>
      <c r="DY81" t="s">
        <v>2708</v>
      </c>
      <c r="DZ81" t="s">
        <v>2616</v>
      </c>
      <c r="EA81" t="s">
        <v>2616</v>
      </c>
      <c r="EB81" t="s">
        <v>2616</v>
      </c>
      <c r="EC81" t="s">
        <v>2616</v>
      </c>
      <c r="ED81" t="s">
        <v>2616</v>
      </c>
      <c r="EE81" t="s">
        <v>2616</v>
      </c>
      <c r="EF81" t="s">
        <v>2616</v>
      </c>
      <c r="EG81" t="s">
        <v>2616</v>
      </c>
      <c r="EH81" t="s">
        <v>2616</v>
      </c>
      <c r="EI81" t="s">
        <v>2616</v>
      </c>
      <c r="EJ81" t="s">
        <v>2616</v>
      </c>
      <c r="EK81" t="s">
        <v>2616</v>
      </c>
      <c r="EL81" t="s">
        <v>2616</v>
      </c>
      <c r="EM81" t="s">
        <v>2616</v>
      </c>
      <c r="EN81" t="s">
        <v>2688</v>
      </c>
      <c r="EO81" t="s">
        <v>2688</v>
      </c>
      <c r="EP81" t="s">
        <v>2688</v>
      </c>
      <c r="GY81" t="s">
        <v>4321</v>
      </c>
      <c r="GZ81" t="s">
        <v>4321</v>
      </c>
      <c r="JA81" t="s">
        <v>4320</v>
      </c>
      <c r="JB81" t="s">
        <v>4320</v>
      </c>
      <c r="JC81" t="s">
        <v>4320</v>
      </c>
      <c r="JD81" t="s">
        <v>4320</v>
      </c>
      <c r="JE81" t="s">
        <v>4320</v>
      </c>
      <c r="JF81" t="s">
        <v>4320</v>
      </c>
      <c r="JG81" t="s">
        <v>4320</v>
      </c>
      <c r="JH81" t="s">
        <v>4320</v>
      </c>
      <c r="JT81" t="s">
        <v>4320</v>
      </c>
      <c r="JU81" t="s">
        <v>4320</v>
      </c>
    </row>
    <row r="82" spans="37:281" x14ac:dyDescent="0.3">
      <c r="BW82" t="s">
        <v>2676</v>
      </c>
      <c r="BX82" t="s">
        <v>2676</v>
      </c>
      <c r="CC82" t="s">
        <v>2602</v>
      </c>
      <c r="CD82" t="s">
        <v>2602</v>
      </c>
      <c r="CE82" t="s">
        <v>2602</v>
      </c>
      <c r="CF82" t="s">
        <v>2602</v>
      </c>
      <c r="CG82" t="s">
        <v>2602</v>
      </c>
      <c r="CH82" t="s">
        <v>2602</v>
      </c>
      <c r="CI82" t="s">
        <v>2602</v>
      </c>
      <c r="CJ82" t="s">
        <v>2602</v>
      </c>
      <c r="CK82" t="s">
        <v>2602</v>
      </c>
      <c r="CL82" t="s">
        <v>2662</v>
      </c>
      <c r="CM82" t="s">
        <v>2662</v>
      </c>
      <c r="CN82" t="s">
        <v>2662</v>
      </c>
      <c r="CO82" t="s">
        <v>2662</v>
      </c>
      <c r="CP82" t="s">
        <v>2662</v>
      </c>
      <c r="CQ82" t="s">
        <v>2662</v>
      </c>
      <c r="CR82" t="s">
        <v>2662</v>
      </c>
      <c r="CS82" t="s">
        <v>2662</v>
      </c>
      <c r="CT82" t="s">
        <v>2581</v>
      </c>
      <c r="CU82" t="s">
        <v>2581</v>
      </c>
      <c r="CV82" t="s">
        <v>2581</v>
      </c>
      <c r="CW82" t="s">
        <v>2581</v>
      </c>
      <c r="CX82" t="s">
        <v>2581</v>
      </c>
      <c r="CY82" t="s">
        <v>2581</v>
      </c>
      <c r="CZ82" t="s">
        <v>2581</v>
      </c>
      <c r="DA82" t="s">
        <v>2581</v>
      </c>
      <c r="DB82" t="s">
        <v>2581</v>
      </c>
      <c r="DC82" t="s">
        <v>2581</v>
      </c>
      <c r="DD82" t="s">
        <v>2581</v>
      </c>
      <c r="DE82" t="s">
        <v>2581</v>
      </c>
      <c r="DF82" t="s">
        <v>2581</v>
      </c>
      <c r="DG82" t="s">
        <v>2581</v>
      </c>
      <c r="DH82" t="s">
        <v>2581</v>
      </c>
      <c r="DI82" t="s">
        <v>2581</v>
      </c>
      <c r="DJ82" t="s">
        <v>2581</v>
      </c>
      <c r="DK82" t="s">
        <v>2581</v>
      </c>
      <c r="DL82" t="s">
        <v>2581</v>
      </c>
      <c r="DM82" t="s">
        <v>2581</v>
      </c>
      <c r="DN82" t="s">
        <v>2581</v>
      </c>
      <c r="DO82" t="s">
        <v>2581</v>
      </c>
      <c r="DP82" t="s">
        <v>2581</v>
      </c>
      <c r="DQ82" t="s">
        <v>2581</v>
      </c>
      <c r="DR82" t="s">
        <v>2708</v>
      </c>
      <c r="DS82" t="s">
        <v>2708</v>
      </c>
      <c r="DT82" t="s">
        <v>2708</v>
      </c>
      <c r="DU82" t="s">
        <v>2708</v>
      </c>
      <c r="DV82" t="s">
        <v>2708</v>
      </c>
      <c r="DW82" t="s">
        <v>2708</v>
      </c>
      <c r="DX82" t="s">
        <v>2708</v>
      </c>
      <c r="DY82" t="s">
        <v>2708</v>
      </c>
      <c r="DZ82" t="s">
        <v>2616</v>
      </c>
      <c r="EA82" t="s">
        <v>2616</v>
      </c>
      <c r="EB82" t="s">
        <v>2616</v>
      </c>
      <c r="EC82" t="s">
        <v>2616</v>
      </c>
      <c r="ED82" t="s">
        <v>2616</v>
      </c>
      <c r="EE82" t="s">
        <v>2616</v>
      </c>
      <c r="EF82" t="s">
        <v>2616</v>
      </c>
      <c r="EG82" t="s">
        <v>2616</v>
      </c>
      <c r="EH82" t="s">
        <v>2616</v>
      </c>
      <c r="EI82" t="s">
        <v>2616</v>
      </c>
      <c r="EJ82" t="s">
        <v>2616</v>
      </c>
      <c r="EK82" t="s">
        <v>2616</v>
      </c>
      <c r="EL82" t="s">
        <v>2616</v>
      </c>
      <c r="EM82" t="s">
        <v>2616</v>
      </c>
      <c r="EN82" t="s">
        <v>2688</v>
      </c>
      <c r="EO82" t="s">
        <v>2688</v>
      </c>
      <c r="EP82" t="s">
        <v>2688</v>
      </c>
      <c r="EQ82" t="s">
        <v>2688</v>
      </c>
      <c r="GY82" t="s">
        <v>4321</v>
      </c>
      <c r="GZ82" t="s">
        <v>4321</v>
      </c>
      <c r="IZ82" t="s">
        <v>4320</v>
      </c>
      <c r="JA82" t="s">
        <v>4320</v>
      </c>
      <c r="JB82" t="s">
        <v>4320</v>
      </c>
      <c r="JC82" t="s">
        <v>4320</v>
      </c>
      <c r="JD82" t="s">
        <v>4320</v>
      </c>
      <c r="JE82" t="s">
        <v>4320</v>
      </c>
      <c r="JF82" t="s">
        <v>4320</v>
      </c>
      <c r="JG82" t="s">
        <v>4320</v>
      </c>
      <c r="JH82" t="s">
        <v>4320</v>
      </c>
      <c r="JT82" t="s">
        <v>4320</v>
      </c>
      <c r="JU82" t="s">
        <v>4320</v>
      </c>
    </row>
    <row r="83" spans="37:281" x14ac:dyDescent="0.3">
      <c r="BW83" t="s">
        <v>2676</v>
      </c>
      <c r="BX83" t="s">
        <v>2676</v>
      </c>
      <c r="CC83" t="s">
        <v>2602</v>
      </c>
      <c r="CD83" t="s">
        <v>2602</v>
      </c>
      <c r="CE83" t="s">
        <v>2602</v>
      </c>
      <c r="CF83" t="s">
        <v>2602</v>
      </c>
      <c r="CG83" t="s">
        <v>2602</v>
      </c>
      <c r="CH83" t="s">
        <v>2602</v>
      </c>
      <c r="CI83" t="s">
        <v>2602</v>
      </c>
      <c r="CJ83" t="s">
        <v>2602</v>
      </c>
      <c r="CK83" t="s">
        <v>2602</v>
      </c>
      <c r="CL83" t="s">
        <v>2662</v>
      </c>
      <c r="CM83" t="s">
        <v>2662</v>
      </c>
      <c r="CN83" t="s">
        <v>2662</v>
      </c>
      <c r="CO83" t="s">
        <v>2662</v>
      </c>
      <c r="CP83" t="s">
        <v>2662</v>
      </c>
      <c r="CQ83" t="s">
        <v>2662</v>
      </c>
      <c r="CR83" t="s">
        <v>2662</v>
      </c>
      <c r="CS83" t="s">
        <v>2662</v>
      </c>
      <c r="CT83" t="s">
        <v>2581</v>
      </c>
      <c r="CU83" t="s">
        <v>2581</v>
      </c>
      <c r="CV83" t="s">
        <v>2581</v>
      </c>
      <c r="CW83" t="s">
        <v>2581</v>
      </c>
      <c r="CX83" t="s">
        <v>2581</v>
      </c>
      <c r="CY83" t="s">
        <v>2581</v>
      </c>
      <c r="CZ83" t="s">
        <v>2581</v>
      </c>
      <c r="DA83" t="s">
        <v>2581</v>
      </c>
      <c r="DB83" t="s">
        <v>2581</v>
      </c>
      <c r="DC83" t="s">
        <v>2581</v>
      </c>
      <c r="DD83" t="s">
        <v>2581</v>
      </c>
      <c r="DE83" t="s">
        <v>2581</v>
      </c>
      <c r="DF83" t="s">
        <v>2581</v>
      </c>
      <c r="DG83" t="s">
        <v>2581</v>
      </c>
      <c r="DH83" t="s">
        <v>2581</v>
      </c>
      <c r="DI83" t="s">
        <v>2581</v>
      </c>
      <c r="DJ83" t="s">
        <v>2581</v>
      </c>
      <c r="DK83" t="s">
        <v>2581</v>
      </c>
      <c r="DL83" t="s">
        <v>2581</v>
      </c>
      <c r="DM83" t="s">
        <v>2581</v>
      </c>
      <c r="DN83" t="s">
        <v>2581</v>
      </c>
      <c r="DO83" t="s">
        <v>2581</v>
      </c>
      <c r="DP83" t="s">
        <v>2581</v>
      </c>
      <c r="DQ83" t="s">
        <v>2581</v>
      </c>
      <c r="DR83" t="s">
        <v>2708</v>
      </c>
      <c r="DS83" t="s">
        <v>2708</v>
      </c>
      <c r="DT83" t="s">
        <v>2708</v>
      </c>
      <c r="DU83" t="s">
        <v>2708</v>
      </c>
      <c r="DV83" t="s">
        <v>2708</v>
      </c>
      <c r="DW83" t="s">
        <v>2708</v>
      </c>
      <c r="DX83" t="s">
        <v>2708</v>
      </c>
      <c r="DY83" t="s">
        <v>2708</v>
      </c>
      <c r="DZ83" t="s">
        <v>2708</v>
      </c>
      <c r="EA83" t="s">
        <v>2616</v>
      </c>
      <c r="EB83" t="s">
        <v>2616</v>
      </c>
      <c r="EC83" t="s">
        <v>2616</v>
      </c>
      <c r="ED83" t="s">
        <v>2616</v>
      </c>
      <c r="EE83" t="s">
        <v>2616</v>
      </c>
      <c r="EF83" t="s">
        <v>2616</v>
      </c>
      <c r="EG83" t="s">
        <v>2616</v>
      </c>
      <c r="EH83" t="s">
        <v>2616</v>
      </c>
      <c r="EI83" t="s">
        <v>2616</v>
      </c>
      <c r="EJ83" t="s">
        <v>2616</v>
      </c>
      <c r="EK83" t="s">
        <v>2616</v>
      </c>
      <c r="EL83" t="s">
        <v>2616</v>
      </c>
      <c r="EM83" t="s">
        <v>2616</v>
      </c>
      <c r="EN83" t="s">
        <v>2688</v>
      </c>
      <c r="EO83" t="s">
        <v>2688</v>
      </c>
      <c r="EP83" t="s">
        <v>2688</v>
      </c>
      <c r="EQ83" t="s">
        <v>2688</v>
      </c>
      <c r="ER83" t="s">
        <v>2688</v>
      </c>
      <c r="GY83" t="s">
        <v>4321</v>
      </c>
      <c r="GZ83" t="s">
        <v>4321</v>
      </c>
      <c r="IZ83" t="s">
        <v>4320</v>
      </c>
      <c r="JA83" t="s">
        <v>4320</v>
      </c>
      <c r="JB83" t="s">
        <v>4320</v>
      </c>
      <c r="JC83" t="s">
        <v>4320</v>
      </c>
      <c r="JD83" t="s">
        <v>4320</v>
      </c>
      <c r="JE83" t="s">
        <v>4320</v>
      </c>
      <c r="JF83" t="s">
        <v>4320</v>
      </c>
      <c r="JG83" t="s">
        <v>4320</v>
      </c>
      <c r="JT83" t="s">
        <v>4320</v>
      </c>
      <c r="JU83" t="s">
        <v>4320</v>
      </c>
    </row>
    <row r="84" spans="37:281" x14ac:dyDescent="0.3">
      <c r="BW84" t="s">
        <v>2676</v>
      </c>
      <c r="BX84" t="s">
        <v>2676</v>
      </c>
      <c r="CC84" t="s">
        <v>2590</v>
      </c>
      <c r="CD84" t="s">
        <v>2590</v>
      </c>
      <c r="CE84" t="s">
        <v>2590</v>
      </c>
      <c r="CF84" t="s">
        <v>2590</v>
      </c>
      <c r="CG84" t="s">
        <v>2602</v>
      </c>
      <c r="CH84" t="s">
        <v>2602</v>
      </c>
      <c r="CI84" t="s">
        <v>2602</v>
      </c>
      <c r="CJ84" t="s">
        <v>2602</v>
      </c>
      <c r="CK84" t="s">
        <v>2602</v>
      </c>
      <c r="CL84" t="s">
        <v>2662</v>
      </c>
      <c r="CM84" t="s">
        <v>2662</v>
      </c>
      <c r="CN84" t="s">
        <v>2662</v>
      </c>
      <c r="CO84" t="s">
        <v>2662</v>
      </c>
      <c r="CP84" t="s">
        <v>2662</v>
      </c>
      <c r="CQ84" t="s">
        <v>2662</v>
      </c>
      <c r="CR84" t="s">
        <v>2662</v>
      </c>
      <c r="CS84" t="s">
        <v>2662</v>
      </c>
      <c r="CT84" t="s">
        <v>2581</v>
      </c>
      <c r="CU84" t="s">
        <v>2581</v>
      </c>
      <c r="CV84" t="s">
        <v>2581</v>
      </c>
      <c r="CW84" t="s">
        <v>2581</v>
      </c>
      <c r="CX84" t="s">
        <v>2581</v>
      </c>
      <c r="CY84" t="s">
        <v>2581</v>
      </c>
      <c r="CZ84" t="s">
        <v>2581</v>
      </c>
      <c r="DA84" t="s">
        <v>2581</v>
      </c>
      <c r="DB84" t="s">
        <v>2581</v>
      </c>
      <c r="DC84" t="s">
        <v>2581</v>
      </c>
      <c r="DD84" t="s">
        <v>2581</v>
      </c>
      <c r="DE84" t="s">
        <v>2581</v>
      </c>
      <c r="DF84" t="s">
        <v>2581</v>
      </c>
      <c r="DG84" t="s">
        <v>2581</v>
      </c>
      <c r="DH84" t="s">
        <v>2581</v>
      </c>
      <c r="DI84" t="s">
        <v>2581</v>
      </c>
      <c r="DJ84" t="s">
        <v>2581</v>
      </c>
      <c r="DK84" t="s">
        <v>2581</v>
      </c>
      <c r="DL84" t="s">
        <v>2581</v>
      </c>
      <c r="DM84" t="s">
        <v>2581</v>
      </c>
      <c r="DN84" t="s">
        <v>2581</v>
      </c>
      <c r="DO84" t="s">
        <v>2581</v>
      </c>
      <c r="DP84" t="s">
        <v>2581</v>
      </c>
      <c r="DQ84" t="s">
        <v>2581</v>
      </c>
      <c r="DR84" t="s">
        <v>2708</v>
      </c>
      <c r="DS84" t="s">
        <v>2708</v>
      </c>
      <c r="DT84" t="s">
        <v>2708</v>
      </c>
      <c r="DU84" t="s">
        <v>2708</v>
      </c>
      <c r="DV84" t="s">
        <v>2708</v>
      </c>
      <c r="DW84" t="s">
        <v>2708</v>
      </c>
      <c r="DX84" t="s">
        <v>2708</v>
      </c>
      <c r="DY84" t="s">
        <v>2708</v>
      </c>
      <c r="DZ84" t="s">
        <v>2708</v>
      </c>
      <c r="EA84" t="s">
        <v>2616</v>
      </c>
      <c r="EB84" t="s">
        <v>2616</v>
      </c>
      <c r="EC84" t="s">
        <v>2616</v>
      </c>
      <c r="ED84" t="s">
        <v>2616</v>
      </c>
      <c r="EE84" t="s">
        <v>2616</v>
      </c>
      <c r="EF84" t="s">
        <v>2616</v>
      </c>
      <c r="EG84" t="s">
        <v>2616</v>
      </c>
      <c r="EH84" t="s">
        <v>2616</v>
      </c>
      <c r="EI84" t="s">
        <v>2616</v>
      </c>
      <c r="EJ84" t="s">
        <v>2616</v>
      </c>
      <c r="EK84" t="s">
        <v>2616</v>
      </c>
      <c r="EL84" t="s">
        <v>2616</v>
      </c>
      <c r="EM84" t="s">
        <v>2616</v>
      </c>
      <c r="EN84" t="s">
        <v>2688</v>
      </c>
      <c r="EO84" t="s">
        <v>2688</v>
      </c>
      <c r="EP84" t="s">
        <v>2688</v>
      </c>
      <c r="EQ84" t="s">
        <v>2688</v>
      </c>
      <c r="ER84" t="s">
        <v>2688</v>
      </c>
      <c r="ES84" t="s">
        <v>2688</v>
      </c>
      <c r="ET84" t="s">
        <v>2688</v>
      </c>
      <c r="GY84" t="s">
        <v>4321</v>
      </c>
      <c r="GZ84" t="s">
        <v>4321</v>
      </c>
      <c r="IZ84" t="s">
        <v>4320</v>
      </c>
      <c r="JA84" t="s">
        <v>4320</v>
      </c>
      <c r="JB84" t="s">
        <v>4320</v>
      </c>
      <c r="JC84" t="s">
        <v>4320</v>
      </c>
      <c r="JD84" t="s">
        <v>4320</v>
      </c>
      <c r="JE84" t="s">
        <v>4320</v>
      </c>
      <c r="JF84" t="s">
        <v>4320</v>
      </c>
      <c r="JI84" t="s">
        <v>4322</v>
      </c>
      <c r="JT84" t="s">
        <v>4320</v>
      </c>
      <c r="JU84" t="s">
        <v>4320</v>
      </c>
    </row>
    <row r="85" spans="37:281" x14ac:dyDescent="0.3">
      <c r="CC85" t="s">
        <v>2590</v>
      </c>
      <c r="CD85" t="s">
        <v>2590</v>
      </c>
      <c r="CE85" t="s">
        <v>2590</v>
      </c>
      <c r="CF85" t="s">
        <v>2590</v>
      </c>
      <c r="CG85" t="s">
        <v>2602</v>
      </c>
      <c r="CH85" t="s">
        <v>2602</v>
      </c>
      <c r="CI85" t="s">
        <v>2602</v>
      </c>
      <c r="CJ85" t="s">
        <v>2662</v>
      </c>
      <c r="CK85" t="s">
        <v>2662</v>
      </c>
      <c r="CL85" t="s">
        <v>2662</v>
      </c>
      <c r="CM85" t="s">
        <v>2662</v>
      </c>
      <c r="CN85" t="s">
        <v>2662</v>
      </c>
      <c r="CO85" t="s">
        <v>2662</v>
      </c>
      <c r="CP85" t="s">
        <v>2662</v>
      </c>
      <c r="CQ85" t="s">
        <v>2662</v>
      </c>
      <c r="CR85" t="s">
        <v>2662</v>
      </c>
      <c r="CS85" t="s">
        <v>2662</v>
      </c>
      <c r="CT85" t="s">
        <v>2581</v>
      </c>
      <c r="CU85" t="s">
        <v>2581</v>
      </c>
      <c r="CV85" t="s">
        <v>2581</v>
      </c>
      <c r="CW85" t="s">
        <v>2581</v>
      </c>
      <c r="CX85" t="s">
        <v>2581</v>
      </c>
      <c r="CY85" t="s">
        <v>2581</v>
      </c>
      <c r="CZ85" t="s">
        <v>2581</v>
      </c>
      <c r="DA85" t="s">
        <v>2581</v>
      </c>
      <c r="DB85" t="s">
        <v>2581</v>
      </c>
      <c r="DC85" t="s">
        <v>2581</v>
      </c>
      <c r="DD85" t="s">
        <v>2581</v>
      </c>
      <c r="DE85" t="s">
        <v>2581</v>
      </c>
      <c r="DF85" t="s">
        <v>2581</v>
      </c>
      <c r="DG85" t="s">
        <v>2581</v>
      </c>
      <c r="DH85" t="s">
        <v>2581</v>
      </c>
      <c r="DI85" t="s">
        <v>2581</v>
      </c>
      <c r="DJ85" t="s">
        <v>2581</v>
      </c>
      <c r="DK85" t="s">
        <v>2581</v>
      </c>
      <c r="DL85" t="s">
        <v>2581</v>
      </c>
      <c r="DM85" t="s">
        <v>2581</v>
      </c>
      <c r="DN85" t="s">
        <v>2581</v>
      </c>
      <c r="DO85" t="s">
        <v>2581</v>
      </c>
      <c r="DP85" t="s">
        <v>2581</v>
      </c>
      <c r="DQ85" t="s">
        <v>2581</v>
      </c>
      <c r="DR85" t="s">
        <v>2581</v>
      </c>
      <c r="DS85" t="s">
        <v>2708</v>
      </c>
      <c r="DT85" t="s">
        <v>2708</v>
      </c>
      <c r="DU85" t="s">
        <v>2708</v>
      </c>
      <c r="DV85" t="s">
        <v>2708</v>
      </c>
      <c r="DW85" t="s">
        <v>2708</v>
      </c>
      <c r="DX85" t="s">
        <v>2708</v>
      </c>
      <c r="DY85" t="s">
        <v>2708</v>
      </c>
      <c r="DZ85" t="s">
        <v>2708</v>
      </c>
      <c r="EA85" t="s">
        <v>2708</v>
      </c>
      <c r="EB85" t="s">
        <v>2616</v>
      </c>
      <c r="EC85" t="s">
        <v>2616</v>
      </c>
      <c r="ED85" t="s">
        <v>2616</v>
      </c>
      <c r="EE85" t="s">
        <v>2616</v>
      </c>
      <c r="EF85" t="s">
        <v>2616</v>
      </c>
      <c r="EG85" t="s">
        <v>2616</v>
      </c>
      <c r="EH85" t="s">
        <v>2616</v>
      </c>
      <c r="EI85" t="s">
        <v>2616</v>
      </c>
      <c r="EJ85" t="s">
        <v>2616</v>
      </c>
      <c r="EK85" t="s">
        <v>2616</v>
      </c>
      <c r="EL85" t="s">
        <v>2616</v>
      </c>
      <c r="EM85" t="s">
        <v>2616</v>
      </c>
      <c r="EN85" t="s">
        <v>2688</v>
      </c>
      <c r="EO85" t="s">
        <v>2688</v>
      </c>
      <c r="EP85" t="s">
        <v>2688</v>
      </c>
      <c r="EQ85" t="s">
        <v>2688</v>
      </c>
      <c r="ER85" t="s">
        <v>2688</v>
      </c>
      <c r="ES85" t="s">
        <v>2688</v>
      </c>
      <c r="ET85" t="s">
        <v>2688</v>
      </c>
      <c r="EU85" t="s">
        <v>2688</v>
      </c>
      <c r="GY85" t="s">
        <v>4321</v>
      </c>
      <c r="GZ85" t="s">
        <v>4321</v>
      </c>
      <c r="IY85" t="s">
        <v>4320</v>
      </c>
      <c r="IZ85" t="s">
        <v>4320</v>
      </c>
      <c r="JA85" t="s">
        <v>4320</v>
      </c>
      <c r="JB85" t="s">
        <v>4320</v>
      </c>
      <c r="JC85" t="s">
        <v>4320</v>
      </c>
      <c r="JD85" t="s">
        <v>4320</v>
      </c>
      <c r="JE85" t="s">
        <v>4320</v>
      </c>
      <c r="JH85" t="s">
        <v>4322</v>
      </c>
      <c r="JI85" t="s">
        <v>4322</v>
      </c>
      <c r="JU85" t="s">
        <v>4322</v>
      </c>
    </row>
    <row r="86" spans="37:281" x14ac:dyDescent="0.3">
      <c r="CC86" t="s">
        <v>2590</v>
      </c>
      <c r="CD86" t="s">
        <v>2590</v>
      </c>
      <c r="CE86" t="s">
        <v>2590</v>
      </c>
      <c r="CF86" t="s">
        <v>2590</v>
      </c>
      <c r="CG86" t="s">
        <v>2602</v>
      </c>
      <c r="CH86" t="s">
        <v>2563</v>
      </c>
      <c r="CI86" t="s">
        <v>2602</v>
      </c>
      <c r="CJ86" t="s">
        <v>2662</v>
      </c>
      <c r="CK86" t="s">
        <v>2563</v>
      </c>
      <c r="CL86" t="s">
        <v>2563</v>
      </c>
      <c r="CM86" t="s">
        <v>2563</v>
      </c>
      <c r="CN86" t="s">
        <v>2563</v>
      </c>
      <c r="CO86" t="s">
        <v>2563</v>
      </c>
      <c r="CP86" t="s">
        <v>2662</v>
      </c>
      <c r="CQ86" t="s">
        <v>2662</v>
      </c>
      <c r="CR86" t="s">
        <v>2662</v>
      </c>
      <c r="CS86" t="s">
        <v>2662</v>
      </c>
      <c r="CT86" t="s">
        <v>2581</v>
      </c>
      <c r="CU86" t="s">
        <v>2581</v>
      </c>
      <c r="CV86" t="s">
        <v>2581</v>
      </c>
      <c r="CW86" t="s">
        <v>2581</v>
      </c>
      <c r="CX86" t="s">
        <v>2581</v>
      </c>
      <c r="CY86" t="s">
        <v>2581</v>
      </c>
      <c r="CZ86" t="s">
        <v>2581</v>
      </c>
      <c r="DA86" t="s">
        <v>2581</v>
      </c>
      <c r="DB86" t="s">
        <v>2581</v>
      </c>
      <c r="DC86" t="s">
        <v>2581</v>
      </c>
      <c r="DD86" t="s">
        <v>2581</v>
      </c>
      <c r="DE86" t="s">
        <v>2581</v>
      </c>
      <c r="DF86" t="s">
        <v>2581</v>
      </c>
      <c r="DG86" t="s">
        <v>2581</v>
      </c>
      <c r="DH86" t="s">
        <v>2581</v>
      </c>
      <c r="DI86" t="s">
        <v>2581</v>
      </c>
      <c r="DJ86" t="s">
        <v>2581</v>
      </c>
      <c r="DK86" t="s">
        <v>2581</v>
      </c>
      <c r="DL86" t="s">
        <v>2581</v>
      </c>
      <c r="DM86" t="s">
        <v>2581</v>
      </c>
      <c r="DN86" t="s">
        <v>2581</v>
      </c>
      <c r="DO86" t="s">
        <v>2581</v>
      </c>
      <c r="DP86" t="s">
        <v>2581</v>
      </c>
      <c r="DQ86" t="s">
        <v>2581</v>
      </c>
      <c r="DR86" t="s">
        <v>2581</v>
      </c>
      <c r="DS86" t="s">
        <v>2581</v>
      </c>
      <c r="DT86" t="s">
        <v>2708</v>
      </c>
      <c r="DU86" t="s">
        <v>2708</v>
      </c>
      <c r="DV86" t="s">
        <v>2708</v>
      </c>
      <c r="DW86" t="s">
        <v>2708</v>
      </c>
      <c r="DX86" t="s">
        <v>2708</v>
      </c>
      <c r="DY86" t="s">
        <v>2708</v>
      </c>
      <c r="DZ86" t="s">
        <v>2708</v>
      </c>
      <c r="EA86" t="s">
        <v>2708</v>
      </c>
      <c r="EB86" t="s">
        <v>2616</v>
      </c>
      <c r="EC86" t="s">
        <v>2616</v>
      </c>
      <c r="ED86" t="s">
        <v>2616</v>
      </c>
      <c r="EE86" t="s">
        <v>2616</v>
      </c>
      <c r="EF86" t="s">
        <v>2616</v>
      </c>
      <c r="EG86" t="s">
        <v>2616</v>
      </c>
      <c r="EH86" t="s">
        <v>2616</v>
      </c>
      <c r="EI86" t="s">
        <v>2616</v>
      </c>
      <c r="EJ86" t="s">
        <v>2616</v>
      </c>
      <c r="EK86" t="s">
        <v>2616</v>
      </c>
      <c r="EL86" t="s">
        <v>2616</v>
      </c>
      <c r="EM86" t="s">
        <v>2616</v>
      </c>
      <c r="EN86" t="s">
        <v>2688</v>
      </c>
      <c r="EO86" t="s">
        <v>2688</v>
      </c>
      <c r="EP86" t="s">
        <v>2688</v>
      </c>
      <c r="EQ86" t="s">
        <v>2688</v>
      </c>
      <c r="ER86" t="s">
        <v>2688</v>
      </c>
      <c r="ES86" t="s">
        <v>2688</v>
      </c>
      <c r="ET86" t="s">
        <v>2688</v>
      </c>
      <c r="EU86" t="s">
        <v>2688</v>
      </c>
      <c r="EV86" t="s">
        <v>2688</v>
      </c>
      <c r="EW86" t="s">
        <v>2688</v>
      </c>
      <c r="GY86" t="s">
        <v>4321</v>
      </c>
      <c r="GZ86" t="s">
        <v>4321</v>
      </c>
      <c r="IX86" t="s">
        <v>4320</v>
      </c>
      <c r="IY86" t="s">
        <v>4320</v>
      </c>
      <c r="IZ86" t="s">
        <v>4320</v>
      </c>
      <c r="JA86" t="s">
        <v>4320</v>
      </c>
      <c r="JB86" t="s">
        <v>4320</v>
      </c>
      <c r="JF86" t="s">
        <v>4322</v>
      </c>
      <c r="JG86" t="s">
        <v>4322</v>
      </c>
      <c r="JH86" t="s">
        <v>4322</v>
      </c>
      <c r="JI86" t="s">
        <v>4322</v>
      </c>
    </row>
    <row r="87" spans="37:281" x14ac:dyDescent="0.3">
      <c r="CC87" t="s">
        <v>2563</v>
      </c>
      <c r="CD87" t="s">
        <v>2563</v>
      </c>
      <c r="CE87" t="s">
        <v>2563</v>
      </c>
      <c r="CF87" t="s">
        <v>2563</v>
      </c>
      <c r="CG87" t="s">
        <v>2563</v>
      </c>
      <c r="CH87" t="s">
        <v>2563</v>
      </c>
      <c r="CI87" t="s">
        <v>2563</v>
      </c>
      <c r="CJ87" t="s">
        <v>2563</v>
      </c>
      <c r="CK87" t="s">
        <v>2563</v>
      </c>
      <c r="CL87" t="s">
        <v>2563</v>
      </c>
      <c r="CM87" t="s">
        <v>2563</v>
      </c>
      <c r="CN87" t="s">
        <v>2563</v>
      </c>
      <c r="CO87" t="s">
        <v>2563</v>
      </c>
      <c r="CP87" t="s">
        <v>2569</v>
      </c>
      <c r="CQ87" t="s">
        <v>2662</v>
      </c>
      <c r="CR87" t="s">
        <v>2662</v>
      </c>
      <c r="CS87" t="s">
        <v>2662</v>
      </c>
      <c r="CT87" t="s">
        <v>2662</v>
      </c>
      <c r="CU87" t="s">
        <v>2581</v>
      </c>
      <c r="CV87" t="s">
        <v>2581</v>
      </c>
      <c r="CW87" t="s">
        <v>2581</v>
      </c>
      <c r="CX87" t="s">
        <v>2581</v>
      </c>
      <c r="CY87" t="s">
        <v>2581</v>
      </c>
      <c r="CZ87" t="s">
        <v>2581</v>
      </c>
      <c r="DA87" t="s">
        <v>2581</v>
      </c>
      <c r="DB87" t="s">
        <v>2581</v>
      </c>
      <c r="DC87" t="s">
        <v>2581</v>
      </c>
      <c r="DD87" t="s">
        <v>2581</v>
      </c>
      <c r="DE87" t="s">
        <v>2581</v>
      </c>
      <c r="DF87" t="s">
        <v>2581</v>
      </c>
      <c r="DG87" t="s">
        <v>2581</v>
      </c>
      <c r="DH87" t="s">
        <v>2581</v>
      </c>
      <c r="DI87" t="s">
        <v>2581</v>
      </c>
      <c r="DJ87" t="s">
        <v>2581</v>
      </c>
      <c r="DK87" t="s">
        <v>2581</v>
      </c>
      <c r="DL87" t="s">
        <v>2581</v>
      </c>
      <c r="DM87" t="s">
        <v>2581</v>
      </c>
      <c r="DN87" t="s">
        <v>2581</v>
      </c>
      <c r="DO87" t="s">
        <v>2581</v>
      </c>
      <c r="DP87" t="s">
        <v>2581</v>
      </c>
      <c r="DQ87" t="s">
        <v>2581</v>
      </c>
      <c r="DR87" t="s">
        <v>2581</v>
      </c>
      <c r="DS87" t="s">
        <v>2581</v>
      </c>
      <c r="DT87" t="s">
        <v>2708</v>
      </c>
      <c r="DU87" t="s">
        <v>2708</v>
      </c>
      <c r="DV87" t="s">
        <v>2708</v>
      </c>
      <c r="DW87" t="s">
        <v>2708</v>
      </c>
      <c r="DX87" t="s">
        <v>2708</v>
      </c>
      <c r="DY87" t="s">
        <v>2708</v>
      </c>
      <c r="DZ87" t="s">
        <v>2708</v>
      </c>
      <c r="EA87" t="s">
        <v>2616</v>
      </c>
      <c r="EB87" t="s">
        <v>2616</v>
      </c>
      <c r="EC87" t="s">
        <v>2616</v>
      </c>
      <c r="ED87" t="s">
        <v>2616</v>
      </c>
      <c r="EE87" t="s">
        <v>2616</v>
      </c>
      <c r="EF87" t="s">
        <v>2616</v>
      </c>
      <c r="EG87" t="s">
        <v>2616</v>
      </c>
      <c r="EH87" t="s">
        <v>2616</v>
      </c>
      <c r="EI87" t="s">
        <v>2616</v>
      </c>
      <c r="EJ87" t="s">
        <v>2616</v>
      </c>
      <c r="EK87" t="s">
        <v>2616</v>
      </c>
      <c r="EL87" t="s">
        <v>2616</v>
      </c>
      <c r="EM87" t="s">
        <v>2616</v>
      </c>
      <c r="EN87" t="s">
        <v>2688</v>
      </c>
      <c r="EO87" t="s">
        <v>2688</v>
      </c>
      <c r="EP87" t="s">
        <v>2688</v>
      </c>
      <c r="EQ87" t="s">
        <v>2688</v>
      </c>
      <c r="ER87" t="s">
        <v>2688</v>
      </c>
      <c r="ES87" t="s">
        <v>2688</v>
      </c>
      <c r="ET87" t="s">
        <v>2688</v>
      </c>
      <c r="EU87" t="s">
        <v>2688</v>
      </c>
      <c r="EV87" t="s">
        <v>2688</v>
      </c>
      <c r="EW87" t="s">
        <v>2688</v>
      </c>
      <c r="EX87" t="s">
        <v>2688</v>
      </c>
      <c r="GY87" t="s">
        <v>4321</v>
      </c>
      <c r="GZ87" t="s">
        <v>4321</v>
      </c>
      <c r="IW87" t="s">
        <v>4320</v>
      </c>
      <c r="IX87" t="s">
        <v>4320</v>
      </c>
      <c r="IY87" t="s">
        <v>4320</v>
      </c>
      <c r="IZ87" t="s">
        <v>4320</v>
      </c>
      <c r="JA87" t="s">
        <v>4320</v>
      </c>
      <c r="JE87" t="s">
        <v>4322</v>
      </c>
      <c r="JF87" t="s">
        <v>4322</v>
      </c>
      <c r="JG87" t="s">
        <v>4322</v>
      </c>
      <c r="JH87" t="s">
        <v>4322</v>
      </c>
    </row>
    <row r="88" spans="37:281" x14ac:dyDescent="0.3">
      <c r="CC88" t="s">
        <v>2563</v>
      </c>
      <c r="CD88" t="s">
        <v>2563</v>
      </c>
      <c r="CE88" t="s">
        <v>2563</v>
      </c>
      <c r="CF88" t="s">
        <v>2563</v>
      </c>
      <c r="CG88" t="s">
        <v>2563</v>
      </c>
      <c r="CH88" t="s">
        <v>2563</v>
      </c>
      <c r="CI88" t="s">
        <v>2563</v>
      </c>
      <c r="CJ88" t="s">
        <v>2563</v>
      </c>
      <c r="CK88" t="s">
        <v>2563</v>
      </c>
      <c r="CL88" t="s">
        <v>2563</v>
      </c>
      <c r="CM88" t="s">
        <v>2563</v>
      </c>
      <c r="CN88" t="s">
        <v>2563</v>
      </c>
      <c r="CO88" t="s">
        <v>2569</v>
      </c>
      <c r="CP88" t="s">
        <v>2569</v>
      </c>
      <c r="CQ88" t="s">
        <v>2662</v>
      </c>
      <c r="CR88" t="s">
        <v>2662</v>
      </c>
      <c r="CS88" t="s">
        <v>2662</v>
      </c>
      <c r="CT88" t="s">
        <v>2662</v>
      </c>
      <c r="CU88" t="s">
        <v>2581</v>
      </c>
      <c r="CV88" t="s">
        <v>2581</v>
      </c>
      <c r="CW88" t="s">
        <v>2581</v>
      </c>
      <c r="CX88" t="s">
        <v>2581</v>
      </c>
      <c r="CY88" t="s">
        <v>2581</v>
      </c>
      <c r="CZ88" t="s">
        <v>2581</v>
      </c>
      <c r="DA88" t="s">
        <v>2581</v>
      </c>
      <c r="DB88" t="s">
        <v>2581</v>
      </c>
      <c r="DC88" t="s">
        <v>2581</v>
      </c>
      <c r="DD88" t="s">
        <v>2581</v>
      </c>
      <c r="DE88" t="s">
        <v>2581</v>
      </c>
      <c r="DF88" t="s">
        <v>2581</v>
      </c>
      <c r="DG88" t="s">
        <v>2581</v>
      </c>
      <c r="DH88" t="s">
        <v>2581</v>
      </c>
      <c r="DI88" t="s">
        <v>2581</v>
      </c>
      <c r="DJ88" t="s">
        <v>2581</v>
      </c>
      <c r="DK88" t="s">
        <v>2581</v>
      </c>
      <c r="DL88" t="s">
        <v>2581</v>
      </c>
      <c r="DM88" t="s">
        <v>2581</v>
      </c>
      <c r="DN88" t="s">
        <v>2581</v>
      </c>
      <c r="DO88" t="s">
        <v>2581</v>
      </c>
      <c r="DP88" t="s">
        <v>2581</v>
      </c>
      <c r="DQ88" t="s">
        <v>2581</v>
      </c>
      <c r="DR88" t="s">
        <v>2581</v>
      </c>
      <c r="DS88" t="s">
        <v>2581</v>
      </c>
      <c r="DT88" t="s">
        <v>2708</v>
      </c>
      <c r="DU88" t="s">
        <v>2708</v>
      </c>
      <c r="DV88" t="s">
        <v>2708</v>
      </c>
      <c r="DW88" t="s">
        <v>2708</v>
      </c>
      <c r="DX88" t="s">
        <v>2708</v>
      </c>
      <c r="DY88" t="s">
        <v>2708</v>
      </c>
      <c r="DZ88" t="s">
        <v>2708</v>
      </c>
      <c r="EA88" t="s">
        <v>2616</v>
      </c>
      <c r="EB88" t="s">
        <v>2616</v>
      </c>
      <c r="EC88" t="s">
        <v>2616</v>
      </c>
      <c r="ED88" t="s">
        <v>2616</v>
      </c>
      <c r="EE88" t="s">
        <v>2616</v>
      </c>
      <c r="EF88" t="s">
        <v>2616</v>
      </c>
      <c r="EG88" t="s">
        <v>2616</v>
      </c>
      <c r="EH88" t="s">
        <v>2616</v>
      </c>
      <c r="EI88" t="s">
        <v>2616</v>
      </c>
      <c r="EJ88" t="s">
        <v>2616</v>
      </c>
      <c r="EK88" t="s">
        <v>2616</v>
      </c>
      <c r="EL88" t="s">
        <v>2616</v>
      </c>
      <c r="EM88" t="s">
        <v>2616</v>
      </c>
      <c r="EN88" t="s">
        <v>2616</v>
      </c>
      <c r="EO88" t="s">
        <v>2688</v>
      </c>
      <c r="EP88" t="s">
        <v>2688</v>
      </c>
      <c r="EQ88" t="s">
        <v>2688</v>
      </c>
      <c r="ER88" t="s">
        <v>2688</v>
      </c>
      <c r="ES88" t="s">
        <v>2688</v>
      </c>
      <c r="ET88" t="s">
        <v>2688</v>
      </c>
      <c r="EU88" t="s">
        <v>2688</v>
      </c>
      <c r="EV88" t="s">
        <v>2688</v>
      </c>
      <c r="EW88" t="s">
        <v>2688</v>
      </c>
      <c r="EX88" t="s">
        <v>2688</v>
      </c>
      <c r="EY88" t="s">
        <v>2688</v>
      </c>
      <c r="GY88" t="s">
        <v>4321</v>
      </c>
      <c r="GZ88" t="s">
        <v>4321</v>
      </c>
      <c r="IV88" t="s">
        <v>4320</v>
      </c>
      <c r="IW88" t="s">
        <v>4320</v>
      </c>
      <c r="IX88" t="s">
        <v>4320</v>
      </c>
      <c r="IY88" t="s">
        <v>4320</v>
      </c>
      <c r="IZ88" t="s">
        <v>4320</v>
      </c>
      <c r="JE88" t="s">
        <v>4322</v>
      </c>
      <c r="JF88" t="s">
        <v>4322</v>
      </c>
      <c r="JG88" t="s">
        <v>4322</v>
      </c>
      <c r="JH88" t="s">
        <v>4322</v>
      </c>
    </row>
    <row r="89" spans="37:281" x14ac:dyDescent="0.3">
      <c r="CC89" t="s">
        <v>2563</v>
      </c>
      <c r="CD89" t="s">
        <v>2563</v>
      </c>
      <c r="CE89" t="s">
        <v>2563</v>
      </c>
      <c r="CF89" t="s">
        <v>2563</v>
      </c>
      <c r="CG89" t="s">
        <v>2563</v>
      </c>
      <c r="CH89" t="s">
        <v>2563</v>
      </c>
      <c r="CI89" t="s">
        <v>2563</v>
      </c>
      <c r="CJ89" t="s">
        <v>2563</v>
      </c>
      <c r="CK89" t="s">
        <v>2563</v>
      </c>
      <c r="CL89" t="s">
        <v>2563</v>
      </c>
      <c r="CM89" t="s">
        <v>2563</v>
      </c>
      <c r="CN89" t="s">
        <v>2569</v>
      </c>
      <c r="CO89" t="s">
        <v>2569</v>
      </c>
      <c r="CP89" t="s">
        <v>2569</v>
      </c>
      <c r="CQ89" t="s">
        <v>2569</v>
      </c>
      <c r="CR89" t="s">
        <v>2569</v>
      </c>
      <c r="CS89" t="s">
        <v>2569</v>
      </c>
      <c r="CT89" t="s">
        <v>2569</v>
      </c>
      <c r="CU89" t="s">
        <v>2581</v>
      </c>
      <c r="CV89" t="s">
        <v>2581</v>
      </c>
      <c r="CW89" t="s">
        <v>2581</v>
      </c>
      <c r="CX89" t="s">
        <v>2581</v>
      </c>
      <c r="CY89" t="s">
        <v>2581</v>
      </c>
      <c r="CZ89" t="s">
        <v>2581</v>
      </c>
      <c r="DA89" t="s">
        <v>2581</v>
      </c>
      <c r="DB89" t="s">
        <v>2581</v>
      </c>
      <c r="DC89" t="s">
        <v>2581</v>
      </c>
      <c r="DD89" t="s">
        <v>2581</v>
      </c>
      <c r="DE89" t="s">
        <v>2581</v>
      </c>
      <c r="DF89" t="s">
        <v>2581</v>
      </c>
      <c r="DG89" t="s">
        <v>2581</v>
      </c>
      <c r="DH89" t="s">
        <v>2581</v>
      </c>
      <c r="DI89" t="s">
        <v>2581</v>
      </c>
      <c r="DJ89" t="s">
        <v>2581</v>
      </c>
      <c r="DK89" t="s">
        <v>2581</v>
      </c>
      <c r="DL89" t="s">
        <v>2581</v>
      </c>
      <c r="DM89" t="s">
        <v>2581</v>
      </c>
      <c r="DN89" t="s">
        <v>2581</v>
      </c>
      <c r="DO89" t="s">
        <v>2581</v>
      </c>
      <c r="DP89" t="s">
        <v>2581</v>
      </c>
      <c r="DQ89" t="s">
        <v>2581</v>
      </c>
      <c r="DR89" t="s">
        <v>2581</v>
      </c>
      <c r="DS89" t="s">
        <v>2694</v>
      </c>
      <c r="DT89" t="s">
        <v>2708</v>
      </c>
      <c r="DU89" t="s">
        <v>2694</v>
      </c>
      <c r="DV89" t="s">
        <v>2694</v>
      </c>
      <c r="DW89" t="s">
        <v>2708</v>
      </c>
      <c r="DX89" t="s">
        <v>2708</v>
      </c>
      <c r="DY89" t="s">
        <v>2708</v>
      </c>
      <c r="DZ89" t="s">
        <v>2708</v>
      </c>
      <c r="EA89" t="s">
        <v>2616</v>
      </c>
      <c r="EB89" t="s">
        <v>2616</v>
      </c>
      <c r="EC89" t="s">
        <v>2616</v>
      </c>
      <c r="ED89" t="s">
        <v>2616</v>
      </c>
      <c r="EE89" t="s">
        <v>2616</v>
      </c>
      <c r="EF89" t="s">
        <v>2616</v>
      </c>
      <c r="EG89" t="s">
        <v>2616</v>
      </c>
      <c r="EH89" t="s">
        <v>2599</v>
      </c>
      <c r="EI89" t="s">
        <v>2599</v>
      </c>
      <c r="EJ89" t="s">
        <v>2599</v>
      </c>
      <c r="EK89" t="s">
        <v>2599</v>
      </c>
      <c r="EL89" t="s">
        <v>2616</v>
      </c>
      <c r="EM89" t="s">
        <v>2616</v>
      </c>
      <c r="EN89" t="s">
        <v>2616</v>
      </c>
      <c r="EO89" t="s">
        <v>2688</v>
      </c>
      <c r="EP89" t="s">
        <v>2688</v>
      </c>
      <c r="EQ89" t="s">
        <v>2688</v>
      </c>
      <c r="ER89" t="s">
        <v>2688</v>
      </c>
      <c r="ES89" t="s">
        <v>2688</v>
      </c>
      <c r="ET89" t="s">
        <v>2688</v>
      </c>
      <c r="EU89" t="s">
        <v>2688</v>
      </c>
      <c r="EV89" t="s">
        <v>2688</v>
      </c>
      <c r="EW89" t="s">
        <v>2688</v>
      </c>
      <c r="EX89" t="s">
        <v>2688</v>
      </c>
      <c r="EY89" t="s">
        <v>2688</v>
      </c>
      <c r="EZ89" t="s">
        <v>2688</v>
      </c>
      <c r="GY89" t="s">
        <v>4321</v>
      </c>
      <c r="GZ89" t="s">
        <v>4321</v>
      </c>
      <c r="IU89" t="s">
        <v>4320</v>
      </c>
      <c r="IV89" t="s">
        <v>4320</v>
      </c>
      <c r="IW89" t="s">
        <v>4320</v>
      </c>
      <c r="IX89" t="s">
        <v>4320</v>
      </c>
      <c r="IY89" t="s">
        <v>4320</v>
      </c>
      <c r="JD89" t="s">
        <v>4322</v>
      </c>
      <c r="JE89" t="s">
        <v>4322</v>
      </c>
      <c r="JF89" t="s">
        <v>4322</v>
      </c>
      <c r="JG89" t="s">
        <v>4322</v>
      </c>
      <c r="JH89" t="s">
        <v>4322</v>
      </c>
    </row>
    <row r="90" spans="37:281" x14ac:dyDescent="0.3">
      <c r="CB90" t="s">
        <v>2563</v>
      </c>
      <c r="CC90" t="s">
        <v>2563</v>
      </c>
      <c r="CD90" t="s">
        <v>2563</v>
      </c>
      <c r="CE90" t="s">
        <v>2563</v>
      </c>
      <c r="CF90" t="s">
        <v>2563</v>
      </c>
      <c r="CG90" t="s">
        <v>2563</v>
      </c>
      <c r="CH90" t="s">
        <v>2563</v>
      </c>
      <c r="CI90" t="s">
        <v>2563</v>
      </c>
      <c r="CJ90" t="s">
        <v>2563</v>
      </c>
      <c r="CK90" t="s">
        <v>2563</v>
      </c>
      <c r="CL90" t="s">
        <v>2563</v>
      </c>
      <c r="CM90" t="s">
        <v>2563</v>
      </c>
      <c r="CN90" t="s">
        <v>2569</v>
      </c>
      <c r="CO90" t="s">
        <v>2569</v>
      </c>
      <c r="CP90" t="s">
        <v>2569</v>
      </c>
      <c r="CQ90" t="s">
        <v>2569</v>
      </c>
      <c r="CR90" t="s">
        <v>2569</v>
      </c>
      <c r="CS90" t="s">
        <v>2569</v>
      </c>
      <c r="CT90" t="s">
        <v>2569</v>
      </c>
      <c r="CU90" t="s">
        <v>2581</v>
      </c>
      <c r="CV90" t="s">
        <v>2581</v>
      </c>
      <c r="CW90" t="s">
        <v>2581</v>
      </c>
      <c r="CX90" t="s">
        <v>2581</v>
      </c>
      <c r="CY90" t="s">
        <v>2581</v>
      </c>
      <c r="CZ90" t="s">
        <v>2581</v>
      </c>
      <c r="DA90" t="s">
        <v>2569</v>
      </c>
      <c r="DB90" t="s">
        <v>2569</v>
      </c>
      <c r="DC90" t="s">
        <v>2581</v>
      </c>
      <c r="DD90" t="s">
        <v>2581</v>
      </c>
      <c r="DE90" t="s">
        <v>2581</v>
      </c>
      <c r="DF90" t="s">
        <v>2581</v>
      </c>
      <c r="DG90" t="s">
        <v>2581</v>
      </c>
      <c r="DH90" t="s">
        <v>2581</v>
      </c>
      <c r="DI90" t="s">
        <v>2581</v>
      </c>
      <c r="DJ90" t="s">
        <v>2581</v>
      </c>
      <c r="DK90" t="s">
        <v>2581</v>
      </c>
      <c r="DL90" t="s">
        <v>2581</v>
      </c>
      <c r="DM90" t="s">
        <v>2581</v>
      </c>
      <c r="DN90" t="s">
        <v>2581</v>
      </c>
      <c r="DO90" t="s">
        <v>2581</v>
      </c>
      <c r="DP90" t="s">
        <v>2581</v>
      </c>
      <c r="DQ90" t="s">
        <v>2581</v>
      </c>
      <c r="DR90" t="s">
        <v>2694</v>
      </c>
      <c r="DS90" t="s">
        <v>2694</v>
      </c>
      <c r="DT90" t="s">
        <v>2694</v>
      </c>
      <c r="DU90" t="s">
        <v>2694</v>
      </c>
      <c r="DV90" t="s">
        <v>2694</v>
      </c>
      <c r="DW90" t="s">
        <v>2694</v>
      </c>
      <c r="DX90" t="s">
        <v>2694</v>
      </c>
      <c r="DY90" t="s">
        <v>2694</v>
      </c>
      <c r="DZ90" t="s">
        <v>2616</v>
      </c>
      <c r="EA90" t="s">
        <v>2616</v>
      </c>
      <c r="EB90" t="s">
        <v>2616</v>
      </c>
      <c r="EC90" t="s">
        <v>2616</v>
      </c>
      <c r="ED90" t="s">
        <v>2616</v>
      </c>
      <c r="EE90" t="s">
        <v>2616</v>
      </c>
      <c r="EF90" t="s">
        <v>2599</v>
      </c>
      <c r="EG90" t="s">
        <v>2599</v>
      </c>
      <c r="EH90" t="s">
        <v>2599</v>
      </c>
      <c r="EI90" t="s">
        <v>2599</v>
      </c>
      <c r="EJ90" t="s">
        <v>2599</v>
      </c>
      <c r="EK90" t="s">
        <v>2599</v>
      </c>
      <c r="EL90" t="s">
        <v>2599</v>
      </c>
      <c r="EM90" t="s">
        <v>2599</v>
      </c>
      <c r="EN90" t="s">
        <v>2599</v>
      </c>
      <c r="EO90" t="s">
        <v>2599</v>
      </c>
      <c r="EP90" t="s">
        <v>2599</v>
      </c>
      <c r="EQ90" t="s">
        <v>2688</v>
      </c>
      <c r="ER90" t="s">
        <v>2688</v>
      </c>
      <c r="ES90" t="s">
        <v>2688</v>
      </c>
      <c r="ET90" t="s">
        <v>2688</v>
      </c>
      <c r="EU90" t="s">
        <v>2688</v>
      </c>
      <c r="EV90" t="s">
        <v>2688</v>
      </c>
      <c r="EW90" t="s">
        <v>2688</v>
      </c>
      <c r="EX90" t="s">
        <v>2688</v>
      </c>
      <c r="EY90" t="s">
        <v>2688</v>
      </c>
      <c r="EZ90" t="s">
        <v>2688</v>
      </c>
      <c r="FA90" t="s">
        <v>2688</v>
      </c>
      <c r="GY90" t="s">
        <v>4321</v>
      </c>
      <c r="GZ90" t="s">
        <v>4321</v>
      </c>
      <c r="IT90" t="s">
        <v>4320</v>
      </c>
      <c r="IU90" t="s">
        <v>4320</v>
      </c>
      <c r="IV90" t="s">
        <v>4320</v>
      </c>
      <c r="IW90" t="s">
        <v>4320</v>
      </c>
      <c r="IX90" t="s">
        <v>4320</v>
      </c>
      <c r="JC90" t="s">
        <v>4322</v>
      </c>
      <c r="JD90" t="s">
        <v>4322</v>
      </c>
      <c r="JE90" t="s">
        <v>4322</v>
      </c>
      <c r="JF90" t="s">
        <v>4322</v>
      </c>
      <c r="JG90" t="s">
        <v>4322</v>
      </c>
      <c r="JH90" t="s">
        <v>4322</v>
      </c>
    </row>
    <row r="91" spans="37:281" x14ac:dyDescent="0.3">
      <c r="AR91" t="s">
        <v>2622</v>
      </c>
      <c r="AS91" t="s">
        <v>2622</v>
      </c>
      <c r="AT91" t="s">
        <v>2622</v>
      </c>
      <c r="AU91" t="s">
        <v>2578</v>
      </c>
      <c r="AV91" t="s">
        <v>2578</v>
      </c>
      <c r="BU91" t="s">
        <v>2659</v>
      </c>
      <c r="BV91" t="s">
        <v>2659</v>
      </c>
      <c r="BW91" t="s">
        <v>2659</v>
      </c>
      <c r="BX91" t="s">
        <v>2659</v>
      </c>
      <c r="BY91" t="s">
        <v>2659</v>
      </c>
      <c r="BZ91" t="s">
        <v>2659</v>
      </c>
      <c r="CA91" t="s">
        <v>2563</v>
      </c>
      <c r="CB91" t="s">
        <v>2563</v>
      </c>
      <c r="CC91" t="s">
        <v>2563</v>
      </c>
      <c r="CD91" t="s">
        <v>2563</v>
      </c>
      <c r="CE91" t="s">
        <v>2563</v>
      </c>
      <c r="CF91" t="s">
        <v>2563</v>
      </c>
      <c r="CG91" t="s">
        <v>2563</v>
      </c>
      <c r="CH91" t="s">
        <v>2563</v>
      </c>
      <c r="CI91" t="s">
        <v>2563</v>
      </c>
      <c r="CJ91" t="s">
        <v>2563</v>
      </c>
      <c r="CK91" t="s">
        <v>2563</v>
      </c>
      <c r="CL91" t="s">
        <v>2563</v>
      </c>
      <c r="CM91" t="s">
        <v>2569</v>
      </c>
      <c r="CN91" t="s">
        <v>2569</v>
      </c>
      <c r="CO91" t="s">
        <v>2569</v>
      </c>
      <c r="CP91" t="s">
        <v>2569</v>
      </c>
      <c r="CQ91" t="s">
        <v>2569</v>
      </c>
      <c r="CR91" t="s">
        <v>2569</v>
      </c>
      <c r="CS91" t="s">
        <v>2569</v>
      </c>
      <c r="CT91" t="s">
        <v>2569</v>
      </c>
      <c r="CU91" t="s">
        <v>2569</v>
      </c>
      <c r="CV91" t="s">
        <v>2581</v>
      </c>
      <c r="CW91" t="s">
        <v>2581</v>
      </c>
      <c r="CX91" t="s">
        <v>2569</v>
      </c>
      <c r="CY91" t="s">
        <v>2569</v>
      </c>
      <c r="CZ91" t="s">
        <v>2569</v>
      </c>
      <c r="DA91" t="s">
        <v>2569</v>
      </c>
      <c r="DB91" t="s">
        <v>2569</v>
      </c>
      <c r="DC91" t="s">
        <v>2569</v>
      </c>
      <c r="DD91" t="s">
        <v>2569</v>
      </c>
      <c r="DE91" t="s">
        <v>2581</v>
      </c>
      <c r="DF91" t="s">
        <v>2581</v>
      </c>
      <c r="DG91" t="s">
        <v>2581</v>
      </c>
      <c r="DH91" t="s">
        <v>2581</v>
      </c>
      <c r="DI91" t="s">
        <v>2581</v>
      </c>
      <c r="DJ91" t="s">
        <v>2581</v>
      </c>
      <c r="DK91" t="s">
        <v>2581</v>
      </c>
      <c r="DL91" t="s">
        <v>2581</v>
      </c>
      <c r="DM91" t="s">
        <v>2694</v>
      </c>
      <c r="DN91" t="s">
        <v>2694</v>
      </c>
      <c r="DO91" t="s">
        <v>2694</v>
      </c>
      <c r="DP91" t="s">
        <v>2694</v>
      </c>
      <c r="DQ91" t="s">
        <v>2694</v>
      </c>
      <c r="DR91" t="s">
        <v>2694</v>
      </c>
      <c r="DS91" t="s">
        <v>2694</v>
      </c>
      <c r="DT91" t="s">
        <v>2694</v>
      </c>
      <c r="DU91" t="s">
        <v>2694</v>
      </c>
      <c r="DV91" t="s">
        <v>2694</v>
      </c>
      <c r="DW91" t="s">
        <v>2694</v>
      </c>
      <c r="DX91" t="s">
        <v>2694</v>
      </c>
      <c r="DY91" t="s">
        <v>2694</v>
      </c>
      <c r="DZ91" t="s">
        <v>2694</v>
      </c>
      <c r="EA91" t="s">
        <v>2616</v>
      </c>
      <c r="EB91" t="s">
        <v>2616</v>
      </c>
      <c r="EC91" t="s">
        <v>2616</v>
      </c>
      <c r="ED91" t="s">
        <v>2599</v>
      </c>
      <c r="EE91" t="s">
        <v>2599</v>
      </c>
      <c r="EF91" t="s">
        <v>2599</v>
      </c>
      <c r="EG91" t="s">
        <v>2599</v>
      </c>
      <c r="EH91" t="s">
        <v>2599</v>
      </c>
      <c r="EI91" t="s">
        <v>2599</v>
      </c>
      <c r="EJ91" t="s">
        <v>2599</v>
      </c>
      <c r="EK91" t="s">
        <v>2599</v>
      </c>
      <c r="EL91" t="s">
        <v>2599</v>
      </c>
      <c r="EM91" t="s">
        <v>2599</v>
      </c>
      <c r="EN91" t="s">
        <v>2599</v>
      </c>
      <c r="EO91" t="s">
        <v>2599</v>
      </c>
      <c r="EP91" t="s">
        <v>2599</v>
      </c>
      <c r="EQ91" t="s">
        <v>2599</v>
      </c>
      <c r="ER91" t="s">
        <v>2599</v>
      </c>
      <c r="ES91" t="s">
        <v>2688</v>
      </c>
      <c r="ET91" t="s">
        <v>2688</v>
      </c>
      <c r="EU91" t="s">
        <v>2688</v>
      </c>
      <c r="EV91" t="s">
        <v>2688</v>
      </c>
      <c r="EW91" t="s">
        <v>2688</v>
      </c>
      <c r="EX91" t="s">
        <v>2688</v>
      </c>
      <c r="EY91" t="s">
        <v>2688</v>
      </c>
      <c r="EZ91" t="s">
        <v>2688</v>
      </c>
      <c r="FA91" t="s">
        <v>2688</v>
      </c>
      <c r="GY91" t="s">
        <v>4321</v>
      </c>
      <c r="GZ91" t="s">
        <v>4321</v>
      </c>
      <c r="IS91" t="s">
        <v>4320</v>
      </c>
      <c r="IT91" t="s">
        <v>4320</v>
      </c>
      <c r="IU91" t="s">
        <v>4320</v>
      </c>
      <c r="IV91" t="s">
        <v>4320</v>
      </c>
      <c r="IW91" t="s">
        <v>4320</v>
      </c>
      <c r="JC91" t="s">
        <v>4322</v>
      </c>
      <c r="JD91" t="s">
        <v>4322</v>
      </c>
      <c r="JE91" t="s">
        <v>4322</v>
      </c>
      <c r="JF91" t="s">
        <v>4322</v>
      </c>
      <c r="JG91" t="s">
        <v>4322</v>
      </c>
      <c r="JH91" t="s">
        <v>4322</v>
      </c>
    </row>
    <row r="92" spans="37:281" x14ac:dyDescent="0.3">
      <c r="AQ92" t="s">
        <v>2622</v>
      </c>
      <c r="AR92" t="s">
        <v>2622</v>
      </c>
      <c r="AS92" t="s">
        <v>2622</v>
      </c>
      <c r="AT92" t="s">
        <v>2622</v>
      </c>
      <c r="AU92" t="s">
        <v>2578</v>
      </c>
      <c r="AV92" t="s">
        <v>2578</v>
      </c>
      <c r="AW92" t="s">
        <v>2578</v>
      </c>
      <c r="AX92" t="s">
        <v>2578</v>
      </c>
      <c r="AY92" t="s">
        <v>2578</v>
      </c>
      <c r="AZ92" t="s">
        <v>2578</v>
      </c>
      <c r="BA92" t="s">
        <v>2578</v>
      </c>
      <c r="BB92" t="s">
        <v>2578</v>
      </c>
      <c r="BC92" t="s">
        <v>2578</v>
      </c>
      <c r="BD92" t="s">
        <v>2607</v>
      </c>
      <c r="BE92" t="s">
        <v>2607</v>
      </c>
      <c r="BF92" t="s">
        <v>2607</v>
      </c>
      <c r="BG92" t="s">
        <v>2607</v>
      </c>
      <c r="BH92" t="s">
        <v>2607</v>
      </c>
      <c r="BT92" t="s">
        <v>2659</v>
      </c>
      <c r="BU92" t="s">
        <v>2659</v>
      </c>
      <c r="BV92" t="s">
        <v>2659</v>
      </c>
      <c r="BW92" t="s">
        <v>2659</v>
      </c>
      <c r="BX92" t="s">
        <v>2659</v>
      </c>
      <c r="BY92" t="s">
        <v>2659</v>
      </c>
      <c r="BZ92" t="s">
        <v>2659</v>
      </c>
      <c r="CA92" t="s">
        <v>2563</v>
      </c>
      <c r="CB92" t="s">
        <v>2563</v>
      </c>
      <c r="CC92" t="s">
        <v>2563</v>
      </c>
      <c r="CD92" t="s">
        <v>2563</v>
      </c>
      <c r="CE92" t="s">
        <v>2563</v>
      </c>
      <c r="CF92" t="s">
        <v>2563</v>
      </c>
      <c r="CG92" t="s">
        <v>2563</v>
      </c>
      <c r="CH92" t="s">
        <v>2563</v>
      </c>
      <c r="CI92" t="s">
        <v>2563</v>
      </c>
      <c r="CJ92" t="s">
        <v>2563</v>
      </c>
      <c r="CK92" t="s">
        <v>2563</v>
      </c>
      <c r="CL92" t="s">
        <v>2563</v>
      </c>
      <c r="CM92" t="s">
        <v>2569</v>
      </c>
      <c r="CN92" t="s">
        <v>2569</v>
      </c>
      <c r="CO92" t="s">
        <v>2569</v>
      </c>
      <c r="CP92" t="s">
        <v>2569</v>
      </c>
      <c r="CQ92" t="s">
        <v>2569</v>
      </c>
      <c r="CR92" t="s">
        <v>2569</v>
      </c>
      <c r="CS92" t="s">
        <v>2569</v>
      </c>
      <c r="CT92" t="s">
        <v>2569</v>
      </c>
      <c r="CU92" t="s">
        <v>2569</v>
      </c>
      <c r="CV92" t="s">
        <v>2569</v>
      </c>
      <c r="CW92" t="s">
        <v>2569</v>
      </c>
      <c r="CX92" t="s">
        <v>2569</v>
      </c>
      <c r="CY92" t="s">
        <v>2569</v>
      </c>
      <c r="CZ92" t="s">
        <v>2569</v>
      </c>
      <c r="DA92" t="s">
        <v>2569</v>
      </c>
      <c r="DB92" t="s">
        <v>2569</v>
      </c>
      <c r="DC92" t="s">
        <v>2569</v>
      </c>
      <c r="DD92" t="s">
        <v>2569</v>
      </c>
      <c r="DE92" t="s">
        <v>2569</v>
      </c>
      <c r="DF92" t="s">
        <v>2569</v>
      </c>
      <c r="DG92" t="s">
        <v>2569</v>
      </c>
      <c r="DH92" t="s">
        <v>2569</v>
      </c>
      <c r="DI92" t="s">
        <v>2569</v>
      </c>
      <c r="DJ92" t="s">
        <v>2569</v>
      </c>
      <c r="DK92" t="s">
        <v>2569</v>
      </c>
      <c r="DL92" t="s">
        <v>2569</v>
      </c>
      <c r="DM92" t="s">
        <v>2694</v>
      </c>
      <c r="DN92" t="s">
        <v>2694</v>
      </c>
      <c r="DO92" t="s">
        <v>2694</v>
      </c>
      <c r="DP92" t="s">
        <v>2694</v>
      </c>
      <c r="DQ92" t="s">
        <v>2694</v>
      </c>
      <c r="DR92" t="s">
        <v>2694</v>
      </c>
      <c r="DS92" t="s">
        <v>2694</v>
      </c>
      <c r="DT92" t="s">
        <v>2694</v>
      </c>
      <c r="DU92" t="s">
        <v>2694</v>
      </c>
      <c r="DV92" t="s">
        <v>2694</v>
      </c>
      <c r="DW92" t="s">
        <v>2694</v>
      </c>
      <c r="DX92" t="s">
        <v>2694</v>
      </c>
      <c r="DY92" t="s">
        <v>2694</v>
      </c>
      <c r="DZ92" t="s">
        <v>2694</v>
      </c>
      <c r="EA92" t="s">
        <v>2694</v>
      </c>
      <c r="EB92" t="s">
        <v>2616</v>
      </c>
      <c r="EC92" t="s">
        <v>2616</v>
      </c>
      <c r="ED92" t="s">
        <v>2599</v>
      </c>
      <c r="EE92" t="s">
        <v>2599</v>
      </c>
      <c r="EF92" t="s">
        <v>2599</v>
      </c>
      <c r="EG92" t="s">
        <v>2599</v>
      </c>
      <c r="EH92" t="s">
        <v>2599</v>
      </c>
      <c r="EI92" t="s">
        <v>2599</v>
      </c>
      <c r="EJ92" t="s">
        <v>2599</v>
      </c>
      <c r="EK92" t="s">
        <v>2599</v>
      </c>
      <c r="EL92" t="s">
        <v>2599</v>
      </c>
      <c r="EM92" t="s">
        <v>2599</v>
      </c>
      <c r="EN92" t="s">
        <v>2599</v>
      </c>
      <c r="EO92" t="s">
        <v>2599</v>
      </c>
      <c r="EP92" t="s">
        <v>2599</v>
      </c>
      <c r="EQ92" t="s">
        <v>2599</v>
      </c>
      <c r="ER92" t="s">
        <v>2599</v>
      </c>
      <c r="ES92" t="s">
        <v>2599</v>
      </c>
      <c r="ET92" t="s">
        <v>2599</v>
      </c>
      <c r="EU92" t="s">
        <v>2599</v>
      </c>
      <c r="EV92" t="s">
        <v>2688</v>
      </c>
      <c r="EW92" t="s">
        <v>2688</v>
      </c>
      <c r="EX92" t="s">
        <v>2688</v>
      </c>
      <c r="EY92" t="s">
        <v>2688</v>
      </c>
      <c r="EZ92" t="s">
        <v>2688</v>
      </c>
      <c r="FA92" t="s">
        <v>2688</v>
      </c>
      <c r="FB92" t="s">
        <v>2688</v>
      </c>
      <c r="GY92" t="s">
        <v>4321</v>
      </c>
      <c r="GZ92" t="s">
        <v>4321</v>
      </c>
      <c r="IS92" t="s">
        <v>4320</v>
      </c>
      <c r="IT92" t="s">
        <v>4320</v>
      </c>
      <c r="IU92" t="s">
        <v>4320</v>
      </c>
      <c r="IV92" t="s">
        <v>4320</v>
      </c>
      <c r="JB92" t="s">
        <v>4322</v>
      </c>
      <c r="JC92" t="s">
        <v>4322</v>
      </c>
      <c r="JD92" t="s">
        <v>4322</v>
      </c>
      <c r="JE92" t="s">
        <v>4322</v>
      </c>
      <c r="JF92" t="s">
        <v>4322</v>
      </c>
      <c r="JG92" t="s">
        <v>4322</v>
      </c>
    </row>
    <row r="93" spans="37:281" x14ac:dyDescent="0.3">
      <c r="AP93" t="s">
        <v>2622</v>
      </c>
      <c r="AQ93" t="s">
        <v>2622</v>
      </c>
      <c r="AR93" t="s">
        <v>2622</v>
      </c>
      <c r="AS93" t="s">
        <v>2622</v>
      </c>
      <c r="AT93" t="s">
        <v>2622</v>
      </c>
      <c r="AU93" t="s">
        <v>2578</v>
      </c>
      <c r="AV93" t="s">
        <v>2578</v>
      </c>
      <c r="AW93" t="s">
        <v>2578</v>
      </c>
      <c r="AX93" t="s">
        <v>2578</v>
      </c>
      <c r="AY93" t="s">
        <v>2578</v>
      </c>
      <c r="AZ93" t="s">
        <v>2578</v>
      </c>
      <c r="BA93" t="s">
        <v>2578</v>
      </c>
      <c r="BB93" t="s">
        <v>2578</v>
      </c>
      <c r="BC93" t="s">
        <v>2578</v>
      </c>
      <c r="BD93" t="s">
        <v>2607</v>
      </c>
      <c r="BE93" t="s">
        <v>2607</v>
      </c>
      <c r="BF93" t="s">
        <v>2607</v>
      </c>
      <c r="BG93" t="s">
        <v>2607</v>
      </c>
      <c r="BH93" t="s">
        <v>2607</v>
      </c>
      <c r="BI93" t="s">
        <v>2607</v>
      </c>
      <c r="BJ93" t="s">
        <v>2607</v>
      </c>
      <c r="BT93" t="s">
        <v>2659</v>
      </c>
      <c r="BU93" t="s">
        <v>2659</v>
      </c>
      <c r="BV93" t="s">
        <v>2659</v>
      </c>
      <c r="BW93" t="s">
        <v>2659</v>
      </c>
      <c r="BX93" t="s">
        <v>2659</v>
      </c>
      <c r="BY93" t="s">
        <v>2659</v>
      </c>
      <c r="BZ93" t="s">
        <v>2659</v>
      </c>
      <c r="CA93" t="s">
        <v>2659</v>
      </c>
      <c r="CB93" t="s">
        <v>2563</v>
      </c>
      <c r="CC93" t="s">
        <v>2563</v>
      </c>
      <c r="CD93" t="s">
        <v>2563</v>
      </c>
      <c r="CE93" t="s">
        <v>2563</v>
      </c>
      <c r="CF93" t="s">
        <v>2563</v>
      </c>
      <c r="CG93" t="s">
        <v>2563</v>
      </c>
      <c r="CH93" t="s">
        <v>2563</v>
      </c>
      <c r="CI93" t="s">
        <v>2563</v>
      </c>
      <c r="CJ93" t="s">
        <v>2563</v>
      </c>
      <c r="CK93" t="s">
        <v>2563</v>
      </c>
      <c r="CL93" t="s">
        <v>2563</v>
      </c>
      <c r="CM93" t="s">
        <v>2569</v>
      </c>
      <c r="CN93" t="s">
        <v>2569</v>
      </c>
      <c r="CO93" t="s">
        <v>2569</v>
      </c>
      <c r="CP93" t="s">
        <v>2569</v>
      </c>
      <c r="CQ93" t="s">
        <v>2569</v>
      </c>
      <c r="CR93" t="s">
        <v>2569</v>
      </c>
      <c r="CS93" t="s">
        <v>2569</v>
      </c>
      <c r="CT93" t="s">
        <v>2569</v>
      </c>
      <c r="CU93" t="s">
        <v>2569</v>
      </c>
      <c r="CV93" t="s">
        <v>2569</v>
      </c>
      <c r="CW93" t="s">
        <v>2569</v>
      </c>
      <c r="CX93" t="s">
        <v>2569</v>
      </c>
      <c r="CY93" t="s">
        <v>2569</v>
      </c>
      <c r="CZ93" t="s">
        <v>2569</v>
      </c>
      <c r="DA93" t="s">
        <v>2569</v>
      </c>
      <c r="DB93" t="s">
        <v>2569</v>
      </c>
      <c r="DC93" t="s">
        <v>2569</v>
      </c>
      <c r="DD93" t="s">
        <v>2569</v>
      </c>
      <c r="DE93" t="s">
        <v>2569</v>
      </c>
      <c r="DF93" t="s">
        <v>2569</v>
      </c>
      <c r="DG93" t="s">
        <v>2569</v>
      </c>
      <c r="DH93" t="s">
        <v>2569</v>
      </c>
      <c r="DI93" t="s">
        <v>2569</v>
      </c>
      <c r="DJ93" t="s">
        <v>2569</v>
      </c>
      <c r="DK93" t="s">
        <v>2569</v>
      </c>
      <c r="DL93" t="s">
        <v>2694</v>
      </c>
      <c r="DM93" t="s">
        <v>2694</v>
      </c>
      <c r="DN93" t="s">
        <v>2694</v>
      </c>
      <c r="DO93" t="s">
        <v>2694</v>
      </c>
      <c r="DP93" t="s">
        <v>2694</v>
      </c>
      <c r="DQ93" t="s">
        <v>2694</v>
      </c>
      <c r="DR93" t="s">
        <v>2694</v>
      </c>
      <c r="DS93" t="s">
        <v>2694</v>
      </c>
      <c r="DT93" t="s">
        <v>2694</v>
      </c>
      <c r="DU93" t="s">
        <v>2694</v>
      </c>
      <c r="DV93" t="s">
        <v>2694</v>
      </c>
      <c r="DW93" t="s">
        <v>2694</v>
      </c>
      <c r="DX93" t="s">
        <v>2694</v>
      </c>
      <c r="DY93" t="s">
        <v>2694</v>
      </c>
      <c r="DZ93" t="s">
        <v>2694</v>
      </c>
      <c r="EA93" t="s">
        <v>2694</v>
      </c>
      <c r="EB93" t="s">
        <v>2599</v>
      </c>
      <c r="EC93" t="s">
        <v>2599</v>
      </c>
      <c r="ED93" t="s">
        <v>2599</v>
      </c>
      <c r="EE93" t="s">
        <v>2599</v>
      </c>
      <c r="EF93" t="s">
        <v>2599</v>
      </c>
      <c r="EG93" t="s">
        <v>2599</v>
      </c>
      <c r="EH93" t="s">
        <v>2599</v>
      </c>
      <c r="EI93" t="s">
        <v>2599</v>
      </c>
      <c r="EJ93" t="s">
        <v>2599</v>
      </c>
      <c r="EK93" t="s">
        <v>2599</v>
      </c>
      <c r="EL93" t="s">
        <v>2599</v>
      </c>
      <c r="EM93" t="s">
        <v>2599</v>
      </c>
      <c r="EN93" t="s">
        <v>2599</v>
      </c>
      <c r="EO93" t="s">
        <v>2599</v>
      </c>
      <c r="EP93" t="s">
        <v>2599</v>
      </c>
      <c r="EQ93" t="s">
        <v>2599</v>
      </c>
      <c r="ER93" t="s">
        <v>2599</v>
      </c>
      <c r="ES93" t="s">
        <v>2599</v>
      </c>
      <c r="ET93" t="s">
        <v>2599</v>
      </c>
      <c r="EU93" t="s">
        <v>2599</v>
      </c>
      <c r="EV93" t="s">
        <v>2599</v>
      </c>
      <c r="EW93" t="s">
        <v>2688</v>
      </c>
      <c r="EX93" t="s">
        <v>2688</v>
      </c>
      <c r="EY93" t="s">
        <v>2688</v>
      </c>
      <c r="EZ93" t="s">
        <v>2688</v>
      </c>
      <c r="FA93" t="s">
        <v>2688</v>
      </c>
      <c r="FB93" t="s">
        <v>2688</v>
      </c>
      <c r="FC93" t="s">
        <v>2688</v>
      </c>
      <c r="GY93" t="s">
        <v>4321</v>
      </c>
      <c r="GZ93" t="s">
        <v>4321</v>
      </c>
      <c r="JC93" t="s">
        <v>4322</v>
      </c>
      <c r="JD93" t="s">
        <v>4323</v>
      </c>
      <c r="JE93" t="s">
        <v>4322</v>
      </c>
      <c r="JF93" t="s">
        <v>4322</v>
      </c>
    </row>
    <row r="94" spans="37:281" x14ac:dyDescent="0.3">
      <c r="AN94" t="s">
        <v>2622</v>
      </c>
      <c r="AO94" t="s">
        <v>2622</v>
      </c>
      <c r="AP94" t="s">
        <v>2622</v>
      </c>
      <c r="AQ94" t="s">
        <v>2622</v>
      </c>
      <c r="AR94" t="s">
        <v>2622</v>
      </c>
      <c r="AS94" t="s">
        <v>2578</v>
      </c>
      <c r="AT94" t="s">
        <v>2578</v>
      </c>
      <c r="AU94" t="s">
        <v>2578</v>
      </c>
      <c r="AV94" t="s">
        <v>2578</v>
      </c>
      <c r="AW94" t="s">
        <v>2578</v>
      </c>
      <c r="AX94" t="s">
        <v>2578</v>
      </c>
      <c r="AY94" t="s">
        <v>2578</v>
      </c>
      <c r="AZ94" t="s">
        <v>2578</v>
      </c>
      <c r="BA94" t="s">
        <v>2578</v>
      </c>
      <c r="BB94" t="s">
        <v>2578</v>
      </c>
      <c r="BC94" t="s">
        <v>2578</v>
      </c>
      <c r="BD94" t="s">
        <v>2607</v>
      </c>
      <c r="BE94" t="s">
        <v>2607</v>
      </c>
      <c r="BF94" t="s">
        <v>2607</v>
      </c>
      <c r="BG94" t="s">
        <v>2607</v>
      </c>
      <c r="BH94" t="s">
        <v>2607</v>
      </c>
      <c r="BI94" t="s">
        <v>2607</v>
      </c>
      <c r="BJ94" t="s">
        <v>2607</v>
      </c>
      <c r="BK94" t="s">
        <v>2607</v>
      </c>
      <c r="BL94" t="s">
        <v>2703</v>
      </c>
      <c r="BM94" t="s">
        <v>2703</v>
      </c>
      <c r="BN94" t="s">
        <v>1244</v>
      </c>
      <c r="BS94" t="s">
        <v>2659</v>
      </c>
      <c r="BT94" t="s">
        <v>2659</v>
      </c>
      <c r="BU94" t="s">
        <v>2659</v>
      </c>
      <c r="BV94" t="s">
        <v>2659</v>
      </c>
      <c r="BW94" t="s">
        <v>2659</v>
      </c>
      <c r="BX94" t="s">
        <v>2659</v>
      </c>
      <c r="BY94" t="s">
        <v>2659</v>
      </c>
      <c r="BZ94" t="s">
        <v>2659</v>
      </c>
      <c r="CA94" t="s">
        <v>2659</v>
      </c>
      <c r="CB94" t="s">
        <v>2563</v>
      </c>
      <c r="CC94" t="s">
        <v>2563</v>
      </c>
      <c r="CD94" t="s">
        <v>2563</v>
      </c>
      <c r="CE94" t="s">
        <v>2563</v>
      </c>
      <c r="CF94" t="s">
        <v>2563</v>
      </c>
      <c r="CG94" t="s">
        <v>2563</v>
      </c>
      <c r="CH94" t="s">
        <v>2563</v>
      </c>
      <c r="CI94" t="s">
        <v>2563</v>
      </c>
      <c r="CJ94" t="s">
        <v>2563</v>
      </c>
      <c r="CK94" t="s">
        <v>2563</v>
      </c>
      <c r="CL94" t="s">
        <v>2563</v>
      </c>
      <c r="CM94" t="s">
        <v>2569</v>
      </c>
      <c r="CN94" t="s">
        <v>2569</v>
      </c>
      <c r="CO94" t="s">
        <v>2569</v>
      </c>
      <c r="CP94" t="s">
        <v>2569</v>
      </c>
      <c r="CQ94" t="s">
        <v>2569</v>
      </c>
      <c r="CR94" t="s">
        <v>2569</v>
      </c>
      <c r="CS94" t="s">
        <v>2569</v>
      </c>
      <c r="CT94" t="s">
        <v>2569</v>
      </c>
      <c r="CU94" t="s">
        <v>2569</v>
      </c>
      <c r="CV94" t="s">
        <v>2569</v>
      </c>
      <c r="CW94" t="s">
        <v>2569</v>
      </c>
      <c r="CX94" t="s">
        <v>2569</v>
      </c>
      <c r="CY94" t="s">
        <v>2569</v>
      </c>
      <c r="CZ94" t="s">
        <v>2569</v>
      </c>
      <c r="DA94" t="s">
        <v>2569</v>
      </c>
      <c r="DB94" t="s">
        <v>2569</v>
      </c>
      <c r="DC94" t="s">
        <v>2569</v>
      </c>
      <c r="DD94" t="s">
        <v>2569</v>
      </c>
      <c r="DE94" t="s">
        <v>2569</v>
      </c>
      <c r="DF94" t="s">
        <v>2569</v>
      </c>
      <c r="DG94" t="s">
        <v>2569</v>
      </c>
      <c r="DH94" t="s">
        <v>2569</v>
      </c>
      <c r="DI94" t="s">
        <v>2569</v>
      </c>
      <c r="DJ94" t="s">
        <v>2569</v>
      </c>
      <c r="DK94" t="s">
        <v>2694</v>
      </c>
      <c r="DL94" t="s">
        <v>2694</v>
      </c>
      <c r="DM94" t="s">
        <v>2694</v>
      </c>
      <c r="DN94" t="s">
        <v>2694</v>
      </c>
      <c r="DO94" t="s">
        <v>2694</v>
      </c>
      <c r="DP94" t="s">
        <v>2694</v>
      </c>
      <c r="DQ94" t="s">
        <v>2694</v>
      </c>
      <c r="DR94" t="s">
        <v>2694</v>
      </c>
      <c r="DS94" t="s">
        <v>2694</v>
      </c>
      <c r="DT94" t="s">
        <v>2694</v>
      </c>
      <c r="DU94" t="s">
        <v>2694</v>
      </c>
      <c r="DV94" t="s">
        <v>2694</v>
      </c>
      <c r="DW94" t="s">
        <v>2694</v>
      </c>
      <c r="DX94" t="s">
        <v>2694</v>
      </c>
      <c r="DY94" t="s">
        <v>2694</v>
      </c>
      <c r="DZ94" t="s">
        <v>2694</v>
      </c>
      <c r="EA94" t="s">
        <v>2694</v>
      </c>
      <c r="EB94" t="s">
        <v>2599</v>
      </c>
      <c r="EC94" t="s">
        <v>2599</v>
      </c>
      <c r="ED94" t="s">
        <v>2599</v>
      </c>
      <c r="EE94" t="s">
        <v>2599</v>
      </c>
      <c r="EF94" t="s">
        <v>2599</v>
      </c>
      <c r="EG94" t="s">
        <v>2599</v>
      </c>
      <c r="EH94" t="s">
        <v>2599</v>
      </c>
      <c r="EI94" t="s">
        <v>2599</v>
      </c>
      <c r="EJ94" t="s">
        <v>2599</v>
      </c>
      <c r="EK94" t="s">
        <v>2599</v>
      </c>
      <c r="EL94" t="s">
        <v>2599</v>
      </c>
      <c r="EM94" t="s">
        <v>2599</v>
      </c>
      <c r="EN94" t="s">
        <v>2599</v>
      </c>
      <c r="EO94" t="s">
        <v>2599</v>
      </c>
      <c r="EP94" t="s">
        <v>2599</v>
      </c>
      <c r="EQ94" t="s">
        <v>2599</v>
      </c>
      <c r="ER94" t="s">
        <v>2599</v>
      </c>
      <c r="ES94" t="s">
        <v>2599</v>
      </c>
      <c r="ET94" t="s">
        <v>2599</v>
      </c>
      <c r="EU94" t="s">
        <v>2599</v>
      </c>
      <c r="EV94" t="s">
        <v>2599</v>
      </c>
      <c r="EW94" t="s">
        <v>2599</v>
      </c>
      <c r="EX94" t="s">
        <v>2688</v>
      </c>
      <c r="EY94" t="s">
        <v>2688</v>
      </c>
      <c r="EZ94" t="s">
        <v>2688</v>
      </c>
      <c r="FA94" t="s">
        <v>2688</v>
      </c>
      <c r="FB94" t="s">
        <v>2688</v>
      </c>
      <c r="FC94" t="s">
        <v>2688</v>
      </c>
      <c r="GY94" t="s">
        <v>4321</v>
      </c>
      <c r="GZ94" t="s">
        <v>4321</v>
      </c>
      <c r="HN94" t="s">
        <v>4324</v>
      </c>
      <c r="HO94" t="s">
        <v>4324</v>
      </c>
      <c r="HP94" t="s">
        <v>4324</v>
      </c>
      <c r="JB94" t="s">
        <v>4322</v>
      </c>
      <c r="JC94" t="s">
        <v>4322</v>
      </c>
      <c r="JD94" t="s">
        <v>4323</v>
      </c>
      <c r="JE94" t="s">
        <v>4323</v>
      </c>
    </row>
    <row r="95" spans="37:281" x14ac:dyDescent="0.3">
      <c r="AM95" t="s">
        <v>2622</v>
      </c>
      <c r="AN95" t="s">
        <v>2622</v>
      </c>
      <c r="AO95" t="s">
        <v>2622</v>
      </c>
      <c r="AP95" t="s">
        <v>2622</v>
      </c>
      <c r="AQ95" t="s">
        <v>2622</v>
      </c>
      <c r="AR95" t="s">
        <v>2622</v>
      </c>
      <c r="AS95" t="s">
        <v>2578</v>
      </c>
      <c r="AT95" t="s">
        <v>2578</v>
      </c>
      <c r="AU95" t="s">
        <v>2578</v>
      </c>
      <c r="AV95" t="s">
        <v>2578</v>
      </c>
      <c r="AW95" t="s">
        <v>2578</v>
      </c>
      <c r="AX95" t="s">
        <v>2578</v>
      </c>
      <c r="AY95" t="s">
        <v>2578</v>
      </c>
      <c r="AZ95" t="s">
        <v>2578</v>
      </c>
      <c r="BA95" t="s">
        <v>2578</v>
      </c>
      <c r="BB95" t="s">
        <v>2578</v>
      </c>
      <c r="BC95" t="s">
        <v>2578</v>
      </c>
      <c r="BD95" t="s">
        <v>2607</v>
      </c>
      <c r="BE95" t="s">
        <v>2607</v>
      </c>
      <c r="BF95" t="s">
        <v>2607</v>
      </c>
      <c r="BG95" t="s">
        <v>2607</v>
      </c>
      <c r="BH95" t="s">
        <v>2607</v>
      </c>
      <c r="BI95" t="s">
        <v>2607</v>
      </c>
      <c r="BJ95" t="s">
        <v>2607</v>
      </c>
      <c r="BK95" t="s">
        <v>2703</v>
      </c>
      <c r="BL95" t="s">
        <v>2703</v>
      </c>
      <c r="BM95" t="s">
        <v>1244</v>
      </c>
      <c r="BN95" t="s">
        <v>1244</v>
      </c>
      <c r="BO95" t="s">
        <v>2659</v>
      </c>
      <c r="BP95" t="s">
        <v>2659</v>
      </c>
      <c r="BQ95" t="s">
        <v>2659</v>
      </c>
      <c r="BR95" t="s">
        <v>2659</v>
      </c>
      <c r="BS95" t="s">
        <v>2659</v>
      </c>
      <c r="BT95" t="s">
        <v>2659</v>
      </c>
      <c r="BU95" t="s">
        <v>2659</v>
      </c>
      <c r="BV95" t="s">
        <v>2659</v>
      </c>
      <c r="BW95" t="s">
        <v>2659</v>
      </c>
      <c r="BX95" t="s">
        <v>2659</v>
      </c>
      <c r="BY95" t="s">
        <v>2659</v>
      </c>
      <c r="BZ95" t="s">
        <v>2659</v>
      </c>
      <c r="CA95" t="s">
        <v>2659</v>
      </c>
      <c r="CB95" t="s">
        <v>2659</v>
      </c>
      <c r="CC95" t="s">
        <v>2659</v>
      </c>
      <c r="CD95" t="s">
        <v>2563</v>
      </c>
      <c r="CE95" t="s">
        <v>2563</v>
      </c>
      <c r="CF95" t="s">
        <v>2659</v>
      </c>
      <c r="CG95" t="s">
        <v>2563</v>
      </c>
      <c r="CH95" t="s">
        <v>2563</v>
      </c>
      <c r="CI95" t="s">
        <v>2563</v>
      </c>
      <c r="CJ95" t="s">
        <v>2563</v>
      </c>
      <c r="CK95" t="s">
        <v>2563</v>
      </c>
      <c r="CL95" t="s">
        <v>2563</v>
      </c>
      <c r="CM95" t="s">
        <v>2563</v>
      </c>
      <c r="CN95" t="s">
        <v>2569</v>
      </c>
      <c r="CO95" t="s">
        <v>2569</v>
      </c>
      <c r="CP95" t="s">
        <v>2569</v>
      </c>
      <c r="CQ95" t="s">
        <v>2569</v>
      </c>
      <c r="CR95" t="s">
        <v>2569</v>
      </c>
      <c r="CS95" t="s">
        <v>2569</v>
      </c>
      <c r="CT95" t="s">
        <v>2569</v>
      </c>
      <c r="CU95" t="s">
        <v>2569</v>
      </c>
      <c r="CV95" t="s">
        <v>2569</v>
      </c>
      <c r="CW95" t="s">
        <v>2569</v>
      </c>
      <c r="CX95" t="s">
        <v>2569</v>
      </c>
      <c r="CY95" t="s">
        <v>2569</v>
      </c>
      <c r="CZ95" t="s">
        <v>2569</v>
      </c>
      <c r="DA95" t="s">
        <v>2569</v>
      </c>
      <c r="DB95" t="s">
        <v>2569</v>
      </c>
      <c r="DC95" t="s">
        <v>2569</v>
      </c>
      <c r="DD95" t="s">
        <v>2569</v>
      </c>
      <c r="DE95" t="s">
        <v>2569</v>
      </c>
      <c r="DF95" t="s">
        <v>2569</v>
      </c>
      <c r="DG95" t="s">
        <v>2569</v>
      </c>
      <c r="DH95" t="s">
        <v>2569</v>
      </c>
      <c r="DI95" t="s">
        <v>2569</v>
      </c>
      <c r="DJ95" t="s">
        <v>2694</v>
      </c>
      <c r="DK95" t="s">
        <v>2694</v>
      </c>
      <c r="DL95" t="s">
        <v>2694</v>
      </c>
      <c r="DM95" t="s">
        <v>2694</v>
      </c>
      <c r="DN95" t="s">
        <v>2694</v>
      </c>
      <c r="DO95" t="s">
        <v>2694</v>
      </c>
      <c r="DP95" t="s">
        <v>2694</v>
      </c>
      <c r="DQ95" t="s">
        <v>2694</v>
      </c>
      <c r="DR95" t="s">
        <v>2694</v>
      </c>
      <c r="DS95" t="s">
        <v>2694</v>
      </c>
      <c r="DT95" t="s">
        <v>2694</v>
      </c>
      <c r="DU95" t="s">
        <v>2694</v>
      </c>
      <c r="DV95" t="s">
        <v>2694</v>
      </c>
      <c r="DW95" t="s">
        <v>2694</v>
      </c>
      <c r="DX95" t="s">
        <v>2694</v>
      </c>
      <c r="DY95" t="s">
        <v>2694</v>
      </c>
      <c r="DZ95" t="s">
        <v>2694</v>
      </c>
      <c r="EA95" t="s">
        <v>2599</v>
      </c>
      <c r="EB95" t="s">
        <v>2599</v>
      </c>
      <c r="EC95" t="s">
        <v>2599</v>
      </c>
      <c r="ED95" t="s">
        <v>2599</v>
      </c>
      <c r="EE95" t="s">
        <v>2599</v>
      </c>
      <c r="EF95" t="s">
        <v>2599</v>
      </c>
      <c r="EG95" t="s">
        <v>2599</v>
      </c>
      <c r="EH95" t="s">
        <v>2599</v>
      </c>
      <c r="EI95" t="s">
        <v>2599</v>
      </c>
      <c r="EJ95" t="s">
        <v>2599</v>
      </c>
      <c r="EK95" t="s">
        <v>2599</v>
      </c>
      <c r="EL95" t="s">
        <v>2599</v>
      </c>
      <c r="EM95" t="s">
        <v>2599</v>
      </c>
      <c r="EN95" t="s">
        <v>2599</v>
      </c>
      <c r="EO95" t="s">
        <v>2599</v>
      </c>
      <c r="EP95" t="s">
        <v>2599</v>
      </c>
      <c r="EQ95" t="s">
        <v>2599</v>
      </c>
      <c r="ER95" t="s">
        <v>2599</v>
      </c>
      <c r="ES95" t="s">
        <v>2599</v>
      </c>
      <c r="ET95" t="s">
        <v>2599</v>
      </c>
      <c r="EU95" t="s">
        <v>2599</v>
      </c>
      <c r="EV95" t="s">
        <v>2599</v>
      </c>
      <c r="EW95" t="s">
        <v>2599</v>
      </c>
      <c r="EX95" t="s">
        <v>2599</v>
      </c>
      <c r="EY95" t="s">
        <v>2688</v>
      </c>
      <c r="EZ95" t="s">
        <v>2688</v>
      </c>
      <c r="FA95" t="s">
        <v>2688</v>
      </c>
      <c r="FB95" t="s">
        <v>2688</v>
      </c>
      <c r="FC95" t="s">
        <v>2688</v>
      </c>
      <c r="FD95" t="s">
        <v>2688</v>
      </c>
      <c r="GY95" t="s">
        <v>4321</v>
      </c>
      <c r="GZ95" t="s">
        <v>4321</v>
      </c>
      <c r="HN95" t="s">
        <v>4324</v>
      </c>
      <c r="HO95" t="s">
        <v>4324</v>
      </c>
      <c r="HP95" t="s">
        <v>4324</v>
      </c>
      <c r="JB95" t="s">
        <v>4323</v>
      </c>
      <c r="JC95" t="s">
        <v>4323</v>
      </c>
      <c r="JD95" t="s">
        <v>4323</v>
      </c>
    </row>
    <row r="96" spans="37:281" x14ac:dyDescent="0.3">
      <c r="AK96" t="s">
        <v>2685</v>
      </c>
      <c r="AL96" t="s">
        <v>2685</v>
      </c>
      <c r="AM96" t="s">
        <v>2685</v>
      </c>
      <c r="AN96" t="s">
        <v>2622</v>
      </c>
      <c r="AO96" t="s">
        <v>2622</v>
      </c>
      <c r="AP96" t="s">
        <v>2622</v>
      </c>
      <c r="AQ96" t="s">
        <v>2622</v>
      </c>
      <c r="AR96" t="s">
        <v>2622</v>
      </c>
      <c r="AS96" t="s">
        <v>2578</v>
      </c>
      <c r="AT96" t="s">
        <v>2578</v>
      </c>
      <c r="AU96" t="s">
        <v>2578</v>
      </c>
      <c r="AV96" t="s">
        <v>2578</v>
      </c>
      <c r="AW96" t="s">
        <v>2578</v>
      </c>
      <c r="AX96" t="s">
        <v>2578</v>
      </c>
      <c r="AY96" t="s">
        <v>2578</v>
      </c>
      <c r="AZ96" t="s">
        <v>2578</v>
      </c>
      <c r="BA96" t="s">
        <v>2578</v>
      </c>
      <c r="BB96" t="s">
        <v>2578</v>
      </c>
      <c r="BC96" t="s">
        <v>2578</v>
      </c>
      <c r="BD96" t="s">
        <v>2607</v>
      </c>
      <c r="BE96" t="s">
        <v>2607</v>
      </c>
      <c r="BF96" t="s">
        <v>2607</v>
      </c>
      <c r="BG96" t="s">
        <v>2607</v>
      </c>
      <c r="BH96" t="s">
        <v>2607</v>
      </c>
      <c r="BI96" t="s">
        <v>2607</v>
      </c>
      <c r="BJ96" t="s">
        <v>2607</v>
      </c>
      <c r="BK96" t="s">
        <v>2703</v>
      </c>
      <c r="BL96" t="s">
        <v>2703</v>
      </c>
      <c r="BM96" t="s">
        <v>1244</v>
      </c>
      <c r="BN96" t="s">
        <v>1244</v>
      </c>
      <c r="BO96" t="s">
        <v>2659</v>
      </c>
      <c r="BP96" t="s">
        <v>2659</v>
      </c>
      <c r="BQ96" t="s">
        <v>2659</v>
      </c>
      <c r="BR96" t="s">
        <v>2659</v>
      </c>
      <c r="BS96" t="s">
        <v>2659</v>
      </c>
      <c r="BT96" t="s">
        <v>2659</v>
      </c>
      <c r="BU96" t="s">
        <v>2659</v>
      </c>
      <c r="BV96" t="s">
        <v>2659</v>
      </c>
      <c r="BW96" t="s">
        <v>2659</v>
      </c>
      <c r="BX96" t="s">
        <v>2659</v>
      </c>
      <c r="BY96" t="s">
        <v>2659</v>
      </c>
      <c r="BZ96" t="s">
        <v>2659</v>
      </c>
      <c r="CA96" t="s">
        <v>2659</v>
      </c>
      <c r="CB96" t="s">
        <v>2659</v>
      </c>
      <c r="CC96" t="s">
        <v>2659</v>
      </c>
      <c r="CD96" t="s">
        <v>2659</v>
      </c>
      <c r="CE96" t="s">
        <v>2659</v>
      </c>
      <c r="CF96" t="s">
        <v>2659</v>
      </c>
      <c r="CG96" t="s">
        <v>2659</v>
      </c>
      <c r="CH96" t="s">
        <v>2563</v>
      </c>
      <c r="CI96" t="s">
        <v>2563</v>
      </c>
      <c r="CJ96" t="s">
        <v>2563</v>
      </c>
      <c r="CK96" t="s">
        <v>2563</v>
      </c>
      <c r="CL96" t="s">
        <v>2563</v>
      </c>
      <c r="CM96" t="s">
        <v>2563</v>
      </c>
      <c r="CN96" t="s">
        <v>2569</v>
      </c>
      <c r="CO96" t="s">
        <v>2569</v>
      </c>
      <c r="CP96" t="s">
        <v>2569</v>
      </c>
      <c r="CQ96" t="s">
        <v>2569</v>
      </c>
      <c r="CR96" t="s">
        <v>2569</v>
      </c>
      <c r="CS96" t="s">
        <v>2569</v>
      </c>
      <c r="CT96" t="s">
        <v>2569</v>
      </c>
      <c r="CU96" t="s">
        <v>2569</v>
      </c>
      <c r="CV96" t="s">
        <v>2569</v>
      </c>
      <c r="CW96" t="s">
        <v>2569</v>
      </c>
      <c r="CX96" t="s">
        <v>2569</v>
      </c>
      <c r="CY96" t="s">
        <v>2569</v>
      </c>
      <c r="CZ96" t="s">
        <v>2569</v>
      </c>
      <c r="DA96" t="s">
        <v>2569</v>
      </c>
      <c r="DB96" t="s">
        <v>2569</v>
      </c>
      <c r="DC96" t="s">
        <v>2569</v>
      </c>
      <c r="DD96" t="s">
        <v>2569</v>
      </c>
      <c r="DE96" t="s">
        <v>2569</v>
      </c>
      <c r="DF96" t="s">
        <v>2569</v>
      </c>
      <c r="DG96" t="s">
        <v>2569</v>
      </c>
      <c r="DH96" t="s">
        <v>2569</v>
      </c>
      <c r="DI96" t="s">
        <v>2694</v>
      </c>
      <c r="DJ96" t="s">
        <v>2694</v>
      </c>
      <c r="DK96" t="s">
        <v>2694</v>
      </c>
      <c r="DL96" t="s">
        <v>2694</v>
      </c>
      <c r="DM96" t="s">
        <v>2694</v>
      </c>
      <c r="DN96" t="s">
        <v>2694</v>
      </c>
      <c r="DO96" t="s">
        <v>2694</v>
      </c>
      <c r="DP96" t="s">
        <v>2694</v>
      </c>
      <c r="DQ96" t="s">
        <v>2694</v>
      </c>
      <c r="DR96" t="s">
        <v>2694</v>
      </c>
      <c r="DS96" t="s">
        <v>2694</v>
      </c>
      <c r="DT96" t="s">
        <v>2694</v>
      </c>
      <c r="DU96" t="s">
        <v>2694</v>
      </c>
      <c r="DV96" t="s">
        <v>2694</v>
      </c>
      <c r="DW96" t="s">
        <v>2694</v>
      </c>
      <c r="DX96" t="s">
        <v>2694</v>
      </c>
      <c r="DY96" t="s">
        <v>2694</v>
      </c>
      <c r="DZ96" t="s">
        <v>2599</v>
      </c>
      <c r="EA96" t="s">
        <v>2599</v>
      </c>
      <c r="EB96" t="s">
        <v>2599</v>
      </c>
      <c r="EC96" t="s">
        <v>2599</v>
      </c>
      <c r="ED96" t="s">
        <v>2599</v>
      </c>
      <c r="EE96" t="s">
        <v>2599</v>
      </c>
      <c r="EF96" t="s">
        <v>2599</v>
      </c>
      <c r="EG96" t="s">
        <v>2599</v>
      </c>
      <c r="EH96" t="s">
        <v>2599</v>
      </c>
      <c r="EI96" t="s">
        <v>2599</v>
      </c>
      <c r="EJ96" t="s">
        <v>2599</v>
      </c>
      <c r="EK96" t="s">
        <v>2599</v>
      </c>
      <c r="EL96" t="s">
        <v>2599</v>
      </c>
      <c r="EM96" t="s">
        <v>2599</v>
      </c>
      <c r="EN96" t="s">
        <v>2599</v>
      </c>
      <c r="EO96" t="s">
        <v>2599</v>
      </c>
      <c r="EP96" t="s">
        <v>2599</v>
      </c>
      <c r="EQ96" t="s">
        <v>2599</v>
      </c>
      <c r="ER96" t="s">
        <v>2599</v>
      </c>
      <c r="ES96" t="s">
        <v>2599</v>
      </c>
      <c r="ET96" t="s">
        <v>2599</v>
      </c>
      <c r="EU96" t="s">
        <v>2599</v>
      </c>
      <c r="EV96" t="s">
        <v>2599</v>
      </c>
      <c r="EW96" t="s">
        <v>2599</v>
      </c>
      <c r="EX96" t="s">
        <v>2599</v>
      </c>
      <c r="EY96" t="s">
        <v>2599</v>
      </c>
      <c r="EZ96" t="s">
        <v>2688</v>
      </c>
      <c r="FA96" t="s">
        <v>2688</v>
      </c>
      <c r="FB96" t="s">
        <v>2688</v>
      </c>
      <c r="FC96" t="s">
        <v>2688</v>
      </c>
      <c r="FD96" t="s">
        <v>2688</v>
      </c>
      <c r="HN96" t="s">
        <v>4324</v>
      </c>
      <c r="HO96" t="s">
        <v>4324</v>
      </c>
      <c r="HP96" t="s">
        <v>4324</v>
      </c>
      <c r="JA96" t="s">
        <v>4323</v>
      </c>
      <c r="JB96" t="s">
        <v>4323</v>
      </c>
    </row>
    <row r="97" spans="11:280" x14ac:dyDescent="0.3">
      <c r="AJ97" t="s">
        <v>2685</v>
      </c>
      <c r="AK97" t="s">
        <v>2685</v>
      </c>
      <c r="AL97" t="s">
        <v>2685</v>
      </c>
      <c r="AM97" t="s">
        <v>2685</v>
      </c>
      <c r="AN97" t="s">
        <v>2622</v>
      </c>
      <c r="AO97" t="s">
        <v>2622</v>
      </c>
      <c r="AP97" t="s">
        <v>2622</v>
      </c>
      <c r="AQ97" t="s">
        <v>2610</v>
      </c>
      <c r="AR97" t="s">
        <v>2610</v>
      </c>
      <c r="AS97" t="s">
        <v>2578</v>
      </c>
      <c r="AT97" t="s">
        <v>2578</v>
      </c>
      <c r="AU97" t="s">
        <v>2578</v>
      </c>
      <c r="AV97" t="s">
        <v>2578</v>
      </c>
      <c r="AW97" t="s">
        <v>2578</v>
      </c>
      <c r="AX97" t="s">
        <v>2578</v>
      </c>
      <c r="AY97" t="s">
        <v>2578</v>
      </c>
      <c r="AZ97" t="s">
        <v>2578</v>
      </c>
      <c r="BA97" t="s">
        <v>2578</v>
      </c>
      <c r="BB97" t="s">
        <v>2578</v>
      </c>
      <c r="BC97" t="s">
        <v>2578</v>
      </c>
      <c r="BD97" t="s">
        <v>2607</v>
      </c>
      <c r="BE97" t="s">
        <v>2607</v>
      </c>
      <c r="BF97" t="s">
        <v>2607</v>
      </c>
      <c r="BG97" t="s">
        <v>2607</v>
      </c>
      <c r="BH97" t="s">
        <v>2607</v>
      </c>
      <c r="BI97" t="s">
        <v>2607</v>
      </c>
      <c r="BJ97" t="s">
        <v>2607</v>
      </c>
      <c r="BK97" t="s">
        <v>2703</v>
      </c>
      <c r="BL97" t="s">
        <v>2703</v>
      </c>
      <c r="BM97" t="s">
        <v>1244</v>
      </c>
      <c r="BN97" t="s">
        <v>1244</v>
      </c>
      <c r="BO97" t="s">
        <v>2659</v>
      </c>
      <c r="BP97" t="s">
        <v>2659</v>
      </c>
      <c r="BQ97" t="s">
        <v>2659</v>
      </c>
      <c r="BR97" t="s">
        <v>2659</v>
      </c>
      <c r="BS97" t="s">
        <v>2659</v>
      </c>
      <c r="BT97" t="s">
        <v>2659</v>
      </c>
      <c r="BU97" t="s">
        <v>2659</v>
      </c>
      <c r="BV97" t="s">
        <v>2659</v>
      </c>
      <c r="BW97" t="s">
        <v>2659</v>
      </c>
      <c r="BX97" t="s">
        <v>2659</v>
      </c>
      <c r="BY97" t="s">
        <v>2659</v>
      </c>
      <c r="BZ97" t="s">
        <v>2659</v>
      </c>
      <c r="CA97" t="s">
        <v>2659</v>
      </c>
      <c r="CB97" t="s">
        <v>2659</v>
      </c>
      <c r="CC97" t="s">
        <v>2659</v>
      </c>
      <c r="CD97" t="s">
        <v>2659</v>
      </c>
      <c r="CE97" t="s">
        <v>2659</v>
      </c>
      <c r="CF97" t="s">
        <v>2659</v>
      </c>
      <c r="CG97" t="s">
        <v>2659</v>
      </c>
      <c r="CH97" t="s">
        <v>2563</v>
      </c>
      <c r="CI97" t="s">
        <v>2563</v>
      </c>
      <c r="CJ97" t="s">
        <v>2563</v>
      </c>
      <c r="CK97" t="s">
        <v>2563</v>
      </c>
      <c r="CL97" t="s">
        <v>2563</v>
      </c>
      <c r="CM97" t="s">
        <v>2563</v>
      </c>
      <c r="CN97" t="s">
        <v>2563</v>
      </c>
      <c r="CO97" t="s">
        <v>2572</v>
      </c>
      <c r="CP97" t="s">
        <v>2572</v>
      </c>
      <c r="CQ97" t="s">
        <v>2572</v>
      </c>
      <c r="CR97" t="s">
        <v>2572</v>
      </c>
      <c r="CS97" t="s">
        <v>2569</v>
      </c>
      <c r="CT97" t="s">
        <v>2569</v>
      </c>
      <c r="CU97" t="s">
        <v>2569</v>
      </c>
      <c r="CV97" t="s">
        <v>2569</v>
      </c>
      <c r="CW97" t="s">
        <v>2569</v>
      </c>
      <c r="CX97" t="s">
        <v>2569</v>
      </c>
      <c r="CY97" t="s">
        <v>2569</v>
      </c>
      <c r="CZ97" t="s">
        <v>2569</v>
      </c>
      <c r="DA97" t="s">
        <v>2569</v>
      </c>
      <c r="DB97" t="s">
        <v>2569</v>
      </c>
      <c r="DC97" t="s">
        <v>2569</v>
      </c>
      <c r="DD97" t="s">
        <v>2569</v>
      </c>
      <c r="DE97" t="s">
        <v>2569</v>
      </c>
      <c r="DF97" t="s">
        <v>2569</v>
      </c>
      <c r="DG97" t="s">
        <v>2569</v>
      </c>
      <c r="DH97" t="s">
        <v>2694</v>
      </c>
      <c r="DI97" t="s">
        <v>2694</v>
      </c>
      <c r="DJ97" t="s">
        <v>2694</v>
      </c>
      <c r="DK97" t="s">
        <v>2694</v>
      </c>
      <c r="DL97" t="s">
        <v>2694</v>
      </c>
      <c r="DM97" t="s">
        <v>2694</v>
      </c>
      <c r="DN97" t="s">
        <v>2694</v>
      </c>
      <c r="DO97" t="s">
        <v>2694</v>
      </c>
      <c r="DP97" t="s">
        <v>2694</v>
      </c>
      <c r="DQ97" t="s">
        <v>2694</v>
      </c>
      <c r="DR97" t="s">
        <v>2694</v>
      </c>
      <c r="DS97" t="s">
        <v>2694</v>
      </c>
      <c r="DT97" t="s">
        <v>2694</v>
      </c>
      <c r="DU97" t="s">
        <v>2694</v>
      </c>
      <c r="DV97" t="s">
        <v>2694</v>
      </c>
      <c r="DW97" t="s">
        <v>2694</v>
      </c>
      <c r="DX97" t="s">
        <v>2694</v>
      </c>
      <c r="DY97" t="s">
        <v>2599</v>
      </c>
      <c r="DZ97" t="s">
        <v>2599</v>
      </c>
      <c r="EA97" t="s">
        <v>2599</v>
      </c>
      <c r="EB97" t="s">
        <v>2599</v>
      </c>
      <c r="EC97" t="s">
        <v>2599</v>
      </c>
      <c r="ED97" t="s">
        <v>2599</v>
      </c>
      <c r="EE97" t="s">
        <v>2599</v>
      </c>
      <c r="EF97" t="s">
        <v>2599</v>
      </c>
      <c r="EG97" t="s">
        <v>2599</v>
      </c>
      <c r="EH97" t="s">
        <v>2599</v>
      </c>
      <c r="EI97" t="s">
        <v>2599</v>
      </c>
      <c r="EJ97" t="s">
        <v>2599</v>
      </c>
      <c r="EK97" t="s">
        <v>2599</v>
      </c>
      <c r="EL97" t="s">
        <v>2599</v>
      </c>
      <c r="EM97" t="s">
        <v>2599</v>
      </c>
      <c r="EN97" t="s">
        <v>2599</v>
      </c>
      <c r="EO97" t="s">
        <v>2599</v>
      </c>
      <c r="EP97" t="s">
        <v>2599</v>
      </c>
      <c r="EQ97" t="s">
        <v>2599</v>
      </c>
      <c r="ER97" t="s">
        <v>2599</v>
      </c>
      <c r="ES97" t="s">
        <v>2599</v>
      </c>
      <c r="ET97" t="s">
        <v>2599</v>
      </c>
      <c r="EU97" t="s">
        <v>2599</v>
      </c>
      <c r="EV97" t="s">
        <v>2599</v>
      </c>
      <c r="EW97" t="s">
        <v>2599</v>
      </c>
      <c r="EX97" t="s">
        <v>2599</v>
      </c>
      <c r="EY97" t="s">
        <v>2599</v>
      </c>
      <c r="EZ97" t="s">
        <v>2599</v>
      </c>
      <c r="FA97" t="s">
        <v>2688</v>
      </c>
      <c r="FB97" t="s">
        <v>2688</v>
      </c>
      <c r="FC97" t="s">
        <v>2688</v>
      </c>
      <c r="FD97" t="s">
        <v>2688</v>
      </c>
      <c r="FE97" t="s">
        <v>2688</v>
      </c>
      <c r="HN97" t="s">
        <v>4324</v>
      </c>
      <c r="HO97" t="s">
        <v>4324</v>
      </c>
      <c r="HP97" t="s">
        <v>4324</v>
      </c>
      <c r="IZ97" t="s">
        <v>4323</v>
      </c>
      <c r="JA97" t="s">
        <v>4323</v>
      </c>
      <c r="JB97" t="s">
        <v>4323</v>
      </c>
    </row>
    <row r="98" spans="11:280" x14ac:dyDescent="0.3">
      <c r="AJ98" t="s">
        <v>2685</v>
      </c>
      <c r="AK98" t="s">
        <v>2685</v>
      </c>
      <c r="AL98" t="s">
        <v>2685</v>
      </c>
      <c r="AM98" t="s">
        <v>2685</v>
      </c>
      <c r="AN98" t="s">
        <v>2685</v>
      </c>
      <c r="AO98" t="s">
        <v>2622</v>
      </c>
      <c r="AP98" t="s">
        <v>2622</v>
      </c>
      <c r="AQ98" t="s">
        <v>2610</v>
      </c>
      <c r="AR98" t="s">
        <v>2610</v>
      </c>
      <c r="AS98" t="s">
        <v>2578</v>
      </c>
      <c r="AT98" t="s">
        <v>2578</v>
      </c>
      <c r="AU98" t="s">
        <v>2578</v>
      </c>
      <c r="AV98" t="s">
        <v>2578</v>
      </c>
      <c r="AW98" t="s">
        <v>2578</v>
      </c>
      <c r="AX98" t="s">
        <v>2578</v>
      </c>
      <c r="AY98" t="s">
        <v>2578</v>
      </c>
      <c r="AZ98" t="s">
        <v>2578</v>
      </c>
      <c r="BA98" t="s">
        <v>2578</v>
      </c>
      <c r="BB98" t="s">
        <v>2578</v>
      </c>
      <c r="BC98" t="s">
        <v>2578</v>
      </c>
      <c r="BD98" t="s">
        <v>2578</v>
      </c>
      <c r="BE98" t="s">
        <v>2607</v>
      </c>
      <c r="BF98" t="s">
        <v>2607</v>
      </c>
      <c r="BG98" t="s">
        <v>2607</v>
      </c>
      <c r="BH98" t="s">
        <v>2607</v>
      </c>
      <c r="BI98" t="s">
        <v>2607</v>
      </c>
      <c r="BJ98" t="s">
        <v>2607</v>
      </c>
      <c r="BK98" t="s">
        <v>2703</v>
      </c>
      <c r="BL98" t="s">
        <v>2703</v>
      </c>
      <c r="BM98" t="s">
        <v>1244</v>
      </c>
      <c r="BN98" t="s">
        <v>1244</v>
      </c>
      <c r="BO98" t="s">
        <v>2659</v>
      </c>
      <c r="BP98" t="s">
        <v>2659</v>
      </c>
      <c r="BQ98" t="s">
        <v>2659</v>
      </c>
      <c r="BR98" t="s">
        <v>2659</v>
      </c>
      <c r="BS98" t="s">
        <v>2659</v>
      </c>
      <c r="BT98" t="s">
        <v>2659</v>
      </c>
      <c r="BU98" t="s">
        <v>2659</v>
      </c>
      <c r="BV98" t="s">
        <v>2659</v>
      </c>
      <c r="BW98" t="s">
        <v>2659</v>
      </c>
      <c r="BX98" t="s">
        <v>2659</v>
      </c>
      <c r="BY98" t="s">
        <v>2659</v>
      </c>
      <c r="BZ98" t="s">
        <v>2659</v>
      </c>
      <c r="CA98" t="s">
        <v>2659</v>
      </c>
      <c r="CB98" t="s">
        <v>2659</v>
      </c>
      <c r="CC98" t="s">
        <v>2659</v>
      </c>
      <c r="CD98" t="s">
        <v>2659</v>
      </c>
      <c r="CE98" t="s">
        <v>2659</v>
      </c>
      <c r="CF98" t="s">
        <v>2659</v>
      </c>
      <c r="CG98" t="s">
        <v>2659</v>
      </c>
      <c r="CH98" t="s">
        <v>2563</v>
      </c>
      <c r="CI98" t="s">
        <v>2563</v>
      </c>
      <c r="CJ98" t="s">
        <v>2563</v>
      </c>
      <c r="CK98" t="s">
        <v>2563</v>
      </c>
      <c r="CL98" t="s">
        <v>2563</v>
      </c>
      <c r="CM98" t="s">
        <v>2563</v>
      </c>
      <c r="CN98" t="s">
        <v>2572</v>
      </c>
      <c r="CO98" t="s">
        <v>2572</v>
      </c>
      <c r="CP98" t="s">
        <v>2572</v>
      </c>
      <c r="CQ98" t="s">
        <v>2572</v>
      </c>
      <c r="CR98" t="s">
        <v>2572</v>
      </c>
      <c r="CS98" t="s">
        <v>2572</v>
      </c>
      <c r="CT98" t="s">
        <v>2572</v>
      </c>
      <c r="CU98" t="s">
        <v>2569</v>
      </c>
      <c r="CV98" t="s">
        <v>2569</v>
      </c>
      <c r="CW98" t="s">
        <v>2569</v>
      </c>
      <c r="CX98" t="s">
        <v>2569</v>
      </c>
      <c r="CY98" t="s">
        <v>2569</v>
      </c>
      <c r="CZ98" t="s">
        <v>2569</v>
      </c>
      <c r="DA98" t="s">
        <v>2569</v>
      </c>
      <c r="DB98" t="s">
        <v>2569</v>
      </c>
      <c r="DC98" t="s">
        <v>2569</v>
      </c>
      <c r="DD98" t="s">
        <v>2569</v>
      </c>
      <c r="DE98" t="s">
        <v>2569</v>
      </c>
      <c r="DF98" t="s">
        <v>2569</v>
      </c>
      <c r="DG98" t="s">
        <v>2694</v>
      </c>
      <c r="DH98" t="s">
        <v>2694</v>
      </c>
      <c r="DI98" t="s">
        <v>2694</v>
      </c>
      <c r="DJ98" t="s">
        <v>2694</v>
      </c>
      <c r="DK98" t="s">
        <v>2694</v>
      </c>
      <c r="DL98" t="s">
        <v>2694</v>
      </c>
      <c r="DM98" t="s">
        <v>2694</v>
      </c>
      <c r="DN98" t="s">
        <v>2694</v>
      </c>
      <c r="DO98" t="s">
        <v>2694</v>
      </c>
      <c r="DP98" t="s">
        <v>2694</v>
      </c>
      <c r="DQ98" t="s">
        <v>2694</v>
      </c>
      <c r="DR98" t="s">
        <v>2694</v>
      </c>
      <c r="DS98" t="s">
        <v>2694</v>
      </c>
      <c r="DT98" t="s">
        <v>2694</v>
      </c>
      <c r="DU98" t="s">
        <v>2694</v>
      </c>
      <c r="DV98" t="s">
        <v>2694</v>
      </c>
      <c r="DW98" t="s">
        <v>2694</v>
      </c>
      <c r="DX98" t="s">
        <v>2599</v>
      </c>
      <c r="DY98" t="s">
        <v>2599</v>
      </c>
      <c r="DZ98" t="s">
        <v>2599</v>
      </c>
      <c r="EA98" t="s">
        <v>2599</v>
      </c>
      <c r="EB98" t="s">
        <v>2599</v>
      </c>
      <c r="EC98" t="s">
        <v>2599</v>
      </c>
      <c r="ED98" t="s">
        <v>2599</v>
      </c>
      <c r="EE98" t="s">
        <v>2599</v>
      </c>
      <c r="EF98" t="s">
        <v>2599</v>
      </c>
      <c r="EG98" t="s">
        <v>2599</v>
      </c>
      <c r="EH98" t="s">
        <v>2599</v>
      </c>
      <c r="EI98" t="s">
        <v>2599</v>
      </c>
      <c r="EJ98" t="s">
        <v>2599</v>
      </c>
      <c r="EK98" t="s">
        <v>2599</v>
      </c>
      <c r="EL98" t="s">
        <v>2599</v>
      </c>
      <c r="EM98" t="s">
        <v>2599</v>
      </c>
      <c r="EN98" t="s">
        <v>2599</v>
      </c>
      <c r="EO98" t="s">
        <v>2599</v>
      </c>
      <c r="EP98" t="s">
        <v>2599</v>
      </c>
      <c r="EQ98" t="s">
        <v>2599</v>
      </c>
      <c r="ER98" t="s">
        <v>2599</v>
      </c>
      <c r="ES98" t="s">
        <v>2599</v>
      </c>
      <c r="ET98" t="s">
        <v>2599</v>
      </c>
      <c r="EU98" t="s">
        <v>2599</v>
      </c>
      <c r="EV98" t="s">
        <v>2599</v>
      </c>
      <c r="EW98" t="s">
        <v>2599</v>
      </c>
      <c r="EX98" t="s">
        <v>2599</v>
      </c>
      <c r="EY98" t="s">
        <v>4325</v>
      </c>
      <c r="EZ98" t="s">
        <v>4325</v>
      </c>
      <c r="FA98" t="s">
        <v>4325</v>
      </c>
      <c r="FB98" t="s">
        <v>2688</v>
      </c>
      <c r="FC98" t="s">
        <v>2688</v>
      </c>
      <c r="FD98" t="s">
        <v>2688</v>
      </c>
      <c r="FE98" t="s">
        <v>2688</v>
      </c>
      <c r="HI98" t="s">
        <v>4326</v>
      </c>
      <c r="HM98" t="s">
        <v>4324</v>
      </c>
      <c r="HN98" t="s">
        <v>4324</v>
      </c>
      <c r="HO98" t="s">
        <v>4324</v>
      </c>
      <c r="HP98" t="s">
        <v>4324</v>
      </c>
      <c r="IX98" t="s">
        <v>4323</v>
      </c>
      <c r="IY98" t="s">
        <v>4323</v>
      </c>
      <c r="IZ98" t="s">
        <v>4323</v>
      </c>
      <c r="JA98" t="s">
        <v>4323</v>
      </c>
      <c r="JB98" t="s">
        <v>4323</v>
      </c>
    </row>
    <row r="99" spans="11:280" x14ac:dyDescent="0.3">
      <c r="AJ99" t="s">
        <v>2685</v>
      </c>
      <c r="AK99" t="s">
        <v>2685</v>
      </c>
      <c r="AL99" t="s">
        <v>2685</v>
      </c>
      <c r="AM99" t="s">
        <v>2685</v>
      </c>
      <c r="AN99" t="s">
        <v>2685</v>
      </c>
      <c r="AO99" t="s">
        <v>2610</v>
      </c>
      <c r="AP99" t="s">
        <v>2610</v>
      </c>
      <c r="AQ99" t="s">
        <v>2610</v>
      </c>
      <c r="AR99" t="s">
        <v>2610</v>
      </c>
      <c r="AS99" t="s">
        <v>2610</v>
      </c>
      <c r="AT99" t="s">
        <v>2578</v>
      </c>
      <c r="AU99" t="s">
        <v>2578</v>
      </c>
      <c r="AV99" t="s">
        <v>2578</v>
      </c>
      <c r="AW99" t="s">
        <v>2578</v>
      </c>
      <c r="AX99" t="s">
        <v>2578</v>
      </c>
      <c r="AY99" t="s">
        <v>2578</v>
      </c>
      <c r="AZ99" t="s">
        <v>2578</v>
      </c>
      <c r="BA99" t="s">
        <v>2578</v>
      </c>
      <c r="BB99" t="s">
        <v>2578</v>
      </c>
      <c r="BC99" t="s">
        <v>2578</v>
      </c>
      <c r="BD99" t="s">
        <v>2578</v>
      </c>
      <c r="BE99" t="s">
        <v>2607</v>
      </c>
      <c r="BF99" t="s">
        <v>2607</v>
      </c>
      <c r="BG99" t="s">
        <v>2607</v>
      </c>
      <c r="BH99" t="s">
        <v>2607</v>
      </c>
      <c r="BI99" t="s">
        <v>2607</v>
      </c>
      <c r="BJ99" t="s">
        <v>2607</v>
      </c>
      <c r="BK99" t="s">
        <v>2703</v>
      </c>
      <c r="BL99" t="s">
        <v>2703</v>
      </c>
      <c r="BM99" t="s">
        <v>1244</v>
      </c>
      <c r="BN99" t="s">
        <v>1244</v>
      </c>
      <c r="BO99" t="s">
        <v>1244</v>
      </c>
      <c r="BP99" t="s">
        <v>2659</v>
      </c>
      <c r="BQ99" t="s">
        <v>2659</v>
      </c>
      <c r="BR99" t="s">
        <v>2659</v>
      </c>
      <c r="BS99" t="s">
        <v>2659</v>
      </c>
      <c r="BT99" t="s">
        <v>2659</v>
      </c>
      <c r="BU99" t="s">
        <v>2659</v>
      </c>
      <c r="BV99" t="s">
        <v>2659</v>
      </c>
      <c r="BW99" t="s">
        <v>2659</v>
      </c>
      <c r="BX99" t="s">
        <v>2659</v>
      </c>
      <c r="BY99" t="s">
        <v>2659</v>
      </c>
      <c r="BZ99" t="s">
        <v>2659</v>
      </c>
      <c r="CA99" t="s">
        <v>2659</v>
      </c>
      <c r="CB99" t="s">
        <v>2659</v>
      </c>
      <c r="CC99" t="s">
        <v>2659</v>
      </c>
      <c r="CD99" t="s">
        <v>2659</v>
      </c>
      <c r="CE99" t="s">
        <v>2659</v>
      </c>
      <c r="CF99" t="s">
        <v>2659</v>
      </c>
      <c r="CG99" t="s">
        <v>2659</v>
      </c>
      <c r="CH99" t="s">
        <v>2659</v>
      </c>
      <c r="CI99" t="s">
        <v>2659</v>
      </c>
      <c r="CJ99" t="s">
        <v>2563</v>
      </c>
      <c r="CK99" t="s">
        <v>2563</v>
      </c>
      <c r="CL99" t="s">
        <v>2563</v>
      </c>
      <c r="CM99" t="s">
        <v>2563</v>
      </c>
      <c r="CN99" t="s">
        <v>2572</v>
      </c>
      <c r="CO99" t="s">
        <v>2572</v>
      </c>
      <c r="CP99" t="s">
        <v>2572</v>
      </c>
      <c r="CQ99" t="s">
        <v>2572</v>
      </c>
      <c r="CR99" t="s">
        <v>2572</v>
      </c>
      <c r="CS99" t="s">
        <v>2572</v>
      </c>
      <c r="CT99" t="s">
        <v>2572</v>
      </c>
      <c r="CU99" t="s">
        <v>2572</v>
      </c>
      <c r="CV99" t="s">
        <v>2569</v>
      </c>
      <c r="CW99" t="s">
        <v>2569</v>
      </c>
      <c r="CX99" t="s">
        <v>2569</v>
      </c>
      <c r="CY99" t="s">
        <v>2569</v>
      </c>
      <c r="CZ99" t="s">
        <v>2569</v>
      </c>
      <c r="DA99" t="s">
        <v>2569</v>
      </c>
      <c r="DB99" t="s">
        <v>2569</v>
      </c>
      <c r="DC99" t="s">
        <v>2569</v>
      </c>
      <c r="DD99" t="s">
        <v>2569</v>
      </c>
      <c r="DE99" t="s">
        <v>2697</v>
      </c>
      <c r="DF99" t="s">
        <v>2694</v>
      </c>
      <c r="DG99" t="s">
        <v>2694</v>
      </c>
      <c r="DH99" t="s">
        <v>2694</v>
      </c>
      <c r="DI99" t="s">
        <v>2694</v>
      </c>
      <c r="DJ99" t="s">
        <v>2694</v>
      </c>
      <c r="DK99" t="s">
        <v>2694</v>
      </c>
      <c r="DL99" t="s">
        <v>2694</v>
      </c>
      <c r="DM99" t="s">
        <v>2694</v>
      </c>
      <c r="DN99" t="s">
        <v>2694</v>
      </c>
      <c r="DO99" t="s">
        <v>2694</v>
      </c>
      <c r="DP99" t="s">
        <v>2694</v>
      </c>
      <c r="DQ99" t="s">
        <v>2694</v>
      </c>
      <c r="DR99" t="s">
        <v>2694</v>
      </c>
      <c r="DS99" t="s">
        <v>2694</v>
      </c>
      <c r="DT99" t="s">
        <v>2694</v>
      </c>
      <c r="DU99" t="s">
        <v>2694</v>
      </c>
      <c r="DV99" t="s">
        <v>2694</v>
      </c>
      <c r="DW99" t="s">
        <v>2694</v>
      </c>
      <c r="DX99" t="s">
        <v>2694</v>
      </c>
      <c r="DY99" t="s">
        <v>2694</v>
      </c>
      <c r="DZ99" t="s">
        <v>2599</v>
      </c>
      <c r="EA99" t="s">
        <v>2599</v>
      </c>
      <c r="EB99" t="s">
        <v>2599</v>
      </c>
      <c r="EC99" t="s">
        <v>2599</v>
      </c>
      <c r="ED99" t="s">
        <v>2599</v>
      </c>
      <c r="EE99" t="s">
        <v>2599</v>
      </c>
      <c r="EF99" t="s">
        <v>2599</v>
      </c>
      <c r="EG99" t="s">
        <v>2599</v>
      </c>
      <c r="EH99" t="s">
        <v>2599</v>
      </c>
      <c r="EI99" t="s">
        <v>2599</v>
      </c>
      <c r="EJ99" t="s">
        <v>2599</v>
      </c>
      <c r="EK99" t="s">
        <v>2599</v>
      </c>
      <c r="EL99" t="s">
        <v>2599</v>
      </c>
      <c r="EM99" t="s">
        <v>2599</v>
      </c>
      <c r="EN99" t="s">
        <v>2599</v>
      </c>
      <c r="EO99" t="s">
        <v>2599</v>
      </c>
      <c r="EP99" t="s">
        <v>2599</v>
      </c>
      <c r="EQ99" t="s">
        <v>2599</v>
      </c>
      <c r="ER99" t="s">
        <v>2599</v>
      </c>
      <c r="ES99" t="s">
        <v>2599</v>
      </c>
      <c r="ET99" t="s">
        <v>2599</v>
      </c>
      <c r="EU99" t="s">
        <v>2599</v>
      </c>
      <c r="EV99" t="s">
        <v>4325</v>
      </c>
      <c r="EW99" t="s">
        <v>4325</v>
      </c>
      <c r="EX99" t="s">
        <v>4325</v>
      </c>
      <c r="EY99" t="s">
        <v>4325</v>
      </c>
      <c r="EZ99" t="s">
        <v>4325</v>
      </c>
      <c r="FA99" t="s">
        <v>4325</v>
      </c>
      <c r="FB99" t="s">
        <v>4325</v>
      </c>
      <c r="FC99" t="s">
        <v>2688</v>
      </c>
      <c r="FD99" t="s">
        <v>2688</v>
      </c>
      <c r="FE99" t="s">
        <v>2688</v>
      </c>
      <c r="FF99" t="s">
        <v>2688</v>
      </c>
      <c r="HG99" t="s">
        <v>4326</v>
      </c>
      <c r="HH99" t="s">
        <v>4326</v>
      </c>
      <c r="HI99" t="s">
        <v>4326</v>
      </c>
      <c r="HN99" t="s">
        <v>4324</v>
      </c>
      <c r="HO99" t="s">
        <v>4324</v>
      </c>
      <c r="IX99" t="s">
        <v>4323</v>
      </c>
      <c r="IY99" t="s">
        <v>4323</v>
      </c>
      <c r="IZ99" t="s">
        <v>4323</v>
      </c>
      <c r="JA99" t="s">
        <v>4323</v>
      </c>
      <c r="JL99" t="s">
        <v>4327</v>
      </c>
    </row>
    <row r="100" spans="11:280" x14ac:dyDescent="0.3">
      <c r="AI100" t="s">
        <v>2610</v>
      </c>
      <c r="AJ100" t="s">
        <v>2685</v>
      </c>
      <c r="AK100" t="s">
        <v>2685</v>
      </c>
      <c r="AL100" t="s">
        <v>2685</v>
      </c>
      <c r="AM100" t="s">
        <v>2685</v>
      </c>
      <c r="AN100" t="s">
        <v>2685</v>
      </c>
      <c r="AO100" t="s">
        <v>2610</v>
      </c>
      <c r="AP100" t="s">
        <v>2610</v>
      </c>
      <c r="AQ100" t="s">
        <v>2610</v>
      </c>
      <c r="AR100" t="s">
        <v>2610</v>
      </c>
      <c r="AS100" t="s">
        <v>2610</v>
      </c>
      <c r="AT100" t="s">
        <v>2578</v>
      </c>
      <c r="AU100" t="s">
        <v>2578</v>
      </c>
      <c r="AV100" t="s">
        <v>2578</v>
      </c>
      <c r="AW100" t="s">
        <v>2578</v>
      </c>
      <c r="AX100" t="s">
        <v>2578</v>
      </c>
      <c r="AY100" t="s">
        <v>2578</v>
      </c>
      <c r="AZ100" t="s">
        <v>2578</v>
      </c>
      <c r="BA100" t="s">
        <v>2578</v>
      </c>
      <c r="BB100" t="s">
        <v>2578</v>
      </c>
      <c r="BC100" t="s">
        <v>2578</v>
      </c>
      <c r="BD100" t="s">
        <v>2607</v>
      </c>
      <c r="BE100" t="s">
        <v>2607</v>
      </c>
      <c r="BF100" t="s">
        <v>2607</v>
      </c>
      <c r="BG100" t="s">
        <v>2607</v>
      </c>
      <c r="BH100" t="s">
        <v>2607</v>
      </c>
      <c r="BI100" t="s">
        <v>2607</v>
      </c>
      <c r="BJ100" t="s">
        <v>2607</v>
      </c>
      <c r="BK100" t="s">
        <v>2703</v>
      </c>
      <c r="BL100" t="s">
        <v>2703</v>
      </c>
      <c r="BM100" t="s">
        <v>1244</v>
      </c>
      <c r="BN100" t="s">
        <v>1244</v>
      </c>
      <c r="BO100" t="s">
        <v>1244</v>
      </c>
      <c r="BP100" t="s">
        <v>2659</v>
      </c>
      <c r="BQ100" t="s">
        <v>2659</v>
      </c>
      <c r="BR100" t="s">
        <v>2659</v>
      </c>
      <c r="BS100" t="s">
        <v>2659</v>
      </c>
      <c r="BT100" t="s">
        <v>2659</v>
      </c>
      <c r="BU100" t="s">
        <v>2659</v>
      </c>
      <c r="BV100" t="s">
        <v>2659</v>
      </c>
      <c r="BW100" t="s">
        <v>2659</v>
      </c>
      <c r="BX100" t="s">
        <v>2659</v>
      </c>
      <c r="BY100" t="s">
        <v>2659</v>
      </c>
      <c r="BZ100" t="s">
        <v>2659</v>
      </c>
      <c r="CA100" t="s">
        <v>2659</v>
      </c>
      <c r="CB100" t="s">
        <v>2659</v>
      </c>
      <c r="CC100" t="s">
        <v>2659</v>
      </c>
      <c r="CD100" t="s">
        <v>2659</v>
      </c>
      <c r="CE100" t="s">
        <v>2659</v>
      </c>
      <c r="CF100" t="s">
        <v>2659</v>
      </c>
      <c r="CG100" t="s">
        <v>2659</v>
      </c>
      <c r="CH100" t="s">
        <v>2659</v>
      </c>
      <c r="CI100" t="s">
        <v>2659</v>
      </c>
      <c r="CJ100" t="s">
        <v>2563</v>
      </c>
      <c r="CK100" t="s">
        <v>2563</v>
      </c>
      <c r="CL100" t="s">
        <v>2563</v>
      </c>
      <c r="CM100" t="s">
        <v>2572</v>
      </c>
      <c r="CN100" t="s">
        <v>2572</v>
      </c>
      <c r="CO100" t="s">
        <v>2572</v>
      </c>
      <c r="CP100" t="s">
        <v>2572</v>
      </c>
      <c r="CQ100" t="s">
        <v>2572</v>
      </c>
      <c r="CR100" t="s">
        <v>2572</v>
      </c>
      <c r="CS100" t="s">
        <v>2572</v>
      </c>
      <c r="CT100" t="s">
        <v>2572</v>
      </c>
      <c r="CU100" t="s">
        <v>2572</v>
      </c>
      <c r="CV100" t="s">
        <v>2572</v>
      </c>
      <c r="CW100" t="s">
        <v>2572</v>
      </c>
      <c r="CX100" t="s">
        <v>2572</v>
      </c>
      <c r="CY100" t="s">
        <v>2569</v>
      </c>
      <c r="CZ100" t="s">
        <v>2569</v>
      </c>
      <c r="DA100" t="s">
        <v>2569</v>
      </c>
      <c r="DB100" t="s">
        <v>2569</v>
      </c>
      <c r="DC100" t="s">
        <v>2569</v>
      </c>
      <c r="DD100" t="s">
        <v>2569</v>
      </c>
      <c r="DE100" t="s">
        <v>2697</v>
      </c>
      <c r="DF100" t="s">
        <v>2697</v>
      </c>
      <c r="DG100" t="s">
        <v>2694</v>
      </c>
      <c r="DH100" t="s">
        <v>2694</v>
      </c>
      <c r="DI100" t="s">
        <v>2694</v>
      </c>
      <c r="DJ100" t="s">
        <v>2694</v>
      </c>
      <c r="DK100" t="s">
        <v>2694</v>
      </c>
      <c r="DL100" t="s">
        <v>2694</v>
      </c>
      <c r="DM100" t="s">
        <v>2694</v>
      </c>
      <c r="DN100" t="s">
        <v>2694</v>
      </c>
      <c r="DO100" t="s">
        <v>2694</v>
      </c>
      <c r="DP100" t="s">
        <v>2694</v>
      </c>
      <c r="DQ100" t="s">
        <v>2694</v>
      </c>
      <c r="DR100" t="s">
        <v>2694</v>
      </c>
      <c r="DS100" t="s">
        <v>2694</v>
      </c>
      <c r="DT100" t="s">
        <v>2694</v>
      </c>
      <c r="DU100" t="s">
        <v>2694</v>
      </c>
      <c r="DV100" t="s">
        <v>2694</v>
      </c>
      <c r="DW100" t="s">
        <v>2694</v>
      </c>
      <c r="DX100" t="s">
        <v>2694</v>
      </c>
      <c r="DY100" t="s">
        <v>2694</v>
      </c>
      <c r="DZ100" t="s">
        <v>2599</v>
      </c>
      <c r="EA100" t="s">
        <v>2599</v>
      </c>
      <c r="EB100" t="s">
        <v>2599</v>
      </c>
      <c r="EC100" t="s">
        <v>2599</v>
      </c>
      <c r="ED100" t="s">
        <v>2599</v>
      </c>
      <c r="EE100" t="s">
        <v>2599</v>
      </c>
      <c r="EF100" t="s">
        <v>2599</v>
      </c>
      <c r="EG100" t="s">
        <v>2599</v>
      </c>
      <c r="EH100" t="s">
        <v>2599</v>
      </c>
      <c r="EI100" t="s">
        <v>2599</v>
      </c>
      <c r="EJ100" t="s">
        <v>2599</v>
      </c>
      <c r="EK100" t="s">
        <v>2599</v>
      </c>
      <c r="EL100" t="s">
        <v>2599</v>
      </c>
      <c r="EM100" t="s">
        <v>2599</v>
      </c>
      <c r="EN100" t="s">
        <v>2599</v>
      </c>
      <c r="EO100" t="s">
        <v>2599</v>
      </c>
      <c r="EP100" t="s">
        <v>2599</v>
      </c>
      <c r="EQ100" t="s">
        <v>2599</v>
      </c>
      <c r="ER100" t="s">
        <v>2599</v>
      </c>
      <c r="ES100" t="s">
        <v>4325</v>
      </c>
      <c r="ET100" t="s">
        <v>4325</v>
      </c>
      <c r="EU100" t="s">
        <v>4325</v>
      </c>
      <c r="EV100" t="s">
        <v>4325</v>
      </c>
      <c r="EW100" t="s">
        <v>4325</v>
      </c>
      <c r="EX100" t="s">
        <v>4325</v>
      </c>
      <c r="EY100" t="s">
        <v>4325</v>
      </c>
      <c r="EZ100" t="s">
        <v>4325</v>
      </c>
      <c r="FA100" t="s">
        <v>4325</v>
      </c>
      <c r="FB100" t="s">
        <v>4325</v>
      </c>
      <c r="FC100" t="s">
        <v>4325</v>
      </c>
      <c r="FD100" t="s">
        <v>2688</v>
      </c>
      <c r="FE100" t="s">
        <v>2688</v>
      </c>
      <c r="FF100" t="s">
        <v>2688</v>
      </c>
      <c r="HG100" t="s">
        <v>4326</v>
      </c>
      <c r="HH100" t="s">
        <v>4326</v>
      </c>
      <c r="HI100" t="s">
        <v>4326</v>
      </c>
      <c r="HJ100" t="s">
        <v>4326</v>
      </c>
      <c r="HK100" t="s">
        <v>4326</v>
      </c>
      <c r="HN100" t="s">
        <v>4324</v>
      </c>
      <c r="HO100" t="s">
        <v>4324</v>
      </c>
      <c r="IY100" t="s">
        <v>4323</v>
      </c>
      <c r="JL100" t="s">
        <v>4327</v>
      </c>
      <c r="JM100" t="s">
        <v>4327</v>
      </c>
    </row>
    <row r="101" spans="11:280" x14ac:dyDescent="0.3">
      <c r="AH101" t="s">
        <v>2610</v>
      </c>
      <c r="AI101" t="s">
        <v>2610</v>
      </c>
      <c r="AJ101" t="s">
        <v>2610</v>
      </c>
      <c r="AK101" t="s">
        <v>2685</v>
      </c>
      <c r="AL101" t="s">
        <v>2685</v>
      </c>
      <c r="AM101" t="s">
        <v>2685</v>
      </c>
      <c r="AN101" t="s">
        <v>2610</v>
      </c>
      <c r="AO101" t="s">
        <v>2610</v>
      </c>
      <c r="AP101" t="s">
        <v>2610</v>
      </c>
      <c r="AQ101" t="s">
        <v>2610</v>
      </c>
      <c r="AR101" t="s">
        <v>2610</v>
      </c>
      <c r="AS101" t="s">
        <v>2578</v>
      </c>
      <c r="AT101" t="s">
        <v>2578</v>
      </c>
      <c r="AU101" t="s">
        <v>2578</v>
      </c>
      <c r="AV101" t="s">
        <v>2578</v>
      </c>
      <c r="AW101" t="s">
        <v>2578</v>
      </c>
      <c r="AX101" t="s">
        <v>2578</v>
      </c>
      <c r="AY101" t="s">
        <v>2578</v>
      </c>
      <c r="AZ101" t="s">
        <v>2578</v>
      </c>
      <c r="BA101" t="s">
        <v>2557</v>
      </c>
      <c r="BB101" t="s">
        <v>2578</v>
      </c>
      <c r="BC101" t="s">
        <v>2578</v>
      </c>
      <c r="BD101" t="s">
        <v>2607</v>
      </c>
      <c r="BE101" t="s">
        <v>2607</v>
      </c>
      <c r="BF101" t="s">
        <v>2607</v>
      </c>
      <c r="BG101" t="s">
        <v>2607</v>
      </c>
      <c r="BH101" t="s">
        <v>2607</v>
      </c>
      <c r="BI101" t="s">
        <v>2607</v>
      </c>
      <c r="BJ101" t="s">
        <v>2607</v>
      </c>
      <c r="BK101" t="s">
        <v>2703</v>
      </c>
      <c r="BL101" t="s">
        <v>2703</v>
      </c>
      <c r="BM101" t="s">
        <v>1244</v>
      </c>
      <c r="BN101" t="s">
        <v>1244</v>
      </c>
      <c r="BO101" t="s">
        <v>1244</v>
      </c>
      <c r="BP101" t="s">
        <v>1244</v>
      </c>
      <c r="BQ101" t="s">
        <v>2659</v>
      </c>
      <c r="BR101" t="s">
        <v>2659</v>
      </c>
      <c r="BS101" t="s">
        <v>2659</v>
      </c>
      <c r="BT101" t="s">
        <v>2659</v>
      </c>
      <c r="BU101" t="s">
        <v>2659</v>
      </c>
      <c r="BV101" t="s">
        <v>2659</v>
      </c>
      <c r="BW101" t="s">
        <v>2659</v>
      </c>
      <c r="BX101" t="s">
        <v>2659</v>
      </c>
      <c r="BY101" t="s">
        <v>2659</v>
      </c>
      <c r="BZ101" t="s">
        <v>2659</v>
      </c>
      <c r="CA101" t="s">
        <v>2659</v>
      </c>
      <c r="CB101" t="s">
        <v>2659</v>
      </c>
      <c r="CC101" t="s">
        <v>2659</v>
      </c>
      <c r="CD101" t="s">
        <v>2659</v>
      </c>
      <c r="CE101" t="s">
        <v>2659</v>
      </c>
      <c r="CF101" t="s">
        <v>2659</v>
      </c>
      <c r="CG101" t="s">
        <v>2659</v>
      </c>
      <c r="CH101" t="s">
        <v>2659</v>
      </c>
      <c r="CI101" t="s">
        <v>2659</v>
      </c>
      <c r="CJ101" t="s">
        <v>2563</v>
      </c>
      <c r="CK101" t="s">
        <v>2563</v>
      </c>
      <c r="CL101" t="s">
        <v>2572</v>
      </c>
      <c r="CM101" t="s">
        <v>2572</v>
      </c>
      <c r="CN101" t="s">
        <v>2572</v>
      </c>
      <c r="CO101" t="s">
        <v>2572</v>
      </c>
      <c r="CP101" t="s">
        <v>2572</v>
      </c>
      <c r="CQ101" t="s">
        <v>2572</v>
      </c>
      <c r="CR101" t="s">
        <v>2572</v>
      </c>
      <c r="CS101" t="s">
        <v>2572</v>
      </c>
      <c r="CT101" t="s">
        <v>2572</v>
      </c>
      <c r="CU101" t="s">
        <v>2572</v>
      </c>
      <c r="CV101" t="s">
        <v>2572</v>
      </c>
      <c r="CW101" t="s">
        <v>2572</v>
      </c>
      <c r="CX101" t="s">
        <v>2572</v>
      </c>
      <c r="CY101" t="s">
        <v>2572</v>
      </c>
      <c r="CZ101" t="s">
        <v>2569</v>
      </c>
      <c r="DA101" t="s">
        <v>2569</v>
      </c>
      <c r="DB101" t="s">
        <v>2569</v>
      </c>
      <c r="DC101" t="s">
        <v>2569</v>
      </c>
      <c r="DD101" t="s">
        <v>2569</v>
      </c>
      <c r="DE101" t="s">
        <v>2697</v>
      </c>
      <c r="DF101" t="s">
        <v>2697</v>
      </c>
      <c r="DG101" t="s">
        <v>2697</v>
      </c>
      <c r="DH101" t="s">
        <v>2694</v>
      </c>
      <c r="DI101" t="s">
        <v>2694</v>
      </c>
      <c r="DJ101" t="s">
        <v>2694</v>
      </c>
      <c r="DK101" t="s">
        <v>2697</v>
      </c>
      <c r="DL101" t="s">
        <v>2697</v>
      </c>
      <c r="DM101" t="s">
        <v>2697</v>
      </c>
      <c r="DN101" t="s">
        <v>2697</v>
      </c>
      <c r="DO101" t="s">
        <v>2697</v>
      </c>
      <c r="DP101" t="s">
        <v>2697</v>
      </c>
      <c r="DQ101" t="s">
        <v>2694</v>
      </c>
      <c r="DR101" t="s">
        <v>2694</v>
      </c>
      <c r="DS101" t="s">
        <v>2694</v>
      </c>
      <c r="DT101" t="s">
        <v>2694</v>
      </c>
      <c r="DU101" t="s">
        <v>2694</v>
      </c>
      <c r="DV101" t="s">
        <v>2694</v>
      </c>
      <c r="DW101" t="s">
        <v>2694</v>
      </c>
      <c r="DX101" t="s">
        <v>2694</v>
      </c>
      <c r="DY101" t="s">
        <v>2694</v>
      </c>
      <c r="DZ101" t="s">
        <v>2599</v>
      </c>
      <c r="EA101" t="s">
        <v>2599</v>
      </c>
      <c r="EB101" t="s">
        <v>2599</v>
      </c>
      <c r="EC101" t="s">
        <v>2599</v>
      </c>
      <c r="ED101" t="s">
        <v>2599</v>
      </c>
      <c r="EE101" t="s">
        <v>2599</v>
      </c>
      <c r="EF101" t="s">
        <v>2599</v>
      </c>
      <c r="EG101" t="s">
        <v>2599</v>
      </c>
      <c r="EH101" t="s">
        <v>2599</v>
      </c>
      <c r="EI101" t="s">
        <v>2599</v>
      </c>
      <c r="EJ101" t="s">
        <v>2599</v>
      </c>
      <c r="EK101" t="s">
        <v>2599</v>
      </c>
      <c r="EL101" t="s">
        <v>2599</v>
      </c>
      <c r="EM101" t="s">
        <v>2599</v>
      </c>
      <c r="EN101" t="s">
        <v>2599</v>
      </c>
      <c r="EO101" t="s">
        <v>2599</v>
      </c>
      <c r="EP101" t="s">
        <v>2599</v>
      </c>
      <c r="EQ101" t="s">
        <v>2599</v>
      </c>
      <c r="ER101" t="s">
        <v>4325</v>
      </c>
      <c r="ES101" t="s">
        <v>4325</v>
      </c>
      <c r="ET101" t="s">
        <v>4325</v>
      </c>
      <c r="EU101" t="s">
        <v>4325</v>
      </c>
      <c r="EV101" t="s">
        <v>4325</v>
      </c>
      <c r="EW101" t="s">
        <v>4325</v>
      </c>
      <c r="EX101" t="s">
        <v>4325</v>
      </c>
      <c r="EY101" t="s">
        <v>4325</v>
      </c>
      <c r="EZ101" t="s">
        <v>4325</v>
      </c>
      <c r="FA101" t="s">
        <v>4325</v>
      </c>
      <c r="FB101" t="s">
        <v>4325</v>
      </c>
      <c r="FC101" t="s">
        <v>4325</v>
      </c>
      <c r="FD101" t="s">
        <v>2688</v>
      </c>
      <c r="FE101" t="s">
        <v>2688</v>
      </c>
      <c r="FF101" t="s">
        <v>2688</v>
      </c>
      <c r="HG101" t="s">
        <v>4326</v>
      </c>
      <c r="HH101" t="s">
        <v>4326</v>
      </c>
      <c r="HI101" t="s">
        <v>4326</v>
      </c>
      <c r="HJ101" t="s">
        <v>4326</v>
      </c>
      <c r="HK101" t="s">
        <v>4326</v>
      </c>
      <c r="IY101" t="s">
        <v>4323</v>
      </c>
      <c r="JL101" t="s">
        <v>4327</v>
      </c>
      <c r="JM101" t="s">
        <v>4327</v>
      </c>
      <c r="JN101" t="s">
        <v>4327</v>
      </c>
    </row>
    <row r="102" spans="11:280" x14ac:dyDescent="0.3">
      <c r="AG102" t="s">
        <v>2610</v>
      </c>
      <c r="AH102" t="s">
        <v>2610</v>
      </c>
      <c r="AI102" t="s">
        <v>2610</v>
      </c>
      <c r="AJ102" t="s">
        <v>2610</v>
      </c>
      <c r="AK102" t="s">
        <v>2610</v>
      </c>
      <c r="AL102" t="s">
        <v>2610</v>
      </c>
      <c r="AM102" t="s">
        <v>2610</v>
      </c>
      <c r="AN102" t="s">
        <v>2610</v>
      </c>
      <c r="AO102" t="s">
        <v>2610</v>
      </c>
      <c r="AP102" t="s">
        <v>2610</v>
      </c>
      <c r="AQ102" t="s">
        <v>2610</v>
      </c>
      <c r="AR102" t="s">
        <v>2610</v>
      </c>
      <c r="AS102" t="s">
        <v>2610</v>
      </c>
      <c r="AT102" t="s">
        <v>2634</v>
      </c>
      <c r="AU102" t="s">
        <v>2634</v>
      </c>
      <c r="AV102" t="s">
        <v>2578</v>
      </c>
      <c r="AW102" t="s">
        <v>2578</v>
      </c>
      <c r="AX102" t="s">
        <v>2634</v>
      </c>
      <c r="AY102" t="s">
        <v>2578</v>
      </c>
      <c r="AZ102" t="s">
        <v>2557</v>
      </c>
      <c r="BA102" t="s">
        <v>2557</v>
      </c>
      <c r="BB102" t="s">
        <v>2557</v>
      </c>
      <c r="BC102" t="s">
        <v>2557</v>
      </c>
      <c r="BD102" t="s">
        <v>2607</v>
      </c>
      <c r="BE102" t="s">
        <v>2607</v>
      </c>
      <c r="BF102" t="s">
        <v>2607</v>
      </c>
      <c r="BG102" t="s">
        <v>2607</v>
      </c>
      <c r="BH102" t="s">
        <v>2607</v>
      </c>
      <c r="BI102" t="s">
        <v>2607</v>
      </c>
      <c r="BJ102" t="s">
        <v>2607</v>
      </c>
      <c r="BK102" t="s">
        <v>2703</v>
      </c>
      <c r="BL102" t="s">
        <v>1244</v>
      </c>
      <c r="BM102" t="s">
        <v>1244</v>
      </c>
      <c r="BN102" t="s">
        <v>1244</v>
      </c>
      <c r="BO102" t="s">
        <v>1244</v>
      </c>
      <c r="BP102" t="s">
        <v>1244</v>
      </c>
      <c r="BQ102" t="s">
        <v>2659</v>
      </c>
      <c r="BR102" t="s">
        <v>2659</v>
      </c>
      <c r="BS102" t="s">
        <v>2659</v>
      </c>
      <c r="BT102" t="s">
        <v>2659</v>
      </c>
      <c r="BU102" t="s">
        <v>2659</v>
      </c>
      <c r="BV102" t="s">
        <v>2659</v>
      </c>
      <c r="BW102" t="s">
        <v>2659</v>
      </c>
      <c r="BX102" t="s">
        <v>2659</v>
      </c>
      <c r="BY102" t="s">
        <v>2659</v>
      </c>
      <c r="BZ102" t="s">
        <v>2659</v>
      </c>
      <c r="CA102" t="s">
        <v>2659</v>
      </c>
      <c r="CB102" t="s">
        <v>2659</v>
      </c>
      <c r="CC102" t="s">
        <v>2659</v>
      </c>
      <c r="CD102" t="s">
        <v>2659</v>
      </c>
      <c r="CE102" t="s">
        <v>2659</v>
      </c>
      <c r="CF102" t="s">
        <v>2659</v>
      </c>
      <c r="CG102" t="s">
        <v>2659</v>
      </c>
      <c r="CH102" t="s">
        <v>2659</v>
      </c>
      <c r="CI102" t="s">
        <v>2659</v>
      </c>
      <c r="CJ102" t="s">
        <v>2659</v>
      </c>
      <c r="CK102" t="s">
        <v>2563</v>
      </c>
      <c r="CL102" t="s">
        <v>2563</v>
      </c>
      <c r="CM102" t="s">
        <v>2563</v>
      </c>
      <c r="CN102" t="s">
        <v>2563</v>
      </c>
      <c r="CO102" t="s">
        <v>2572</v>
      </c>
      <c r="CP102" t="s">
        <v>2572</v>
      </c>
      <c r="CQ102" t="s">
        <v>2572</v>
      </c>
      <c r="CR102" t="s">
        <v>2572</v>
      </c>
      <c r="CS102" t="s">
        <v>2572</v>
      </c>
      <c r="CT102" t="s">
        <v>2572</v>
      </c>
      <c r="CU102" t="s">
        <v>2572</v>
      </c>
      <c r="CV102" t="s">
        <v>2572</v>
      </c>
      <c r="CW102" t="s">
        <v>2572</v>
      </c>
      <c r="CX102" t="s">
        <v>2572</v>
      </c>
      <c r="CY102" t="s">
        <v>2572</v>
      </c>
      <c r="CZ102" t="s">
        <v>2572</v>
      </c>
      <c r="DA102" t="s">
        <v>2569</v>
      </c>
      <c r="DB102" t="s">
        <v>2569</v>
      </c>
      <c r="DC102" t="s">
        <v>2569</v>
      </c>
      <c r="DD102" t="s">
        <v>2569</v>
      </c>
      <c r="DE102" t="s">
        <v>2697</v>
      </c>
      <c r="DF102" t="s">
        <v>2697</v>
      </c>
      <c r="DG102" t="s">
        <v>2697</v>
      </c>
      <c r="DH102" t="s">
        <v>2694</v>
      </c>
      <c r="DI102" t="s">
        <v>2694</v>
      </c>
      <c r="DJ102" t="s">
        <v>2697</v>
      </c>
      <c r="DK102" t="s">
        <v>2697</v>
      </c>
      <c r="DL102" t="s">
        <v>2697</v>
      </c>
      <c r="DM102" t="s">
        <v>2697</v>
      </c>
      <c r="DN102" t="s">
        <v>2697</v>
      </c>
      <c r="DO102" t="s">
        <v>2697</v>
      </c>
      <c r="DP102" t="s">
        <v>2697</v>
      </c>
      <c r="DQ102" t="s">
        <v>2697</v>
      </c>
      <c r="DR102" t="s">
        <v>2697</v>
      </c>
      <c r="DS102" t="s">
        <v>2697</v>
      </c>
      <c r="DT102" t="s">
        <v>2697</v>
      </c>
      <c r="DU102" t="s">
        <v>2694</v>
      </c>
      <c r="DV102" t="s">
        <v>2694</v>
      </c>
      <c r="DW102" t="s">
        <v>2694</v>
      </c>
      <c r="DX102" t="s">
        <v>2694</v>
      </c>
      <c r="DY102" t="s">
        <v>2697</v>
      </c>
      <c r="DZ102" t="s">
        <v>2599</v>
      </c>
      <c r="EA102" t="s">
        <v>2599</v>
      </c>
      <c r="EB102" t="s">
        <v>2599</v>
      </c>
      <c r="EC102" t="s">
        <v>2599</v>
      </c>
      <c r="ED102" t="s">
        <v>2599</v>
      </c>
      <c r="EE102" t="s">
        <v>2599</v>
      </c>
      <c r="EF102" t="s">
        <v>2599</v>
      </c>
      <c r="EG102" t="s">
        <v>2599</v>
      </c>
      <c r="EH102" t="s">
        <v>2599</v>
      </c>
      <c r="EI102" t="s">
        <v>2599</v>
      </c>
      <c r="EJ102" t="s">
        <v>2599</v>
      </c>
      <c r="EK102" t="s">
        <v>2599</v>
      </c>
      <c r="EL102" t="s">
        <v>2599</v>
      </c>
      <c r="EM102" t="s">
        <v>2599</v>
      </c>
      <c r="EN102" t="s">
        <v>2599</v>
      </c>
      <c r="EO102" t="s">
        <v>2599</v>
      </c>
      <c r="EP102" t="s">
        <v>2599</v>
      </c>
      <c r="EQ102" t="s">
        <v>2599</v>
      </c>
      <c r="ER102" t="s">
        <v>4325</v>
      </c>
      <c r="ES102" t="s">
        <v>4325</v>
      </c>
      <c r="ET102" t="s">
        <v>4325</v>
      </c>
      <c r="EU102" t="s">
        <v>4325</v>
      </c>
      <c r="EV102" t="s">
        <v>4325</v>
      </c>
      <c r="EW102" t="s">
        <v>4325</v>
      </c>
      <c r="EX102" t="s">
        <v>4325</v>
      </c>
      <c r="EY102" t="s">
        <v>4325</v>
      </c>
      <c r="EZ102" t="s">
        <v>4325</v>
      </c>
      <c r="FA102" t="s">
        <v>4325</v>
      </c>
      <c r="FB102" t="s">
        <v>4325</v>
      </c>
      <c r="FC102" t="s">
        <v>4325</v>
      </c>
      <c r="FD102" t="s">
        <v>2688</v>
      </c>
      <c r="FE102" t="s">
        <v>2688</v>
      </c>
      <c r="FF102" t="s">
        <v>2688</v>
      </c>
      <c r="FG102" t="s">
        <v>2688</v>
      </c>
      <c r="HF102" t="s">
        <v>4326</v>
      </c>
      <c r="HG102" t="s">
        <v>4326</v>
      </c>
      <c r="HH102" t="s">
        <v>4326</v>
      </c>
      <c r="HI102" t="s">
        <v>4326</v>
      </c>
      <c r="HJ102" t="s">
        <v>4326</v>
      </c>
      <c r="HK102" t="s">
        <v>4326</v>
      </c>
      <c r="HL102" t="s">
        <v>4326</v>
      </c>
      <c r="IY102" t="s">
        <v>4323</v>
      </c>
      <c r="IZ102" t="s">
        <v>4323</v>
      </c>
      <c r="JK102" t="s">
        <v>4327</v>
      </c>
      <c r="JL102" t="s">
        <v>4327</v>
      </c>
      <c r="JM102" t="s">
        <v>4327</v>
      </c>
      <c r="JN102" t="s">
        <v>4327</v>
      </c>
      <c r="JO102" t="s">
        <v>4327</v>
      </c>
    </row>
    <row r="103" spans="11:280" x14ac:dyDescent="0.3">
      <c r="AF103" t="s">
        <v>2610</v>
      </c>
      <c r="AG103" t="s">
        <v>2610</v>
      </c>
      <c r="AH103" t="s">
        <v>2610</v>
      </c>
      <c r="AI103" t="s">
        <v>2610</v>
      </c>
      <c r="AJ103" t="s">
        <v>2610</v>
      </c>
      <c r="AK103" t="s">
        <v>2610</v>
      </c>
      <c r="AL103" t="s">
        <v>2610</v>
      </c>
      <c r="AM103" t="s">
        <v>2610</v>
      </c>
      <c r="AN103" t="s">
        <v>2610</v>
      </c>
      <c r="AO103" t="s">
        <v>2610</v>
      </c>
      <c r="AP103" t="s">
        <v>2610</v>
      </c>
      <c r="AQ103" t="s">
        <v>2610</v>
      </c>
      <c r="AR103" t="s">
        <v>2610</v>
      </c>
      <c r="AS103" t="s">
        <v>2634</v>
      </c>
      <c r="AT103" t="s">
        <v>2634</v>
      </c>
      <c r="AU103" t="s">
        <v>2634</v>
      </c>
      <c r="AV103" t="s">
        <v>2634</v>
      </c>
      <c r="AW103" t="s">
        <v>2634</v>
      </c>
      <c r="AX103" t="s">
        <v>2634</v>
      </c>
      <c r="AY103" t="s">
        <v>2557</v>
      </c>
      <c r="AZ103" t="s">
        <v>2557</v>
      </c>
      <c r="BA103" t="s">
        <v>2557</v>
      </c>
      <c r="BB103" t="s">
        <v>2557</v>
      </c>
      <c r="BC103" t="s">
        <v>2557</v>
      </c>
      <c r="BD103" t="s">
        <v>2607</v>
      </c>
      <c r="BE103" t="s">
        <v>2607</v>
      </c>
      <c r="BF103" t="s">
        <v>2607</v>
      </c>
      <c r="BG103" t="s">
        <v>2607</v>
      </c>
      <c r="BH103" t="s">
        <v>2607</v>
      </c>
      <c r="BI103" t="s">
        <v>2607</v>
      </c>
      <c r="BJ103" t="s">
        <v>2703</v>
      </c>
      <c r="BK103" t="s">
        <v>2703</v>
      </c>
      <c r="BL103" t="s">
        <v>1244</v>
      </c>
      <c r="BM103" t="s">
        <v>1244</v>
      </c>
      <c r="BN103" t="s">
        <v>1244</v>
      </c>
      <c r="BO103" t="s">
        <v>1244</v>
      </c>
      <c r="BP103" t="s">
        <v>1244</v>
      </c>
      <c r="BQ103" t="s">
        <v>1244</v>
      </c>
      <c r="BR103" t="s">
        <v>2659</v>
      </c>
      <c r="BS103" t="s">
        <v>2659</v>
      </c>
      <c r="BT103" t="s">
        <v>2659</v>
      </c>
      <c r="BU103" t="s">
        <v>2659</v>
      </c>
      <c r="BV103" t="s">
        <v>2659</v>
      </c>
      <c r="BW103" t="s">
        <v>2659</v>
      </c>
      <c r="BX103" t="s">
        <v>2659</v>
      </c>
      <c r="BY103" t="s">
        <v>2659</v>
      </c>
      <c r="BZ103" t="s">
        <v>2659</v>
      </c>
      <c r="CA103" t="s">
        <v>2659</v>
      </c>
      <c r="CB103" t="s">
        <v>2659</v>
      </c>
      <c r="CC103" t="s">
        <v>2659</v>
      </c>
      <c r="CD103" t="s">
        <v>2659</v>
      </c>
      <c r="CE103" t="s">
        <v>2659</v>
      </c>
      <c r="CF103" t="s">
        <v>2659</v>
      </c>
      <c r="CG103" t="s">
        <v>2659</v>
      </c>
      <c r="CH103" t="s">
        <v>2659</v>
      </c>
      <c r="CI103" t="s">
        <v>2659</v>
      </c>
      <c r="CJ103" t="s">
        <v>2659</v>
      </c>
      <c r="CK103" t="s">
        <v>2563</v>
      </c>
      <c r="CL103" t="s">
        <v>2563</v>
      </c>
      <c r="CM103" t="s">
        <v>2563</v>
      </c>
      <c r="CN103" t="s">
        <v>2572</v>
      </c>
      <c r="CO103" t="s">
        <v>2572</v>
      </c>
      <c r="CP103" t="s">
        <v>2572</v>
      </c>
      <c r="CQ103" t="s">
        <v>2572</v>
      </c>
      <c r="CR103" t="s">
        <v>2572</v>
      </c>
      <c r="CS103" t="s">
        <v>2572</v>
      </c>
      <c r="CT103" t="s">
        <v>2572</v>
      </c>
      <c r="CU103" t="s">
        <v>2572</v>
      </c>
      <c r="CV103" t="s">
        <v>2572</v>
      </c>
      <c r="CW103" t="s">
        <v>2572</v>
      </c>
      <c r="CX103" t="s">
        <v>2572</v>
      </c>
      <c r="CY103" t="s">
        <v>2572</v>
      </c>
      <c r="CZ103" t="s">
        <v>2572</v>
      </c>
      <c r="DA103" t="s">
        <v>2572</v>
      </c>
      <c r="DB103" t="s">
        <v>2569</v>
      </c>
      <c r="DC103" t="s">
        <v>2569</v>
      </c>
      <c r="DD103" t="s">
        <v>2697</v>
      </c>
      <c r="DE103" t="s">
        <v>2697</v>
      </c>
      <c r="DF103" t="s">
        <v>2697</v>
      </c>
      <c r="DG103" t="s">
        <v>2697</v>
      </c>
      <c r="DH103" t="s">
        <v>2697</v>
      </c>
      <c r="DI103" t="s">
        <v>2697</v>
      </c>
      <c r="DJ103" t="s">
        <v>2697</v>
      </c>
      <c r="DK103" t="s">
        <v>2697</v>
      </c>
      <c r="DL103" t="s">
        <v>2697</v>
      </c>
      <c r="DM103" t="s">
        <v>2697</v>
      </c>
      <c r="DN103" t="s">
        <v>2697</v>
      </c>
      <c r="DO103" t="s">
        <v>2697</v>
      </c>
      <c r="DP103" t="s">
        <v>2697</v>
      </c>
      <c r="DQ103" t="s">
        <v>2697</v>
      </c>
      <c r="DR103" t="s">
        <v>2697</v>
      </c>
      <c r="DS103" t="s">
        <v>2697</v>
      </c>
      <c r="DT103" t="s">
        <v>2697</v>
      </c>
      <c r="DU103" t="s">
        <v>2697</v>
      </c>
      <c r="DV103" t="s">
        <v>2694</v>
      </c>
      <c r="DW103" t="s">
        <v>2694</v>
      </c>
      <c r="DX103" t="s">
        <v>2697</v>
      </c>
      <c r="DY103" t="s">
        <v>2697</v>
      </c>
      <c r="DZ103" t="s">
        <v>2697</v>
      </c>
      <c r="EA103" t="s">
        <v>2599</v>
      </c>
      <c r="EB103" t="s">
        <v>2599</v>
      </c>
      <c r="EC103" t="s">
        <v>2599</v>
      </c>
      <c r="ED103" t="s">
        <v>2599</v>
      </c>
      <c r="EE103" t="s">
        <v>2599</v>
      </c>
      <c r="EF103" t="s">
        <v>2599</v>
      </c>
      <c r="EG103" t="s">
        <v>2599</v>
      </c>
      <c r="EH103" t="s">
        <v>2599</v>
      </c>
      <c r="EI103" t="s">
        <v>2599</v>
      </c>
      <c r="EJ103" t="s">
        <v>2599</v>
      </c>
      <c r="EK103" t="s">
        <v>2599</v>
      </c>
      <c r="EL103" t="s">
        <v>2599</v>
      </c>
      <c r="EM103" t="s">
        <v>2599</v>
      </c>
      <c r="EN103" t="s">
        <v>2599</v>
      </c>
      <c r="EO103" t="s">
        <v>2599</v>
      </c>
      <c r="EP103" t="s">
        <v>2599</v>
      </c>
      <c r="EQ103" t="s">
        <v>4325</v>
      </c>
      <c r="ER103" t="s">
        <v>4325</v>
      </c>
      <c r="ES103" t="s">
        <v>4325</v>
      </c>
      <c r="EX103" t="s">
        <v>4325</v>
      </c>
      <c r="EY103" t="s">
        <v>4325</v>
      </c>
      <c r="EZ103" t="s">
        <v>4325</v>
      </c>
      <c r="FA103" t="s">
        <v>4325</v>
      </c>
      <c r="FB103" t="s">
        <v>4325</v>
      </c>
      <c r="FC103" t="s">
        <v>4325</v>
      </c>
      <c r="FD103" t="s">
        <v>2688</v>
      </c>
      <c r="FE103" t="s">
        <v>2688</v>
      </c>
      <c r="FF103" t="s">
        <v>2688</v>
      </c>
      <c r="FG103" t="s">
        <v>2688</v>
      </c>
      <c r="HF103" t="s">
        <v>4326</v>
      </c>
      <c r="HG103" t="s">
        <v>4326</v>
      </c>
      <c r="HH103" t="s">
        <v>4326</v>
      </c>
      <c r="HI103" t="s">
        <v>4326</v>
      </c>
      <c r="HJ103" t="s">
        <v>4326</v>
      </c>
      <c r="HK103" t="s">
        <v>4326</v>
      </c>
      <c r="HL103" t="s">
        <v>4326</v>
      </c>
      <c r="HM103" t="s">
        <v>4326</v>
      </c>
      <c r="IY103" t="s">
        <v>4328</v>
      </c>
      <c r="IZ103" t="s">
        <v>4323</v>
      </c>
      <c r="JI103" t="s">
        <v>4329</v>
      </c>
      <c r="JJ103" t="s">
        <v>4329</v>
      </c>
      <c r="JK103" t="s">
        <v>4329</v>
      </c>
      <c r="JL103" t="s">
        <v>4327</v>
      </c>
      <c r="JM103" t="s">
        <v>4327</v>
      </c>
      <c r="JN103" t="s">
        <v>4327</v>
      </c>
      <c r="JO103" t="s">
        <v>4327</v>
      </c>
      <c r="JP103" t="s">
        <v>4327</v>
      </c>
      <c r="JQ103" t="s">
        <v>4327</v>
      </c>
    </row>
    <row r="104" spans="11:280" x14ac:dyDescent="0.3">
      <c r="AE104" t="s">
        <v>2613</v>
      </c>
      <c r="AF104" t="s">
        <v>2610</v>
      </c>
      <c r="AG104" t="s">
        <v>2610</v>
      </c>
      <c r="AH104" t="s">
        <v>2610</v>
      </c>
      <c r="AI104" t="s">
        <v>2610</v>
      </c>
      <c r="AJ104" t="s">
        <v>2610</v>
      </c>
      <c r="AK104" t="s">
        <v>2610</v>
      </c>
      <c r="AL104" t="s">
        <v>2610</v>
      </c>
      <c r="AM104" t="s">
        <v>2610</v>
      </c>
      <c r="AN104" t="s">
        <v>2610</v>
      </c>
      <c r="AO104" t="s">
        <v>2610</v>
      </c>
      <c r="AP104" t="s">
        <v>2610</v>
      </c>
      <c r="AQ104" t="s">
        <v>2610</v>
      </c>
      <c r="AR104" t="s">
        <v>2610</v>
      </c>
      <c r="AS104" t="s">
        <v>2634</v>
      </c>
      <c r="AT104" t="s">
        <v>2634</v>
      </c>
      <c r="AU104" t="s">
        <v>2634</v>
      </c>
      <c r="AV104" t="s">
        <v>2634</v>
      </c>
      <c r="AW104" t="s">
        <v>2634</v>
      </c>
      <c r="AX104" t="s">
        <v>2634</v>
      </c>
      <c r="AY104" t="s">
        <v>2557</v>
      </c>
      <c r="AZ104" t="s">
        <v>2557</v>
      </c>
      <c r="BA104" t="s">
        <v>2557</v>
      </c>
      <c r="BB104" t="s">
        <v>2557</v>
      </c>
      <c r="BC104" t="s">
        <v>2557</v>
      </c>
      <c r="BD104" t="s">
        <v>2557</v>
      </c>
      <c r="BE104" t="s">
        <v>2557</v>
      </c>
      <c r="BF104" t="s">
        <v>2557</v>
      </c>
      <c r="BG104" t="s">
        <v>2557</v>
      </c>
      <c r="BH104" t="s">
        <v>2557</v>
      </c>
      <c r="BI104" t="s">
        <v>2557</v>
      </c>
      <c r="BJ104" t="s">
        <v>2557</v>
      </c>
      <c r="BK104" t="s">
        <v>2557</v>
      </c>
      <c r="BL104" t="s">
        <v>2557</v>
      </c>
      <c r="BM104" t="s">
        <v>1244</v>
      </c>
      <c r="BN104" t="s">
        <v>1244</v>
      </c>
      <c r="BO104" t="s">
        <v>1244</v>
      </c>
      <c r="BP104" t="s">
        <v>1244</v>
      </c>
      <c r="BQ104" t="s">
        <v>2659</v>
      </c>
      <c r="BR104" t="s">
        <v>2659</v>
      </c>
      <c r="BS104" t="s">
        <v>2659</v>
      </c>
      <c r="BT104" t="s">
        <v>2659</v>
      </c>
      <c r="BU104" t="s">
        <v>2659</v>
      </c>
      <c r="BV104" t="s">
        <v>2659</v>
      </c>
      <c r="BW104" t="s">
        <v>2659</v>
      </c>
      <c r="BX104" t="s">
        <v>2659</v>
      </c>
      <c r="BY104" t="s">
        <v>2659</v>
      </c>
      <c r="BZ104" t="s">
        <v>2659</v>
      </c>
      <c r="CA104" t="s">
        <v>2659</v>
      </c>
      <c r="CB104" t="s">
        <v>2659</v>
      </c>
      <c r="CC104" t="s">
        <v>2659</v>
      </c>
      <c r="CD104" t="s">
        <v>2659</v>
      </c>
      <c r="CE104" t="s">
        <v>2659</v>
      </c>
      <c r="CF104" t="s">
        <v>2659</v>
      </c>
      <c r="CG104" t="s">
        <v>2659</v>
      </c>
      <c r="CH104" t="s">
        <v>2659</v>
      </c>
      <c r="CI104" t="s">
        <v>2659</v>
      </c>
      <c r="CJ104" t="s">
        <v>2659</v>
      </c>
      <c r="CK104" t="s">
        <v>2659</v>
      </c>
      <c r="CL104" t="s">
        <v>2563</v>
      </c>
      <c r="CM104" t="s">
        <v>2563</v>
      </c>
      <c r="CN104" t="s">
        <v>2572</v>
      </c>
      <c r="CO104" t="s">
        <v>2572</v>
      </c>
      <c r="CP104" t="s">
        <v>2572</v>
      </c>
      <c r="CQ104" t="s">
        <v>2572</v>
      </c>
      <c r="CR104" t="s">
        <v>2572</v>
      </c>
      <c r="CS104" t="s">
        <v>2572</v>
      </c>
      <c r="CT104" t="s">
        <v>2572</v>
      </c>
      <c r="CU104" t="s">
        <v>2572</v>
      </c>
      <c r="CV104" t="s">
        <v>2572</v>
      </c>
      <c r="CW104" t="s">
        <v>2572</v>
      </c>
      <c r="CX104" t="s">
        <v>2572</v>
      </c>
      <c r="CY104" t="s">
        <v>2572</v>
      </c>
      <c r="CZ104" t="s">
        <v>2572</v>
      </c>
      <c r="DA104" t="s">
        <v>2572</v>
      </c>
      <c r="DB104" t="s">
        <v>2572</v>
      </c>
      <c r="DC104" t="s">
        <v>2572</v>
      </c>
      <c r="DD104" t="s">
        <v>2697</v>
      </c>
      <c r="DE104" t="s">
        <v>2697</v>
      </c>
      <c r="DF104" t="s">
        <v>2697</v>
      </c>
      <c r="DG104" t="s">
        <v>2697</v>
      </c>
      <c r="DH104" t="s">
        <v>2697</v>
      </c>
      <c r="DI104" t="s">
        <v>2697</v>
      </c>
      <c r="DJ104" t="s">
        <v>2697</v>
      </c>
      <c r="DK104" t="s">
        <v>2697</v>
      </c>
      <c r="DL104" t="s">
        <v>2697</v>
      </c>
      <c r="DM104" t="s">
        <v>2697</v>
      </c>
      <c r="DN104" t="s">
        <v>2697</v>
      </c>
      <c r="DO104" t="s">
        <v>2697</v>
      </c>
      <c r="DP104" t="s">
        <v>2697</v>
      </c>
      <c r="DQ104" t="s">
        <v>2697</v>
      </c>
      <c r="DR104" t="s">
        <v>2697</v>
      </c>
      <c r="DS104" t="s">
        <v>2697</v>
      </c>
      <c r="DT104" t="s">
        <v>2697</v>
      </c>
      <c r="DU104" t="s">
        <v>2697</v>
      </c>
      <c r="DV104" t="s">
        <v>2697</v>
      </c>
      <c r="DW104" t="s">
        <v>2694</v>
      </c>
      <c r="DX104" t="s">
        <v>2697</v>
      </c>
      <c r="DY104" t="s">
        <v>2697</v>
      </c>
      <c r="DZ104" t="s">
        <v>2697</v>
      </c>
      <c r="EA104" t="s">
        <v>2697</v>
      </c>
      <c r="EB104" t="s">
        <v>2599</v>
      </c>
      <c r="EC104" t="s">
        <v>2599</v>
      </c>
      <c r="ED104" t="s">
        <v>2599</v>
      </c>
      <c r="EE104" t="s">
        <v>2599</v>
      </c>
      <c r="EF104" t="s">
        <v>2599</v>
      </c>
      <c r="EG104" t="s">
        <v>2599</v>
      </c>
      <c r="EH104" t="s">
        <v>2599</v>
      </c>
      <c r="EI104" t="s">
        <v>2599</v>
      </c>
      <c r="EJ104" t="s">
        <v>2599</v>
      </c>
      <c r="EK104" t="s">
        <v>2599</v>
      </c>
      <c r="EL104" t="s">
        <v>2599</v>
      </c>
      <c r="EM104" t="s">
        <v>2599</v>
      </c>
      <c r="EN104" t="s">
        <v>2599</v>
      </c>
      <c r="EO104" t="s">
        <v>2584</v>
      </c>
      <c r="EP104" t="s">
        <v>2584</v>
      </c>
      <c r="EQ104" t="s">
        <v>2584</v>
      </c>
      <c r="ER104" t="s">
        <v>4325</v>
      </c>
      <c r="FB104" t="s">
        <v>4325</v>
      </c>
      <c r="FC104" t="s">
        <v>4325</v>
      </c>
      <c r="FD104" t="s">
        <v>2688</v>
      </c>
      <c r="FE104" t="s">
        <v>2688</v>
      </c>
      <c r="FF104" t="s">
        <v>2688</v>
      </c>
      <c r="FG104" t="s">
        <v>2688</v>
      </c>
      <c r="HF104" t="s">
        <v>4326</v>
      </c>
      <c r="HG104" t="s">
        <v>4326</v>
      </c>
      <c r="HH104" t="s">
        <v>4326</v>
      </c>
      <c r="HI104" t="s">
        <v>4326</v>
      </c>
      <c r="HJ104" t="s">
        <v>4326</v>
      </c>
      <c r="HK104" t="s">
        <v>4326</v>
      </c>
      <c r="HL104" t="s">
        <v>4326</v>
      </c>
      <c r="HM104" t="s">
        <v>4326</v>
      </c>
      <c r="IY104" t="s">
        <v>4328</v>
      </c>
      <c r="IZ104" t="s">
        <v>4323</v>
      </c>
      <c r="JH104" t="s">
        <v>4329</v>
      </c>
      <c r="JI104" t="s">
        <v>4329</v>
      </c>
      <c r="JJ104" t="s">
        <v>4329</v>
      </c>
      <c r="JK104" t="s">
        <v>4329</v>
      </c>
      <c r="JL104" t="s">
        <v>4329</v>
      </c>
      <c r="JM104" t="s">
        <v>4329</v>
      </c>
      <c r="JN104" t="s">
        <v>4327</v>
      </c>
      <c r="JO104" t="s">
        <v>4327</v>
      </c>
      <c r="JP104" t="s">
        <v>4327</v>
      </c>
      <c r="JQ104" t="s">
        <v>4327</v>
      </c>
      <c r="JR104" t="s">
        <v>4327</v>
      </c>
    </row>
    <row r="105" spans="11:280" x14ac:dyDescent="0.3">
      <c r="AC105" t="s">
        <v>2613</v>
      </c>
      <c r="AD105" t="s">
        <v>2613</v>
      </c>
      <c r="AE105" t="s">
        <v>2613</v>
      </c>
      <c r="AF105" t="s">
        <v>2613</v>
      </c>
      <c r="AG105" t="s">
        <v>2613</v>
      </c>
      <c r="AH105" t="s">
        <v>2610</v>
      </c>
      <c r="AI105" t="s">
        <v>2610</v>
      </c>
      <c r="AJ105" t="s">
        <v>2610</v>
      </c>
      <c r="AK105" t="s">
        <v>2610</v>
      </c>
      <c r="AL105" t="s">
        <v>2610</v>
      </c>
      <c r="AM105" t="s">
        <v>2610</v>
      </c>
      <c r="AN105" t="s">
        <v>2610</v>
      </c>
      <c r="AO105" t="s">
        <v>2610</v>
      </c>
      <c r="AP105" t="s">
        <v>2610</v>
      </c>
      <c r="AQ105" t="s">
        <v>2610</v>
      </c>
      <c r="AR105" t="s">
        <v>2610</v>
      </c>
      <c r="AS105" t="s">
        <v>2634</v>
      </c>
      <c r="AT105" t="s">
        <v>2634</v>
      </c>
      <c r="AU105" t="s">
        <v>2634</v>
      </c>
      <c r="AV105" t="s">
        <v>2634</v>
      </c>
      <c r="AW105" t="s">
        <v>2634</v>
      </c>
      <c r="AX105" t="s">
        <v>2634</v>
      </c>
      <c r="AY105" t="s">
        <v>2634</v>
      </c>
      <c r="AZ105" t="s">
        <v>2557</v>
      </c>
      <c r="BA105" t="s">
        <v>2557</v>
      </c>
      <c r="BB105" t="s">
        <v>2557</v>
      </c>
      <c r="BC105" t="s">
        <v>2557</v>
      </c>
      <c r="BD105" t="s">
        <v>2557</v>
      </c>
      <c r="BE105" t="s">
        <v>2557</v>
      </c>
      <c r="BF105" t="s">
        <v>2557</v>
      </c>
      <c r="BG105" t="s">
        <v>2557</v>
      </c>
      <c r="BH105" t="s">
        <v>2557</v>
      </c>
      <c r="BI105" t="s">
        <v>2557</v>
      </c>
      <c r="BJ105" t="s">
        <v>2557</v>
      </c>
      <c r="BK105" t="s">
        <v>2557</v>
      </c>
      <c r="BL105" t="s">
        <v>2557</v>
      </c>
      <c r="BM105" t="s">
        <v>2557</v>
      </c>
      <c r="BN105" t="s">
        <v>1244</v>
      </c>
      <c r="BO105" t="s">
        <v>1244</v>
      </c>
      <c r="BP105" t="s">
        <v>1244</v>
      </c>
      <c r="BQ105" t="s">
        <v>2659</v>
      </c>
      <c r="BR105" t="s">
        <v>2659</v>
      </c>
      <c r="BS105" t="s">
        <v>2659</v>
      </c>
      <c r="BT105" t="s">
        <v>2659</v>
      </c>
      <c r="BU105" t="s">
        <v>2659</v>
      </c>
      <c r="BV105" t="s">
        <v>2659</v>
      </c>
      <c r="BW105" t="s">
        <v>2659</v>
      </c>
      <c r="BX105" t="s">
        <v>2659</v>
      </c>
      <c r="BY105" t="s">
        <v>2659</v>
      </c>
      <c r="BZ105" t="s">
        <v>2659</v>
      </c>
      <c r="CA105" t="s">
        <v>2659</v>
      </c>
      <c r="CB105" t="s">
        <v>2659</v>
      </c>
      <c r="CC105" t="s">
        <v>2659</v>
      </c>
      <c r="CD105" t="s">
        <v>2659</v>
      </c>
      <c r="CE105" t="s">
        <v>2659</v>
      </c>
      <c r="CF105" t="s">
        <v>2659</v>
      </c>
      <c r="CG105" t="s">
        <v>2659</v>
      </c>
      <c r="CH105" t="s">
        <v>2659</v>
      </c>
      <c r="CI105" t="s">
        <v>2659</v>
      </c>
      <c r="CJ105" t="s">
        <v>2659</v>
      </c>
      <c r="CK105" t="s">
        <v>2659</v>
      </c>
      <c r="CL105" t="s">
        <v>2659</v>
      </c>
      <c r="CM105" t="s">
        <v>2563</v>
      </c>
      <c r="CN105" t="s">
        <v>2572</v>
      </c>
      <c r="CO105" t="s">
        <v>2572</v>
      </c>
      <c r="CP105" t="s">
        <v>2572</v>
      </c>
      <c r="CQ105" t="s">
        <v>2572</v>
      </c>
      <c r="CR105" t="s">
        <v>2572</v>
      </c>
      <c r="CS105" t="s">
        <v>2572</v>
      </c>
      <c r="CT105" t="s">
        <v>2572</v>
      </c>
      <c r="CU105" t="s">
        <v>2572</v>
      </c>
      <c r="CV105" t="s">
        <v>2572</v>
      </c>
      <c r="CW105" t="s">
        <v>2572</v>
      </c>
      <c r="CX105" t="s">
        <v>2572</v>
      </c>
      <c r="CY105" t="s">
        <v>2572</v>
      </c>
      <c r="CZ105" t="s">
        <v>2572</v>
      </c>
      <c r="DA105" t="s">
        <v>2572</v>
      </c>
      <c r="DB105" t="s">
        <v>2572</v>
      </c>
      <c r="DC105" t="s">
        <v>2697</v>
      </c>
      <c r="DD105" t="s">
        <v>2697</v>
      </c>
      <c r="DE105" t="s">
        <v>2697</v>
      </c>
      <c r="DF105" t="s">
        <v>2697</v>
      </c>
      <c r="DG105" t="s">
        <v>2697</v>
      </c>
      <c r="DH105" t="s">
        <v>2697</v>
      </c>
      <c r="DI105" t="s">
        <v>2697</v>
      </c>
      <c r="DJ105" t="s">
        <v>2697</v>
      </c>
      <c r="DK105" t="s">
        <v>2697</v>
      </c>
      <c r="DL105" t="s">
        <v>2697</v>
      </c>
      <c r="DM105" t="s">
        <v>2697</v>
      </c>
      <c r="DN105" t="s">
        <v>2697</v>
      </c>
      <c r="DO105" t="s">
        <v>2697</v>
      </c>
      <c r="DP105" t="s">
        <v>2697</v>
      </c>
      <c r="DQ105" t="s">
        <v>2697</v>
      </c>
      <c r="DR105" t="s">
        <v>2697</v>
      </c>
      <c r="DS105" t="s">
        <v>2697</v>
      </c>
      <c r="DT105" t="s">
        <v>2697</v>
      </c>
      <c r="DU105" t="s">
        <v>2697</v>
      </c>
      <c r="DV105" t="s">
        <v>2697</v>
      </c>
      <c r="DW105" t="s">
        <v>2694</v>
      </c>
      <c r="DX105" t="s">
        <v>2697</v>
      </c>
      <c r="DY105" t="s">
        <v>2697</v>
      </c>
      <c r="DZ105" t="s">
        <v>2697</v>
      </c>
      <c r="EA105" t="s">
        <v>2697</v>
      </c>
      <c r="EB105" t="s">
        <v>2599</v>
      </c>
      <c r="EC105" t="s">
        <v>2599</v>
      </c>
      <c r="ED105" t="s">
        <v>2599</v>
      </c>
      <c r="EE105" t="s">
        <v>2599</v>
      </c>
      <c r="EF105" t="s">
        <v>2599</v>
      </c>
      <c r="EG105" t="s">
        <v>2599</v>
      </c>
      <c r="EH105" t="s">
        <v>2599</v>
      </c>
      <c r="EI105" t="s">
        <v>2599</v>
      </c>
      <c r="EJ105" t="s">
        <v>2599</v>
      </c>
      <c r="EK105" t="s">
        <v>2599</v>
      </c>
      <c r="EL105" t="s">
        <v>2599</v>
      </c>
      <c r="EM105" t="s">
        <v>2599</v>
      </c>
      <c r="EN105" t="s">
        <v>2599</v>
      </c>
      <c r="EO105" t="s">
        <v>2584</v>
      </c>
      <c r="EP105" t="s">
        <v>2584</v>
      </c>
      <c r="EQ105" t="s">
        <v>2584</v>
      </c>
      <c r="FG105" t="s">
        <v>2688</v>
      </c>
      <c r="HE105" t="s">
        <v>4326</v>
      </c>
      <c r="HF105" t="s">
        <v>4326</v>
      </c>
      <c r="HG105" t="s">
        <v>4326</v>
      </c>
      <c r="HH105" t="s">
        <v>4326</v>
      </c>
      <c r="HI105" t="s">
        <v>4326</v>
      </c>
      <c r="HJ105" t="s">
        <v>4326</v>
      </c>
      <c r="HK105" t="s">
        <v>4326</v>
      </c>
      <c r="HL105" t="s">
        <v>4326</v>
      </c>
      <c r="HM105" t="s">
        <v>4326</v>
      </c>
      <c r="IY105" t="s">
        <v>4328</v>
      </c>
      <c r="IZ105" t="s">
        <v>4328</v>
      </c>
      <c r="JA105" t="s">
        <v>4323</v>
      </c>
      <c r="JH105" t="s">
        <v>4329</v>
      </c>
      <c r="JI105" t="s">
        <v>4329</v>
      </c>
      <c r="JJ105" t="s">
        <v>4329</v>
      </c>
      <c r="JK105" t="s">
        <v>4329</v>
      </c>
      <c r="JL105" t="s">
        <v>4329</v>
      </c>
      <c r="JM105" t="s">
        <v>4329</v>
      </c>
      <c r="JN105" t="s">
        <v>4327</v>
      </c>
      <c r="JO105" t="s">
        <v>4327</v>
      </c>
      <c r="JP105" t="s">
        <v>4327</v>
      </c>
      <c r="JQ105" t="s">
        <v>4327</v>
      </c>
      <c r="JR105" t="s">
        <v>4327</v>
      </c>
      <c r="JS105" t="s">
        <v>4327</v>
      </c>
    </row>
    <row r="106" spans="11:280" x14ac:dyDescent="0.3">
      <c r="AC106" t="s">
        <v>2613</v>
      </c>
      <c r="AD106" t="s">
        <v>2613</v>
      </c>
      <c r="AE106" t="s">
        <v>2613</v>
      </c>
      <c r="AF106" t="s">
        <v>2613</v>
      </c>
      <c r="AG106" t="s">
        <v>2613</v>
      </c>
      <c r="AH106" t="s">
        <v>2613</v>
      </c>
      <c r="AI106" t="s">
        <v>2610</v>
      </c>
      <c r="AJ106" t="s">
        <v>2610</v>
      </c>
      <c r="AK106" t="s">
        <v>2610</v>
      </c>
      <c r="AL106" t="s">
        <v>2610</v>
      </c>
      <c r="AM106" t="s">
        <v>2634</v>
      </c>
      <c r="AN106" t="s">
        <v>2634</v>
      </c>
      <c r="AO106" t="s">
        <v>2634</v>
      </c>
      <c r="AP106" t="s">
        <v>2634</v>
      </c>
      <c r="AQ106" t="s">
        <v>2610</v>
      </c>
      <c r="AR106" t="s">
        <v>2634</v>
      </c>
      <c r="AS106" t="s">
        <v>2634</v>
      </c>
      <c r="AT106" t="s">
        <v>2634</v>
      </c>
      <c r="AU106" t="s">
        <v>2634</v>
      </c>
      <c r="AV106" t="s">
        <v>2634</v>
      </c>
      <c r="AW106" t="s">
        <v>2634</v>
      </c>
      <c r="AX106" t="s">
        <v>2634</v>
      </c>
      <c r="AY106" t="s">
        <v>2634</v>
      </c>
      <c r="AZ106" t="s">
        <v>2634</v>
      </c>
      <c r="BA106" t="s">
        <v>2557</v>
      </c>
      <c r="BB106" t="s">
        <v>2557</v>
      </c>
      <c r="BC106" t="s">
        <v>2557</v>
      </c>
      <c r="BD106" t="s">
        <v>2557</v>
      </c>
      <c r="BE106" t="s">
        <v>2557</v>
      </c>
      <c r="BF106" t="s">
        <v>2557</v>
      </c>
      <c r="BG106" t="s">
        <v>2557</v>
      </c>
      <c r="BH106" t="s">
        <v>2557</v>
      </c>
      <c r="BI106" t="s">
        <v>2557</v>
      </c>
      <c r="BJ106" t="s">
        <v>2557</v>
      </c>
      <c r="BK106" t="s">
        <v>2557</v>
      </c>
      <c r="BL106" t="s">
        <v>2557</v>
      </c>
      <c r="BM106" t="s">
        <v>2557</v>
      </c>
      <c r="BN106" t="s">
        <v>2656</v>
      </c>
      <c r="BO106" t="s">
        <v>2656</v>
      </c>
      <c r="BP106" t="s">
        <v>2656</v>
      </c>
      <c r="BQ106" t="s">
        <v>2659</v>
      </c>
      <c r="BR106" t="s">
        <v>2659</v>
      </c>
      <c r="BS106" t="s">
        <v>2659</v>
      </c>
      <c r="BT106" t="s">
        <v>2659</v>
      </c>
      <c r="BU106" t="s">
        <v>2659</v>
      </c>
      <c r="BV106" t="s">
        <v>2659</v>
      </c>
      <c r="BW106" t="s">
        <v>2659</v>
      </c>
      <c r="BX106" t="s">
        <v>2659</v>
      </c>
      <c r="BY106" t="s">
        <v>2659</v>
      </c>
      <c r="BZ106" t="s">
        <v>2659</v>
      </c>
      <c r="CA106" t="s">
        <v>2659</v>
      </c>
      <c r="CB106" t="s">
        <v>2659</v>
      </c>
      <c r="CC106" t="s">
        <v>2659</v>
      </c>
      <c r="CD106" t="s">
        <v>2659</v>
      </c>
      <c r="CE106" t="s">
        <v>2659</v>
      </c>
      <c r="CF106" t="s">
        <v>2659</v>
      </c>
      <c r="CG106" t="s">
        <v>2659</v>
      </c>
      <c r="CH106" t="s">
        <v>2659</v>
      </c>
      <c r="CI106" t="s">
        <v>2659</v>
      </c>
      <c r="CJ106" t="s">
        <v>2659</v>
      </c>
      <c r="CK106" t="s">
        <v>2659</v>
      </c>
      <c r="CL106" t="s">
        <v>2659</v>
      </c>
      <c r="CM106" t="s">
        <v>2563</v>
      </c>
      <c r="CN106" t="s">
        <v>2572</v>
      </c>
      <c r="CO106" t="s">
        <v>2572</v>
      </c>
      <c r="CP106" t="s">
        <v>2572</v>
      </c>
      <c r="CQ106" t="s">
        <v>2572</v>
      </c>
      <c r="CR106" t="s">
        <v>2572</v>
      </c>
      <c r="CS106" t="s">
        <v>2572</v>
      </c>
      <c r="CT106" t="s">
        <v>2572</v>
      </c>
      <c r="CU106" t="s">
        <v>2572</v>
      </c>
      <c r="CV106" t="s">
        <v>2572</v>
      </c>
      <c r="CW106" t="s">
        <v>2572</v>
      </c>
      <c r="CX106" t="s">
        <v>2572</v>
      </c>
      <c r="CY106" t="s">
        <v>2572</v>
      </c>
      <c r="CZ106" t="s">
        <v>2572</v>
      </c>
      <c r="DA106" t="s">
        <v>2572</v>
      </c>
      <c r="DB106" t="s">
        <v>2572</v>
      </c>
      <c r="DC106" t="s">
        <v>2697</v>
      </c>
      <c r="DD106" t="s">
        <v>2697</v>
      </c>
      <c r="DE106" t="s">
        <v>2697</v>
      </c>
      <c r="DF106" t="s">
        <v>2697</v>
      </c>
      <c r="DG106" t="s">
        <v>2697</v>
      </c>
      <c r="DH106" t="s">
        <v>2697</v>
      </c>
      <c r="DI106" t="s">
        <v>2697</v>
      </c>
      <c r="DJ106" t="s">
        <v>2697</v>
      </c>
      <c r="DK106" t="s">
        <v>2697</v>
      </c>
      <c r="DL106" t="s">
        <v>2697</v>
      </c>
      <c r="DM106" t="s">
        <v>2697</v>
      </c>
      <c r="DN106" t="s">
        <v>2697</v>
      </c>
      <c r="DO106" t="s">
        <v>2697</v>
      </c>
      <c r="DP106" t="s">
        <v>2697</v>
      </c>
      <c r="DQ106" t="s">
        <v>2697</v>
      </c>
      <c r="DR106" t="s">
        <v>2697</v>
      </c>
      <c r="DS106" t="s">
        <v>2697</v>
      </c>
      <c r="DT106" t="s">
        <v>2697</v>
      </c>
      <c r="DU106" t="s">
        <v>2697</v>
      </c>
      <c r="DV106" t="s">
        <v>2697</v>
      </c>
      <c r="DW106" t="s">
        <v>2697</v>
      </c>
      <c r="DX106" t="s">
        <v>2697</v>
      </c>
      <c r="DY106" t="s">
        <v>2697</v>
      </c>
      <c r="DZ106" t="s">
        <v>2697</v>
      </c>
      <c r="EA106" t="s">
        <v>2697</v>
      </c>
      <c r="EB106" t="s">
        <v>2697</v>
      </c>
      <c r="EC106" t="s">
        <v>2599</v>
      </c>
      <c r="ED106" t="s">
        <v>2599</v>
      </c>
      <c r="EE106" t="s">
        <v>2599</v>
      </c>
      <c r="EF106" t="s">
        <v>2599</v>
      </c>
      <c r="EG106" t="s">
        <v>2599</v>
      </c>
      <c r="EH106" t="s">
        <v>2599</v>
      </c>
      <c r="EI106" t="s">
        <v>2599</v>
      </c>
      <c r="EJ106" t="s">
        <v>2599</v>
      </c>
      <c r="EK106" t="s">
        <v>2599</v>
      </c>
      <c r="EL106" t="s">
        <v>2599</v>
      </c>
      <c r="EM106" t="s">
        <v>2599</v>
      </c>
      <c r="EN106" t="s">
        <v>2599</v>
      </c>
      <c r="EO106" t="s">
        <v>2599</v>
      </c>
      <c r="EP106" t="s">
        <v>2584</v>
      </c>
      <c r="EQ106" t="s">
        <v>2584</v>
      </c>
      <c r="ER106" t="s">
        <v>2584</v>
      </c>
      <c r="HD106" t="s">
        <v>4326</v>
      </c>
      <c r="HE106" t="s">
        <v>4326</v>
      </c>
      <c r="HF106" t="s">
        <v>4326</v>
      </c>
      <c r="HG106" t="s">
        <v>4326</v>
      </c>
      <c r="HH106" t="s">
        <v>4326</v>
      </c>
      <c r="HI106" t="s">
        <v>4326</v>
      </c>
      <c r="HJ106" t="s">
        <v>4326</v>
      </c>
      <c r="HK106" t="s">
        <v>4326</v>
      </c>
      <c r="HL106" t="s">
        <v>4326</v>
      </c>
      <c r="HM106" t="s">
        <v>4326</v>
      </c>
      <c r="IY106" t="s">
        <v>4328</v>
      </c>
      <c r="IZ106" t="s">
        <v>4328</v>
      </c>
      <c r="JA106" t="s">
        <v>4323</v>
      </c>
      <c r="JG106" t="s">
        <v>4329</v>
      </c>
      <c r="JH106" t="s">
        <v>4329</v>
      </c>
      <c r="JI106" t="s">
        <v>4329</v>
      </c>
      <c r="JJ106" t="s">
        <v>4329</v>
      </c>
      <c r="JK106" t="s">
        <v>4329</v>
      </c>
      <c r="JL106" t="s">
        <v>4329</v>
      </c>
      <c r="JM106" t="s">
        <v>4329</v>
      </c>
      <c r="JN106" t="s">
        <v>4329</v>
      </c>
      <c r="JO106" t="s">
        <v>4329</v>
      </c>
      <c r="JP106" t="s">
        <v>4329</v>
      </c>
      <c r="JQ106" t="s">
        <v>4327</v>
      </c>
      <c r="JR106" t="s">
        <v>4327</v>
      </c>
      <c r="JS106" t="s">
        <v>4327</v>
      </c>
    </row>
    <row r="107" spans="11:280" x14ac:dyDescent="0.3">
      <c r="AB107" t="s">
        <v>2679</v>
      </c>
      <c r="AC107" t="s">
        <v>2679</v>
      </c>
      <c r="AD107" t="s">
        <v>2679</v>
      </c>
      <c r="AE107" t="s">
        <v>2679</v>
      </c>
      <c r="AF107" t="s">
        <v>2679</v>
      </c>
      <c r="AG107" t="s">
        <v>2679</v>
      </c>
      <c r="AH107" t="s">
        <v>2679</v>
      </c>
      <c r="AI107" t="s">
        <v>2679</v>
      </c>
      <c r="AJ107" t="s">
        <v>2679</v>
      </c>
      <c r="AK107" t="s">
        <v>2679</v>
      </c>
      <c r="AL107" t="s">
        <v>2679</v>
      </c>
      <c r="AM107" t="s">
        <v>2634</v>
      </c>
      <c r="AN107" t="s">
        <v>2634</v>
      </c>
      <c r="AO107" t="s">
        <v>2634</v>
      </c>
      <c r="AP107" t="s">
        <v>2634</v>
      </c>
      <c r="AQ107" t="s">
        <v>2634</v>
      </c>
      <c r="AR107" t="s">
        <v>2634</v>
      </c>
      <c r="AS107" t="s">
        <v>2634</v>
      </c>
      <c r="AT107" t="s">
        <v>2634</v>
      </c>
      <c r="AU107" t="s">
        <v>2634</v>
      </c>
      <c r="AV107" t="s">
        <v>2634</v>
      </c>
      <c r="AW107" t="s">
        <v>2634</v>
      </c>
      <c r="AX107" t="s">
        <v>2634</v>
      </c>
      <c r="AY107" t="s">
        <v>2634</v>
      </c>
      <c r="AZ107" t="s">
        <v>2634</v>
      </c>
      <c r="BA107" t="s">
        <v>2557</v>
      </c>
      <c r="BB107" t="s">
        <v>2557</v>
      </c>
      <c r="BC107" t="s">
        <v>2557</v>
      </c>
      <c r="BD107" t="s">
        <v>2557</v>
      </c>
      <c r="BE107" t="s">
        <v>2557</v>
      </c>
      <c r="BF107" t="s">
        <v>2557</v>
      </c>
      <c r="BG107" t="s">
        <v>2557</v>
      </c>
      <c r="BH107" t="s">
        <v>2557</v>
      </c>
      <c r="BI107" t="s">
        <v>2557</v>
      </c>
      <c r="BJ107" t="s">
        <v>2557</v>
      </c>
      <c r="BK107" t="s">
        <v>2557</v>
      </c>
      <c r="BL107" t="s">
        <v>2557</v>
      </c>
      <c r="BM107" t="s">
        <v>2656</v>
      </c>
      <c r="BN107" t="s">
        <v>2656</v>
      </c>
      <c r="BO107" t="s">
        <v>2656</v>
      </c>
      <c r="BP107" t="s">
        <v>2656</v>
      </c>
      <c r="BQ107" t="s">
        <v>2656</v>
      </c>
      <c r="BR107" t="s">
        <v>2659</v>
      </c>
      <c r="BS107" t="s">
        <v>2659</v>
      </c>
      <c r="BT107" t="s">
        <v>2659</v>
      </c>
      <c r="BU107" t="s">
        <v>2659</v>
      </c>
      <c r="BV107" t="s">
        <v>2659</v>
      </c>
      <c r="BW107" t="s">
        <v>2659</v>
      </c>
      <c r="BX107" t="s">
        <v>2659</v>
      </c>
      <c r="BY107" t="s">
        <v>2659</v>
      </c>
      <c r="BZ107" t="s">
        <v>2659</v>
      </c>
      <c r="CA107" t="s">
        <v>2659</v>
      </c>
      <c r="CB107" t="s">
        <v>2659</v>
      </c>
      <c r="CC107" t="s">
        <v>2659</v>
      </c>
      <c r="CD107" t="s">
        <v>2659</v>
      </c>
      <c r="CE107" t="s">
        <v>2659</v>
      </c>
      <c r="CF107" t="s">
        <v>2659</v>
      </c>
      <c r="CG107" t="s">
        <v>2659</v>
      </c>
      <c r="CH107" t="s">
        <v>2659</v>
      </c>
      <c r="CI107" t="s">
        <v>2659</v>
      </c>
      <c r="CJ107" t="s">
        <v>2659</v>
      </c>
      <c r="CK107" t="s">
        <v>2659</v>
      </c>
      <c r="CL107" t="s">
        <v>2563</v>
      </c>
      <c r="CM107" t="s">
        <v>2572</v>
      </c>
      <c r="CN107" t="s">
        <v>2572</v>
      </c>
      <c r="CO107" t="s">
        <v>2572</v>
      </c>
      <c r="CP107" t="s">
        <v>2572</v>
      </c>
      <c r="CQ107" t="s">
        <v>2572</v>
      </c>
      <c r="CR107" t="s">
        <v>2572</v>
      </c>
      <c r="CS107" t="s">
        <v>2572</v>
      </c>
      <c r="CT107" t="s">
        <v>2572</v>
      </c>
      <c r="CU107" t="s">
        <v>2572</v>
      </c>
      <c r="CV107" t="s">
        <v>2572</v>
      </c>
      <c r="CW107" t="s">
        <v>2572</v>
      </c>
      <c r="CX107" t="s">
        <v>2572</v>
      </c>
      <c r="CY107" t="s">
        <v>2572</v>
      </c>
      <c r="CZ107" t="s">
        <v>2572</v>
      </c>
      <c r="DA107" t="s">
        <v>2572</v>
      </c>
      <c r="DB107" t="s">
        <v>2697</v>
      </c>
      <c r="DC107" t="s">
        <v>2697</v>
      </c>
      <c r="DD107" t="s">
        <v>2697</v>
      </c>
      <c r="DE107" t="s">
        <v>2697</v>
      </c>
      <c r="DF107" t="s">
        <v>2697</v>
      </c>
      <c r="DG107" t="s">
        <v>2697</v>
      </c>
      <c r="DH107" t="s">
        <v>2697</v>
      </c>
      <c r="DI107" t="s">
        <v>2697</v>
      </c>
      <c r="DJ107" t="s">
        <v>2697</v>
      </c>
      <c r="DK107" t="s">
        <v>2697</v>
      </c>
      <c r="DL107" t="s">
        <v>2697</v>
      </c>
      <c r="DM107" t="s">
        <v>2697</v>
      </c>
      <c r="DN107" t="s">
        <v>2697</v>
      </c>
      <c r="DO107" t="s">
        <v>2697</v>
      </c>
      <c r="DP107" t="s">
        <v>2697</v>
      </c>
      <c r="DQ107" t="s">
        <v>2697</v>
      </c>
      <c r="DR107" t="s">
        <v>2697</v>
      </c>
      <c r="DS107" t="s">
        <v>2697</v>
      </c>
      <c r="DT107" t="s">
        <v>2697</v>
      </c>
      <c r="DU107" t="s">
        <v>2697</v>
      </c>
      <c r="DV107" t="s">
        <v>2697</v>
      </c>
      <c r="DW107" t="s">
        <v>2697</v>
      </c>
      <c r="DX107" t="s">
        <v>2697</v>
      </c>
      <c r="DY107" t="s">
        <v>2697</v>
      </c>
      <c r="DZ107" t="s">
        <v>2697</v>
      </c>
      <c r="EA107" t="s">
        <v>2697</v>
      </c>
      <c r="EB107" t="s">
        <v>2697</v>
      </c>
      <c r="EC107" t="s">
        <v>2697</v>
      </c>
      <c r="ED107" t="s">
        <v>2599</v>
      </c>
      <c r="EE107" t="s">
        <v>2599</v>
      </c>
      <c r="EF107" t="s">
        <v>2599</v>
      </c>
      <c r="EG107" t="s">
        <v>2599</v>
      </c>
      <c r="EH107" t="s">
        <v>2599</v>
      </c>
      <c r="EI107" t="s">
        <v>2599</v>
      </c>
      <c r="EJ107" t="s">
        <v>2599</v>
      </c>
      <c r="EK107" t="s">
        <v>2599</v>
      </c>
      <c r="EL107" t="s">
        <v>2599</v>
      </c>
      <c r="EM107" t="s">
        <v>2599</v>
      </c>
      <c r="EN107" t="s">
        <v>2599</v>
      </c>
      <c r="EO107" t="s">
        <v>2599</v>
      </c>
      <c r="EP107" t="s">
        <v>2593</v>
      </c>
      <c r="EQ107" t="s">
        <v>2593</v>
      </c>
      <c r="ES107" t="s">
        <v>2811</v>
      </c>
      <c r="ET107" t="s">
        <v>2811</v>
      </c>
      <c r="EU107" t="s">
        <v>2811</v>
      </c>
      <c r="HD107" t="s">
        <v>4326</v>
      </c>
      <c r="HE107" t="s">
        <v>4326</v>
      </c>
      <c r="HF107" t="s">
        <v>4326</v>
      </c>
      <c r="HG107" t="s">
        <v>4326</v>
      </c>
      <c r="HH107" t="s">
        <v>4326</v>
      </c>
      <c r="HI107" t="s">
        <v>4326</v>
      </c>
      <c r="HJ107" t="s">
        <v>4326</v>
      </c>
      <c r="HK107" t="s">
        <v>4326</v>
      </c>
      <c r="HL107" t="s">
        <v>4326</v>
      </c>
      <c r="HM107" t="s">
        <v>4326</v>
      </c>
      <c r="IY107" t="s">
        <v>4328</v>
      </c>
      <c r="IZ107" t="s">
        <v>4323</v>
      </c>
      <c r="JA107" t="s">
        <v>4323</v>
      </c>
      <c r="JD107" t="s">
        <v>4323</v>
      </c>
      <c r="JE107" t="s">
        <v>4323</v>
      </c>
      <c r="JF107" t="s">
        <v>4323</v>
      </c>
      <c r="JG107" t="s">
        <v>4329</v>
      </c>
      <c r="JH107" t="s">
        <v>4329</v>
      </c>
      <c r="JI107" t="s">
        <v>4329</v>
      </c>
      <c r="JJ107" t="s">
        <v>4329</v>
      </c>
      <c r="JK107" t="s">
        <v>4329</v>
      </c>
      <c r="JL107" t="s">
        <v>4329</v>
      </c>
      <c r="JM107" t="s">
        <v>4329</v>
      </c>
      <c r="JN107" t="s">
        <v>4329</v>
      </c>
      <c r="JO107" t="s">
        <v>4329</v>
      </c>
      <c r="JP107" t="s">
        <v>4329</v>
      </c>
      <c r="JQ107" t="s">
        <v>4327</v>
      </c>
      <c r="JR107" t="s">
        <v>4327</v>
      </c>
      <c r="JS107" t="s">
        <v>4327</v>
      </c>
      <c r="JT107" t="s">
        <v>4327</v>
      </c>
    </row>
    <row r="108" spans="11:280" x14ac:dyDescent="0.3">
      <c r="AB108" t="s">
        <v>2605</v>
      </c>
      <c r="AC108" t="s">
        <v>2605</v>
      </c>
      <c r="AD108" t="s">
        <v>2605</v>
      </c>
      <c r="AE108" t="s">
        <v>2679</v>
      </c>
      <c r="AF108" t="s">
        <v>2679</v>
      </c>
      <c r="AG108" t="s">
        <v>2679</v>
      </c>
      <c r="AH108" t="s">
        <v>2679</v>
      </c>
      <c r="AI108" t="s">
        <v>2679</v>
      </c>
      <c r="AJ108" t="s">
        <v>2679</v>
      </c>
      <c r="AK108" t="s">
        <v>2679</v>
      </c>
      <c r="AL108" t="s">
        <v>2679</v>
      </c>
      <c r="AM108" t="s">
        <v>2634</v>
      </c>
      <c r="AN108" t="s">
        <v>2634</v>
      </c>
      <c r="AO108" t="s">
        <v>2634</v>
      </c>
      <c r="AP108" t="s">
        <v>2634</v>
      </c>
      <c r="AQ108" t="s">
        <v>2634</v>
      </c>
      <c r="AR108" t="s">
        <v>2634</v>
      </c>
      <c r="AS108" t="s">
        <v>2634</v>
      </c>
      <c r="AT108" t="s">
        <v>2634</v>
      </c>
      <c r="AU108" t="s">
        <v>2634</v>
      </c>
      <c r="AV108" t="s">
        <v>2634</v>
      </c>
      <c r="AW108" t="s">
        <v>2634</v>
      </c>
      <c r="AX108" t="s">
        <v>2634</v>
      </c>
      <c r="AY108" t="s">
        <v>2634</v>
      </c>
      <c r="AZ108" t="s">
        <v>2634</v>
      </c>
      <c r="BA108" t="s">
        <v>2557</v>
      </c>
      <c r="BB108" t="s">
        <v>2557</v>
      </c>
      <c r="BC108" t="s">
        <v>2557</v>
      </c>
      <c r="BD108" t="s">
        <v>2557</v>
      </c>
      <c r="BE108" t="s">
        <v>2557</v>
      </c>
      <c r="BF108" t="s">
        <v>2557</v>
      </c>
      <c r="BG108" t="s">
        <v>2557</v>
      </c>
      <c r="BH108" t="s">
        <v>2557</v>
      </c>
      <c r="BI108" t="s">
        <v>2557</v>
      </c>
      <c r="BJ108" t="s">
        <v>2557</v>
      </c>
      <c r="BK108" t="s">
        <v>2557</v>
      </c>
      <c r="BL108" t="s">
        <v>2656</v>
      </c>
      <c r="BM108" t="s">
        <v>2656</v>
      </c>
      <c r="BN108" t="s">
        <v>2656</v>
      </c>
      <c r="BO108" t="s">
        <v>2656</v>
      </c>
      <c r="BP108" t="s">
        <v>2656</v>
      </c>
      <c r="BQ108" t="s">
        <v>2656</v>
      </c>
      <c r="BR108" t="s">
        <v>2659</v>
      </c>
      <c r="BS108" t="s">
        <v>2659</v>
      </c>
      <c r="BT108" t="s">
        <v>2659</v>
      </c>
      <c r="BU108" t="s">
        <v>2659</v>
      </c>
      <c r="BV108" t="s">
        <v>2659</v>
      </c>
      <c r="BW108" t="s">
        <v>2656</v>
      </c>
      <c r="BX108" t="s">
        <v>2656</v>
      </c>
      <c r="BY108" t="s">
        <v>2659</v>
      </c>
      <c r="BZ108" t="s">
        <v>2656</v>
      </c>
      <c r="CA108" t="s">
        <v>2656</v>
      </c>
      <c r="CB108" t="s">
        <v>2656</v>
      </c>
      <c r="CC108" t="s">
        <v>2656</v>
      </c>
      <c r="CD108" t="s">
        <v>2659</v>
      </c>
      <c r="CE108" t="s">
        <v>2659</v>
      </c>
      <c r="CF108" t="s">
        <v>2659</v>
      </c>
      <c r="CG108" t="s">
        <v>2656</v>
      </c>
      <c r="CH108" t="s">
        <v>2656</v>
      </c>
      <c r="CI108" t="s">
        <v>2659</v>
      </c>
      <c r="CJ108" t="s">
        <v>2659</v>
      </c>
      <c r="CK108" t="s">
        <v>2656</v>
      </c>
      <c r="CL108" t="s">
        <v>2656</v>
      </c>
      <c r="CM108" t="s">
        <v>2572</v>
      </c>
      <c r="CN108" t="s">
        <v>2572</v>
      </c>
      <c r="CO108" t="s">
        <v>2572</v>
      </c>
      <c r="CP108" t="s">
        <v>2572</v>
      </c>
      <c r="CQ108" t="s">
        <v>2572</v>
      </c>
      <c r="CR108" t="s">
        <v>2572</v>
      </c>
      <c r="CS108" t="s">
        <v>2572</v>
      </c>
      <c r="CT108" t="s">
        <v>2572</v>
      </c>
      <c r="CU108" t="s">
        <v>2572</v>
      </c>
      <c r="CV108" t="s">
        <v>2572</v>
      </c>
      <c r="CW108" t="s">
        <v>2572</v>
      </c>
      <c r="CX108" t="s">
        <v>2572</v>
      </c>
      <c r="CY108" t="s">
        <v>2572</v>
      </c>
      <c r="CZ108" t="s">
        <v>2572</v>
      </c>
      <c r="DA108" t="s">
        <v>2572</v>
      </c>
      <c r="DB108" t="s">
        <v>2697</v>
      </c>
      <c r="DC108" t="s">
        <v>2697</v>
      </c>
      <c r="DD108" t="s">
        <v>2697</v>
      </c>
      <c r="DE108" t="s">
        <v>2697</v>
      </c>
      <c r="DF108" t="s">
        <v>2697</v>
      </c>
      <c r="DG108" t="s">
        <v>2697</v>
      </c>
      <c r="DH108" t="s">
        <v>2697</v>
      </c>
      <c r="DI108" t="s">
        <v>2697</v>
      </c>
      <c r="DJ108" t="s">
        <v>2697</v>
      </c>
      <c r="DK108" t="s">
        <v>2697</v>
      </c>
      <c r="DL108" t="s">
        <v>2697</v>
      </c>
      <c r="DM108" t="s">
        <v>2697</v>
      </c>
      <c r="DN108" t="s">
        <v>2697</v>
      </c>
      <c r="DO108" t="s">
        <v>2697</v>
      </c>
      <c r="DP108" t="s">
        <v>2697</v>
      </c>
      <c r="DQ108" t="s">
        <v>2697</v>
      </c>
      <c r="DR108" t="s">
        <v>2697</v>
      </c>
      <c r="DS108" t="s">
        <v>2697</v>
      </c>
      <c r="DT108" t="s">
        <v>2697</v>
      </c>
      <c r="DU108" t="s">
        <v>2697</v>
      </c>
      <c r="DV108" t="s">
        <v>2697</v>
      </c>
      <c r="DW108" t="s">
        <v>2697</v>
      </c>
      <c r="DX108" t="s">
        <v>2697</v>
      </c>
      <c r="DY108" t="s">
        <v>2697</v>
      </c>
      <c r="DZ108" t="s">
        <v>2697</v>
      </c>
      <c r="EA108" t="s">
        <v>2697</v>
      </c>
      <c r="EB108" t="s">
        <v>2697</v>
      </c>
      <c r="EC108" t="s">
        <v>2697</v>
      </c>
      <c r="ED108" t="s">
        <v>2599</v>
      </c>
      <c r="EE108" t="s">
        <v>2599</v>
      </c>
      <c r="EF108" t="s">
        <v>2599</v>
      </c>
      <c r="EG108" t="s">
        <v>2599</v>
      </c>
      <c r="EH108" t="s">
        <v>2599</v>
      </c>
      <c r="EI108" t="s">
        <v>2599</v>
      </c>
      <c r="EJ108" t="s">
        <v>2599</v>
      </c>
      <c r="EK108" t="s">
        <v>2599</v>
      </c>
      <c r="EL108" t="s">
        <v>2599</v>
      </c>
      <c r="EM108" t="s">
        <v>2599</v>
      </c>
      <c r="EN108" t="s">
        <v>2599</v>
      </c>
      <c r="EO108" t="s">
        <v>2593</v>
      </c>
      <c r="EP108" t="s">
        <v>2593</v>
      </c>
      <c r="ER108" t="s">
        <v>2811</v>
      </c>
      <c r="ES108" t="s">
        <v>2811</v>
      </c>
      <c r="ET108" t="s">
        <v>2811</v>
      </c>
      <c r="EU108" t="s">
        <v>2811</v>
      </c>
      <c r="EV108" t="s">
        <v>2811</v>
      </c>
      <c r="HD108" t="s">
        <v>4326</v>
      </c>
      <c r="HE108" t="s">
        <v>4326</v>
      </c>
      <c r="HF108" t="s">
        <v>4326</v>
      </c>
      <c r="HG108" t="s">
        <v>4326</v>
      </c>
      <c r="HH108" t="s">
        <v>4326</v>
      </c>
      <c r="HI108" t="s">
        <v>4326</v>
      </c>
      <c r="HJ108" t="s">
        <v>4326</v>
      </c>
      <c r="HK108" t="s">
        <v>4326</v>
      </c>
      <c r="HL108" t="s">
        <v>4326</v>
      </c>
      <c r="HM108" t="s">
        <v>4326</v>
      </c>
      <c r="HN108" t="s">
        <v>4326</v>
      </c>
      <c r="IY108" t="s">
        <v>4328</v>
      </c>
      <c r="IZ108" t="s">
        <v>4323</v>
      </c>
      <c r="JA108" t="s">
        <v>4323</v>
      </c>
      <c r="JD108" t="s">
        <v>4323</v>
      </c>
      <c r="JE108" t="s">
        <v>4323</v>
      </c>
      <c r="JF108" t="s">
        <v>4323</v>
      </c>
      <c r="JG108" t="s">
        <v>4329</v>
      </c>
      <c r="JH108" t="s">
        <v>4329</v>
      </c>
      <c r="JI108" t="s">
        <v>4329</v>
      </c>
      <c r="JJ108" t="s">
        <v>4329</v>
      </c>
      <c r="JK108" t="s">
        <v>4329</v>
      </c>
      <c r="JL108" t="s">
        <v>4329</v>
      </c>
      <c r="JM108" t="s">
        <v>4329</v>
      </c>
      <c r="JN108" t="s">
        <v>4329</v>
      </c>
      <c r="JO108" t="s">
        <v>4329</v>
      </c>
      <c r="JP108" t="s">
        <v>4329</v>
      </c>
      <c r="JQ108" t="s">
        <v>4327</v>
      </c>
      <c r="JR108" t="s">
        <v>4327</v>
      </c>
      <c r="JS108" t="s">
        <v>4327</v>
      </c>
      <c r="JT108" t="s">
        <v>4327</v>
      </c>
    </row>
    <row r="109" spans="11:280" x14ac:dyDescent="0.3">
      <c r="AB109" t="s">
        <v>2679</v>
      </c>
      <c r="AC109" t="s">
        <v>2679</v>
      </c>
      <c r="AD109" t="s">
        <v>2679</v>
      </c>
      <c r="AE109" t="s">
        <v>2605</v>
      </c>
      <c r="AF109" t="s">
        <v>2679</v>
      </c>
      <c r="AG109" t="s">
        <v>2679</v>
      </c>
      <c r="AH109" t="s">
        <v>2679</v>
      </c>
      <c r="AI109" t="s">
        <v>2679</v>
      </c>
      <c r="AJ109" t="s">
        <v>2679</v>
      </c>
      <c r="AK109" t="s">
        <v>2679</v>
      </c>
      <c r="AL109" t="s">
        <v>2634</v>
      </c>
      <c r="AM109" t="s">
        <v>2634</v>
      </c>
      <c r="AN109" t="s">
        <v>2634</v>
      </c>
      <c r="AO109" t="s">
        <v>2634</v>
      </c>
      <c r="AP109" t="s">
        <v>2634</v>
      </c>
      <c r="AQ109" t="s">
        <v>2634</v>
      </c>
      <c r="AR109" t="s">
        <v>2634</v>
      </c>
      <c r="AS109" t="s">
        <v>2634</v>
      </c>
      <c r="AT109" t="s">
        <v>2634</v>
      </c>
      <c r="AU109" t="s">
        <v>2634</v>
      </c>
      <c r="AV109" t="s">
        <v>2634</v>
      </c>
      <c r="AW109" t="s">
        <v>2634</v>
      </c>
      <c r="AX109" t="s">
        <v>2634</v>
      </c>
      <c r="AY109" t="s">
        <v>2634</v>
      </c>
      <c r="AZ109" t="s">
        <v>2634</v>
      </c>
      <c r="BA109" t="s">
        <v>2634</v>
      </c>
      <c r="BB109" t="s">
        <v>2634</v>
      </c>
      <c r="BC109" t="s">
        <v>2634</v>
      </c>
      <c r="BD109" t="s">
        <v>2557</v>
      </c>
      <c r="BE109" t="s">
        <v>2557</v>
      </c>
      <c r="BF109" t="s">
        <v>2557</v>
      </c>
      <c r="BG109" t="s">
        <v>2557</v>
      </c>
      <c r="BH109" t="s">
        <v>2557</v>
      </c>
      <c r="BI109" t="s">
        <v>2557</v>
      </c>
      <c r="BJ109" t="s">
        <v>2557</v>
      </c>
      <c r="BK109" t="s">
        <v>2656</v>
      </c>
      <c r="BL109" t="s">
        <v>2656</v>
      </c>
      <c r="BM109" t="s">
        <v>2656</v>
      </c>
      <c r="BN109" t="s">
        <v>2656</v>
      </c>
      <c r="BO109" t="s">
        <v>2656</v>
      </c>
      <c r="BP109" t="s">
        <v>2656</v>
      </c>
      <c r="BQ109" t="s">
        <v>2656</v>
      </c>
      <c r="BR109" t="s">
        <v>2656</v>
      </c>
      <c r="BS109" t="s">
        <v>2659</v>
      </c>
      <c r="BT109" t="s">
        <v>2659</v>
      </c>
      <c r="BU109" t="s">
        <v>2659</v>
      </c>
      <c r="BV109" t="s">
        <v>2656</v>
      </c>
      <c r="BW109" t="s">
        <v>2656</v>
      </c>
      <c r="BX109" t="s">
        <v>2656</v>
      </c>
      <c r="BY109" t="s">
        <v>2656</v>
      </c>
      <c r="BZ109" t="s">
        <v>2656</v>
      </c>
      <c r="CA109" t="s">
        <v>2656</v>
      </c>
      <c r="CB109" t="s">
        <v>2656</v>
      </c>
      <c r="CC109" t="s">
        <v>2656</v>
      </c>
      <c r="CD109" t="s">
        <v>2656</v>
      </c>
      <c r="CE109" t="s">
        <v>2656</v>
      </c>
      <c r="CF109" t="s">
        <v>2656</v>
      </c>
      <c r="CG109" t="s">
        <v>2656</v>
      </c>
      <c r="CH109" t="s">
        <v>2656</v>
      </c>
      <c r="CI109" t="s">
        <v>2656</v>
      </c>
      <c r="CJ109" t="s">
        <v>2656</v>
      </c>
      <c r="CK109" t="s">
        <v>2656</v>
      </c>
      <c r="CL109" t="s">
        <v>2572</v>
      </c>
      <c r="CM109" t="s">
        <v>2572</v>
      </c>
      <c r="CN109" t="s">
        <v>2572</v>
      </c>
      <c r="CO109" t="s">
        <v>2572</v>
      </c>
      <c r="CP109" t="s">
        <v>2572</v>
      </c>
      <c r="CQ109" t="s">
        <v>2572</v>
      </c>
      <c r="CR109" t="s">
        <v>2572</v>
      </c>
      <c r="CS109" t="s">
        <v>2572</v>
      </c>
      <c r="CT109" t="s">
        <v>2572</v>
      </c>
      <c r="CU109" t="s">
        <v>2572</v>
      </c>
      <c r="CV109" t="s">
        <v>2572</v>
      </c>
      <c r="CW109" t="s">
        <v>2572</v>
      </c>
      <c r="CX109" t="s">
        <v>2572</v>
      </c>
      <c r="CY109" t="s">
        <v>2572</v>
      </c>
      <c r="CZ109" t="s">
        <v>2572</v>
      </c>
      <c r="DA109" t="s">
        <v>2572</v>
      </c>
      <c r="DB109" t="s">
        <v>2697</v>
      </c>
      <c r="DC109" t="s">
        <v>2697</v>
      </c>
      <c r="DD109" t="s">
        <v>2697</v>
      </c>
      <c r="DE109" t="s">
        <v>2697</v>
      </c>
      <c r="DF109" t="s">
        <v>2697</v>
      </c>
      <c r="DG109" t="s">
        <v>2697</v>
      </c>
      <c r="DH109" t="s">
        <v>2697</v>
      </c>
      <c r="DI109" t="s">
        <v>2697</v>
      </c>
      <c r="DJ109" t="s">
        <v>2697</v>
      </c>
      <c r="DK109" t="s">
        <v>2697</v>
      </c>
      <c r="DL109" t="s">
        <v>2697</v>
      </c>
      <c r="DM109" t="s">
        <v>2697</v>
      </c>
      <c r="DN109" t="s">
        <v>2697</v>
      </c>
      <c r="DO109" t="s">
        <v>2697</v>
      </c>
      <c r="DP109" t="s">
        <v>2697</v>
      </c>
      <c r="DQ109" t="s">
        <v>2697</v>
      </c>
      <c r="DR109" t="s">
        <v>2697</v>
      </c>
      <c r="DS109" t="s">
        <v>2697</v>
      </c>
      <c r="DT109" t="s">
        <v>2697</v>
      </c>
      <c r="DU109" t="s">
        <v>2697</v>
      </c>
      <c r="DV109" t="s">
        <v>2697</v>
      </c>
      <c r="DW109" t="s">
        <v>2697</v>
      </c>
      <c r="DX109" t="s">
        <v>2697</v>
      </c>
      <c r="DY109" t="s">
        <v>2697</v>
      </c>
      <c r="DZ109" t="s">
        <v>2697</v>
      </c>
      <c r="EA109" t="s">
        <v>2697</v>
      </c>
      <c r="EB109" t="s">
        <v>2697</v>
      </c>
      <c r="EC109" t="s">
        <v>2697</v>
      </c>
      <c r="ED109" t="s">
        <v>2697</v>
      </c>
      <c r="EE109" t="s">
        <v>2599</v>
      </c>
      <c r="EF109" t="s">
        <v>2599</v>
      </c>
      <c r="EG109" t="s">
        <v>2599</v>
      </c>
      <c r="EH109" t="s">
        <v>2599</v>
      </c>
      <c r="EI109" t="s">
        <v>2599</v>
      </c>
      <c r="EJ109" t="s">
        <v>2599</v>
      </c>
      <c r="EK109" t="s">
        <v>2599</v>
      </c>
      <c r="EL109" t="s">
        <v>2599</v>
      </c>
      <c r="EM109" t="s">
        <v>2599</v>
      </c>
      <c r="EN109" t="s">
        <v>2593</v>
      </c>
      <c r="EO109" t="s">
        <v>2593</v>
      </c>
      <c r="ES109" t="s">
        <v>2811</v>
      </c>
      <c r="ET109" t="s">
        <v>2811</v>
      </c>
      <c r="EU109" t="s">
        <v>2811</v>
      </c>
      <c r="EV109" t="s">
        <v>2811</v>
      </c>
      <c r="EW109" t="s">
        <v>2811</v>
      </c>
      <c r="EX109" t="s">
        <v>2811</v>
      </c>
      <c r="EY109" t="s">
        <v>2811</v>
      </c>
      <c r="EZ109" t="s">
        <v>2811</v>
      </c>
      <c r="HC109" t="s">
        <v>4326</v>
      </c>
      <c r="HD109" t="s">
        <v>4326</v>
      </c>
      <c r="HE109" t="s">
        <v>4326</v>
      </c>
      <c r="HF109" t="s">
        <v>4326</v>
      </c>
      <c r="HG109" t="s">
        <v>4326</v>
      </c>
      <c r="HH109" t="s">
        <v>4326</v>
      </c>
      <c r="HI109" t="s">
        <v>4326</v>
      </c>
      <c r="HJ109" t="s">
        <v>4326</v>
      </c>
      <c r="HK109" t="s">
        <v>4326</v>
      </c>
      <c r="HL109" t="s">
        <v>4326</v>
      </c>
      <c r="HM109" t="s">
        <v>4326</v>
      </c>
      <c r="IX109" t="s">
        <v>4328</v>
      </c>
      <c r="IY109" t="s">
        <v>4328</v>
      </c>
      <c r="IZ109" t="s">
        <v>4323</v>
      </c>
      <c r="JA109" t="s">
        <v>4323</v>
      </c>
      <c r="JB109" t="s">
        <v>4323</v>
      </c>
      <c r="JC109" t="s">
        <v>4323</v>
      </c>
      <c r="JD109" t="s">
        <v>4323</v>
      </c>
      <c r="JE109" t="s">
        <v>4323</v>
      </c>
      <c r="JF109" t="s">
        <v>4323</v>
      </c>
      <c r="JG109" t="s">
        <v>4329</v>
      </c>
      <c r="JH109" t="s">
        <v>4329</v>
      </c>
      <c r="JI109" t="s">
        <v>4329</v>
      </c>
      <c r="JJ109" t="s">
        <v>4329</v>
      </c>
      <c r="JK109" t="s">
        <v>4329</v>
      </c>
      <c r="JL109" t="s">
        <v>4329</v>
      </c>
      <c r="JM109" t="s">
        <v>4329</v>
      </c>
      <c r="JN109" t="s">
        <v>4329</v>
      </c>
      <c r="JO109" t="s">
        <v>4329</v>
      </c>
      <c r="JP109" t="s">
        <v>4329</v>
      </c>
      <c r="JQ109" t="s">
        <v>4327</v>
      </c>
      <c r="JR109" t="s">
        <v>4327</v>
      </c>
      <c r="JS109" t="s">
        <v>4327</v>
      </c>
      <c r="JT109" t="s">
        <v>4327</v>
      </c>
    </row>
    <row r="110" spans="11:280" x14ac:dyDescent="0.3">
      <c r="AB110" t="s">
        <v>2679</v>
      </c>
      <c r="AC110" t="s">
        <v>2679</v>
      </c>
      <c r="AD110" t="s">
        <v>2679</v>
      </c>
      <c r="AE110" t="s">
        <v>2679</v>
      </c>
      <c r="AF110" t="s">
        <v>2679</v>
      </c>
      <c r="AG110" t="s">
        <v>2679</v>
      </c>
      <c r="AH110" t="s">
        <v>2679</v>
      </c>
      <c r="AI110" t="s">
        <v>2679</v>
      </c>
      <c r="AJ110" t="s">
        <v>2679</v>
      </c>
      <c r="AK110" t="s">
        <v>2679</v>
      </c>
      <c r="AL110" t="s">
        <v>2634</v>
      </c>
      <c r="AM110" t="s">
        <v>2634</v>
      </c>
      <c r="AN110" t="s">
        <v>2634</v>
      </c>
      <c r="AO110" t="s">
        <v>2634</v>
      </c>
      <c r="AP110" t="s">
        <v>2634</v>
      </c>
      <c r="AQ110" t="s">
        <v>2634</v>
      </c>
      <c r="AR110" t="s">
        <v>2634</v>
      </c>
      <c r="AS110" t="s">
        <v>2634</v>
      </c>
      <c r="AT110" t="s">
        <v>2634</v>
      </c>
      <c r="AU110" t="s">
        <v>2634</v>
      </c>
      <c r="AV110" t="s">
        <v>2634</v>
      </c>
      <c r="AW110" t="s">
        <v>2634</v>
      </c>
      <c r="AX110" t="s">
        <v>2634</v>
      </c>
      <c r="AY110" t="s">
        <v>2634</v>
      </c>
      <c r="AZ110" t="s">
        <v>2634</v>
      </c>
      <c r="BA110" t="s">
        <v>2634</v>
      </c>
      <c r="BB110" t="s">
        <v>2634</v>
      </c>
      <c r="BC110" t="s">
        <v>2634</v>
      </c>
      <c r="BD110" t="s">
        <v>2634</v>
      </c>
      <c r="BE110" t="s">
        <v>2634</v>
      </c>
      <c r="BF110" t="s">
        <v>2557</v>
      </c>
      <c r="BG110" t="s">
        <v>2557</v>
      </c>
      <c r="BH110" t="s">
        <v>2557</v>
      </c>
      <c r="BI110" t="s">
        <v>2557</v>
      </c>
      <c r="BJ110" t="s">
        <v>2557</v>
      </c>
      <c r="BK110" t="s">
        <v>2656</v>
      </c>
      <c r="BL110" t="s">
        <v>2656</v>
      </c>
      <c r="BM110" t="s">
        <v>2656</v>
      </c>
      <c r="BN110" t="s">
        <v>2656</v>
      </c>
      <c r="BO110" t="s">
        <v>2656</v>
      </c>
      <c r="BP110" t="s">
        <v>2656</v>
      </c>
      <c r="BQ110" t="s">
        <v>2656</v>
      </c>
      <c r="BR110" t="s">
        <v>2656</v>
      </c>
      <c r="BS110" t="s">
        <v>2656</v>
      </c>
      <c r="BT110" t="s">
        <v>2656</v>
      </c>
      <c r="BU110" t="s">
        <v>2656</v>
      </c>
      <c r="BV110" t="s">
        <v>2656</v>
      </c>
      <c r="BW110" t="s">
        <v>2656</v>
      </c>
      <c r="BX110" t="s">
        <v>2656</v>
      </c>
      <c r="BY110" t="s">
        <v>2656</v>
      </c>
      <c r="BZ110" t="s">
        <v>2656</v>
      </c>
      <c r="CA110" t="s">
        <v>2656</v>
      </c>
      <c r="CB110" t="s">
        <v>2656</v>
      </c>
      <c r="CC110" t="s">
        <v>2656</v>
      </c>
      <c r="CD110" t="s">
        <v>2656</v>
      </c>
      <c r="CE110" t="s">
        <v>2656</v>
      </c>
      <c r="CF110" t="s">
        <v>2656</v>
      </c>
      <c r="CG110" t="s">
        <v>2656</v>
      </c>
      <c r="CH110" t="s">
        <v>2656</v>
      </c>
      <c r="CI110" t="s">
        <v>2656</v>
      </c>
      <c r="CJ110" t="s">
        <v>2656</v>
      </c>
      <c r="CK110" t="s">
        <v>2572</v>
      </c>
      <c r="CL110" t="s">
        <v>2572</v>
      </c>
      <c r="CM110" t="s">
        <v>2572</v>
      </c>
      <c r="CN110" t="s">
        <v>2572</v>
      </c>
      <c r="CO110" t="s">
        <v>2572</v>
      </c>
      <c r="CP110" t="s">
        <v>2572</v>
      </c>
      <c r="CQ110" t="s">
        <v>2572</v>
      </c>
      <c r="CR110" t="s">
        <v>2572</v>
      </c>
      <c r="CS110" t="s">
        <v>2572</v>
      </c>
      <c r="CT110" t="s">
        <v>2572</v>
      </c>
      <c r="CU110" t="s">
        <v>2572</v>
      </c>
      <c r="CV110" t="s">
        <v>2572</v>
      </c>
      <c r="CW110" t="s">
        <v>2572</v>
      </c>
      <c r="CX110" t="s">
        <v>2572</v>
      </c>
      <c r="CY110" t="s">
        <v>2572</v>
      </c>
      <c r="CZ110" t="s">
        <v>2572</v>
      </c>
      <c r="DA110" t="s">
        <v>2572</v>
      </c>
      <c r="DB110" t="s">
        <v>2572</v>
      </c>
      <c r="DC110" t="s">
        <v>2697</v>
      </c>
      <c r="DD110" t="s">
        <v>2697</v>
      </c>
      <c r="DE110" t="s">
        <v>2697</v>
      </c>
      <c r="DF110" t="s">
        <v>2697</v>
      </c>
      <c r="DG110" t="s">
        <v>2697</v>
      </c>
      <c r="DH110" t="s">
        <v>2697</v>
      </c>
      <c r="DI110" t="s">
        <v>2697</v>
      </c>
      <c r="DJ110" t="s">
        <v>2697</v>
      </c>
      <c r="DK110" t="s">
        <v>2697</v>
      </c>
      <c r="DL110" t="s">
        <v>2697</v>
      </c>
      <c r="DM110" t="s">
        <v>2697</v>
      </c>
      <c r="DN110" t="s">
        <v>2697</v>
      </c>
      <c r="DO110" t="s">
        <v>2697</v>
      </c>
      <c r="DP110" t="s">
        <v>2697</v>
      </c>
      <c r="DQ110" t="s">
        <v>2697</v>
      </c>
      <c r="DR110" t="s">
        <v>2697</v>
      </c>
      <c r="DS110" t="s">
        <v>2697</v>
      </c>
      <c r="DT110" t="s">
        <v>2697</v>
      </c>
      <c r="DU110" t="s">
        <v>2697</v>
      </c>
      <c r="DV110" t="s">
        <v>2697</v>
      </c>
      <c r="DW110" t="s">
        <v>2697</v>
      </c>
      <c r="DX110" t="s">
        <v>2697</v>
      </c>
      <c r="DY110" t="s">
        <v>2697</v>
      </c>
      <c r="DZ110" t="s">
        <v>2697</v>
      </c>
      <c r="EA110" t="s">
        <v>2697</v>
      </c>
      <c r="EB110" t="s">
        <v>2697</v>
      </c>
      <c r="EC110" t="s">
        <v>2697</v>
      </c>
      <c r="ED110" t="s">
        <v>2697</v>
      </c>
      <c r="EE110" t="s">
        <v>2599</v>
      </c>
      <c r="EF110" t="s">
        <v>2599</v>
      </c>
      <c r="EG110" t="s">
        <v>2599</v>
      </c>
      <c r="EH110" t="s">
        <v>2599</v>
      </c>
      <c r="EI110" t="s">
        <v>2599</v>
      </c>
      <c r="EJ110" t="s">
        <v>2599</v>
      </c>
      <c r="EK110" t="s">
        <v>2599</v>
      </c>
      <c r="EL110" t="s">
        <v>2599</v>
      </c>
      <c r="EM110" t="s">
        <v>2593</v>
      </c>
      <c r="EN110" t="s">
        <v>2593</v>
      </c>
      <c r="ER110" t="s">
        <v>2811</v>
      </c>
      <c r="ES110" t="s">
        <v>2811</v>
      </c>
      <c r="ET110" t="s">
        <v>2811</v>
      </c>
      <c r="EU110" t="s">
        <v>2811</v>
      </c>
      <c r="EV110" t="s">
        <v>2811</v>
      </c>
      <c r="EW110" t="s">
        <v>2811</v>
      </c>
      <c r="EX110" t="s">
        <v>2811</v>
      </c>
      <c r="EY110" t="s">
        <v>2811</v>
      </c>
      <c r="EZ110" t="s">
        <v>2811</v>
      </c>
      <c r="FA110" t="s">
        <v>2811</v>
      </c>
      <c r="FB110" t="s">
        <v>2811</v>
      </c>
      <c r="FC110" t="s">
        <v>2811</v>
      </c>
      <c r="HC110" t="s">
        <v>4326</v>
      </c>
      <c r="HD110" t="s">
        <v>4326</v>
      </c>
      <c r="HE110" t="s">
        <v>4326</v>
      </c>
      <c r="HF110" t="s">
        <v>4326</v>
      </c>
      <c r="HG110" t="s">
        <v>4326</v>
      </c>
      <c r="HH110" t="s">
        <v>4326</v>
      </c>
      <c r="HI110" t="s">
        <v>4326</v>
      </c>
      <c r="HJ110" t="s">
        <v>4326</v>
      </c>
      <c r="HK110" t="s">
        <v>4326</v>
      </c>
      <c r="HL110" t="s">
        <v>4326</v>
      </c>
      <c r="HM110" t="s">
        <v>4326</v>
      </c>
      <c r="IX110" t="s">
        <v>4328</v>
      </c>
      <c r="IY110" t="s">
        <v>4323</v>
      </c>
      <c r="IZ110" t="s">
        <v>4323</v>
      </c>
      <c r="JA110" t="s">
        <v>4323</v>
      </c>
      <c r="JB110" t="s">
        <v>4323</v>
      </c>
      <c r="JC110" t="s">
        <v>4323</v>
      </c>
      <c r="JD110" t="s">
        <v>4323</v>
      </c>
      <c r="JE110" t="s">
        <v>4323</v>
      </c>
      <c r="JF110" t="s">
        <v>4323</v>
      </c>
      <c r="JG110" t="s">
        <v>4323</v>
      </c>
      <c r="JH110" t="s">
        <v>4329</v>
      </c>
      <c r="JI110" t="s">
        <v>4329</v>
      </c>
      <c r="JJ110" t="s">
        <v>4329</v>
      </c>
      <c r="JK110" t="s">
        <v>4329</v>
      </c>
      <c r="JL110" t="s">
        <v>4329</v>
      </c>
      <c r="JM110" t="s">
        <v>4330</v>
      </c>
      <c r="JN110" t="s">
        <v>4330</v>
      </c>
      <c r="JO110" t="s">
        <v>4329</v>
      </c>
      <c r="JP110" t="s">
        <v>4329</v>
      </c>
      <c r="JQ110" t="s">
        <v>4327</v>
      </c>
      <c r="JR110" t="s">
        <v>4327</v>
      </c>
      <c r="JS110" t="s">
        <v>4327</v>
      </c>
    </row>
    <row r="111" spans="11:280" x14ac:dyDescent="0.3">
      <c r="AA111" t="s">
        <v>2679</v>
      </c>
      <c r="AB111" t="s">
        <v>2679</v>
      </c>
      <c r="AC111" t="s">
        <v>2679</v>
      </c>
      <c r="AD111" t="s">
        <v>2679</v>
      </c>
      <c r="AE111" t="s">
        <v>2679</v>
      </c>
      <c r="AF111" t="s">
        <v>2679</v>
      </c>
      <c r="AG111" t="s">
        <v>2679</v>
      </c>
      <c r="AH111" t="s">
        <v>2679</v>
      </c>
      <c r="AI111" t="s">
        <v>2679</v>
      </c>
      <c r="AJ111" t="s">
        <v>2679</v>
      </c>
      <c r="AK111" t="s">
        <v>2637</v>
      </c>
      <c r="AL111" t="s">
        <v>2634</v>
      </c>
      <c r="AM111" t="s">
        <v>2634</v>
      </c>
      <c r="AN111" t="s">
        <v>2634</v>
      </c>
      <c r="AO111" t="s">
        <v>2634</v>
      </c>
      <c r="AP111" t="s">
        <v>2634</v>
      </c>
      <c r="AQ111" t="s">
        <v>2634</v>
      </c>
      <c r="AR111" t="s">
        <v>2634</v>
      </c>
      <c r="AS111" t="s">
        <v>2634</v>
      </c>
      <c r="AT111" t="s">
        <v>2634</v>
      </c>
      <c r="AU111" t="s">
        <v>2634</v>
      </c>
      <c r="AV111" t="s">
        <v>2634</v>
      </c>
      <c r="AW111" t="s">
        <v>2634</v>
      </c>
      <c r="AX111" t="s">
        <v>2634</v>
      </c>
      <c r="AY111" t="s">
        <v>2634</v>
      </c>
      <c r="AZ111" t="s">
        <v>2634</v>
      </c>
      <c r="BA111" t="s">
        <v>2634</v>
      </c>
      <c r="BB111" t="s">
        <v>2634</v>
      </c>
      <c r="BC111" t="s">
        <v>2634</v>
      </c>
      <c r="BD111" t="s">
        <v>2634</v>
      </c>
      <c r="BE111" t="s">
        <v>2634</v>
      </c>
      <c r="BF111" t="s">
        <v>2634</v>
      </c>
      <c r="BG111" t="s">
        <v>2557</v>
      </c>
      <c r="BH111" t="s">
        <v>2557</v>
      </c>
      <c r="BI111" t="s">
        <v>2557</v>
      </c>
      <c r="BJ111" t="s">
        <v>2557</v>
      </c>
      <c r="BK111" t="s">
        <v>2656</v>
      </c>
      <c r="BL111" t="s">
        <v>2656</v>
      </c>
      <c r="BM111" t="s">
        <v>2656</v>
      </c>
      <c r="BN111" t="s">
        <v>2656</v>
      </c>
      <c r="BO111" t="s">
        <v>2656</v>
      </c>
      <c r="BP111" t="s">
        <v>2656</v>
      </c>
      <c r="BQ111" t="s">
        <v>2656</v>
      </c>
      <c r="BR111" t="s">
        <v>2656</v>
      </c>
      <c r="BS111" t="s">
        <v>2656</v>
      </c>
      <c r="BT111" t="s">
        <v>2656</v>
      </c>
      <c r="BU111" t="s">
        <v>2656</v>
      </c>
      <c r="BV111" t="s">
        <v>2656</v>
      </c>
      <c r="BW111" t="s">
        <v>2656</v>
      </c>
      <c r="BX111" t="s">
        <v>2656</v>
      </c>
      <c r="BY111" t="s">
        <v>2656</v>
      </c>
      <c r="BZ111" t="s">
        <v>2656</v>
      </c>
      <c r="CA111" t="s">
        <v>2656</v>
      </c>
      <c r="CB111" t="s">
        <v>2656</v>
      </c>
      <c r="CC111" t="s">
        <v>2656</v>
      </c>
      <c r="CD111" t="s">
        <v>2656</v>
      </c>
      <c r="CE111" t="s">
        <v>2656</v>
      </c>
      <c r="CF111" t="s">
        <v>2656</v>
      </c>
      <c r="CG111" t="s">
        <v>2656</v>
      </c>
      <c r="CH111" t="s">
        <v>2656</v>
      </c>
      <c r="CI111" t="s">
        <v>2656</v>
      </c>
      <c r="CJ111" t="s">
        <v>2656</v>
      </c>
      <c r="CK111" t="s">
        <v>2572</v>
      </c>
      <c r="CL111" t="s">
        <v>2572</v>
      </c>
      <c r="CM111" t="s">
        <v>2572</v>
      </c>
      <c r="CN111" t="s">
        <v>2572</v>
      </c>
      <c r="CO111" t="s">
        <v>2572</v>
      </c>
      <c r="CP111" t="s">
        <v>2572</v>
      </c>
      <c r="CQ111" t="s">
        <v>2572</v>
      </c>
      <c r="CR111" t="s">
        <v>2572</v>
      </c>
      <c r="CS111" t="s">
        <v>2572</v>
      </c>
      <c r="CT111" t="s">
        <v>2572</v>
      </c>
      <c r="CU111" t="s">
        <v>2572</v>
      </c>
      <c r="CV111" t="s">
        <v>2572</v>
      </c>
      <c r="CW111" t="s">
        <v>2572</v>
      </c>
      <c r="CX111" t="s">
        <v>2572</v>
      </c>
      <c r="CY111" t="s">
        <v>2572</v>
      </c>
      <c r="CZ111" t="s">
        <v>2572</v>
      </c>
      <c r="DA111" t="s">
        <v>2572</v>
      </c>
      <c r="DB111" t="s">
        <v>2572</v>
      </c>
      <c r="DC111" t="s">
        <v>2697</v>
      </c>
      <c r="DD111" t="s">
        <v>2697</v>
      </c>
      <c r="DE111" t="s">
        <v>2697</v>
      </c>
      <c r="DF111" t="s">
        <v>2697</v>
      </c>
      <c r="DG111" t="s">
        <v>2697</v>
      </c>
      <c r="DH111" t="s">
        <v>2697</v>
      </c>
      <c r="DI111" t="s">
        <v>2697</v>
      </c>
      <c r="DJ111" t="s">
        <v>2697</v>
      </c>
      <c r="DK111" t="s">
        <v>2697</v>
      </c>
      <c r="DL111" t="s">
        <v>2697</v>
      </c>
      <c r="DM111" t="s">
        <v>2697</v>
      </c>
      <c r="DN111" t="s">
        <v>2697</v>
      </c>
      <c r="DO111" t="s">
        <v>2697</v>
      </c>
      <c r="DP111" t="s">
        <v>2697</v>
      </c>
      <c r="DQ111" t="s">
        <v>2697</v>
      </c>
      <c r="DR111" t="s">
        <v>2697</v>
      </c>
      <c r="DS111" t="s">
        <v>2697</v>
      </c>
      <c r="DT111" t="s">
        <v>2697</v>
      </c>
      <c r="DU111" t="s">
        <v>2697</v>
      </c>
      <c r="DV111" t="s">
        <v>2697</v>
      </c>
      <c r="DW111" t="s">
        <v>2697</v>
      </c>
      <c r="DX111" t="s">
        <v>2697</v>
      </c>
      <c r="DY111" t="s">
        <v>2697</v>
      </c>
      <c r="DZ111" t="s">
        <v>2697</v>
      </c>
      <c r="EA111" t="s">
        <v>2697</v>
      </c>
      <c r="EB111" t="s">
        <v>2697</v>
      </c>
      <c r="EC111" t="s">
        <v>2697</v>
      </c>
      <c r="ED111" t="s">
        <v>2697</v>
      </c>
      <c r="EE111" t="s">
        <v>2593</v>
      </c>
      <c r="EF111" t="s">
        <v>2593</v>
      </c>
      <c r="EG111" t="s">
        <v>2593</v>
      </c>
      <c r="EH111" t="s">
        <v>2593</v>
      </c>
      <c r="EI111" t="s">
        <v>2593</v>
      </c>
      <c r="EJ111" t="s">
        <v>2593</v>
      </c>
      <c r="EK111" t="s">
        <v>2593</v>
      </c>
      <c r="EL111" t="s">
        <v>2593</v>
      </c>
      <c r="EM111" t="s">
        <v>2593</v>
      </c>
      <c r="ER111" t="s">
        <v>2811</v>
      </c>
      <c r="ES111" t="s">
        <v>2811</v>
      </c>
      <c r="ET111" t="s">
        <v>2811</v>
      </c>
      <c r="EU111" t="s">
        <v>2811</v>
      </c>
      <c r="EV111" t="s">
        <v>2811</v>
      </c>
      <c r="EW111" t="s">
        <v>2811</v>
      </c>
      <c r="EX111" t="s">
        <v>2811</v>
      </c>
      <c r="EY111" t="s">
        <v>2811</v>
      </c>
      <c r="EZ111" t="s">
        <v>2811</v>
      </c>
      <c r="FA111" t="s">
        <v>2811</v>
      </c>
      <c r="FB111" t="s">
        <v>2811</v>
      </c>
      <c r="FC111" t="s">
        <v>2811</v>
      </c>
      <c r="FD111" t="s">
        <v>2811</v>
      </c>
      <c r="HC111" t="s">
        <v>4326</v>
      </c>
      <c r="HD111" t="s">
        <v>4326</v>
      </c>
      <c r="HE111" t="s">
        <v>4326</v>
      </c>
      <c r="HF111" t="s">
        <v>4326</v>
      </c>
      <c r="HG111" t="s">
        <v>4326</v>
      </c>
      <c r="HH111" t="s">
        <v>4326</v>
      </c>
      <c r="HI111" t="s">
        <v>4326</v>
      </c>
      <c r="HJ111" t="s">
        <v>4326</v>
      </c>
      <c r="HK111" t="s">
        <v>4326</v>
      </c>
      <c r="HL111" t="s">
        <v>4326</v>
      </c>
      <c r="HM111" t="s">
        <v>4326</v>
      </c>
      <c r="IX111" t="s">
        <v>4328</v>
      </c>
      <c r="IY111" t="s">
        <v>4323</v>
      </c>
      <c r="IZ111" t="s">
        <v>4323</v>
      </c>
      <c r="JA111" t="s">
        <v>4323</v>
      </c>
      <c r="JB111" t="s">
        <v>4323</v>
      </c>
      <c r="JC111" t="s">
        <v>4323</v>
      </c>
      <c r="JD111" t="s">
        <v>4323</v>
      </c>
      <c r="JE111" t="s">
        <v>4323</v>
      </c>
      <c r="JF111" t="s">
        <v>4323</v>
      </c>
      <c r="JG111" t="s">
        <v>4323</v>
      </c>
      <c r="JH111" t="s">
        <v>4323</v>
      </c>
      <c r="JI111" t="s">
        <v>4323</v>
      </c>
      <c r="JJ111" t="s">
        <v>4323</v>
      </c>
      <c r="JK111" t="s">
        <v>4323</v>
      </c>
      <c r="JL111" t="s">
        <v>4323</v>
      </c>
      <c r="JM111" t="s">
        <v>4330</v>
      </c>
      <c r="JN111" t="s">
        <v>4330</v>
      </c>
      <c r="JO111" t="s">
        <v>4330</v>
      </c>
      <c r="JP111" t="s">
        <v>4330</v>
      </c>
      <c r="JQ111" t="s">
        <v>4327</v>
      </c>
      <c r="JR111" t="s">
        <v>4327</v>
      </c>
      <c r="JS111" t="s">
        <v>4327</v>
      </c>
    </row>
    <row r="112" spans="11:280" x14ac:dyDescent="0.3">
      <c r="K112" t="s">
        <v>2566</v>
      </c>
      <c r="L112" t="s">
        <v>2566</v>
      </c>
      <c r="M112" t="s">
        <v>2566</v>
      </c>
      <c r="N112" t="s">
        <v>2566</v>
      </c>
      <c r="O112" t="s">
        <v>2566</v>
      </c>
      <c r="P112" t="s">
        <v>2566</v>
      </c>
      <c r="AB112" t="s">
        <v>2679</v>
      </c>
      <c r="AC112" t="s">
        <v>2679</v>
      </c>
      <c r="AD112" t="s">
        <v>2679</v>
      </c>
      <c r="AE112" t="s">
        <v>2679</v>
      </c>
      <c r="AF112" t="s">
        <v>2679</v>
      </c>
      <c r="AG112" t="s">
        <v>2679</v>
      </c>
      <c r="AH112" t="s">
        <v>2679</v>
      </c>
      <c r="AI112" t="s">
        <v>2679</v>
      </c>
      <c r="AJ112" t="s">
        <v>2637</v>
      </c>
      <c r="AK112" t="s">
        <v>2637</v>
      </c>
      <c r="AL112" t="s">
        <v>2637</v>
      </c>
      <c r="AM112" t="s">
        <v>2634</v>
      </c>
      <c r="AN112" t="s">
        <v>2637</v>
      </c>
      <c r="AO112" t="s">
        <v>2634</v>
      </c>
      <c r="AP112" t="s">
        <v>2634</v>
      </c>
      <c r="AQ112" t="s">
        <v>2634</v>
      </c>
      <c r="AR112" t="s">
        <v>2634</v>
      </c>
      <c r="AS112" t="s">
        <v>2634</v>
      </c>
      <c r="AT112" t="s">
        <v>2634</v>
      </c>
      <c r="AU112" t="s">
        <v>2634</v>
      </c>
      <c r="AV112" t="s">
        <v>2634</v>
      </c>
      <c r="AW112" t="s">
        <v>2634</v>
      </c>
      <c r="AX112" t="s">
        <v>2634</v>
      </c>
      <c r="AY112" t="s">
        <v>2634</v>
      </c>
      <c r="AZ112" t="s">
        <v>2634</v>
      </c>
      <c r="BA112" t="s">
        <v>2634</v>
      </c>
      <c r="BB112" t="s">
        <v>2634</v>
      </c>
      <c r="BC112" t="s">
        <v>2634</v>
      </c>
      <c r="BD112" t="s">
        <v>2634</v>
      </c>
      <c r="BE112" t="s">
        <v>2634</v>
      </c>
      <c r="BF112" t="s">
        <v>2634</v>
      </c>
      <c r="BG112" t="s">
        <v>2634</v>
      </c>
      <c r="BH112" t="s">
        <v>2634</v>
      </c>
      <c r="BI112" t="s">
        <v>2634</v>
      </c>
      <c r="BJ112" t="s">
        <v>2634</v>
      </c>
      <c r="BK112" t="s">
        <v>2634</v>
      </c>
      <c r="BL112" t="s">
        <v>2634</v>
      </c>
      <c r="BM112" t="s">
        <v>2656</v>
      </c>
      <c r="BN112" t="s">
        <v>2656</v>
      </c>
      <c r="BO112" t="s">
        <v>2656</v>
      </c>
      <c r="BP112" t="s">
        <v>2656</v>
      </c>
      <c r="BQ112" t="s">
        <v>2656</v>
      </c>
      <c r="BR112" t="s">
        <v>2656</v>
      </c>
      <c r="BS112" t="s">
        <v>2656</v>
      </c>
      <c r="BT112" t="s">
        <v>2656</v>
      </c>
      <c r="BU112" t="s">
        <v>2656</v>
      </c>
      <c r="BV112" t="s">
        <v>2656</v>
      </c>
      <c r="BW112" t="s">
        <v>2656</v>
      </c>
      <c r="BX112" t="s">
        <v>2656</v>
      </c>
      <c r="BY112" t="s">
        <v>2656</v>
      </c>
      <c r="BZ112" t="s">
        <v>2656</v>
      </c>
      <c r="CA112" t="s">
        <v>2656</v>
      </c>
      <c r="CB112" t="s">
        <v>2656</v>
      </c>
      <c r="CC112" t="s">
        <v>2656</v>
      </c>
      <c r="CD112" t="s">
        <v>2656</v>
      </c>
      <c r="CE112" t="s">
        <v>2656</v>
      </c>
      <c r="CF112" t="s">
        <v>2656</v>
      </c>
      <c r="CG112" t="s">
        <v>2656</v>
      </c>
      <c r="CH112" t="s">
        <v>2656</v>
      </c>
      <c r="CI112" t="s">
        <v>2656</v>
      </c>
      <c r="CJ112" t="s">
        <v>2656</v>
      </c>
      <c r="CK112" t="s">
        <v>2656</v>
      </c>
      <c r="CL112" t="s">
        <v>2572</v>
      </c>
      <c r="CM112" t="s">
        <v>2572</v>
      </c>
      <c r="CN112" t="s">
        <v>2572</v>
      </c>
      <c r="CO112" t="s">
        <v>2572</v>
      </c>
      <c r="CP112" t="s">
        <v>2572</v>
      </c>
      <c r="CQ112" t="s">
        <v>2572</v>
      </c>
      <c r="CR112" t="s">
        <v>2572</v>
      </c>
      <c r="CS112" t="s">
        <v>2572</v>
      </c>
      <c r="CT112" t="s">
        <v>2572</v>
      </c>
      <c r="CU112" t="s">
        <v>2572</v>
      </c>
      <c r="CV112" t="s">
        <v>2572</v>
      </c>
      <c r="CW112" t="s">
        <v>2572</v>
      </c>
      <c r="CX112" t="s">
        <v>2572</v>
      </c>
      <c r="CY112" t="s">
        <v>2572</v>
      </c>
      <c r="CZ112" t="s">
        <v>2572</v>
      </c>
      <c r="DA112" t="s">
        <v>2572</v>
      </c>
      <c r="DB112" t="s">
        <v>2572</v>
      </c>
      <c r="DC112" t="s">
        <v>2572</v>
      </c>
      <c r="DD112" t="s">
        <v>2697</v>
      </c>
      <c r="DE112" t="s">
        <v>2697</v>
      </c>
      <c r="DF112" t="s">
        <v>2697</v>
      </c>
      <c r="DG112" t="s">
        <v>2697</v>
      </c>
      <c r="DH112" t="s">
        <v>2697</v>
      </c>
      <c r="DI112" t="s">
        <v>2697</v>
      </c>
      <c r="DJ112" t="s">
        <v>2697</v>
      </c>
      <c r="DK112" t="s">
        <v>2697</v>
      </c>
      <c r="DL112" t="s">
        <v>2697</v>
      </c>
      <c r="DM112" t="s">
        <v>2697</v>
      </c>
      <c r="DN112" t="s">
        <v>2697</v>
      </c>
      <c r="DO112" t="s">
        <v>2697</v>
      </c>
      <c r="DP112" t="s">
        <v>2697</v>
      </c>
      <c r="DQ112" t="s">
        <v>2697</v>
      </c>
      <c r="DR112" t="s">
        <v>2697</v>
      </c>
      <c r="DS112" t="s">
        <v>2697</v>
      </c>
      <c r="DT112" t="s">
        <v>2697</v>
      </c>
      <c r="DU112" t="s">
        <v>2697</v>
      </c>
      <c r="DV112" t="s">
        <v>2697</v>
      </c>
      <c r="DW112" t="s">
        <v>2697</v>
      </c>
      <c r="DX112" t="s">
        <v>2697</v>
      </c>
      <c r="DY112" t="s">
        <v>2697</v>
      </c>
      <c r="DZ112" t="s">
        <v>2697</v>
      </c>
      <c r="EA112" t="s">
        <v>2697</v>
      </c>
      <c r="EB112" t="s">
        <v>2697</v>
      </c>
      <c r="EC112" t="s">
        <v>2697</v>
      </c>
      <c r="ED112" t="s">
        <v>2697</v>
      </c>
      <c r="EE112" t="s">
        <v>2593</v>
      </c>
      <c r="EF112" t="s">
        <v>2593</v>
      </c>
      <c r="EG112" t="s">
        <v>2593</v>
      </c>
      <c r="EH112" t="s">
        <v>2593</v>
      </c>
      <c r="EI112" t="s">
        <v>2593</v>
      </c>
      <c r="EJ112" t="s">
        <v>2593</v>
      </c>
      <c r="EK112" t="s">
        <v>2593</v>
      </c>
      <c r="ER112" t="s">
        <v>2811</v>
      </c>
      <c r="ES112" t="s">
        <v>2811</v>
      </c>
      <c r="ET112" t="s">
        <v>2811</v>
      </c>
      <c r="EU112" t="s">
        <v>2811</v>
      </c>
      <c r="EV112" t="s">
        <v>2811</v>
      </c>
      <c r="EW112" t="s">
        <v>2811</v>
      </c>
      <c r="EX112" t="s">
        <v>2811</v>
      </c>
      <c r="EY112" t="s">
        <v>2811</v>
      </c>
      <c r="EZ112" t="s">
        <v>2811</v>
      </c>
      <c r="FA112" t="s">
        <v>2811</v>
      </c>
      <c r="FB112" t="s">
        <v>2811</v>
      </c>
      <c r="FC112" t="s">
        <v>2811</v>
      </c>
      <c r="FD112" t="s">
        <v>2811</v>
      </c>
      <c r="FE112" t="s">
        <v>2811</v>
      </c>
      <c r="FF112" t="s">
        <v>2811</v>
      </c>
      <c r="FG112" t="s">
        <v>2811</v>
      </c>
      <c r="FH112" t="s">
        <v>2811</v>
      </c>
      <c r="HB112" t="s">
        <v>4326</v>
      </c>
      <c r="HC112" t="s">
        <v>4326</v>
      </c>
      <c r="HD112" t="s">
        <v>4326</v>
      </c>
      <c r="HE112" t="s">
        <v>4326</v>
      </c>
      <c r="HF112" t="s">
        <v>4326</v>
      </c>
      <c r="HG112" t="s">
        <v>4326</v>
      </c>
      <c r="HH112" t="s">
        <v>4326</v>
      </c>
      <c r="HI112" t="s">
        <v>4326</v>
      </c>
      <c r="HJ112" t="s">
        <v>4326</v>
      </c>
      <c r="HK112" t="s">
        <v>4326</v>
      </c>
      <c r="HL112" t="s">
        <v>4326</v>
      </c>
      <c r="HM112" t="s">
        <v>4326</v>
      </c>
      <c r="IW112" t="s">
        <v>4328</v>
      </c>
      <c r="IX112" t="s">
        <v>4328</v>
      </c>
      <c r="IY112" t="s">
        <v>4323</v>
      </c>
      <c r="IZ112" t="s">
        <v>4323</v>
      </c>
      <c r="JA112" t="s">
        <v>4323</v>
      </c>
      <c r="JB112" t="s">
        <v>4323</v>
      </c>
      <c r="JC112" t="s">
        <v>4323</v>
      </c>
      <c r="JD112" t="s">
        <v>4323</v>
      </c>
      <c r="JE112" t="s">
        <v>4323</v>
      </c>
      <c r="JF112" t="s">
        <v>4323</v>
      </c>
      <c r="JG112" t="s">
        <v>4323</v>
      </c>
      <c r="JH112" t="s">
        <v>4323</v>
      </c>
      <c r="JI112" t="s">
        <v>4323</v>
      </c>
      <c r="JJ112" t="s">
        <v>4323</v>
      </c>
      <c r="JK112" t="s">
        <v>4323</v>
      </c>
      <c r="JL112" t="s">
        <v>4323</v>
      </c>
      <c r="JM112" t="s">
        <v>4330</v>
      </c>
      <c r="JN112" t="s">
        <v>4330</v>
      </c>
      <c r="JO112" t="s">
        <v>4330</v>
      </c>
      <c r="JP112" t="s">
        <v>4330</v>
      </c>
      <c r="JQ112" t="s">
        <v>4327</v>
      </c>
      <c r="JR112" t="s">
        <v>4327</v>
      </c>
      <c r="JS112" t="s">
        <v>4327</v>
      </c>
    </row>
    <row r="113" spans="11:281" x14ac:dyDescent="0.3">
      <c r="K113" t="s">
        <v>2566</v>
      </c>
      <c r="L113" t="s">
        <v>2566</v>
      </c>
      <c r="M113" t="s">
        <v>2566</v>
      </c>
      <c r="N113" t="s">
        <v>2566</v>
      </c>
      <c r="O113" t="s">
        <v>2566</v>
      </c>
      <c r="P113" t="s">
        <v>2566</v>
      </c>
      <c r="AC113" t="s">
        <v>2679</v>
      </c>
      <c r="AD113" t="s">
        <v>2679</v>
      </c>
      <c r="AE113" t="s">
        <v>2679</v>
      </c>
      <c r="AF113" t="s">
        <v>2679</v>
      </c>
      <c r="AG113" t="s">
        <v>2679</v>
      </c>
      <c r="AH113" t="s">
        <v>2679</v>
      </c>
      <c r="AI113" t="s">
        <v>2679</v>
      </c>
      <c r="AJ113" t="s">
        <v>2637</v>
      </c>
      <c r="AK113" t="s">
        <v>2637</v>
      </c>
      <c r="AL113" t="s">
        <v>2637</v>
      </c>
      <c r="AM113" t="s">
        <v>2637</v>
      </c>
      <c r="AN113" t="s">
        <v>2637</v>
      </c>
      <c r="AO113" t="s">
        <v>2637</v>
      </c>
      <c r="AP113" t="s">
        <v>2637</v>
      </c>
      <c r="AQ113" t="s">
        <v>2637</v>
      </c>
      <c r="AR113" t="s">
        <v>2637</v>
      </c>
      <c r="AS113" t="s">
        <v>2637</v>
      </c>
      <c r="AT113" t="s">
        <v>2637</v>
      </c>
      <c r="AU113" t="s">
        <v>2637</v>
      </c>
      <c r="AV113" t="s">
        <v>2637</v>
      </c>
      <c r="AW113" t="s">
        <v>2637</v>
      </c>
      <c r="AX113" t="s">
        <v>2637</v>
      </c>
      <c r="AY113" t="s">
        <v>2634</v>
      </c>
      <c r="AZ113" t="s">
        <v>2634</v>
      </c>
      <c r="BA113" t="s">
        <v>2634</v>
      </c>
      <c r="BB113" t="s">
        <v>2634</v>
      </c>
      <c r="BC113" t="s">
        <v>2634</v>
      </c>
      <c r="BD113" t="s">
        <v>2634</v>
      </c>
      <c r="BE113" t="s">
        <v>2634</v>
      </c>
      <c r="BF113" t="s">
        <v>2634</v>
      </c>
      <c r="BG113" t="s">
        <v>2634</v>
      </c>
      <c r="BH113" t="s">
        <v>2634</v>
      </c>
      <c r="BI113" t="s">
        <v>2634</v>
      </c>
      <c r="BJ113" t="s">
        <v>2634</v>
      </c>
      <c r="BK113" t="s">
        <v>2634</v>
      </c>
      <c r="BL113" t="s">
        <v>2634</v>
      </c>
      <c r="BM113" t="s">
        <v>2634</v>
      </c>
      <c r="BN113" t="s">
        <v>2634</v>
      </c>
      <c r="BO113" t="s">
        <v>2634</v>
      </c>
      <c r="BP113" t="s">
        <v>2634</v>
      </c>
      <c r="BQ113" t="s">
        <v>2656</v>
      </c>
      <c r="BR113" t="s">
        <v>2656</v>
      </c>
      <c r="BS113" t="s">
        <v>2656</v>
      </c>
      <c r="BT113" t="s">
        <v>2656</v>
      </c>
      <c r="BU113" t="s">
        <v>2656</v>
      </c>
      <c r="BV113" t="s">
        <v>2656</v>
      </c>
      <c r="BW113" t="s">
        <v>2656</v>
      </c>
      <c r="BX113" t="s">
        <v>2656</v>
      </c>
      <c r="BY113" t="s">
        <v>2656</v>
      </c>
      <c r="BZ113" t="s">
        <v>2656</v>
      </c>
      <c r="CA113" t="s">
        <v>2656</v>
      </c>
      <c r="CB113" t="s">
        <v>2656</v>
      </c>
      <c r="CC113" t="s">
        <v>2656</v>
      </c>
      <c r="CD113" t="s">
        <v>2656</v>
      </c>
      <c r="CE113" t="s">
        <v>2656</v>
      </c>
      <c r="CF113" t="s">
        <v>2656</v>
      </c>
      <c r="CG113" t="s">
        <v>2656</v>
      </c>
      <c r="CH113" t="s">
        <v>2656</v>
      </c>
      <c r="CI113" t="s">
        <v>2656</v>
      </c>
      <c r="CJ113" t="s">
        <v>2656</v>
      </c>
      <c r="CK113" t="s">
        <v>2656</v>
      </c>
      <c r="CL113" t="s">
        <v>2572</v>
      </c>
      <c r="CM113" t="s">
        <v>2572</v>
      </c>
      <c r="CN113" t="s">
        <v>2572</v>
      </c>
      <c r="CO113" t="s">
        <v>2572</v>
      </c>
      <c r="CP113" t="s">
        <v>2572</v>
      </c>
      <c r="CQ113" t="s">
        <v>2572</v>
      </c>
      <c r="CR113" t="s">
        <v>2572</v>
      </c>
      <c r="CS113" t="s">
        <v>2572</v>
      </c>
      <c r="CT113" t="s">
        <v>2572</v>
      </c>
      <c r="CU113" t="s">
        <v>2572</v>
      </c>
      <c r="CV113" t="s">
        <v>2572</v>
      </c>
      <c r="CW113" t="s">
        <v>2572</v>
      </c>
      <c r="CX113" t="s">
        <v>2572</v>
      </c>
      <c r="CY113" t="s">
        <v>2572</v>
      </c>
      <c r="CZ113" t="s">
        <v>2572</v>
      </c>
      <c r="DA113" t="s">
        <v>2572</v>
      </c>
      <c r="DB113" t="s">
        <v>2572</v>
      </c>
      <c r="DC113" t="s">
        <v>2572</v>
      </c>
      <c r="DD113" t="s">
        <v>2572</v>
      </c>
      <c r="DE113" t="s">
        <v>2572</v>
      </c>
      <c r="DF113" t="s">
        <v>2697</v>
      </c>
      <c r="DG113" t="s">
        <v>2697</v>
      </c>
      <c r="DH113" t="s">
        <v>2697</v>
      </c>
      <c r="DI113" t="s">
        <v>2697</v>
      </c>
      <c r="DJ113" t="s">
        <v>2697</v>
      </c>
      <c r="DK113" t="s">
        <v>2697</v>
      </c>
      <c r="DL113" t="s">
        <v>2697</v>
      </c>
      <c r="DM113" t="s">
        <v>2697</v>
      </c>
      <c r="DN113" t="s">
        <v>2697</v>
      </c>
      <c r="DO113" t="s">
        <v>2697</v>
      </c>
      <c r="DP113" t="s">
        <v>2697</v>
      </c>
      <c r="DQ113" t="s">
        <v>2697</v>
      </c>
      <c r="DR113" t="s">
        <v>2697</v>
      </c>
      <c r="DS113" t="s">
        <v>2697</v>
      </c>
      <c r="DT113" t="s">
        <v>2697</v>
      </c>
      <c r="DU113" t="s">
        <v>2697</v>
      </c>
      <c r="DV113" t="s">
        <v>2697</v>
      </c>
      <c r="DW113" t="s">
        <v>2697</v>
      </c>
      <c r="DX113" t="s">
        <v>2697</v>
      </c>
      <c r="DY113" t="s">
        <v>2697</v>
      </c>
      <c r="DZ113" t="s">
        <v>2697</v>
      </c>
      <c r="EA113" t="s">
        <v>2697</v>
      </c>
      <c r="EB113" t="s">
        <v>2697</v>
      </c>
      <c r="EC113" t="s">
        <v>2697</v>
      </c>
      <c r="ED113" t="s">
        <v>2697</v>
      </c>
      <c r="EE113" t="s">
        <v>2593</v>
      </c>
      <c r="EF113" t="s">
        <v>2593</v>
      </c>
      <c r="EG113" t="s">
        <v>2593</v>
      </c>
      <c r="EH113" t="s">
        <v>2593</v>
      </c>
      <c r="EI113" t="s">
        <v>2593</v>
      </c>
      <c r="EJ113" t="s">
        <v>2593</v>
      </c>
      <c r="EQ113" t="s">
        <v>2811</v>
      </c>
      <c r="ER113" t="s">
        <v>2811</v>
      </c>
      <c r="ES113" t="s">
        <v>2811</v>
      </c>
      <c r="ET113" t="s">
        <v>2811</v>
      </c>
      <c r="EU113" t="s">
        <v>2811</v>
      </c>
      <c r="EV113" t="s">
        <v>2811</v>
      </c>
      <c r="EW113" t="s">
        <v>2811</v>
      </c>
      <c r="EX113" t="s">
        <v>2811</v>
      </c>
      <c r="EY113" t="s">
        <v>2811</v>
      </c>
      <c r="EZ113" t="s">
        <v>2811</v>
      </c>
      <c r="FA113" t="s">
        <v>2811</v>
      </c>
      <c r="FB113" t="s">
        <v>2811</v>
      </c>
      <c r="FC113" t="s">
        <v>2811</v>
      </c>
      <c r="FD113" t="s">
        <v>2811</v>
      </c>
      <c r="FE113" t="s">
        <v>2811</v>
      </c>
      <c r="FF113" t="s">
        <v>2811</v>
      </c>
      <c r="FG113" t="s">
        <v>2811</v>
      </c>
      <c r="FH113" t="s">
        <v>2811</v>
      </c>
      <c r="FI113" t="s">
        <v>2811</v>
      </c>
      <c r="HA113" t="s">
        <v>4326</v>
      </c>
      <c r="HB113" t="s">
        <v>4326</v>
      </c>
      <c r="HC113" t="s">
        <v>4326</v>
      </c>
      <c r="HD113" t="s">
        <v>4326</v>
      </c>
      <c r="HE113" t="s">
        <v>4326</v>
      </c>
      <c r="HF113" t="s">
        <v>4326</v>
      </c>
      <c r="HG113" t="s">
        <v>4326</v>
      </c>
      <c r="HH113" t="s">
        <v>4326</v>
      </c>
      <c r="HI113" t="s">
        <v>4326</v>
      </c>
      <c r="HJ113" t="s">
        <v>4326</v>
      </c>
      <c r="HK113" t="s">
        <v>4326</v>
      </c>
      <c r="HL113" t="s">
        <v>4326</v>
      </c>
      <c r="HM113" t="s">
        <v>4326</v>
      </c>
      <c r="HN113" t="s">
        <v>4326</v>
      </c>
      <c r="IR113" t="s">
        <v>4328</v>
      </c>
      <c r="IW113" t="s">
        <v>4328</v>
      </c>
      <c r="IX113" t="s">
        <v>4328</v>
      </c>
      <c r="IY113" t="s">
        <v>4323</v>
      </c>
      <c r="IZ113" t="s">
        <v>4323</v>
      </c>
      <c r="JA113" t="s">
        <v>4323</v>
      </c>
      <c r="JB113" t="s">
        <v>4323</v>
      </c>
      <c r="JC113" t="s">
        <v>4323</v>
      </c>
      <c r="JD113" t="s">
        <v>4323</v>
      </c>
      <c r="JE113" t="s">
        <v>4323</v>
      </c>
      <c r="JF113" t="s">
        <v>4323</v>
      </c>
      <c r="JG113" t="s">
        <v>4323</v>
      </c>
      <c r="JH113" t="s">
        <v>4323</v>
      </c>
      <c r="JI113" t="s">
        <v>4323</v>
      </c>
      <c r="JJ113" t="s">
        <v>4323</v>
      </c>
      <c r="JK113" t="s">
        <v>4323</v>
      </c>
      <c r="JL113" t="s">
        <v>4323</v>
      </c>
      <c r="JM113" t="s">
        <v>4330</v>
      </c>
      <c r="JN113" t="s">
        <v>4330</v>
      </c>
      <c r="JO113" t="s">
        <v>4330</v>
      </c>
      <c r="JP113" t="s">
        <v>4330</v>
      </c>
      <c r="JQ113" t="s">
        <v>4327</v>
      </c>
      <c r="JR113" t="s">
        <v>4327</v>
      </c>
    </row>
    <row r="114" spans="11:281" x14ac:dyDescent="0.3">
      <c r="K114" t="s">
        <v>2566</v>
      </c>
      <c r="L114" t="s">
        <v>2566</v>
      </c>
      <c r="M114" t="s">
        <v>2566</v>
      </c>
      <c r="N114" t="s">
        <v>2566</v>
      </c>
      <c r="O114" t="s">
        <v>2566</v>
      </c>
      <c r="P114" t="s">
        <v>2566</v>
      </c>
      <c r="AC114" t="s">
        <v>2679</v>
      </c>
      <c r="AD114" t="s">
        <v>2679</v>
      </c>
      <c r="AE114" t="s">
        <v>2679</v>
      </c>
      <c r="AF114" t="s">
        <v>2679</v>
      </c>
      <c r="AG114" t="s">
        <v>2679</v>
      </c>
      <c r="AH114" t="s">
        <v>2637</v>
      </c>
      <c r="AI114" t="s">
        <v>2637</v>
      </c>
      <c r="AJ114" t="s">
        <v>2637</v>
      </c>
      <c r="AK114" t="s">
        <v>2637</v>
      </c>
      <c r="AL114" t="s">
        <v>2637</v>
      </c>
      <c r="AM114" t="s">
        <v>2637</v>
      </c>
      <c r="AN114" t="s">
        <v>2637</v>
      </c>
      <c r="AO114" t="s">
        <v>2637</v>
      </c>
      <c r="AP114" t="s">
        <v>2637</v>
      </c>
      <c r="AQ114" t="s">
        <v>2637</v>
      </c>
      <c r="AR114" t="s">
        <v>2637</v>
      </c>
      <c r="AS114" t="s">
        <v>2637</v>
      </c>
      <c r="AT114" t="s">
        <v>2637</v>
      </c>
      <c r="AU114" t="s">
        <v>2637</v>
      </c>
      <c r="AV114" t="s">
        <v>2637</v>
      </c>
      <c r="AW114" t="s">
        <v>2637</v>
      </c>
      <c r="AX114" t="s">
        <v>2637</v>
      </c>
      <c r="AY114" t="s">
        <v>2634</v>
      </c>
      <c r="AZ114" t="s">
        <v>2634</v>
      </c>
      <c r="BA114" t="s">
        <v>2634</v>
      </c>
      <c r="BB114" t="s">
        <v>2634</v>
      </c>
      <c r="BC114" t="s">
        <v>2634</v>
      </c>
      <c r="BD114" t="s">
        <v>2634</v>
      </c>
      <c r="BE114" t="s">
        <v>2634</v>
      </c>
      <c r="BF114" t="s">
        <v>2634</v>
      </c>
      <c r="BG114" t="s">
        <v>2634</v>
      </c>
      <c r="BH114" t="s">
        <v>2634</v>
      </c>
      <c r="BI114" t="s">
        <v>2634</v>
      </c>
      <c r="BJ114" t="s">
        <v>2634</v>
      </c>
      <c r="BK114" t="s">
        <v>2634</v>
      </c>
      <c r="BL114" t="s">
        <v>2634</v>
      </c>
      <c r="BM114" t="s">
        <v>2634</v>
      </c>
      <c r="BN114" t="s">
        <v>2634</v>
      </c>
      <c r="BO114" t="s">
        <v>2634</v>
      </c>
      <c r="BP114" t="s">
        <v>2634</v>
      </c>
      <c r="BQ114" t="s">
        <v>2634</v>
      </c>
      <c r="BR114" t="s">
        <v>2656</v>
      </c>
      <c r="BS114" t="s">
        <v>2656</v>
      </c>
      <c r="BT114" t="s">
        <v>2656</v>
      </c>
      <c r="BU114" t="s">
        <v>2656</v>
      </c>
      <c r="BV114" t="s">
        <v>2656</v>
      </c>
      <c r="BW114" t="s">
        <v>2656</v>
      </c>
      <c r="BX114" t="s">
        <v>2656</v>
      </c>
      <c r="BY114" t="s">
        <v>2656</v>
      </c>
      <c r="BZ114" t="s">
        <v>2656</v>
      </c>
      <c r="CA114" t="s">
        <v>2656</v>
      </c>
      <c r="CB114" t="s">
        <v>2656</v>
      </c>
      <c r="CC114" t="s">
        <v>2656</v>
      </c>
      <c r="CD114" t="s">
        <v>2656</v>
      </c>
      <c r="CE114" t="s">
        <v>2656</v>
      </c>
      <c r="CF114" t="s">
        <v>2656</v>
      </c>
      <c r="CG114" t="s">
        <v>2656</v>
      </c>
      <c r="CH114" t="s">
        <v>2656</v>
      </c>
      <c r="CI114" t="s">
        <v>2656</v>
      </c>
      <c r="CJ114" t="s">
        <v>2656</v>
      </c>
      <c r="CK114" t="s">
        <v>2656</v>
      </c>
      <c r="CL114" t="s">
        <v>2656</v>
      </c>
      <c r="CM114" t="s">
        <v>2572</v>
      </c>
      <c r="CN114" t="s">
        <v>2572</v>
      </c>
      <c r="CO114" t="s">
        <v>2572</v>
      </c>
      <c r="CP114" t="s">
        <v>2572</v>
      </c>
      <c r="CQ114" t="s">
        <v>2572</v>
      </c>
      <c r="CR114" t="s">
        <v>2572</v>
      </c>
      <c r="CS114" t="s">
        <v>2572</v>
      </c>
      <c r="CT114" t="s">
        <v>2572</v>
      </c>
      <c r="CU114" t="s">
        <v>2572</v>
      </c>
      <c r="CV114" t="s">
        <v>2572</v>
      </c>
      <c r="CW114" t="s">
        <v>2572</v>
      </c>
      <c r="CX114" t="s">
        <v>2572</v>
      </c>
      <c r="CY114" t="s">
        <v>2572</v>
      </c>
      <c r="CZ114" t="s">
        <v>2572</v>
      </c>
      <c r="DA114" t="s">
        <v>2572</v>
      </c>
      <c r="DB114" t="s">
        <v>2572</v>
      </c>
      <c r="DC114" t="s">
        <v>2572</v>
      </c>
      <c r="DD114" t="s">
        <v>2572</v>
      </c>
      <c r="DE114" t="s">
        <v>2572</v>
      </c>
      <c r="DF114" t="s">
        <v>2697</v>
      </c>
      <c r="DG114" t="s">
        <v>2697</v>
      </c>
      <c r="DH114" t="s">
        <v>2697</v>
      </c>
      <c r="DI114" t="s">
        <v>2697</v>
      </c>
      <c r="DJ114" t="s">
        <v>2697</v>
      </c>
      <c r="DK114" t="s">
        <v>2697</v>
      </c>
      <c r="DL114" t="s">
        <v>2697</v>
      </c>
      <c r="DM114" t="s">
        <v>2697</v>
      </c>
      <c r="DN114" t="s">
        <v>2697</v>
      </c>
      <c r="DO114" t="s">
        <v>2697</v>
      </c>
      <c r="DP114" t="s">
        <v>2697</v>
      </c>
      <c r="DQ114" t="s">
        <v>2697</v>
      </c>
      <c r="DR114" t="s">
        <v>2697</v>
      </c>
      <c r="DS114" t="s">
        <v>2697</v>
      </c>
      <c r="DT114" t="s">
        <v>2697</v>
      </c>
      <c r="DU114" t="s">
        <v>2697</v>
      </c>
      <c r="DV114" t="s">
        <v>2697</v>
      </c>
      <c r="DW114" t="s">
        <v>2697</v>
      </c>
      <c r="DX114" t="s">
        <v>2697</v>
      </c>
      <c r="DY114" t="s">
        <v>2697</v>
      </c>
      <c r="DZ114" t="s">
        <v>2697</v>
      </c>
      <c r="EA114" t="s">
        <v>2697</v>
      </c>
      <c r="EB114" t="s">
        <v>2697</v>
      </c>
      <c r="EC114" t="s">
        <v>2697</v>
      </c>
      <c r="ED114" t="s">
        <v>2697</v>
      </c>
      <c r="EE114" t="s">
        <v>2593</v>
      </c>
      <c r="EF114" t="s">
        <v>2593</v>
      </c>
      <c r="EG114" t="s">
        <v>2593</v>
      </c>
      <c r="EH114" t="s">
        <v>2593</v>
      </c>
      <c r="EI114" t="s">
        <v>2593</v>
      </c>
      <c r="ER114" t="s">
        <v>2811</v>
      </c>
      <c r="ES114" t="s">
        <v>2811</v>
      </c>
      <c r="ET114" t="s">
        <v>2811</v>
      </c>
      <c r="EU114" t="s">
        <v>2811</v>
      </c>
      <c r="EV114" t="s">
        <v>2811</v>
      </c>
      <c r="EW114" t="s">
        <v>2811</v>
      </c>
      <c r="EX114" t="s">
        <v>2811</v>
      </c>
      <c r="EY114" t="s">
        <v>2811</v>
      </c>
      <c r="EZ114" t="s">
        <v>2811</v>
      </c>
      <c r="FA114" t="s">
        <v>2811</v>
      </c>
      <c r="FB114" t="s">
        <v>2811</v>
      </c>
      <c r="FC114" t="s">
        <v>2811</v>
      </c>
      <c r="FD114" t="s">
        <v>2811</v>
      </c>
      <c r="FE114" t="s">
        <v>2811</v>
      </c>
      <c r="FF114" t="s">
        <v>2811</v>
      </c>
      <c r="FG114" t="s">
        <v>2811</v>
      </c>
      <c r="FH114" t="s">
        <v>2811</v>
      </c>
      <c r="FI114" t="s">
        <v>2811</v>
      </c>
      <c r="FJ114" t="s">
        <v>2811</v>
      </c>
      <c r="HA114" t="s">
        <v>4326</v>
      </c>
      <c r="HB114" t="s">
        <v>4326</v>
      </c>
      <c r="HC114" t="s">
        <v>4326</v>
      </c>
      <c r="HD114" t="s">
        <v>4326</v>
      </c>
      <c r="HE114" t="s">
        <v>4326</v>
      </c>
      <c r="HF114" t="s">
        <v>4326</v>
      </c>
      <c r="HG114" t="s">
        <v>4326</v>
      </c>
      <c r="HH114" t="s">
        <v>4326</v>
      </c>
      <c r="HI114" t="s">
        <v>4326</v>
      </c>
      <c r="HJ114" t="s">
        <v>4326</v>
      </c>
      <c r="HK114" t="s">
        <v>4326</v>
      </c>
      <c r="HL114" t="s">
        <v>4326</v>
      </c>
      <c r="HM114" t="s">
        <v>4326</v>
      </c>
      <c r="HN114" t="s">
        <v>4326</v>
      </c>
      <c r="HO114" t="s">
        <v>4326</v>
      </c>
      <c r="HP114" t="s">
        <v>4326</v>
      </c>
      <c r="IP114" t="s">
        <v>4328</v>
      </c>
      <c r="IQ114" t="s">
        <v>4328</v>
      </c>
      <c r="IR114" t="s">
        <v>4328</v>
      </c>
      <c r="IS114" t="s">
        <v>4328</v>
      </c>
      <c r="IW114" t="s">
        <v>4328</v>
      </c>
      <c r="IX114" t="s">
        <v>4328</v>
      </c>
      <c r="IY114" t="s">
        <v>4328</v>
      </c>
      <c r="IZ114" t="s">
        <v>4323</v>
      </c>
      <c r="JA114" t="s">
        <v>4323</v>
      </c>
      <c r="JB114" t="s">
        <v>4323</v>
      </c>
      <c r="JC114" t="s">
        <v>4323</v>
      </c>
      <c r="JD114" t="s">
        <v>4323</v>
      </c>
      <c r="JE114" t="s">
        <v>4323</v>
      </c>
      <c r="JF114" t="s">
        <v>4323</v>
      </c>
      <c r="JG114" t="s">
        <v>4323</v>
      </c>
      <c r="JH114" t="s">
        <v>4323</v>
      </c>
      <c r="JI114" t="s">
        <v>4323</v>
      </c>
      <c r="JJ114" t="s">
        <v>4323</v>
      </c>
      <c r="JK114" t="s">
        <v>4323</v>
      </c>
      <c r="JL114" t="s">
        <v>4330</v>
      </c>
      <c r="JM114" t="s">
        <v>4330</v>
      </c>
      <c r="JN114" t="s">
        <v>4330</v>
      </c>
      <c r="JO114" t="s">
        <v>4330</v>
      </c>
      <c r="JP114" t="s">
        <v>4327</v>
      </c>
      <c r="JQ114" t="s">
        <v>4327</v>
      </c>
    </row>
    <row r="115" spans="11:281" x14ac:dyDescent="0.3">
      <c r="K115" t="s">
        <v>2566</v>
      </c>
      <c r="L115" t="s">
        <v>2566</v>
      </c>
      <c r="M115" t="s">
        <v>2566</v>
      </c>
      <c r="N115" t="s">
        <v>2566</v>
      </c>
      <c r="O115" t="s">
        <v>2566</v>
      </c>
      <c r="P115" t="s">
        <v>2566</v>
      </c>
      <c r="AC115" t="s">
        <v>2637</v>
      </c>
      <c r="AD115" t="s">
        <v>2637</v>
      </c>
      <c r="AE115" t="s">
        <v>2637</v>
      </c>
      <c r="AF115" t="s">
        <v>2637</v>
      </c>
      <c r="AG115" t="s">
        <v>2637</v>
      </c>
      <c r="AH115" t="s">
        <v>2637</v>
      </c>
      <c r="AI115" t="s">
        <v>2637</v>
      </c>
      <c r="AJ115" t="s">
        <v>2637</v>
      </c>
      <c r="AK115" t="s">
        <v>2637</v>
      </c>
      <c r="AL115" t="s">
        <v>2637</v>
      </c>
      <c r="AM115" t="s">
        <v>2637</v>
      </c>
      <c r="AN115" t="s">
        <v>2637</v>
      </c>
      <c r="AO115" t="s">
        <v>2637</v>
      </c>
      <c r="AP115" t="s">
        <v>2637</v>
      </c>
      <c r="AQ115" t="s">
        <v>2637</v>
      </c>
      <c r="AR115" t="s">
        <v>2637</v>
      </c>
      <c r="AS115" t="s">
        <v>2637</v>
      </c>
      <c r="AT115" t="s">
        <v>2637</v>
      </c>
      <c r="AU115" t="s">
        <v>2637</v>
      </c>
      <c r="AV115" t="s">
        <v>2637</v>
      </c>
      <c r="AW115" t="s">
        <v>2637</v>
      </c>
      <c r="AX115" t="s">
        <v>2637</v>
      </c>
      <c r="AY115" t="s">
        <v>2634</v>
      </c>
      <c r="AZ115" t="s">
        <v>2634</v>
      </c>
      <c r="BA115" t="s">
        <v>2634</v>
      </c>
      <c r="BB115" t="s">
        <v>2634</v>
      </c>
      <c r="BC115" t="s">
        <v>2634</v>
      </c>
      <c r="BD115" t="s">
        <v>2634</v>
      </c>
      <c r="BE115" t="s">
        <v>2634</v>
      </c>
      <c r="BF115" t="s">
        <v>2634</v>
      </c>
      <c r="BG115" t="s">
        <v>2634</v>
      </c>
      <c r="BH115" t="s">
        <v>2634</v>
      </c>
      <c r="BI115" t="s">
        <v>2634</v>
      </c>
      <c r="BJ115" t="s">
        <v>2634</v>
      </c>
      <c r="BK115" t="s">
        <v>2634</v>
      </c>
      <c r="BL115" t="s">
        <v>2634</v>
      </c>
      <c r="BM115" t="s">
        <v>2634</v>
      </c>
      <c r="BN115" t="s">
        <v>2634</v>
      </c>
      <c r="BO115" t="s">
        <v>2634</v>
      </c>
      <c r="BP115" t="s">
        <v>2634</v>
      </c>
      <c r="BQ115" t="s">
        <v>2634</v>
      </c>
      <c r="BR115" t="s">
        <v>2656</v>
      </c>
      <c r="BS115" t="s">
        <v>2656</v>
      </c>
      <c r="BT115" t="s">
        <v>2656</v>
      </c>
      <c r="BU115" t="s">
        <v>2656</v>
      </c>
      <c r="BV115" t="s">
        <v>2656</v>
      </c>
      <c r="BW115" t="s">
        <v>2656</v>
      </c>
      <c r="BX115" t="s">
        <v>2656</v>
      </c>
      <c r="BY115" t="s">
        <v>2656</v>
      </c>
      <c r="BZ115" t="s">
        <v>2656</v>
      </c>
      <c r="CA115" t="s">
        <v>2656</v>
      </c>
      <c r="CB115" t="s">
        <v>2656</v>
      </c>
      <c r="CC115" t="s">
        <v>2656</v>
      </c>
      <c r="CD115" t="s">
        <v>2656</v>
      </c>
      <c r="CE115" t="s">
        <v>2656</v>
      </c>
      <c r="CF115" t="s">
        <v>2656</v>
      </c>
      <c r="CG115" t="s">
        <v>2656</v>
      </c>
      <c r="CH115" t="s">
        <v>2656</v>
      </c>
      <c r="CI115" t="s">
        <v>2656</v>
      </c>
      <c r="CJ115" t="s">
        <v>2656</v>
      </c>
      <c r="CK115" t="s">
        <v>2656</v>
      </c>
      <c r="CL115" t="s">
        <v>2656</v>
      </c>
      <c r="CM115" t="s">
        <v>2656</v>
      </c>
      <c r="CN115" t="s">
        <v>2656</v>
      </c>
      <c r="CO115" t="s">
        <v>2572</v>
      </c>
      <c r="CP115" t="s">
        <v>2572</v>
      </c>
      <c r="CQ115" t="s">
        <v>2572</v>
      </c>
      <c r="CR115" t="s">
        <v>2572</v>
      </c>
      <c r="CS115" t="s">
        <v>2572</v>
      </c>
      <c r="CT115" t="s">
        <v>2572</v>
      </c>
      <c r="CU115" t="s">
        <v>2572</v>
      </c>
      <c r="CV115" t="s">
        <v>2572</v>
      </c>
      <c r="CW115" t="s">
        <v>2572</v>
      </c>
      <c r="CX115" t="s">
        <v>2572</v>
      </c>
      <c r="CY115" t="s">
        <v>2572</v>
      </c>
      <c r="CZ115" t="s">
        <v>2572</v>
      </c>
      <c r="DA115" t="s">
        <v>2572</v>
      </c>
      <c r="DB115" t="s">
        <v>2572</v>
      </c>
      <c r="DC115" t="s">
        <v>2572</v>
      </c>
      <c r="DD115" t="s">
        <v>2572</v>
      </c>
      <c r="DE115" t="s">
        <v>2572</v>
      </c>
      <c r="DF115" t="s">
        <v>2697</v>
      </c>
      <c r="DG115" t="s">
        <v>2697</v>
      </c>
      <c r="DH115" t="s">
        <v>2697</v>
      </c>
      <c r="DI115" t="s">
        <v>2697</v>
      </c>
      <c r="DJ115" t="s">
        <v>2697</v>
      </c>
      <c r="DK115" t="s">
        <v>2697</v>
      </c>
      <c r="DL115" t="s">
        <v>2697</v>
      </c>
      <c r="DM115" t="s">
        <v>2697</v>
      </c>
      <c r="DN115" t="s">
        <v>2697</v>
      </c>
      <c r="DO115" t="s">
        <v>2697</v>
      </c>
      <c r="DP115" t="s">
        <v>2697</v>
      </c>
      <c r="DQ115" t="s">
        <v>2697</v>
      </c>
      <c r="DR115" t="s">
        <v>2697</v>
      </c>
      <c r="DS115" t="s">
        <v>2697</v>
      </c>
      <c r="DT115" t="s">
        <v>2697</v>
      </c>
      <c r="DU115" t="s">
        <v>2697</v>
      </c>
      <c r="DV115" t="s">
        <v>2697</v>
      </c>
      <c r="DW115" t="s">
        <v>2697</v>
      </c>
      <c r="DX115" t="s">
        <v>2697</v>
      </c>
      <c r="DY115" t="s">
        <v>2697</v>
      </c>
      <c r="DZ115" t="s">
        <v>2697</v>
      </c>
      <c r="EA115" t="s">
        <v>2697</v>
      </c>
      <c r="EB115" t="s">
        <v>2697</v>
      </c>
      <c r="EC115" t="s">
        <v>2697</v>
      </c>
      <c r="ED115" t="s">
        <v>2697</v>
      </c>
      <c r="EE115" t="s">
        <v>2697</v>
      </c>
      <c r="EF115" t="s">
        <v>2593</v>
      </c>
      <c r="EG115" t="s">
        <v>2593</v>
      </c>
      <c r="EH115" t="s">
        <v>2593</v>
      </c>
      <c r="EI115" t="s">
        <v>2593</v>
      </c>
      <c r="EQ115" t="s">
        <v>2779</v>
      </c>
      <c r="ER115" t="s">
        <v>2811</v>
      </c>
      <c r="ES115" t="s">
        <v>2811</v>
      </c>
      <c r="ET115" t="s">
        <v>2811</v>
      </c>
      <c r="EU115" t="s">
        <v>2811</v>
      </c>
      <c r="EV115" t="s">
        <v>2811</v>
      </c>
      <c r="EW115" t="s">
        <v>2811</v>
      </c>
      <c r="EX115" t="s">
        <v>2811</v>
      </c>
      <c r="EY115" t="s">
        <v>2811</v>
      </c>
      <c r="EZ115" t="s">
        <v>2811</v>
      </c>
      <c r="FA115" t="s">
        <v>2811</v>
      </c>
      <c r="FB115" t="s">
        <v>2811</v>
      </c>
      <c r="FC115" t="s">
        <v>2811</v>
      </c>
      <c r="FD115" t="s">
        <v>2811</v>
      </c>
      <c r="FE115" t="s">
        <v>2811</v>
      </c>
      <c r="FF115" t="s">
        <v>2811</v>
      </c>
      <c r="FG115" t="s">
        <v>2811</v>
      </c>
      <c r="FH115" t="s">
        <v>2811</v>
      </c>
      <c r="FI115" t="s">
        <v>2811</v>
      </c>
      <c r="FJ115" t="s">
        <v>2811</v>
      </c>
      <c r="FK115" t="s">
        <v>2811</v>
      </c>
      <c r="FL115" t="s">
        <v>2787</v>
      </c>
      <c r="HA115" t="s">
        <v>4326</v>
      </c>
      <c r="HB115" t="s">
        <v>4326</v>
      </c>
      <c r="HC115" t="s">
        <v>4326</v>
      </c>
      <c r="HD115" t="s">
        <v>4326</v>
      </c>
      <c r="HE115" t="s">
        <v>4326</v>
      </c>
      <c r="HF115" t="s">
        <v>4326</v>
      </c>
      <c r="HG115" t="s">
        <v>4326</v>
      </c>
      <c r="HH115" t="s">
        <v>4326</v>
      </c>
      <c r="HI115" t="s">
        <v>4326</v>
      </c>
      <c r="HJ115" t="s">
        <v>4326</v>
      </c>
      <c r="HK115" t="s">
        <v>4326</v>
      </c>
      <c r="HL115" t="s">
        <v>4326</v>
      </c>
      <c r="HM115" t="s">
        <v>4326</v>
      </c>
      <c r="HN115" t="s">
        <v>4326</v>
      </c>
      <c r="HO115" t="s">
        <v>4326</v>
      </c>
      <c r="HP115" t="s">
        <v>4326</v>
      </c>
      <c r="HQ115" t="s">
        <v>4326</v>
      </c>
      <c r="IQ115" t="s">
        <v>4328</v>
      </c>
      <c r="IR115" t="s">
        <v>4328</v>
      </c>
      <c r="IS115" t="s">
        <v>4328</v>
      </c>
      <c r="IT115" t="s">
        <v>4328</v>
      </c>
      <c r="IU115" t="s">
        <v>4328</v>
      </c>
      <c r="IW115" t="s">
        <v>4328</v>
      </c>
      <c r="IX115" t="s">
        <v>4328</v>
      </c>
      <c r="IY115" t="s">
        <v>4323</v>
      </c>
      <c r="IZ115" t="s">
        <v>4323</v>
      </c>
      <c r="JA115" t="s">
        <v>4323</v>
      </c>
      <c r="JB115" t="s">
        <v>4323</v>
      </c>
      <c r="JC115" t="s">
        <v>4323</v>
      </c>
      <c r="JD115" t="s">
        <v>4323</v>
      </c>
      <c r="JE115" t="s">
        <v>4323</v>
      </c>
      <c r="JF115" t="s">
        <v>4323</v>
      </c>
      <c r="JG115" t="s">
        <v>4323</v>
      </c>
      <c r="JH115" t="s">
        <v>4323</v>
      </c>
      <c r="JI115" t="s">
        <v>4323</v>
      </c>
      <c r="JJ115" t="s">
        <v>4323</v>
      </c>
      <c r="JK115" t="s">
        <v>4323</v>
      </c>
      <c r="JL115" t="s">
        <v>4330</v>
      </c>
      <c r="JM115" t="s">
        <v>4330</v>
      </c>
      <c r="JN115" t="s">
        <v>4330</v>
      </c>
      <c r="JO115" t="s">
        <v>4327</v>
      </c>
      <c r="JP115" t="s">
        <v>4327</v>
      </c>
    </row>
    <row r="116" spans="11:281" x14ac:dyDescent="0.3">
      <c r="AC116" t="s">
        <v>2637</v>
      </c>
      <c r="AD116" t="s">
        <v>2637</v>
      </c>
      <c r="AE116" t="s">
        <v>2637</v>
      </c>
      <c r="AF116" t="s">
        <v>2637</v>
      </c>
      <c r="AG116" t="s">
        <v>2637</v>
      </c>
      <c r="AH116" t="s">
        <v>2637</v>
      </c>
      <c r="AI116" t="s">
        <v>2637</v>
      </c>
      <c r="AJ116" t="s">
        <v>2637</v>
      </c>
      <c r="AK116" t="s">
        <v>2637</v>
      </c>
      <c r="AL116" t="s">
        <v>2637</v>
      </c>
      <c r="AM116" t="s">
        <v>2637</v>
      </c>
      <c r="AN116" t="s">
        <v>2637</v>
      </c>
      <c r="AO116" t="s">
        <v>2637</v>
      </c>
      <c r="AP116" t="s">
        <v>2637</v>
      </c>
      <c r="AQ116" t="s">
        <v>2637</v>
      </c>
      <c r="AR116" t="s">
        <v>2637</v>
      </c>
      <c r="AS116" t="s">
        <v>2637</v>
      </c>
      <c r="AT116" t="s">
        <v>2637</v>
      </c>
      <c r="AU116" t="s">
        <v>2637</v>
      </c>
      <c r="AV116" t="s">
        <v>2637</v>
      </c>
      <c r="AW116" t="s">
        <v>2637</v>
      </c>
      <c r="AX116" t="s">
        <v>2637</v>
      </c>
      <c r="AY116" t="s">
        <v>2634</v>
      </c>
      <c r="AZ116" t="s">
        <v>2634</v>
      </c>
      <c r="BA116" t="s">
        <v>2634</v>
      </c>
      <c r="BB116" t="s">
        <v>2634</v>
      </c>
      <c r="BC116" t="s">
        <v>2634</v>
      </c>
      <c r="BD116" t="s">
        <v>2634</v>
      </c>
      <c r="BE116" t="s">
        <v>2634</v>
      </c>
      <c r="BF116" t="s">
        <v>2634</v>
      </c>
      <c r="BG116" t="s">
        <v>2634</v>
      </c>
      <c r="BH116" t="s">
        <v>2634</v>
      </c>
      <c r="BI116" t="s">
        <v>2634</v>
      </c>
      <c r="BJ116" t="s">
        <v>2634</v>
      </c>
      <c r="BK116" t="s">
        <v>2634</v>
      </c>
      <c r="BL116" t="s">
        <v>2634</v>
      </c>
      <c r="BM116" t="s">
        <v>2634</v>
      </c>
      <c r="BN116" t="s">
        <v>2634</v>
      </c>
      <c r="BO116" t="s">
        <v>2634</v>
      </c>
      <c r="BP116" t="s">
        <v>2634</v>
      </c>
      <c r="BQ116" t="s">
        <v>2634</v>
      </c>
      <c r="BR116" t="s">
        <v>2634</v>
      </c>
      <c r="BS116" t="s">
        <v>2656</v>
      </c>
      <c r="BT116" t="s">
        <v>2656</v>
      </c>
      <c r="BU116" t="s">
        <v>2656</v>
      </c>
      <c r="BV116" t="s">
        <v>2656</v>
      </c>
      <c r="BW116" t="s">
        <v>2656</v>
      </c>
      <c r="BX116" t="s">
        <v>2656</v>
      </c>
      <c r="BY116" t="s">
        <v>2656</v>
      </c>
      <c r="BZ116" t="s">
        <v>2656</v>
      </c>
      <c r="CA116" t="s">
        <v>2656</v>
      </c>
      <c r="CB116" t="s">
        <v>2656</v>
      </c>
      <c r="CC116" t="s">
        <v>2656</v>
      </c>
      <c r="CD116" t="s">
        <v>2656</v>
      </c>
      <c r="CE116" t="s">
        <v>2656</v>
      </c>
      <c r="CF116" t="s">
        <v>2656</v>
      </c>
      <c r="CG116" t="s">
        <v>2656</v>
      </c>
      <c r="CH116" t="s">
        <v>2656</v>
      </c>
      <c r="CI116" t="s">
        <v>2656</v>
      </c>
      <c r="CJ116" t="s">
        <v>2656</v>
      </c>
      <c r="CK116" t="s">
        <v>2656</v>
      </c>
      <c r="CL116" t="s">
        <v>2656</v>
      </c>
      <c r="CM116" t="s">
        <v>2656</v>
      </c>
      <c r="CN116" t="s">
        <v>2656</v>
      </c>
      <c r="CO116" t="s">
        <v>2572</v>
      </c>
      <c r="CP116" t="s">
        <v>2572</v>
      </c>
      <c r="CQ116" t="s">
        <v>2572</v>
      </c>
      <c r="CR116" t="s">
        <v>2572</v>
      </c>
      <c r="CS116" t="s">
        <v>2572</v>
      </c>
      <c r="CT116" t="s">
        <v>2572</v>
      </c>
      <c r="CU116" t="s">
        <v>2572</v>
      </c>
      <c r="CV116" t="s">
        <v>2572</v>
      </c>
      <c r="CW116" t="s">
        <v>2572</v>
      </c>
      <c r="CX116" t="s">
        <v>2572</v>
      </c>
      <c r="CY116" t="s">
        <v>2572</v>
      </c>
      <c r="CZ116" t="s">
        <v>2572</v>
      </c>
      <c r="DA116" t="s">
        <v>2572</v>
      </c>
      <c r="DB116" t="s">
        <v>2572</v>
      </c>
      <c r="DC116" t="s">
        <v>2572</v>
      </c>
      <c r="DD116" t="s">
        <v>2572</v>
      </c>
      <c r="DE116" t="s">
        <v>2572</v>
      </c>
      <c r="DF116" t="s">
        <v>2697</v>
      </c>
      <c r="DG116" t="s">
        <v>2697</v>
      </c>
      <c r="DH116" t="s">
        <v>2697</v>
      </c>
      <c r="DI116" t="s">
        <v>2697</v>
      </c>
      <c r="DJ116" t="s">
        <v>2697</v>
      </c>
      <c r="DK116" t="s">
        <v>2697</v>
      </c>
      <c r="DL116" t="s">
        <v>2697</v>
      </c>
      <c r="DM116" t="s">
        <v>2697</v>
      </c>
      <c r="DN116" t="s">
        <v>2697</v>
      </c>
      <c r="DO116" t="s">
        <v>2697</v>
      </c>
      <c r="DP116" t="s">
        <v>2697</v>
      </c>
      <c r="DQ116" t="s">
        <v>2697</v>
      </c>
      <c r="DR116" t="s">
        <v>2697</v>
      </c>
      <c r="DS116" t="s">
        <v>2697</v>
      </c>
      <c r="DT116" t="s">
        <v>2697</v>
      </c>
      <c r="DU116" t="s">
        <v>2697</v>
      </c>
      <c r="DV116" t="s">
        <v>2697</v>
      </c>
      <c r="DW116" t="s">
        <v>2697</v>
      </c>
      <c r="DX116" t="s">
        <v>2697</v>
      </c>
      <c r="DY116" t="s">
        <v>2697</v>
      </c>
      <c r="DZ116" t="s">
        <v>2697</v>
      </c>
      <c r="EA116" t="s">
        <v>2697</v>
      </c>
      <c r="EB116" t="s">
        <v>2697</v>
      </c>
      <c r="EC116" t="s">
        <v>2697</v>
      </c>
      <c r="ED116" t="s">
        <v>2697</v>
      </c>
      <c r="EE116" t="s">
        <v>2697</v>
      </c>
      <c r="EF116" t="s">
        <v>2593</v>
      </c>
      <c r="EG116" t="s">
        <v>2593</v>
      </c>
      <c r="EH116" t="s">
        <v>2593</v>
      </c>
      <c r="EI116" t="s">
        <v>2593</v>
      </c>
      <c r="EQ116" t="s">
        <v>2779</v>
      </c>
      <c r="ER116" t="s">
        <v>2811</v>
      </c>
      <c r="ES116" t="s">
        <v>2811</v>
      </c>
      <c r="ET116" t="s">
        <v>2811</v>
      </c>
      <c r="EU116" t="s">
        <v>2811</v>
      </c>
      <c r="EV116" t="s">
        <v>2811</v>
      </c>
      <c r="EW116" t="s">
        <v>2811</v>
      </c>
      <c r="EX116" t="s">
        <v>2779</v>
      </c>
      <c r="EY116" t="s">
        <v>2811</v>
      </c>
      <c r="EZ116" t="s">
        <v>2779</v>
      </c>
      <c r="FA116" t="s">
        <v>2811</v>
      </c>
      <c r="FB116" t="s">
        <v>2811</v>
      </c>
      <c r="FC116" t="s">
        <v>2811</v>
      </c>
      <c r="FD116" t="s">
        <v>2811</v>
      </c>
      <c r="FE116" t="s">
        <v>2811</v>
      </c>
      <c r="FF116" t="s">
        <v>2811</v>
      </c>
      <c r="FG116" t="s">
        <v>2811</v>
      </c>
      <c r="FH116" t="s">
        <v>2811</v>
      </c>
      <c r="FI116" t="s">
        <v>2811</v>
      </c>
      <c r="FJ116" t="s">
        <v>2811</v>
      </c>
      <c r="FK116" t="s">
        <v>2811</v>
      </c>
      <c r="FL116" t="s">
        <v>2787</v>
      </c>
      <c r="FM116" t="s">
        <v>2787</v>
      </c>
      <c r="FN116" t="s">
        <v>2787</v>
      </c>
      <c r="FO116" t="s">
        <v>2787</v>
      </c>
      <c r="FP116" t="s">
        <v>2787</v>
      </c>
      <c r="HA116" t="s">
        <v>4326</v>
      </c>
      <c r="HB116" t="s">
        <v>4326</v>
      </c>
      <c r="HC116" t="s">
        <v>4326</v>
      </c>
      <c r="HD116" t="s">
        <v>4326</v>
      </c>
      <c r="HE116" t="s">
        <v>4326</v>
      </c>
      <c r="HF116" t="s">
        <v>4326</v>
      </c>
      <c r="HG116" t="s">
        <v>4326</v>
      </c>
      <c r="HH116" t="s">
        <v>4326</v>
      </c>
      <c r="HI116" t="s">
        <v>4326</v>
      </c>
      <c r="HJ116" t="s">
        <v>4326</v>
      </c>
      <c r="HK116" t="s">
        <v>4326</v>
      </c>
      <c r="HL116" t="s">
        <v>4326</v>
      </c>
      <c r="HM116" t="s">
        <v>4326</v>
      </c>
      <c r="HN116" t="s">
        <v>4326</v>
      </c>
      <c r="HO116" t="s">
        <v>4326</v>
      </c>
      <c r="HP116" t="s">
        <v>4326</v>
      </c>
      <c r="HQ116" t="s">
        <v>4326</v>
      </c>
      <c r="HR116" t="s">
        <v>4326</v>
      </c>
      <c r="IQ116" t="s">
        <v>4328</v>
      </c>
      <c r="IR116" t="s">
        <v>4328</v>
      </c>
      <c r="IS116" t="s">
        <v>4328</v>
      </c>
      <c r="IT116" t="s">
        <v>4328</v>
      </c>
      <c r="IU116" t="s">
        <v>4328</v>
      </c>
      <c r="IV116" t="s">
        <v>4328</v>
      </c>
      <c r="IW116" t="s">
        <v>4328</v>
      </c>
      <c r="IX116" t="s">
        <v>4323</v>
      </c>
      <c r="IY116" t="s">
        <v>4323</v>
      </c>
      <c r="IZ116" t="s">
        <v>4323</v>
      </c>
      <c r="JA116" t="s">
        <v>4323</v>
      </c>
      <c r="JB116" t="s">
        <v>4323</v>
      </c>
      <c r="JC116" t="s">
        <v>4323</v>
      </c>
      <c r="JD116" t="s">
        <v>4323</v>
      </c>
      <c r="JE116" t="s">
        <v>4323</v>
      </c>
      <c r="JF116" t="s">
        <v>4323</v>
      </c>
      <c r="JG116" t="s">
        <v>4323</v>
      </c>
      <c r="JH116" t="s">
        <v>4323</v>
      </c>
      <c r="JI116" t="s">
        <v>4323</v>
      </c>
      <c r="JJ116" t="s">
        <v>4323</v>
      </c>
      <c r="JK116" t="s">
        <v>4330</v>
      </c>
      <c r="JL116" t="s">
        <v>4330</v>
      </c>
      <c r="JM116" t="s">
        <v>4330</v>
      </c>
      <c r="JN116" t="s">
        <v>4327</v>
      </c>
      <c r="JO116" t="s">
        <v>4327</v>
      </c>
    </row>
    <row r="117" spans="11:281" x14ac:dyDescent="0.3">
      <c r="AD117" t="s">
        <v>2637</v>
      </c>
      <c r="AE117" t="s">
        <v>2637</v>
      </c>
      <c r="AF117" t="s">
        <v>2637</v>
      </c>
      <c r="AG117" t="s">
        <v>2637</v>
      </c>
      <c r="AH117" t="s">
        <v>2637</v>
      </c>
      <c r="AI117" t="s">
        <v>2637</v>
      </c>
      <c r="AJ117" t="s">
        <v>2637</v>
      </c>
      <c r="AK117" t="s">
        <v>2637</v>
      </c>
      <c r="AL117" t="s">
        <v>2637</v>
      </c>
      <c r="AM117" t="s">
        <v>2637</v>
      </c>
      <c r="AN117" t="s">
        <v>2637</v>
      </c>
      <c r="AO117" t="s">
        <v>2637</v>
      </c>
      <c r="AP117" t="s">
        <v>2637</v>
      </c>
      <c r="AQ117" t="s">
        <v>2637</v>
      </c>
      <c r="AR117" t="s">
        <v>2637</v>
      </c>
      <c r="AS117" t="s">
        <v>2637</v>
      </c>
      <c r="AT117" t="s">
        <v>2637</v>
      </c>
      <c r="AU117" t="s">
        <v>2637</v>
      </c>
      <c r="AV117" t="s">
        <v>2637</v>
      </c>
      <c r="AW117" t="s">
        <v>2637</v>
      </c>
      <c r="AX117" t="s">
        <v>2637</v>
      </c>
      <c r="AY117" t="s">
        <v>2634</v>
      </c>
      <c r="AZ117" t="s">
        <v>2634</v>
      </c>
      <c r="BA117" t="s">
        <v>2634</v>
      </c>
      <c r="BB117" t="s">
        <v>2634</v>
      </c>
      <c r="BC117" t="s">
        <v>2634</v>
      </c>
      <c r="BD117" t="s">
        <v>2634</v>
      </c>
      <c r="BE117" t="s">
        <v>2634</v>
      </c>
      <c r="BF117" t="s">
        <v>2634</v>
      </c>
      <c r="BG117" t="s">
        <v>2634</v>
      </c>
      <c r="BH117" t="s">
        <v>2634</v>
      </c>
      <c r="BI117" t="s">
        <v>2634</v>
      </c>
      <c r="BJ117" t="s">
        <v>2634</v>
      </c>
      <c r="BK117" t="s">
        <v>2634</v>
      </c>
      <c r="BL117" t="s">
        <v>2634</v>
      </c>
      <c r="BM117" t="s">
        <v>2634</v>
      </c>
      <c r="BN117" t="s">
        <v>2634</v>
      </c>
      <c r="BO117" t="s">
        <v>2634</v>
      </c>
      <c r="BP117" t="s">
        <v>2634</v>
      </c>
      <c r="BQ117" t="s">
        <v>2634</v>
      </c>
      <c r="BR117" t="s">
        <v>2634</v>
      </c>
      <c r="BS117" t="s">
        <v>2656</v>
      </c>
      <c r="BT117" t="s">
        <v>2656</v>
      </c>
      <c r="BU117" t="s">
        <v>2656</v>
      </c>
      <c r="BV117" t="s">
        <v>2656</v>
      </c>
      <c r="BW117" t="s">
        <v>2656</v>
      </c>
      <c r="BX117" t="s">
        <v>2656</v>
      </c>
      <c r="BY117" t="s">
        <v>2656</v>
      </c>
      <c r="BZ117" t="s">
        <v>2656</v>
      </c>
      <c r="CA117" t="s">
        <v>2656</v>
      </c>
      <c r="CB117" t="s">
        <v>2656</v>
      </c>
      <c r="CC117" t="s">
        <v>2656</v>
      </c>
      <c r="CD117" t="s">
        <v>2656</v>
      </c>
      <c r="CE117" t="s">
        <v>2656</v>
      </c>
      <c r="CF117" t="s">
        <v>2656</v>
      </c>
      <c r="CG117" t="s">
        <v>2656</v>
      </c>
      <c r="CH117" t="s">
        <v>2656</v>
      </c>
      <c r="CI117" t="s">
        <v>2656</v>
      </c>
      <c r="CJ117" t="s">
        <v>2656</v>
      </c>
      <c r="CK117" t="s">
        <v>2656</v>
      </c>
      <c r="CL117" t="s">
        <v>2656</v>
      </c>
      <c r="CM117" t="s">
        <v>2656</v>
      </c>
      <c r="CN117" t="s">
        <v>2656</v>
      </c>
      <c r="CO117" t="s">
        <v>2572</v>
      </c>
      <c r="CP117" t="s">
        <v>2572</v>
      </c>
      <c r="CQ117" t="s">
        <v>2572</v>
      </c>
      <c r="CR117" t="s">
        <v>2572</v>
      </c>
      <c r="CS117" t="s">
        <v>2572</v>
      </c>
      <c r="CT117" t="s">
        <v>2572</v>
      </c>
      <c r="CU117" t="s">
        <v>2572</v>
      </c>
      <c r="CV117" t="s">
        <v>2572</v>
      </c>
      <c r="CW117" t="s">
        <v>2572</v>
      </c>
      <c r="CX117" t="s">
        <v>2572</v>
      </c>
      <c r="CY117" t="s">
        <v>2572</v>
      </c>
      <c r="CZ117" t="s">
        <v>2572</v>
      </c>
      <c r="DA117" t="s">
        <v>2572</v>
      </c>
      <c r="DB117" t="s">
        <v>2572</v>
      </c>
      <c r="DC117" t="s">
        <v>2572</v>
      </c>
      <c r="DD117" t="s">
        <v>2572</v>
      </c>
      <c r="DE117" t="s">
        <v>2572</v>
      </c>
      <c r="DF117" t="s">
        <v>2697</v>
      </c>
      <c r="DG117" t="s">
        <v>2697</v>
      </c>
      <c r="DH117" t="s">
        <v>2697</v>
      </c>
      <c r="DI117" t="s">
        <v>2697</v>
      </c>
      <c r="DJ117" t="s">
        <v>2697</v>
      </c>
      <c r="DK117" t="s">
        <v>2697</v>
      </c>
      <c r="DL117" t="s">
        <v>2697</v>
      </c>
      <c r="DM117" t="s">
        <v>2697</v>
      </c>
      <c r="DN117" t="s">
        <v>2697</v>
      </c>
      <c r="DO117" t="s">
        <v>2697</v>
      </c>
      <c r="DP117" t="s">
        <v>2697</v>
      </c>
      <c r="DQ117" t="s">
        <v>2697</v>
      </c>
      <c r="DR117" t="s">
        <v>2697</v>
      </c>
      <c r="DS117" t="s">
        <v>2697</v>
      </c>
      <c r="DT117" t="s">
        <v>2697</v>
      </c>
      <c r="DU117" t="s">
        <v>2697</v>
      </c>
      <c r="DV117" t="s">
        <v>2697</v>
      </c>
      <c r="DW117" t="s">
        <v>2697</v>
      </c>
      <c r="DX117" t="s">
        <v>2697</v>
      </c>
      <c r="DY117" t="s">
        <v>2697</v>
      </c>
      <c r="DZ117" t="s">
        <v>2697</v>
      </c>
      <c r="EA117" t="s">
        <v>2697</v>
      </c>
      <c r="EB117" t="s">
        <v>2697</v>
      </c>
      <c r="EC117" t="s">
        <v>2697</v>
      </c>
      <c r="ED117" t="s">
        <v>2697</v>
      </c>
      <c r="EE117" t="s">
        <v>2697</v>
      </c>
      <c r="EF117" t="s">
        <v>2697</v>
      </c>
      <c r="EG117" t="s">
        <v>2697</v>
      </c>
      <c r="EH117" t="s">
        <v>2593</v>
      </c>
      <c r="EP117" t="s">
        <v>2779</v>
      </c>
      <c r="EQ117" t="s">
        <v>2779</v>
      </c>
      <c r="ER117" t="s">
        <v>2779</v>
      </c>
      <c r="ES117" t="s">
        <v>2779</v>
      </c>
      <c r="ET117" t="s">
        <v>2779</v>
      </c>
      <c r="EU117" t="s">
        <v>2779</v>
      </c>
      <c r="EV117" t="s">
        <v>2779</v>
      </c>
      <c r="EW117" t="s">
        <v>2779</v>
      </c>
      <c r="EX117" t="s">
        <v>2779</v>
      </c>
      <c r="EY117" t="s">
        <v>2779</v>
      </c>
      <c r="EZ117" t="s">
        <v>2779</v>
      </c>
      <c r="FA117" t="s">
        <v>2779</v>
      </c>
      <c r="FB117" t="s">
        <v>2811</v>
      </c>
      <c r="FC117" t="s">
        <v>2811</v>
      </c>
      <c r="FD117" t="s">
        <v>2811</v>
      </c>
      <c r="FE117" t="s">
        <v>2811</v>
      </c>
      <c r="FF117" t="s">
        <v>2811</v>
      </c>
      <c r="FG117" t="s">
        <v>2811</v>
      </c>
      <c r="FH117" t="s">
        <v>2811</v>
      </c>
      <c r="FI117" t="s">
        <v>2811</v>
      </c>
      <c r="FJ117" t="s">
        <v>2811</v>
      </c>
      <c r="FK117" t="s">
        <v>2787</v>
      </c>
      <c r="FL117" t="s">
        <v>2787</v>
      </c>
      <c r="FM117" t="s">
        <v>2787</v>
      </c>
      <c r="FN117" t="s">
        <v>2787</v>
      </c>
      <c r="FO117" t="s">
        <v>2787</v>
      </c>
      <c r="FP117" t="s">
        <v>2787</v>
      </c>
      <c r="GZ117" t="s">
        <v>4326</v>
      </c>
      <c r="HA117" t="s">
        <v>4326</v>
      </c>
      <c r="HB117" t="s">
        <v>4326</v>
      </c>
      <c r="HC117" t="s">
        <v>4326</v>
      </c>
      <c r="HD117" t="s">
        <v>4326</v>
      </c>
      <c r="HE117" t="s">
        <v>4326</v>
      </c>
      <c r="HF117" t="s">
        <v>4326</v>
      </c>
      <c r="HG117" t="s">
        <v>4326</v>
      </c>
      <c r="HH117" t="s">
        <v>4326</v>
      </c>
      <c r="HI117" t="s">
        <v>4326</v>
      </c>
      <c r="HJ117" t="s">
        <v>4326</v>
      </c>
      <c r="HK117" t="s">
        <v>4326</v>
      </c>
      <c r="HL117" t="s">
        <v>4326</v>
      </c>
      <c r="HM117" t="s">
        <v>4326</v>
      </c>
      <c r="HN117" t="s">
        <v>4326</v>
      </c>
      <c r="HO117" t="s">
        <v>4326</v>
      </c>
      <c r="HP117" t="s">
        <v>4326</v>
      </c>
      <c r="HQ117" t="s">
        <v>4326</v>
      </c>
      <c r="HR117" t="s">
        <v>4326</v>
      </c>
      <c r="HS117" t="s">
        <v>4326</v>
      </c>
      <c r="HT117" t="s">
        <v>4326</v>
      </c>
      <c r="IQ117" t="s">
        <v>4328</v>
      </c>
      <c r="IR117" t="s">
        <v>4328</v>
      </c>
      <c r="IS117" t="s">
        <v>4328</v>
      </c>
      <c r="IT117" t="s">
        <v>4328</v>
      </c>
      <c r="IU117" t="s">
        <v>4328</v>
      </c>
      <c r="IV117" t="s">
        <v>4328</v>
      </c>
      <c r="IW117" t="s">
        <v>4328</v>
      </c>
      <c r="IX117" t="s">
        <v>4323</v>
      </c>
      <c r="IY117" t="s">
        <v>4323</v>
      </c>
      <c r="IZ117" t="s">
        <v>4323</v>
      </c>
      <c r="JA117" t="s">
        <v>4323</v>
      </c>
      <c r="JB117" t="s">
        <v>4323</v>
      </c>
      <c r="JC117" t="s">
        <v>4323</v>
      </c>
      <c r="JD117" t="s">
        <v>4330</v>
      </c>
      <c r="JE117" t="s">
        <v>4323</v>
      </c>
      <c r="JF117" t="s">
        <v>4323</v>
      </c>
      <c r="JG117" t="s">
        <v>4323</v>
      </c>
      <c r="JH117" t="s">
        <v>4323</v>
      </c>
      <c r="JI117" t="s">
        <v>4323</v>
      </c>
      <c r="JJ117" t="s">
        <v>4323</v>
      </c>
      <c r="JK117" t="s">
        <v>4330</v>
      </c>
      <c r="JL117" t="s">
        <v>4330</v>
      </c>
      <c r="JM117" t="s">
        <v>4327</v>
      </c>
      <c r="JN117" t="s">
        <v>4327</v>
      </c>
    </row>
    <row r="118" spans="11:281" x14ac:dyDescent="0.3">
      <c r="AD118" t="s">
        <v>2637</v>
      </c>
      <c r="AE118" t="s">
        <v>2637</v>
      </c>
      <c r="AF118" t="s">
        <v>2637</v>
      </c>
      <c r="AG118" t="s">
        <v>2637</v>
      </c>
      <c r="AH118" t="s">
        <v>2637</v>
      </c>
      <c r="AI118" t="s">
        <v>2637</v>
      </c>
      <c r="AJ118" t="s">
        <v>2637</v>
      </c>
      <c r="AK118" t="s">
        <v>2637</v>
      </c>
      <c r="AL118" t="s">
        <v>2637</v>
      </c>
      <c r="AM118" t="s">
        <v>2637</v>
      </c>
      <c r="AN118" t="s">
        <v>2637</v>
      </c>
      <c r="AO118" t="s">
        <v>2637</v>
      </c>
      <c r="AP118" t="s">
        <v>2637</v>
      </c>
      <c r="AQ118" t="s">
        <v>2637</v>
      </c>
      <c r="AR118" t="s">
        <v>2637</v>
      </c>
      <c r="AS118" t="s">
        <v>2637</v>
      </c>
      <c r="AT118" t="s">
        <v>2637</v>
      </c>
      <c r="AU118" t="s">
        <v>2637</v>
      </c>
      <c r="AV118" t="s">
        <v>2637</v>
      </c>
      <c r="AW118" t="s">
        <v>2637</v>
      </c>
      <c r="AX118" t="s">
        <v>2637</v>
      </c>
      <c r="AY118" t="s">
        <v>2634</v>
      </c>
      <c r="AZ118" t="s">
        <v>2634</v>
      </c>
      <c r="BA118" t="s">
        <v>2634</v>
      </c>
      <c r="BB118" t="s">
        <v>2634</v>
      </c>
      <c r="BC118" t="s">
        <v>2634</v>
      </c>
      <c r="BD118" t="s">
        <v>2634</v>
      </c>
      <c r="BE118" t="s">
        <v>2634</v>
      </c>
      <c r="BF118" t="s">
        <v>2634</v>
      </c>
      <c r="BG118" t="s">
        <v>2634</v>
      </c>
      <c r="BH118" t="s">
        <v>2634</v>
      </c>
      <c r="BI118" t="s">
        <v>2634</v>
      </c>
      <c r="BJ118" t="s">
        <v>2634</v>
      </c>
      <c r="BK118" t="s">
        <v>2634</v>
      </c>
      <c r="BL118" t="s">
        <v>2634</v>
      </c>
      <c r="BM118" t="s">
        <v>2634</v>
      </c>
      <c r="BN118" t="s">
        <v>2634</v>
      </c>
      <c r="BO118" t="s">
        <v>2634</v>
      </c>
      <c r="BP118" t="s">
        <v>2634</v>
      </c>
      <c r="BQ118" t="s">
        <v>2634</v>
      </c>
      <c r="BR118" t="s">
        <v>2634</v>
      </c>
      <c r="BS118" t="s">
        <v>2656</v>
      </c>
      <c r="BT118" t="s">
        <v>2656</v>
      </c>
      <c r="BU118" t="s">
        <v>2656</v>
      </c>
      <c r="BV118" t="s">
        <v>2656</v>
      </c>
      <c r="BW118" t="s">
        <v>2656</v>
      </c>
      <c r="BX118" t="s">
        <v>2656</v>
      </c>
      <c r="BY118" t="s">
        <v>2656</v>
      </c>
      <c r="BZ118" t="s">
        <v>2656</v>
      </c>
      <c r="CA118" t="s">
        <v>2656</v>
      </c>
      <c r="CB118" t="s">
        <v>2656</v>
      </c>
      <c r="CC118" t="s">
        <v>2656</v>
      </c>
      <c r="CD118" t="s">
        <v>2656</v>
      </c>
      <c r="CE118" t="s">
        <v>2656</v>
      </c>
      <c r="CF118" t="s">
        <v>2656</v>
      </c>
      <c r="CG118" t="s">
        <v>2656</v>
      </c>
      <c r="CH118" t="s">
        <v>2656</v>
      </c>
      <c r="CI118" t="s">
        <v>2656</v>
      </c>
      <c r="CJ118" t="s">
        <v>2656</v>
      </c>
      <c r="CK118" t="s">
        <v>2656</v>
      </c>
      <c r="CL118" t="s">
        <v>2656</v>
      </c>
      <c r="CM118" t="s">
        <v>2656</v>
      </c>
      <c r="CN118" t="s">
        <v>2656</v>
      </c>
      <c r="CO118" t="s">
        <v>2572</v>
      </c>
      <c r="CP118" t="s">
        <v>2572</v>
      </c>
      <c r="CQ118" t="s">
        <v>2572</v>
      </c>
      <c r="CR118" t="s">
        <v>2572</v>
      </c>
      <c r="CS118" t="s">
        <v>2572</v>
      </c>
      <c r="CT118" t="s">
        <v>2572</v>
      </c>
      <c r="CU118" t="s">
        <v>2572</v>
      </c>
      <c r="CV118" t="s">
        <v>2572</v>
      </c>
      <c r="CW118" t="s">
        <v>2572</v>
      </c>
      <c r="CX118" t="s">
        <v>2572</v>
      </c>
      <c r="CY118" t="s">
        <v>2572</v>
      </c>
      <c r="CZ118" t="s">
        <v>2572</v>
      </c>
      <c r="DA118" t="s">
        <v>2572</v>
      </c>
      <c r="DB118" t="s">
        <v>2572</v>
      </c>
      <c r="DC118" t="s">
        <v>2572</v>
      </c>
      <c r="DD118" t="s">
        <v>2572</v>
      </c>
      <c r="DE118" t="s">
        <v>2572</v>
      </c>
      <c r="DF118" t="s">
        <v>2697</v>
      </c>
      <c r="DG118" t="s">
        <v>2697</v>
      </c>
      <c r="DH118" t="s">
        <v>2697</v>
      </c>
      <c r="DI118" t="s">
        <v>2697</v>
      </c>
      <c r="DJ118" t="s">
        <v>2697</v>
      </c>
      <c r="DK118" t="s">
        <v>2697</v>
      </c>
      <c r="DL118" t="s">
        <v>2697</v>
      </c>
      <c r="DM118" t="s">
        <v>2697</v>
      </c>
      <c r="DN118" t="s">
        <v>2697</v>
      </c>
      <c r="DO118" t="s">
        <v>2697</v>
      </c>
      <c r="DP118" t="s">
        <v>2697</v>
      </c>
      <c r="DQ118" t="s">
        <v>2697</v>
      </c>
      <c r="DR118" t="s">
        <v>2697</v>
      </c>
      <c r="DS118" t="s">
        <v>2697</v>
      </c>
      <c r="DT118" t="s">
        <v>2697</v>
      </c>
      <c r="DU118" t="s">
        <v>2697</v>
      </c>
      <c r="DV118" t="s">
        <v>2697</v>
      </c>
      <c r="DW118" t="s">
        <v>2697</v>
      </c>
      <c r="DX118" t="s">
        <v>2697</v>
      </c>
      <c r="DY118" t="s">
        <v>2697</v>
      </c>
      <c r="DZ118" t="s">
        <v>2697</v>
      </c>
      <c r="EA118" t="s">
        <v>2697</v>
      </c>
      <c r="EB118" t="s">
        <v>2697</v>
      </c>
      <c r="EC118" t="s">
        <v>2697</v>
      </c>
      <c r="ED118" t="s">
        <v>2697</v>
      </c>
      <c r="EE118" t="s">
        <v>2697</v>
      </c>
      <c r="EF118" t="s">
        <v>2697</v>
      </c>
      <c r="EG118" t="s">
        <v>2697</v>
      </c>
      <c r="EO118" t="s">
        <v>2779</v>
      </c>
      <c r="EP118" t="s">
        <v>2779</v>
      </c>
      <c r="EQ118" t="s">
        <v>2779</v>
      </c>
      <c r="ER118" t="s">
        <v>2779</v>
      </c>
      <c r="ES118" t="s">
        <v>2779</v>
      </c>
      <c r="ET118" t="s">
        <v>2779</v>
      </c>
      <c r="EU118" t="s">
        <v>2779</v>
      </c>
      <c r="EV118" t="s">
        <v>2779</v>
      </c>
      <c r="EW118" t="s">
        <v>2779</v>
      </c>
      <c r="EX118" t="s">
        <v>2779</v>
      </c>
      <c r="EY118" t="s">
        <v>2779</v>
      </c>
      <c r="EZ118" t="s">
        <v>2779</v>
      </c>
      <c r="FA118" t="s">
        <v>2779</v>
      </c>
      <c r="FB118" t="s">
        <v>2779</v>
      </c>
      <c r="FC118" t="s">
        <v>2811</v>
      </c>
      <c r="FD118" t="s">
        <v>2811</v>
      </c>
      <c r="FE118" t="s">
        <v>2811</v>
      </c>
      <c r="FF118" t="s">
        <v>2811</v>
      </c>
      <c r="FG118" t="s">
        <v>2811</v>
      </c>
      <c r="FH118" t="s">
        <v>2811</v>
      </c>
      <c r="FI118" t="s">
        <v>2811</v>
      </c>
      <c r="FJ118" t="s">
        <v>2811</v>
      </c>
      <c r="FK118" t="s">
        <v>2787</v>
      </c>
      <c r="FL118" t="s">
        <v>2787</v>
      </c>
      <c r="FM118" t="s">
        <v>2787</v>
      </c>
      <c r="FN118" t="s">
        <v>2787</v>
      </c>
      <c r="FO118" t="s">
        <v>2787</v>
      </c>
      <c r="FP118" t="s">
        <v>2787</v>
      </c>
      <c r="FQ118" t="s">
        <v>2787</v>
      </c>
      <c r="FR118" t="s">
        <v>2787</v>
      </c>
      <c r="GZ118" t="s">
        <v>4326</v>
      </c>
      <c r="HA118" t="s">
        <v>4326</v>
      </c>
      <c r="HB118" t="s">
        <v>4326</v>
      </c>
      <c r="HC118" t="s">
        <v>4326</v>
      </c>
      <c r="HD118" t="s">
        <v>4326</v>
      </c>
      <c r="HE118" t="s">
        <v>4326</v>
      </c>
      <c r="HF118" t="s">
        <v>4326</v>
      </c>
      <c r="HG118" t="s">
        <v>4326</v>
      </c>
      <c r="HH118" t="s">
        <v>4326</v>
      </c>
      <c r="HI118" t="s">
        <v>4326</v>
      </c>
      <c r="HJ118" t="s">
        <v>4326</v>
      </c>
      <c r="HK118" t="s">
        <v>4326</v>
      </c>
      <c r="HL118" t="s">
        <v>4326</v>
      </c>
      <c r="HM118" t="s">
        <v>4326</v>
      </c>
      <c r="HN118" t="s">
        <v>4326</v>
      </c>
      <c r="HO118" t="s">
        <v>4326</v>
      </c>
      <c r="HP118" t="s">
        <v>4326</v>
      </c>
      <c r="HQ118" t="s">
        <v>4326</v>
      </c>
      <c r="HR118" t="s">
        <v>4326</v>
      </c>
      <c r="HS118" t="s">
        <v>4326</v>
      </c>
      <c r="HT118" t="s">
        <v>4326</v>
      </c>
      <c r="HU118" t="s">
        <v>4326</v>
      </c>
      <c r="IQ118" t="s">
        <v>4328</v>
      </c>
      <c r="IR118" t="s">
        <v>4328</v>
      </c>
      <c r="IS118" t="s">
        <v>4328</v>
      </c>
      <c r="IT118" t="s">
        <v>4328</v>
      </c>
      <c r="IU118" t="s">
        <v>4328</v>
      </c>
      <c r="IV118" t="s">
        <v>4328</v>
      </c>
      <c r="IW118" t="s">
        <v>4323</v>
      </c>
      <c r="IX118" t="s">
        <v>4323</v>
      </c>
      <c r="IY118" t="s">
        <v>4323</v>
      </c>
      <c r="IZ118" t="s">
        <v>4323</v>
      </c>
      <c r="JA118" t="s">
        <v>4323</v>
      </c>
      <c r="JB118" t="s">
        <v>4323</v>
      </c>
      <c r="JC118" t="s">
        <v>4323</v>
      </c>
      <c r="JD118" t="s">
        <v>4330</v>
      </c>
      <c r="JE118" t="s">
        <v>4330</v>
      </c>
      <c r="JF118" t="s">
        <v>4330</v>
      </c>
      <c r="JG118" t="s">
        <v>4330</v>
      </c>
      <c r="JH118" t="s">
        <v>4323</v>
      </c>
      <c r="JI118" t="s">
        <v>4323</v>
      </c>
      <c r="JJ118" t="s">
        <v>4330</v>
      </c>
      <c r="JK118" t="s">
        <v>4330</v>
      </c>
      <c r="JL118" t="s">
        <v>4330</v>
      </c>
      <c r="JM118" t="s">
        <v>4327</v>
      </c>
    </row>
    <row r="119" spans="11:281" x14ac:dyDescent="0.3">
      <c r="AD119" t="s">
        <v>2637</v>
      </c>
      <c r="AE119" t="s">
        <v>2637</v>
      </c>
      <c r="AF119" t="s">
        <v>2637</v>
      </c>
      <c r="AG119" t="s">
        <v>2637</v>
      </c>
      <c r="AH119" t="s">
        <v>2637</v>
      </c>
      <c r="AI119" t="s">
        <v>2637</v>
      </c>
      <c r="AJ119" t="s">
        <v>2637</v>
      </c>
      <c r="AK119" t="s">
        <v>2637</v>
      </c>
      <c r="AL119" t="s">
        <v>2637</v>
      </c>
      <c r="AM119" t="s">
        <v>2637</v>
      </c>
      <c r="AN119" t="s">
        <v>2637</v>
      </c>
      <c r="AO119" t="s">
        <v>2637</v>
      </c>
      <c r="AP119" t="s">
        <v>2637</v>
      </c>
      <c r="AQ119" t="s">
        <v>2637</v>
      </c>
      <c r="AR119" t="s">
        <v>2637</v>
      </c>
      <c r="AS119" t="s">
        <v>2637</v>
      </c>
      <c r="AT119" t="s">
        <v>2637</v>
      </c>
      <c r="AU119" t="s">
        <v>2637</v>
      </c>
      <c r="AV119" t="s">
        <v>2637</v>
      </c>
      <c r="AW119" t="s">
        <v>2637</v>
      </c>
      <c r="AX119" t="s">
        <v>2634</v>
      </c>
      <c r="AY119" t="s">
        <v>2634</v>
      </c>
      <c r="AZ119" t="s">
        <v>2634</v>
      </c>
      <c r="BA119" t="s">
        <v>2634</v>
      </c>
      <c r="BB119" t="s">
        <v>2634</v>
      </c>
      <c r="BC119" t="s">
        <v>2634</v>
      </c>
      <c r="BD119" t="s">
        <v>2634</v>
      </c>
      <c r="BE119" t="s">
        <v>2634</v>
      </c>
      <c r="BF119" t="s">
        <v>2634</v>
      </c>
      <c r="BG119" t="s">
        <v>2634</v>
      </c>
      <c r="BH119" t="s">
        <v>2634</v>
      </c>
      <c r="BI119" t="s">
        <v>2634</v>
      </c>
      <c r="BJ119" t="s">
        <v>2634</v>
      </c>
      <c r="BK119" t="s">
        <v>2634</v>
      </c>
      <c r="BL119" t="s">
        <v>2634</v>
      </c>
      <c r="BM119" t="s">
        <v>2634</v>
      </c>
      <c r="BN119" t="s">
        <v>2634</v>
      </c>
      <c r="BO119" t="s">
        <v>2634</v>
      </c>
      <c r="BP119" t="s">
        <v>2634</v>
      </c>
      <c r="BQ119" t="s">
        <v>2634</v>
      </c>
      <c r="BR119" t="s">
        <v>2634</v>
      </c>
      <c r="BS119" t="s">
        <v>2656</v>
      </c>
      <c r="BT119" t="s">
        <v>2656</v>
      </c>
      <c r="BU119" t="s">
        <v>2656</v>
      </c>
      <c r="BV119" t="s">
        <v>2656</v>
      </c>
      <c r="BW119" t="s">
        <v>2656</v>
      </c>
      <c r="BX119" t="s">
        <v>2656</v>
      </c>
      <c r="BY119" t="s">
        <v>2656</v>
      </c>
      <c r="BZ119" t="s">
        <v>2656</v>
      </c>
      <c r="CA119" t="s">
        <v>2656</v>
      </c>
      <c r="CB119" t="s">
        <v>2656</v>
      </c>
      <c r="CC119" t="s">
        <v>2656</v>
      </c>
      <c r="CD119" t="s">
        <v>2656</v>
      </c>
      <c r="CE119" t="s">
        <v>2656</v>
      </c>
      <c r="CF119" t="s">
        <v>2656</v>
      </c>
      <c r="CG119" t="s">
        <v>2656</v>
      </c>
      <c r="CH119" t="s">
        <v>2656</v>
      </c>
      <c r="CI119" t="s">
        <v>2656</v>
      </c>
      <c r="CJ119" t="s">
        <v>2656</v>
      </c>
      <c r="CK119" t="s">
        <v>2656</v>
      </c>
      <c r="CL119" t="s">
        <v>2656</v>
      </c>
      <c r="CM119" t="s">
        <v>2656</v>
      </c>
      <c r="CN119" t="s">
        <v>2656</v>
      </c>
      <c r="CO119" t="s">
        <v>2572</v>
      </c>
      <c r="CP119" t="s">
        <v>2572</v>
      </c>
      <c r="CQ119" t="s">
        <v>2572</v>
      </c>
      <c r="CR119" t="s">
        <v>2572</v>
      </c>
      <c r="CS119" t="s">
        <v>2572</v>
      </c>
      <c r="CT119" t="s">
        <v>2572</v>
      </c>
      <c r="CU119" t="s">
        <v>2572</v>
      </c>
      <c r="CV119" t="s">
        <v>2572</v>
      </c>
      <c r="CW119" t="s">
        <v>2572</v>
      </c>
      <c r="CX119" t="s">
        <v>2572</v>
      </c>
      <c r="CY119" t="s">
        <v>2572</v>
      </c>
      <c r="CZ119" t="s">
        <v>2572</v>
      </c>
      <c r="DA119" t="s">
        <v>2572</v>
      </c>
      <c r="DB119" t="s">
        <v>2572</v>
      </c>
      <c r="DC119" t="s">
        <v>2572</v>
      </c>
      <c r="DD119" t="s">
        <v>2572</v>
      </c>
      <c r="DE119" t="s">
        <v>2572</v>
      </c>
      <c r="DF119" t="s">
        <v>2697</v>
      </c>
      <c r="DG119" t="s">
        <v>2697</v>
      </c>
      <c r="DH119" t="s">
        <v>2697</v>
      </c>
      <c r="DI119" t="s">
        <v>2697</v>
      </c>
      <c r="DJ119" t="s">
        <v>2697</v>
      </c>
      <c r="DK119" t="s">
        <v>2697</v>
      </c>
      <c r="DL119" t="s">
        <v>2697</v>
      </c>
      <c r="DM119" t="s">
        <v>2697</v>
      </c>
      <c r="DN119" t="s">
        <v>2697</v>
      </c>
      <c r="DO119" t="s">
        <v>2697</v>
      </c>
      <c r="DP119" t="s">
        <v>2697</v>
      </c>
      <c r="DQ119" t="s">
        <v>2697</v>
      </c>
      <c r="DR119" t="s">
        <v>2697</v>
      </c>
      <c r="DS119" t="s">
        <v>2697</v>
      </c>
      <c r="DT119" t="s">
        <v>2697</v>
      </c>
      <c r="DU119" t="s">
        <v>2697</v>
      </c>
      <c r="DV119" t="s">
        <v>2697</v>
      </c>
      <c r="DW119" t="s">
        <v>2697</v>
      </c>
      <c r="DX119" t="s">
        <v>2697</v>
      </c>
      <c r="DY119" t="s">
        <v>2697</v>
      </c>
      <c r="DZ119" t="s">
        <v>2697</v>
      </c>
      <c r="EA119" t="s">
        <v>2697</v>
      </c>
      <c r="EB119" t="s">
        <v>2697</v>
      </c>
      <c r="EC119" t="s">
        <v>2697</v>
      </c>
      <c r="ED119" t="s">
        <v>2697</v>
      </c>
      <c r="EE119" t="s">
        <v>2697</v>
      </c>
      <c r="EF119" t="s">
        <v>2697</v>
      </c>
      <c r="EN119" t="s">
        <v>2779</v>
      </c>
      <c r="EO119" t="s">
        <v>2779</v>
      </c>
      <c r="EP119" t="s">
        <v>2779</v>
      </c>
      <c r="EQ119" t="s">
        <v>2779</v>
      </c>
      <c r="ER119" t="s">
        <v>2779</v>
      </c>
      <c r="ES119" t="s">
        <v>2779</v>
      </c>
      <c r="ET119" t="s">
        <v>2779</v>
      </c>
      <c r="EU119" t="s">
        <v>2779</v>
      </c>
      <c r="EV119" t="s">
        <v>2779</v>
      </c>
      <c r="EW119" t="s">
        <v>2779</v>
      </c>
      <c r="EX119" t="s">
        <v>2779</v>
      </c>
      <c r="EY119" t="s">
        <v>2779</v>
      </c>
      <c r="EZ119" t="s">
        <v>2779</v>
      </c>
      <c r="FA119" t="s">
        <v>2779</v>
      </c>
      <c r="FB119" t="s">
        <v>2779</v>
      </c>
      <c r="FC119" t="s">
        <v>2779</v>
      </c>
      <c r="FD119" t="s">
        <v>2779</v>
      </c>
      <c r="FE119" t="s">
        <v>2779</v>
      </c>
      <c r="FF119" t="s">
        <v>2811</v>
      </c>
      <c r="FG119" t="s">
        <v>2811</v>
      </c>
      <c r="FH119" t="s">
        <v>2811</v>
      </c>
      <c r="FI119" t="s">
        <v>2811</v>
      </c>
      <c r="FJ119" t="s">
        <v>2787</v>
      </c>
      <c r="FK119" t="s">
        <v>2787</v>
      </c>
      <c r="FL119" t="s">
        <v>2787</v>
      </c>
      <c r="FM119" t="s">
        <v>2787</v>
      </c>
      <c r="FN119" t="s">
        <v>2787</v>
      </c>
      <c r="FO119" t="s">
        <v>2787</v>
      </c>
      <c r="FP119" t="s">
        <v>2787</v>
      </c>
      <c r="FQ119" t="s">
        <v>2787</v>
      </c>
      <c r="FR119" t="s">
        <v>2787</v>
      </c>
      <c r="FS119" t="s">
        <v>2787</v>
      </c>
      <c r="GZ119" t="s">
        <v>4326</v>
      </c>
      <c r="HA119" t="s">
        <v>4326</v>
      </c>
      <c r="HB119" t="s">
        <v>4326</v>
      </c>
      <c r="HC119" t="s">
        <v>4326</v>
      </c>
      <c r="HD119" t="s">
        <v>4326</v>
      </c>
      <c r="HE119" t="s">
        <v>4326</v>
      </c>
      <c r="HF119" t="s">
        <v>4326</v>
      </c>
      <c r="HG119" t="s">
        <v>4326</v>
      </c>
      <c r="HH119" t="s">
        <v>4326</v>
      </c>
      <c r="HI119" t="s">
        <v>4326</v>
      </c>
      <c r="HJ119" t="s">
        <v>4326</v>
      </c>
      <c r="HK119" t="s">
        <v>4326</v>
      </c>
      <c r="HL119" t="s">
        <v>4326</v>
      </c>
      <c r="HM119" t="s">
        <v>4326</v>
      </c>
      <c r="HN119" t="s">
        <v>4326</v>
      </c>
      <c r="HO119" t="s">
        <v>4326</v>
      </c>
      <c r="HP119" t="s">
        <v>4326</v>
      </c>
      <c r="HQ119" t="s">
        <v>4326</v>
      </c>
      <c r="HR119" t="s">
        <v>4326</v>
      </c>
      <c r="HS119" t="s">
        <v>4326</v>
      </c>
      <c r="HT119" t="s">
        <v>4326</v>
      </c>
      <c r="HU119" t="s">
        <v>4326</v>
      </c>
      <c r="HV119" t="s">
        <v>4326</v>
      </c>
      <c r="IP119" t="s">
        <v>4328</v>
      </c>
      <c r="IQ119" t="s">
        <v>4328</v>
      </c>
      <c r="IR119" t="s">
        <v>4328</v>
      </c>
      <c r="IS119" t="s">
        <v>4328</v>
      </c>
      <c r="IT119" t="s">
        <v>4328</v>
      </c>
      <c r="IU119" t="s">
        <v>4328</v>
      </c>
      <c r="IV119" t="s">
        <v>4328</v>
      </c>
      <c r="IW119" t="s">
        <v>4328</v>
      </c>
      <c r="IX119" t="s">
        <v>4323</v>
      </c>
      <c r="IY119" t="s">
        <v>4323</v>
      </c>
      <c r="IZ119" t="s">
        <v>4323</v>
      </c>
      <c r="JA119" t="s">
        <v>4323</v>
      </c>
      <c r="JB119" t="s">
        <v>4323</v>
      </c>
      <c r="JC119" t="s">
        <v>4323</v>
      </c>
      <c r="JD119" t="s">
        <v>4330</v>
      </c>
      <c r="JE119" t="s">
        <v>4330</v>
      </c>
      <c r="JF119" t="s">
        <v>4330</v>
      </c>
      <c r="JG119" t="s">
        <v>4330</v>
      </c>
      <c r="JH119" t="s">
        <v>4330</v>
      </c>
      <c r="JI119" t="s">
        <v>4330</v>
      </c>
      <c r="JJ119" t="s">
        <v>4330</v>
      </c>
      <c r="JK119" t="s">
        <v>4330</v>
      </c>
      <c r="JL119" t="s">
        <v>4327</v>
      </c>
      <c r="JM119" t="s">
        <v>4327</v>
      </c>
      <c r="JS119" t="s">
        <v>4331</v>
      </c>
      <c r="JT119" t="s">
        <v>4331</v>
      </c>
      <c r="JU119" t="s">
        <v>4331</v>
      </c>
    </row>
    <row r="120" spans="11:281" x14ac:dyDescent="0.3">
      <c r="AC120" t="s">
        <v>2637</v>
      </c>
      <c r="AD120" t="s">
        <v>2637</v>
      </c>
      <c r="AE120" t="s">
        <v>2637</v>
      </c>
      <c r="AF120" t="s">
        <v>2637</v>
      </c>
      <c r="AG120" t="s">
        <v>2637</v>
      </c>
      <c r="AH120" t="s">
        <v>2637</v>
      </c>
      <c r="AI120" t="s">
        <v>2637</v>
      </c>
      <c r="AJ120" t="s">
        <v>2637</v>
      </c>
      <c r="AK120" t="s">
        <v>2637</v>
      </c>
      <c r="AL120" t="s">
        <v>2637</v>
      </c>
      <c r="AM120" t="s">
        <v>2637</v>
      </c>
      <c r="AN120" t="s">
        <v>2637</v>
      </c>
      <c r="AO120" t="s">
        <v>2637</v>
      </c>
      <c r="AP120" t="s">
        <v>2637</v>
      </c>
      <c r="AQ120" t="s">
        <v>2637</v>
      </c>
      <c r="AR120" t="s">
        <v>2637</v>
      </c>
      <c r="AS120" t="s">
        <v>2637</v>
      </c>
      <c r="AT120" t="s">
        <v>2637</v>
      </c>
      <c r="AU120" t="s">
        <v>2637</v>
      </c>
      <c r="AV120" t="s">
        <v>2637</v>
      </c>
      <c r="AW120" t="s">
        <v>2637</v>
      </c>
      <c r="AX120" t="s">
        <v>2634</v>
      </c>
      <c r="AY120" t="s">
        <v>2634</v>
      </c>
      <c r="AZ120" t="s">
        <v>2634</v>
      </c>
      <c r="BA120" t="s">
        <v>2634</v>
      </c>
      <c r="BB120" t="s">
        <v>2634</v>
      </c>
      <c r="BC120" t="s">
        <v>2634</v>
      </c>
      <c r="BD120" t="s">
        <v>2634</v>
      </c>
      <c r="BE120" t="s">
        <v>2634</v>
      </c>
      <c r="BF120" t="s">
        <v>2634</v>
      </c>
      <c r="BG120" t="s">
        <v>2634</v>
      </c>
      <c r="BH120" t="s">
        <v>2634</v>
      </c>
      <c r="BI120" t="s">
        <v>2634</v>
      </c>
      <c r="BJ120" t="s">
        <v>2634</v>
      </c>
      <c r="BK120" t="s">
        <v>2634</v>
      </c>
      <c r="BL120" t="s">
        <v>2634</v>
      </c>
      <c r="BM120" t="s">
        <v>2634</v>
      </c>
      <c r="BN120" t="s">
        <v>2634</v>
      </c>
      <c r="BO120" t="s">
        <v>2634</v>
      </c>
      <c r="BP120" t="s">
        <v>1538</v>
      </c>
      <c r="BQ120" t="s">
        <v>1538</v>
      </c>
      <c r="BR120" t="s">
        <v>1538</v>
      </c>
      <c r="BS120" t="s">
        <v>2656</v>
      </c>
      <c r="BT120" t="s">
        <v>2656</v>
      </c>
      <c r="BU120" t="s">
        <v>2656</v>
      </c>
      <c r="BV120" t="s">
        <v>2656</v>
      </c>
      <c r="BW120" t="s">
        <v>2656</v>
      </c>
      <c r="BX120" t="s">
        <v>2656</v>
      </c>
      <c r="BY120" t="s">
        <v>2656</v>
      </c>
      <c r="BZ120" t="s">
        <v>2656</v>
      </c>
      <c r="CA120" t="s">
        <v>2656</v>
      </c>
      <c r="CB120" t="s">
        <v>2656</v>
      </c>
      <c r="CC120" t="s">
        <v>2656</v>
      </c>
      <c r="CD120" t="s">
        <v>2656</v>
      </c>
      <c r="CE120" t="s">
        <v>2656</v>
      </c>
      <c r="CF120" t="s">
        <v>2656</v>
      </c>
      <c r="CG120" t="s">
        <v>2656</v>
      </c>
      <c r="CH120" t="s">
        <v>2656</v>
      </c>
      <c r="CI120" t="s">
        <v>2656</v>
      </c>
      <c r="CJ120" t="s">
        <v>2656</v>
      </c>
      <c r="CK120" t="s">
        <v>2656</v>
      </c>
      <c r="CL120" t="s">
        <v>2656</v>
      </c>
      <c r="CM120" t="s">
        <v>2656</v>
      </c>
      <c r="CN120" t="s">
        <v>2656</v>
      </c>
      <c r="CO120" t="s">
        <v>2572</v>
      </c>
      <c r="CP120" t="s">
        <v>2572</v>
      </c>
      <c r="CQ120" t="s">
        <v>2572</v>
      </c>
      <c r="CR120" t="s">
        <v>2572</v>
      </c>
      <c r="CS120" t="s">
        <v>2572</v>
      </c>
      <c r="CT120" t="s">
        <v>2572</v>
      </c>
      <c r="CU120" t="s">
        <v>2572</v>
      </c>
      <c r="CV120" t="s">
        <v>2572</v>
      </c>
      <c r="CW120" t="s">
        <v>2572</v>
      </c>
      <c r="CX120" t="s">
        <v>2572</v>
      </c>
      <c r="CY120" t="s">
        <v>2572</v>
      </c>
      <c r="CZ120" t="s">
        <v>2572</v>
      </c>
      <c r="DA120" t="s">
        <v>2572</v>
      </c>
      <c r="DB120" t="s">
        <v>2572</v>
      </c>
      <c r="DC120" t="s">
        <v>2572</v>
      </c>
      <c r="DD120" t="s">
        <v>2572</v>
      </c>
      <c r="DE120" t="s">
        <v>2572</v>
      </c>
      <c r="DF120" t="s">
        <v>2697</v>
      </c>
      <c r="DG120" t="s">
        <v>2697</v>
      </c>
      <c r="DH120" t="s">
        <v>2697</v>
      </c>
      <c r="DI120" t="s">
        <v>2697</v>
      </c>
      <c r="DJ120" t="s">
        <v>2697</v>
      </c>
      <c r="DK120" t="s">
        <v>2697</v>
      </c>
      <c r="DL120" t="s">
        <v>2697</v>
      </c>
      <c r="DM120" t="s">
        <v>2697</v>
      </c>
      <c r="DN120" t="s">
        <v>2697</v>
      </c>
      <c r="DO120" t="s">
        <v>2697</v>
      </c>
      <c r="DP120" t="s">
        <v>2697</v>
      </c>
      <c r="DQ120" t="s">
        <v>2697</v>
      </c>
      <c r="DR120" t="s">
        <v>2697</v>
      </c>
      <c r="DS120" t="s">
        <v>2697</v>
      </c>
      <c r="DT120" t="s">
        <v>2697</v>
      </c>
      <c r="DU120" t="s">
        <v>2697</v>
      </c>
      <c r="DV120" t="s">
        <v>2697</v>
      </c>
      <c r="DW120" t="s">
        <v>2697</v>
      </c>
      <c r="DX120" t="s">
        <v>2697</v>
      </c>
      <c r="DY120" t="s">
        <v>2697</v>
      </c>
      <c r="DZ120" t="s">
        <v>2697</v>
      </c>
      <c r="EA120" t="s">
        <v>2697</v>
      </c>
      <c r="EB120" t="s">
        <v>2697</v>
      </c>
      <c r="EC120" t="s">
        <v>2697</v>
      </c>
      <c r="ED120" t="s">
        <v>2697</v>
      </c>
      <c r="EE120" t="s">
        <v>2697</v>
      </c>
      <c r="EF120" t="s">
        <v>2697</v>
      </c>
      <c r="EN120" t="s">
        <v>2779</v>
      </c>
      <c r="EO120" t="s">
        <v>2779</v>
      </c>
      <c r="EP120" t="s">
        <v>2779</v>
      </c>
      <c r="EQ120" t="s">
        <v>2779</v>
      </c>
      <c r="ER120" t="s">
        <v>2779</v>
      </c>
      <c r="ES120" t="s">
        <v>2779</v>
      </c>
      <c r="ET120" t="s">
        <v>2779</v>
      </c>
      <c r="EU120" t="s">
        <v>2779</v>
      </c>
      <c r="EV120" t="s">
        <v>2779</v>
      </c>
      <c r="EW120" t="s">
        <v>2779</v>
      </c>
      <c r="EX120" t="s">
        <v>2779</v>
      </c>
      <c r="EY120" t="s">
        <v>2779</v>
      </c>
      <c r="EZ120" t="s">
        <v>2779</v>
      </c>
      <c r="FA120" t="s">
        <v>2779</v>
      </c>
      <c r="FB120" t="s">
        <v>2779</v>
      </c>
      <c r="FC120" t="s">
        <v>2779</v>
      </c>
      <c r="FD120" t="s">
        <v>2779</v>
      </c>
      <c r="FE120" t="s">
        <v>2779</v>
      </c>
      <c r="FF120" t="s">
        <v>2779</v>
      </c>
      <c r="FG120" t="s">
        <v>2779</v>
      </c>
      <c r="FH120" t="s">
        <v>2779</v>
      </c>
      <c r="FI120" t="s">
        <v>2779</v>
      </c>
      <c r="FJ120" t="s">
        <v>2779</v>
      </c>
      <c r="FK120" t="s">
        <v>2787</v>
      </c>
      <c r="FL120" t="s">
        <v>2787</v>
      </c>
      <c r="FM120" t="s">
        <v>2787</v>
      </c>
      <c r="FN120" t="s">
        <v>2787</v>
      </c>
      <c r="FO120" t="s">
        <v>2787</v>
      </c>
      <c r="FP120" t="s">
        <v>2787</v>
      </c>
      <c r="FQ120" t="s">
        <v>2787</v>
      </c>
      <c r="FR120" t="s">
        <v>2787</v>
      </c>
      <c r="FS120" t="s">
        <v>2787</v>
      </c>
      <c r="FT120" t="s">
        <v>2787</v>
      </c>
      <c r="FU120" t="s">
        <v>2787</v>
      </c>
      <c r="GZ120" t="s">
        <v>4326</v>
      </c>
      <c r="HA120" t="s">
        <v>4326</v>
      </c>
      <c r="HB120" t="s">
        <v>4326</v>
      </c>
      <c r="HC120" t="s">
        <v>4326</v>
      </c>
      <c r="HD120" t="s">
        <v>4326</v>
      </c>
      <c r="HE120" t="s">
        <v>4326</v>
      </c>
      <c r="HF120" t="s">
        <v>4326</v>
      </c>
      <c r="HG120" t="s">
        <v>4326</v>
      </c>
      <c r="HH120" t="s">
        <v>4326</v>
      </c>
      <c r="HI120" t="s">
        <v>4326</v>
      </c>
      <c r="HJ120" t="s">
        <v>4326</v>
      </c>
      <c r="HK120" t="s">
        <v>4326</v>
      </c>
      <c r="HL120" t="s">
        <v>4326</v>
      </c>
      <c r="HM120" t="s">
        <v>4326</v>
      </c>
      <c r="HN120" t="s">
        <v>4326</v>
      </c>
      <c r="HO120" t="s">
        <v>4326</v>
      </c>
      <c r="HP120" t="s">
        <v>4326</v>
      </c>
      <c r="HQ120" t="s">
        <v>4326</v>
      </c>
      <c r="HR120" t="s">
        <v>4326</v>
      </c>
      <c r="HS120" t="s">
        <v>4326</v>
      </c>
      <c r="HT120" t="s">
        <v>4326</v>
      </c>
      <c r="HU120" t="s">
        <v>4326</v>
      </c>
      <c r="HV120" t="s">
        <v>4326</v>
      </c>
      <c r="HW120" t="s">
        <v>4326</v>
      </c>
      <c r="IO120" t="s">
        <v>4328</v>
      </c>
      <c r="IP120" t="s">
        <v>4328</v>
      </c>
      <c r="IQ120" t="s">
        <v>4328</v>
      </c>
      <c r="IR120" t="s">
        <v>4328</v>
      </c>
      <c r="IS120" t="s">
        <v>4328</v>
      </c>
      <c r="IT120" t="s">
        <v>4328</v>
      </c>
      <c r="IU120" t="s">
        <v>4328</v>
      </c>
      <c r="IV120" t="s">
        <v>4328</v>
      </c>
      <c r="IW120" t="s">
        <v>4328</v>
      </c>
      <c r="IX120" t="s">
        <v>4323</v>
      </c>
      <c r="IY120" t="s">
        <v>4323</v>
      </c>
      <c r="IZ120" t="s">
        <v>4323</v>
      </c>
      <c r="JA120" t="s">
        <v>4323</v>
      </c>
      <c r="JB120" t="s">
        <v>4323</v>
      </c>
      <c r="JC120" t="s">
        <v>4323</v>
      </c>
      <c r="JD120" t="s">
        <v>4330</v>
      </c>
      <c r="JE120" t="s">
        <v>4330</v>
      </c>
      <c r="JF120" t="s">
        <v>4330</v>
      </c>
      <c r="JG120" t="s">
        <v>4330</v>
      </c>
      <c r="JH120" t="s">
        <v>4330</v>
      </c>
      <c r="JI120" t="s">
        <v>4330</v>
      </c>
      <c r="JJ120" t="s">
        <v>4327</v>
      </c>
      <c r="JK120" t="s">
        <v>4327</v>
      </c>
      <c r="JL120" t="s">
        <v>4327</v>
      </c>
      <c r="JS120" t="s">
        <v>4331</v>
      </c>
      <c r="JT120" t="s">
        <v>4331</v>
      </c>
      <c r="JU120" t="s">
        <v>4331</v>
      </c>
    </row>
    <row r="121" spans="11:281" x14ac:dyDescent="0.3">
      <c r="AC121" t="s">
        <v>2637</v>
      </c>
      <c r="AD121" t="s">
        <v>2637</v>
      </c>
      <c r="AE121" t="s">
        <v>2637</v>
      </c>
      <c r="AF121" t="s">
        <v>2637</v>
      </c>
      <c r="AG121" t="s">
        <v>2637</v>
      </c>
      <c r="AH121" t="s">
        <v>2637</v>
      </c>
      <c r="AI121" t="s">
        <v>2637</v>
      </c>
      <c r="AJ121" t="s">
        <v>2637</v>
      </c>
      <c r="AK121" t="s">
        <v>2637</v>
      </c>
      <c r="AL121" t="s">
        <v>2637</v>
      </c>
      <c r="AM121" t="s">
        <v>2637</v>
      </c>
      <c r="AN121" t="s">
        <v>2637</v>
      </c>
      <c r="AO121" t="s">
        <v>2637</v>
      </c>
      <c r="AP121" t="s">
        <v>2637</v>
      </c>
      <c r="AQ121" t="s">
        <v>2637</v>
      </c>
      <c r="AR121" t="s">
        <v>2637</v>
      </c>
      <c r="AS121" t="s">
        <v>2637</v>
      </c>
      <c r="AT121" t="s">
        <v>2637</v>
      </c>
      <c r="AU121" t="s">
        <v>2637</v>
      </c>
      <c r="AV121" t="s">
        <v>2637</v>
      </c>
      <c r="AW121" t="s">
        <v>2637</v>
      </c>
      <c r="AX121" t="s">
        <v>2634</v>
      </c>
      <c r="AY121" t="s">
        <v>2634</v>
      </c>
      <c r="AZ121" t="s">
        <v>2634</v>
      </c>
      <c r="BA121" t="s">
        <v>2634</v>
      </c>
      <c r="BB121" t="s">
        <v>2634</v>
      </c>
      <c r="BC121" t="s">
        <v>2634</v>
      </c>
      <c r="BD121" t="s">
        <v>2634</v>
      </c>
      <c r="BE121" t="s">
        <v>2634</v>
      </c>
      <c r="BF121" t="s">
        <v>2634</v>
      </c>
      <c r="BG121" t="s">
        <v>2634</v>
      </c>
      <c r="BH121" t="s">
        <v>2634</v>
      </c>
      <c r="BI121" t="s">
        <v>2634</v>
      </c>
      <c r="BJ121" t="s">
        <v>2634</v>
      </c>
      <c r="BK121" t="s">
        <v>2634</v>
      </c>
      <c r="BL121" t="s">
        <v>2634</v>
      </c>
      <c r="BM121" t="s">
        <v>2634</v>
      </c>
      <c r="BN121" t="s">
        <v>2634</v>
      </c>
      <c r="BO121" t="s">
        <v>2634</v>
      </c>
      <c r="BP121" t="s">
        <v>1538</v>
      </c>
      <c r="BQ121" t="s">
        <v>1538</v>
      </c>
      <c r="BR121" t="s">
        <v>1538</v>
      </c>
      <c r="BS121" t="s">
        <v>1538</v>
      </c>
      <c r="BT121" t="s">
        <v>1538</v>
      </c>
      <c r="BU121" t="s">
        <v>1538</v>
      </c>
      <c r="BV121" t="s">
        <v>2656</v>
      </c>
      <c r="BW121" t="s">
        <v>2656</v>
      </c>
      <c r="BX121" t="s">
        <v>2656</v>
      </c>
      <c r="BY121" t="s">
        <v>2656</v>
      </c>
      <c r="BZ121" t="s">
        <v>2656</v>
      </c>
      <c r="CA121" t="s">
        <v>2656</v>
      </c>
      <c r="CB121" t="s">
        <v>2656</v>
      </c>
      <c r="CC121" t="s">
        <v>2656</v>
      </c>
      <c r="CD121" t="s">
        <v>2656</v>
      </c>
      <c r="CE121" t="s">
        <v>2656</v>
      </c>
      <c r="CF121" t="s">
        <v>2656</v>
      </c>
      <c r="CG121" t="s">
        <v>2656</v>
      </c>
      <c r="CH121" t="s">
        <v>2656</v>
      </c>
      <c r="CI121" t="s">
        <v>2656</v>
      </c>
      <c r="CJ121" t="s">
        <v>2656</v>
      </c>
      <c r="CK121" t="s">
        <v>2656</v>
      </c>
      <c r="CL121" t="s">
        <v>2656</v>
      </c>
      <c r="CM121" t="s">
        <v>2656</v>
      </c>
      <c r="CN121" t="s">
        <v>2656</v>
      </c>
      <c r="CO121" t="s">
        <v>2572</v>
      </c>
      <c r="CP121" t="s">
        <v>2572</v>
      </c>
      <c r="CQ121" t="s">
        <v>2572</v>
      </c>
      <c r="CR121" t="s">
        <v>2572</v>
      </c>
      <c r="CS121" t="s">
        <v>2572</v>
      </c>
      <c r="CT121" t="s">
        <v>2572</v>
      </c>
      <c r="CU121" t="s">
        <v>2572</v>
      </c>
      <c r="CV121" t="s">
        <v>2572</v>
      </c>
      <c r="CW121" t="s">
        <v>2572</v>
      </c>
      <c r="CX121" t="s">
        <v>2572</v>
      </c>
      <c r="CY121" t="s">
        <v>2572</v>
      </c>
      <c r="CZ121" t="s">
        <v>2572</v>
      </c>
      <c r="DA121" t="s">
        <v>2572</v>
      </c>
      <c r="DB121" t="s">
        <v>2572</v>
      </c>
      <c r="DC121" t="s">
        <v>2572</v>
      </c>
      <c r="DD121" t="s">
        <v>2572</v>
      </c>
      <c r="DE121" t="s">
        <v>2625</v>
      </c>
      <c r="DF121" t="s">
        <v>2697</v>
      </c>
      <c r="DG121" t="s">
        <v>2697</v>
      </c>
      <c r="DH121" t="s">
        <v>2697</v>
      </c>
      <c r="DI121" t="s">
        <v>2697</v>
      </c>
      <c r="DJ121" t="s">
        <v>2697</v>
      </c>
      <c r="DK121" t="s">
        <v>2697</v>
      </c>
      <c r="DL121" t="s">
        <v>2697</v>
      </c>
      <c r="DM121" t="s">
        <v>2697</v>
      </c>
      <c r="DN121" t="s">
        <v>2697</v>
      </c>
      <c r="DO121" t="s">
        <v>2697</v>
      </c>
      <c r="DP121" t="s">
        <v>2697</v>
      </c>
      <c r="DQ121" t="s">
        <v>2697</v>
      </c>
      <c r="DR121" t="s">
        <v>2697</v>
      </c>
      <c r="DS121" t="s">
        <v>2697</v>
      </c>
      <c r="DT121" t="s">
        <v>2697</v>
      </c>
      <c r="DU121" t="s">
        <v>2697</v>
      </c>
      <c r="DV121" t="s">
        <v>2697</v>
      </c>
      <c r="DW121" t="s">
        <v>2697</v>
      </c>
      <c r="DX121" t="s">
        <v>2697</v>
      </c>
      <c r="DY121" t="s">
        <v>2697</v>
      </c>
      <c r="DZ121" t="s">
        <v>2697</v>
      </c>
      <c r="EA121" t="s">
        <v>2697</v>
      </c>
      <c r="EB121" t="s">
        <v>2697</v>
      </c>
      <c r="EC121" t="s">
        <v>2697</v>
      </c>
      <c r="ED121" t="s">
        <v>2697</v>
      </c>
      <c r="EE121" t="s">
        <v>2697</v>
      </c>
      <c r="EM121" t="s">
        <v>2779</v>
      </c>
      <c r="EN121" t="s">
        <v>2779</v>
      </c>
      <c r="EO121" t="s">
        <v>2779</v>
      </c>
      <c r="EP121" t="s">
        <v>2779</v>
      </c>
      <c r="EQ121" t="s">
        <v>2779</v>
      </c>
      <c r="ER121" t="s">
        <v>2779</v>
      </c>
      <c r="ES121" t="s">
        <v>2779</v>
      </c>
      <c r="ET121" t="s">
        <v>2779</v>
      </c>
      <c r="EU121" t="s">
        <v>2779</v>
      </c>
      <c r="EV121" t="s">
        <v>2779</v>
      </c>
      <c r="EW121" t="s">
        <v>2779</v>
      </c>
      <c r="EX121" t="s">
        <v>2779</v>
      </c>
      <c r="EY121" t="s">
        <v>2779</v>
      </c>
      <c r="EZ121" t="s">
        <v>2779</v>
      </c>
      <c r="FA121" t="s">
        <v>2779</v>
      </c>
      <c r="FB121" t="s">
        <v>2779</v>
      </c>
      <c r="FC121" t="s">
        <v>2779</v>
      </c>
      <c r="FD121" t="s">
        <v>2779</v>
      </c>
      <c r="FE121" t="s">
        <v>2779</v>
      </c>
      <c r="FF121" t="s">
        <v>2779</v>
      </c>
      <c r="FG121" t="s">
        <v>2779</v>
      </c>
      <c r="FH121" t="s">
        <v>2779</v>
      </c>
      <c r="FI121" t="s">
        <v>2779</v>
      </c>
      <c r="FJ121" t="s">
        <v>2779</v>
      </c>
      <c r="FK121" t="s">
        <v>2779</v>
      </c>
      <c r="FL121" t="s">
        <v>2779</v>
      </c>
      <c r="FM121" t="s">
        <v>2779</v>
      </c>
      <c r="FN121" t="s">
        <v>2787</v>
      </c>
      <c r="FO121" t="s">
        <v>2787</v>
      </c>
      <c r="FP121" t="s">
        <v>2787</v>
      </c>
      <c r="FQ121" t="s">
        <v>2787</v>
      </c>
      <c r="FR121" t="s">
        <v>2787</v>
      </c>
      <c r="FS121" t="s">
        <v>2787</v>
      </c>
      <c r="FT121" t="s">
        <v>2787</v>
      </c>
      <c r="GZ121" t="s">
        <v>4326</v>
      </c>
      <c r="HA121" t="s">
        <v>4326</v>
      </c>
      <c r="HB121" t="s">
        <v>4326</v>
      </c>
      <c r="HC121" t="s">
        <v>4326</v>
      </c>
      <c r="HD121" t="s">
        <v>4326</v>
      </c>
      <c r="HE121" t="s">
        <v>4326</v>
      </c>
      <c r="HF121" t="s">
        <v>4326</v>
      </c>
      <c r="HG121" t="s">
        <v>4326</v>
      </c>
      <c r="HH121" t="s">
        <v>4326</v>
      </c>
      <c r="HI121" t="s">
        <v>4326</v>
      </c>
      <c r="HJ121" t="s">
        <v>4326</v>
      </c>
      <c r="HK121" t="s">
        <v>4326</v>
      </c>
      <c r="HL121" t="s">
        <v>4326</v>
      </c>
      <c r="HM121" t="s">
        <v>4326</v>
      </c>
      <c r="HN121" t="s">
        <v>4326</v>
      </c>
      <c r="HO121" t="s">
        <v>4326</v>
      </c>
      <c r="HP121" t="s">
        <v>4326</v>
      </c>
      <c r="HQ121" t="s">
        <v>4326</v>
      </c>
      <c r="HR121" t="s">
        <v>4326</v>
      </c>
      <c r="HS121" t="s">
        <v>4326</v>
      </c>
      <c r="HT121" t="s">
        <v>4326</v>
      </c>
      <c r="HU121" t="s">
        <v>4326</v>
      </c>
      <c r="HV121" t="s">
        <v>4326</v>
      </c>
      <c r="HW121" t="s">
        <v>4326</v>
      </c>
      <c r="HX121" t="s">
        <v>4326</v>
      </c>
      <c r="IO121" t="s">
        <v>4328</v>
      </c>
      <c r="IP121" t="s">
        <v>4328</v>
      </c>
      <c r="IQ121" t="s">
        <v>4328</v>
      </c>
      <c r="IR121" t="s">
        <v>4328</v>
      </c>
      <c r="IS121" t="s">
        <v>4328</v>
      </c>
      <c r="IT121" t="s">
        <v>4328</v>
      </c>
      <c r="IU121" t="s">
        <v>4328</v>
      </c>
      <c r="IV121" t="s">
        <v>4328</v>
      </c>
      <c r="IW121" t="s">
        <v>4328</v>
      </c>
      <c r="IX121" t="s">
        <v>4328</v>
      </c>
      <c r="IY121" t="s">
        <v>4328</v>
      </c>
      <c r="IZ121" t="s">
        <v>4323</v>
      </c>
      <c r="JA121" t="s">
        <v>4323</v>
      </c>
      <c r="JB121" t="s">
        <v>4323</v>
      </c>
      <c r="JC121" t="s">
        <v>4330</v>
      </c>
      <c r="JD121" t="s">
        <v>4330</v>
      </c>
      <c r="JE121" t="s">
        <v>4330</v>
      </c>
      <c r="JF121" t="s">
        <v>4330</v>
      </c>
      <c r="JG121" t="s">
        <v>4330</v>
      </c>
      <c r="JH121" t="s">
        <v>4330</v>
      </c>
      <c r="JI121" t="s">
        <v>4330</v>
      </c>
      <c r="JJ121" t="s">
        <v>4330</v>
      </c>
      <c r="JK121" t="s">
        <v>4327</v>
      </c>
      <c r="JL121" t="s">
        <v>4327</v>
      </c>
      <c r="JM121" t="s">
        <v>4327</v>
      </c>
      <c r="JT121" t="s">
        <v>4331</v>
      </c>
      <c r="JU121" t="s">
        <v>4331</v>
      </c>
    </row>
    <row r="122" spans="11:281" x14ac:dyDescent="0.3">
      <c r="AC122" t="s">
        <v>2637</v>
      </c>
      <c r="AD122" t="s">
        <v>2637</v>
      </c>
      <c r="AE122" t="s">
        <v>2637</v>
      </c>
      <c r="AF122" t="s">
        <v>2637</v>
      </c>
      <c r="AG122" t="s">
        <v>2637</v>
      </c>
      <c r="AH122" t="s">
        <v>2637</v>
      </c>
      <c r="AI122" t="s">
        <v>2637</v>
      </c>
      <c r="AJ122" t="s">
        <v>2637</v>
      </c>
      <c r="AK122" t="s">
        <v>2637</v>
      </c>
      <c r="AL122" t="s">
        <v>2637</v>
      </c>
      <c r="AM122" t="s">
        <v>2637</v>
      </c>
      <c r="AN122" t="s">
        <v>2637</v>
      </c>
      <c r="AO122" t="s">
        <v>2637</v>
      </c>
      <c r="AP122" t="s">
        <v>2637</v>
      </c>
      <c r="AQ122" t="s">
        <v>2637</v>
      </c>
      <c r="AR122" t="s">
        <v>2637</v>
      </c>
      <c r="AS122" t="s">
        <v>2637</v>
      </c>
      <c r="AT122" t="s">
        <v>2637</v>
      </c>
      <c r="AU122" t="s">
        <v>2637</v>
      </c>
      <c r="AV122" t="s">
        <v>2637</v>
      </c>
      <c r="AW122" t="s">
        <v>2637</v>
      </c>
      <c r="AX122" t="s">
        <v>2634</v>
      </c>
      <c r="AY122" t="s">
        <v>2634</v>
      </c>
      <c r="AZ122" t="s">
        <v>2634</v>
      </c>
      <c r="BA122" t="s">
        <v>2634</v>
      </c>
      <c r="BB122" t="s">
        <v>2634</v>
      </c>
      <c r="BC122" t="s">
        <v>2634</v>
      </c>
      <c r="BD122" t="s">
        <v>2634</v>
      </c>
      <c r="BE122" t="s">
        <v>2634</v>
      </c>
      <c r="BF122" t="s">
        <v>2634</v>
      </c>
      <c r="BG122" t="s">
        <v>2634</v>
      </c>
      <c r="BH122" t="s">
        <v>2634</v>
      </c>
      <c r="BI122" t="s">
        <v>2634</v>
      </c>
      <c r="BJ122" t="s">
        <v>2634</v>
      </c>
      <c r="BK122" t="s">
        <v>2634</v>
      </c>
      <c r="BL122" t="s">
        <v>2634</v>
      </c>
      <c r="BM122" t="s">
        <v>2634</v>
      </c>
      <c r="BN122" t="s">
        <v>1538</v>
      </c>
      <c r="BO122" t="s">
        <v>1538</v>
      </c>
      <c r="BP122" t="s">
        <v>1538</v>
      </c>
      <c r="BQ122" t="s">
        <v>1538</v>
      </c>
      <c r="BR122" t="s">
        <v>1538</v>
      </c>
      <c r="BS122" t="s">
        <v>1538</v>
      </c>
      <c r="BT122" t="s">
        <v>1538</v>
      </c>
      <c r="BU122" t="s">
        <v>1538</v>
      </c>
      <c r="BV122" t="s">
        <v>1538</v>
      </c>
      <c r="BW122" t="s">
        <v>2656</v>
      </c>
      <c r="BX122" t="s">
        <v>2656</v>
      </c>
      <c r="BY122" t="s">
        <v>2656</v>
      </c>
      <c r="BZ122" t="s">
        <v>2656</v>
      </c>
      <c r="CA122" t="s">
        <v>2656</v>
      </c>
      <c r="CB122" t="s">
        <v>2656</v>
      </c>
      <c r="CC122" t="s">
        <v>2656</v>
      </c>
      <c r="CD122" t="s">
        <v>2656</v>
      </c>
      <c r="CE122" t="s">
        <v>2656</v>
      </c>
      <c r="CF122" t="s">
        <v>2656</v>
      </c>
      <c r="CG122" t="s">
        <v>2656</v>
      </c>
      <c r="CH122" t="s">
        <v>2656</v>
      </c>
      <c r="CI122" t="s">
        <v>2656</v>
      </c>
      <c r="CJ122" t="s">
        <v>2656</v>
      </c>
      <c r="CK122" t="s">
        <v>2656</v>
      </c>
      <c r="CL122" t="s">
        <v>2656</v>
      </c>
      <c r="CM122" t="s">
        <v>2656</v>
      </c>
      <c r="CN122" t="s">
        <v>2656</v>
      </c>
      <c r="CO122" t="s">
        <v>2656</v>
      </c>
      <c r="CP122" t="s">
        <v>2572</v>
      </c>
      <c r="CQ122" t="s">
        <v>2572</v>
      </c>
      <c r="CR122" t="s">
        <v>2572</v>
      </c>
      <c r="CS122" t="s">
        <v>2572</v>
      </c>
      <c r="CT122" t="s">
        <v>2572</v>
      </c>
      <c r="CU122" t="s">
        <v>2572</v>
      </c>
      <c r="CV122" t="s">
        <v>2572</v>
      </c>
      <c r="CW122" t="s">
        <v>2572</v>
      </c>
      <c r="CX122" t="s">
        <v>2572</v>
      </c>
      <c r="CY122" t="s">
        <v>2572</v>
      </c>
      <c r="CZ122" t="s">
        <v>2572</v>
      </c>
      <c r="DA122" t="s">
        <v>2572</v>
      </c>
      <c r="DB122" t="s">
        <v>2572</v>
      </c>
      <c r="DC122" t="s">
        <v>2625</v>
      </c>
      <c r="DD122" t="s">
        <v>2625</v>
      </c>
      <c r="DE122" t="s">
        <v>2625</v>
      </c>
      <c r="DF122" t="s">
        <v>2625</v>
      </c>
      <c r="DG122" t="s">
        <v>2625</v>
      </c>
      <c r="DH122" t="s">
        <v>2697</v>
      </c>
      <c r="DI122" t="s">
        <v>2697</v>
      </c>
      <c r="DJ122" t="s">
        <v>2697</v>
      </c>
      <c r="DK122" t="s">
        <v>2697</v>
      </c>
      <c r="DL122" t="s">
        <v>2697</v>
      </c>
      <c r="DM122" t="s">
        <v>2697</v>
      </c>
      <c r="DN122" t="s">
        <v>2697</v>
      </c>
      <c r="DO122" t="s">
        <v>2697</v>
      </c>
      <c r="DP122" t="s">
        <v>2697</v>
      </c>
      <c r="DQ122" t="s">
        <v>2697</v>
      </c>
      <c r="DR122" t="s">
        <v>2697</v>
      </c>
      <c r="DS122" t="s">
        <v>2697</v>
      </c>
      <c r="DT122" t="s">
        <v>2697</v>
      </c>
      <c r="DU122" t="s">
        <v>2697</v>
      </c>
      <c r="DV122" t="s">
        <v>2697</v>
      </c>
      <c r="DW122" t="s">
        <v>2697</v>
      </c>
      <c r="DX122" t="s">
        <v>2697</v>
      </c>
      <c r="DY122" t="s">
        <v>2697</v>
      </c>
      <c r="DZ122" t="s">
        <v>2697</v>
      </c>
      <c r="EA122" t="s">
        <v>2697</v>
      </c>
      <c r="EB122" t="s">
        <v>2697</v>
      </c>
      <c r="EC122" t="s">
        <v>2697</v>
      </c>
      <c r="ED122" t="s">
        <v>2697</v>
      </c>
      <c r="EE122" t="s">
        <v>2697</v>
      </c>
      <c r="EL122" t="s">
        <v>2779</v>
      </c>
      <c r="EM122" t="s">
        <v>2779</v>
      </c>
      <c r="EN122" t="s">
        <v>2779</v>
      </c>
      <c r="EO122" t="s">
        <v>2779</v>
      </c>
      <c r="EP122" t="s">
        <v>2779</v>
      </c>
      <c r="EQ122" t="s">
        <v>2779</v>
      </c>
      <c r="ER122" t="s">
        <v>2779</v>
      </c>
      <c r="ES122" t="s">
        <v>2779</v>
      </c>
      <c r="ET122" t="s">
        <v>2779</v>
      </c>
      <c r="EU122" t="s">
        <v>2779</v>
      </c>
      <c r="EV122" t="s">
        <v>2779</v>
      </c>
      <c r="EW122" t="s">
        <v>2779</v>
      </c>
      <c r="EX122" t="s">
        <v>2779</v>
      </c>
      <c r="EY122" t="s">
        <v>2779</v>
      </c>
      <c r="EZ122" t="s">
        <v>2779</v>
      </c>
      <c r="FA122" t="s">
        <v>2779</v>
      </c>
      <c r="FB122" t="s">
        <v>2779</v>
      </c>
      <c r="FC122" t="s">
        <v>2779</v>
      </c>
      <c r="FD122" t="s">
        <v>2779</v>
      </c>
      <c r="FE122" t="s">
        <v>2779</v>
      </c>
      <c r="FF122" t="s">
        <v>2779</v>
      </c>
      <c r="FG122" t="s">
        <v>2779</v>
      </c>
      <c r="FH122" t="s">
        <v>2779</v>
      </c>
      <c r="FI122" t="s">
        <v>2779</v>
      </c>
      <c r="FJ122" t="s">
        <v>2779</v>
      </c>
      <c r="FK122" t="s">
        <v>2779</v>
      </c>
      <c r="FL122" t="s">
        <v>2779</v>
      </c>
      <c r="FM122" t="s">
        <v>2779</v>
      </c>
      <c r="FN122" t="s">
        <v>2779</v>
      </c>
      <c r="FO122" t="s">
        <v>2779</v>
      </c>
      <c r="FP122" t="s">
        <v>2787</v>
      </c>
      <c r="FQ122" t="s">
        <v>2787</v>
      </c>
      <c r="FR122" t="s">
        <v>2787</v>
      </c>
      <c r="FS122" t="s">
        <v>2787</v>
      </c>
      <c r="FT122" t="s">
        <v>2787</v>
      </c>
      <c r="FU122" t="s">
        <v>2787</v>
      </c>
      <c r="GZ122" t="s">
        <v>4326</v>
      </c>
      <c r="HA122" t="s">
        <v>4326</v>
      </c>
      <c r="HB122" t="s">
        <v>4326</v>
      </c>
      <c r="HC122" t="s">
        <v>4326</v>
      </c>
      <c r="HD122" t="s">
        <v>4326</v>
      </c>
      <c r="HE122" t="s">
        <v>4326</v>
      </c>
      <c r="HF122" t="s">
        <v>4326</v>
      </c>
      <c r="HG122" t="s">
        <v>4326</v>
      </c>
      <c r="HH122" t="s">
        <v>4326</v>
      </c>
      <c r="HI122" t="s">
        <v>4326</v>
      </c>
      <c r="HJ122" t="s">
        <v>4326</v>
      </c>
      <c r="HK122" t="s">
        <v>4326</v>
      </c>
      <c r="HL122" t="s">
        <v>4326</v>
      </c>
      <c r="HM122" t="s">
        <v>4326</v>
      </c>
      <c r="HN122" t="s">
        <v>4326</v>
      </c>
      <c r="HO122" t="s">
        <v>4326</v>
      </c>
      <c r="HP122" t="s">
        <v>4326</v>
      </c>
      <c r="HQ122" t="s">
        <v>4326</v>
      </c>
      <c r="HR122" t="s">
        <v>4326</v>
      </c>
      <c r="HS122" t="s">
        <v>4326</v>
      </c>
      <c r="HT122" t="s">
        <v>4326</v>
      </c>
      <c r="HU122" t="s">
        <v>4326</v>
      </c>
      <c r="HV122" t="s">
        <v>4326</v>
      </c>
      <c r="HW122" t="s">
        <v>4326</v>
      </c>
      <c r="HX122" t="s">
        <v>4326</v>
      </c>
      <c r="HY122" t="s">
        <v>4326</v>
      </c>
      <c r="HZ122" t="s">
        <v>4326</v>
      </c>
      <c r="IM122" t="s">
        <v>4328</v>
      </c>
      <c r="IN122" t="s">
        <v>4328</v>
      </c>
      <c r="IO122" t="s">
        <v>4328</v>
      </c>
      <c r="IP122" t="s">
        <v>4328</v>
      </c>
      <c r="IQ122" t="s">
        <v>4328</v>
      </c>
      <c r="IR122" t="s">
        <v>4328</v>
      </c>
      <c r="IS122" t="s">
        <v>4328</v>
      </c>
      <c r="IT122" t="s">
        <v>4328</v>
      </c>
      <c r="IU122" t="s">
        <v>4328</v>
      </c>
      <c r="IV122" t="s">
        <v>4328</v>
      </c>
      <c r="IW122" t="s">
        <v>4328</v>
      </c>
      <c r="IX122" t="s">
        <v>4328</v>
      </c>
      <c r="IY122" t="s">
        <v>4328</v>
      </c>
      <c r="IZ122" t="s">
        <v>4328</v>
      </c>
      <c r="JA122" t="s">
        <v>4323</v>
      </c>
      <c r="JB122" t="s">
        <v>4323</v>
      </c>
      <c r="JC122" t="s">
        <v>4330</v>
      </c>
      <c r="JD122" t="s">
        <v>4330</v>
      </c>
      <c r="JE122" t="s">
        <v>4330</v>
      </c>
      <c r="JF122" t="s">
        <v>4330</v>
      </c>
      <c r="JG122" t="s">
        <v>4330</v>
      </c>
      <c r="JH122" t="s">
        <v>4330</v>
      </c>
      <c r="JI122" t="s">
        <v>4330</v>
      </c>
      <c r="JJ122" t="s">
        <v>4330</v>
      </c>
      <c r="JK122" t="s">
        <v>4327</v>
      </c>
      <c r="JL122" t="s">
        <v>4327</v>
      </c>
      <c r="JM122" t="s">
        <v>4327</v>
      </c>
      <c r="JN122" t="s">
        <v>4327</v>
      </c>
    </row>
    <row r="123" spans="11:281" x14ac:dyDescent="0.3">
      <c r="AB123" t="s">
        <v>2637</v>
      </c>
      <c r="AC123" t="s">
        <v>2637</v>
      </c>
      <c r="AD123" t="s">
        <v>2637</v>
      </c>
      <c r="AE123" t="s">
        <v>2637</v>
      </c>
      <c r="AF123" t="s">
        <v>2637</v>
      </c>
      <c r="AG123" t="s">
        <v>2637</v>
      </c>
      <c r="AH123" t="s">
        <v>2637</v>
      </c>
      <c r="AI123" t="s">
        <v>2637</v>
      </c>
      <c r="AJ123" t="s">
        <v>2637</v>
      </c>
      <c r="AK123" t="s">
        <v>2637</v>
      </c>
      <c r="AL123" t="s">
        <v>2637</v>
      </c>
      <c r="AM123" t="s">
        <v>2637</v>
      </c>
      <c r="AN123" t="s">
        <v>2637</v>
      </c>
      <c r="AO123" t="s">
        <v>2637</v>
      </c>
      <c r="AP123" t="s">
        <v>2637</v>
      </c>
      <c r="AQ123" t="s">
        <v>2637</v>
      </c>
      <c r="AR123" t="s">
        <v>2637</v>
      </c>
      <c r="AS123" t="s">
        <v>2637</v>
      </c>
      <c r="AT123" t="s">
        <v>2637</v>
      </c>
      <c r="AU123" t="s">
        <v>2637</v>
      </c>
      <c r="AV123" t="s">
        <v>2637</v>
      </c>
      <c r="AW123" t="s">
        <v>2637</v>
      </c>
      <c r="AX123" t="s">
        <v>2634</v>
      </c>
      <c r="AY123" t="s">
        <v>2634</v>
      </c>
      <c r="AZ123" t="s">
        <v>2634</v>
      </c>
      <c r="BA123" t="s">
        <v>2634</v>
      </c>
      <c r="BB123" t="s">
        <v>2634</v>
      </c>
      <c r="BC123" t="s">
        <v>2634</v>
      </c>
      <c r="BD123" t="s">
        <v>2634</v>
      </c>
      <c r="BE123" t="s">
        <v>2634</v>
      </c>
      <c r="BF123" t="s">
        <v>2634</v>
      </c>
      <c r="BG123" t="s">
        <v>2634</v>
      </c>
      <c r="BH123" t="s">
        <v>2634</v>
      </c>
      <c r="BI123" t="s">
        <v>2634</v>
      </c>
      <c r="BJ123" t="s">
        <v>2634</v>
      </c>
      <c r="BK123" t="s">
        <v>2634</v>
      </c>
      <c r="BL123" t="s">
        <v>2634</v>
      </c>
      <c r="BM123" t="s">
        <v>1538</v>
      </c>
      <c r="BN123" t="s">
        <v>1538</v>
      </c>
      <c r="BO123" t="s">
        <v>1538</v>
      </c>
      <c r="BP123" t="s">
        <v>1538</v>
      </c>
      <c r="BQ123" t="s">
        <v>1538</v>
      </c>
      <c r="BR123" t="s">
        <v>1538</v>
      </c>
      <c r="BS123" t="s">
        <v>1538</v>
      </c>
      <c r="BT123" t="s">
        <v>1538</v>
      </c>
      <c r="BU123" t="s">
        <v>1538</v>
      </c>
      <c r="BV123" t="s">
        <v>1538</v>
      </c>
      <c r="BW123" t="s">
        <v>1538</v>
      </c>
      <c r="BX123" t="s">
        <v>1538</v>
      </c>
      <c r="BY123" t="s">
        <v>2656</v>
      </c>
      <c r="BZ123" t="s">
        <v>2656</v>
      </c>
      <c r="CA123" t="s">
        <v>2656</v>
      </c>
      <c r="CB123" t="s">
        <v>2656</v>
      </c>
      <c r="CC123" t="s">
        <v>2656</v>
      </c>
      <c r="CD123" t="s">
        <v>2656</v>
      </c>
      <c r="CE123" t="s">
        <v>2656</v>
      </c>
      <c r="CF123" t="s">
        <v>2656</v>
      </c>
      <c r="CG123" t="s">
        <v>2656</v>
      </c>
      <c r="CH123" t="s">
        <v>2656</v>
      </c>
      <c r="CI123" t="s">
        <v>2656</v>
      </c>
      <c r="CJ123" t="s">
        <v>2656</v>
      </c>
      <c r="CK123" t="s">
        <v>2656</v>
      </c>
      <c r="CL123" t="s">
        <v>2656</v>
      </c>
      <c r="CM123" t="s">
        <v>2656</v>
      </c>
      <c r="CN123" t="s">
        <v>2656</v>
      </c>
      <c r="CO123" t="s">
        <v>2572</v>
      </c>
      <c r="CP123" t="s">
        <v>2572</v>
      </c>
      <c r="CQ123" t="s">
        <v>2572</v>
      </c>
      <c r="CR123" t="s">
        <v>2572</v>
      </c>
      <c r="CS123" t="s">
        <v>2572</v>
      </c>
      <c r="CT123" t="s">
        <v>2572</v>
      </c>
      <c r="CU123" t="s">
        <v>2572</v>
      </c>
      <c r="CV123" t="s">
        <v>2572</v>
      </c>
      <c r="CW123" t="s">
        <v>2572</v>
      </c>
      <c r="CX123" t="s">
        <v>2572</v>
      </c>
      <c r="CY123" t="s">
        <v>2572</v>
      </c>
      <c r="CZ123" t="s">
        <v>2572</v>
      </c>
      <c r="DA123" t="s">
        <v>2625</v>
      </c>
      <c r="DB123" t="s">
        <v>2625</v>
      </c>
      <c r="DC123" t="s">
        <v>2625</v>
      </c>
      <c r="DD123" t="s">
        <v>2625</v>
      </c>
      <c r="DE123" t="s">
        <v>2625</v>
      </c>
      <c r="DF123" t="s">
        <v>2625</v>
      </c>
      <c r="DG123" t="s">
        <v>2625</v>
      </c>
      <c r="DH123" t="s">
        <v>2697</v>
      </c>
      <c r="DI123" t="s">
        <v>2697</v>
      </c>
      <c r="DJ123" t="s">
        <v>2697</v>
      </c>
      <c r="DK123" t="s">
        <v>2697</v>
      </c>
      <c r="DL123" t="s">
        <v>2697</v>
      </c>
      <c r="DM123" t="s">
        <v>2697</v>
      </c>
      <c r="DN123" t="s">
        <v>2697</v>
      </c>
      <c r="DO123" t="s">
        <v>2697</v>
      </c>
      <c r="DP123" t="s">
        <v>2697</v>
      </c>
      <c r="DQ123" t="s">
        <v>2697</v>
      </c>
      <c r="DR123" t="s">
        <v>2697</v>
      </c>
      <c r="DS123" t="s">
        <v>2697</v>
      </c>
      <c r="DT123" t="s">
        <v>2697</v>
      </c>
      <c r="DU123" t="s">
        <v>2697</v>
      </c>
      <c r="DV123" t="s">
        <v>2697</v>
      </c>
      <c r="DW123" t="s">
        <v>2697</v>
      </c>
      <c r="DX123" t="s">
        <v>2697</v>
      </c>
      <c r="DY123" t="s">
        <v>2697</v>
      </c>
      <c r="DZ123" t="s">
        <v>2697</v>
      </c>
      <c r="EA123" t="s">
        <v>2697</v>
      </c>
      <c r="EB123" t="s">
        <v>2697</v>
      </c>
      <c r="EC123" t="s">
        <v>2697</v>
      </c>
      <c r="ED123" t="s">
        <v>2697</v>
      </c>
      <c r="EE123" t="s">
        <v>2697</v>
      </c>
      <c r="EK123" t="s">
        <v>2779</v>
      </c>
      <c r="EL123" t="s">
        <v>2779</v>
      </c>
      <c r="EM123" t="s">
        <v>2779</v>
      </c>
      <c r="EN123" t="s">
        <v>2779</v>
      </c>
      <c r="EO123" t="s">
        <v>2779</v>
      </c>
      <c r="EP123" t="s">
        <v>2779</v>
      </c>
      <c r="EQ123" t="s">
        <v>2779</v>
      </c>
      <c r="ER123" t="s">
        <v>2779</v>
      </c>
      <c r="ES123" t="s">
        <v>2779</v>
      </c>
      <c r="ET123" t="s">
        <v>2779</v>
      </c>
      <c r="EU123" t="s">
        <v>2779</v>
      </c>
      <c r="EV123" t="s">
        <v>2779</v>
      </c>
      <c r="EW123" t="s">
        <v>2779</v>
      </c>
      <c r="EX123" t="s">
        <v>2779</v>
      </c>
      <c r="EY123" t="s">
        <v>2779</v>
      </c>
      <c r="EZ123" t="s">
        <v>2779</v>
      </c>
      <c r="FA123" t="s">
        <v>2779</v>
      </c>
      <c r="FB123" t="s">
        <v>2779</v>
      </c>
      <c r="FC123" t="s">
        <v>2779</v>
      </c>
      <c r="FD123" t="s">
        <v>2779</v>
      </c>
      <c r="FE123" t="s">
        <v>2779</v>
      </c>
      <c r="FF123" t="s">
        <v>2779</v>
      </c>
      <c r="FG123" t="s">
        <v>2779</v>
      </c>
      <c r="FH123" t="s">
        <v>2779</v>
      </c>
      <c r="FI123" t="s">
        <v>2779</v>
      </c>
      <c r="FJ123" t="s">
        <v>2779</v>
      </c>
      <c r="FK123" t="s">
        <v>2779</v>
      </c>
      <c r="FL123" t="s">
        <v>2779</v>
      </c>
      <c r="FM123" t="s">
        <v>2779</v>
      </c>
      <c r="FN123" t="s">
        <v>2779</v>
      </c>
      <c r="FO123" t="s">
        <v>2779</v>
      </c>
      <c r="FP123" t="s">
        <v>2787</v>
      </c>
      <c r="FQ123" t="s">
        <v>2787</v>
      </c>
      <c r="FR123" t="s">
        <v>2787</v>
      </c>
      <c r="FS123" t="s">
        <v>2787</v>
      </c>
      <c r="FT123" t="s">
        <v>2787</v>
      </c>
      <c r="FU123" t="s">
        <v>2787</v>
      </c>
      <c r="FV123" t="s">
        <v>2787</v>
      </c>
      <c r="GZ123" t="s">
        <v>4326</v>
      </c>
      <c r="HA123" t="s">
        <v>4326</v>
      </c>
      <c r="HB123" t="s">
        <v>4326</v>
      </c>
      <c r="HC123" t="s">
        <v>4326</v>
      </c>
      <c r="HD123" t="s">
        <v>4326</v>
      </c>
      <c r="HE123" t="s">
        <v>4326</v>
      </c>
      <c r="HF123" t="s">
        <v>4326</v>
      </c>
      <c r="HG123" t="s">
        <v>4326</v>
      </c>
      <c r="HH123" t="s">
        <v>4326</v>
      </c>
      <c r="HI123" t="s">
        <v>4326</v>
      </c>
      <c r="HJ123" t="s">
        <v>4326</v>
      </c>
      <c r="HK123" t="s">
        <v>4326</v>
      </c>
      <c r="HL123" t="s">
        <v>4326</v>
      </c>
      <c r="HM123" t="s">
        <v>4326</v>
      </c>
      <c r="HN123" t="s">
        <v>4326</v>
      </c>
      <c r="HO123" t="s">
        <v>4326</v>
      </c>
      <c r="HP123" t="s">
        <v>4326</v>
      </c>
      <c r="HQ123" t="s">
        <v>4326</v>
      </c>
      <c r="HR123" t="s">
        <v>4326</v>
      </c>
      <c r="HS123" t="s">
        <v>4326</v>
      </c>
      <c r="HT123" t="s">
        <v>4326</v>
      </c>
      <c r="HU123" t="s">
        <v>4326</v>
      </c>
      <c r="HV123" t="s">
        <v>4326</v>
      </c>
      <c r="HW123" t="s">
        <v>4326</v>
      </c>
      <c r="HX123" t="s">
        <v>4326</v>
      </c>
      <c r="HY123" t="s">
        <v>4326</v>
      </c>
      <c r="HZ123" t="s">
        <v>4326</v>
      </c>
      <c r="IA123" t="s">
        <v>4326</v>
      </c>
      <c r="IM123" t="s">
        <v>4328</v>
      </c>
      <c r="IN123" t="s">
        <v>4328</v>
      </c>
      <c r="IO123" t="s">
        <v>4328</v>
      </c>
      <c r="IP123" t="s">
        <v>4328</v>
      </c>
      <c r="IQ123" t="s">
        <v>4328</v>
      </c>
      <c r="IR123" t="s">
        <v>4328</v>
      </c>
      <c r="IS123" t="s">
        <v>4328</v>
      </c>
      <c r="IT123" t="s">
        <v>4328</v>
      </c>
      <c r="IU123" t="s">
        <v>4328</v>
      </c>
      <c r="IV123" t="s">
        <v>4328</v>
      </c>
      <c r="IW123" t="s">
        <v>4328</v>
      </c>
      <c r="IX123" t="s">
        <v>4328</v>
      </c>
      <c r="IY123" t="s">
        <v>4328</v>
      </c>
      <c r="IZ123" t="s">
        <v>4328</v>
      </c>
      <c r="JA123" t="s">
        <v>4328</v>
      </c>
      <c r="JB123" t="s">
        <v>4328</v>
      </c>
      <c r="JC123" t="s">
        <v>4330</v>
      </c>
      <c r="JD123" t="s">
        <v>4330</v>
      </c>
      <c r="JE123" t="s">
        <v>4330</v>
      </c>
      <c r="JF123" t="s">
        <v>4330</v>
      </c>
      <c r="JG123" t="s">
        <v>4330</v>
      </c>
      <c r="JH123" t="s">
        <v>4330</v>
      </c>
      <c r="JI123" t="s">
        <v>4330</v>
      </c>
      <c r="JJ123" t="s">
        <v>4330</v>
      </c>
      <c r="JK123" t="s">
        <v>4327</v>
      </c>
      <c r="JL123" t="s">
        <v>4327</v>
      </c>
      <c r="JM123" t="s">
        <v>4327</v>
      </c>
      <c r="JN123" t="s">
        <v>4327</v>
      </c>
      <c r="JO123" t="s">
        <v>4327</v>
      </c>
      <c r="JU123" t="s">
        <v>4331</v>
      </c>
    </row>
    <row r="124" spans="11:281" x14ac:dyDescent="0.3">
      <c r="AB124" t="s">
        <v>2637</v>
      </c>
      <c r="AC124" t="s">
        <v>2637</v>
      </c>
      <c r="AD124" t="s">
        <v>2637</v>
      </c>
      <c r="AE124" t="s">
        <v>2637</v>
      </c>
      <c r="AF124" t="s">
        <v>2637</v>
      </c>
      <c r="AG124" t="s">
        <v>2637</v>
      </c>
      <c r="AH124" t="s">
        <v>2637</v>
      </c>
      <c r="AI124" t="s">
        <v>2637</v>
      </c>
      <c r="AJ124" t="s">
        <v>2637</v>
      </c>
      <c r="AK124" t="s">
        <v>2637</v>
      </c>
      <c r="AL124" t="s">
        <v>2637</v>
      </c>
      <c r="AM124" t="s">
        <v>2637</v>
      </c>
      <c r="AN124" t="s">
        <v>2637</v>
      </c>
      <c r="AO124" t="s">
        <v>2637</v>
      </c>
      <c r="AP124" t="s">
        <v>2637</v>
      </c>
      <c r="AQ124" t="s">
        <v>2637</v>
      </c>
      <c r="AR124" t="s">
        <v>2637</v>
      </c>
      <c r="AS124" t="s">
        <v>2637</v>
      </c>
      <c r="AT124" t="s">
        <v>2637</v>
      </c>
      <c r="AU124" t="s">
        <v>2637</v>
      </c>
      <c r="AV124" t="s">
        <v>2637</v>
      </c>
      <c r="AW124" t="s">
        <v>2637</v>
      </c>
      <c r="AX124" t="s">
        <v>2634</v>
      </c>
      <c r="AY124" t="s">
        <v>2634</v>
      </c>
      <c r="AZ124" t="s">
        <v>2634</v>
      </c>
      <c r="BA124" t="s">
        <v>2634</v>
      </c>
      <c r="BB124" t="s">
        <v>2634</v>
      </c>
      <c r="BC124" t="s">
        <v>2634</v>
      </c>
      <c r="BD124" t="s">
        <v>2634</v>
      </c>
      <c r="BE124" t="s">
        <v>2634</v>
      </c>
      <c r="BF124" t="s">
        <v>2634</v>
      </c>
      <c r="BG124" t="s">
        <v>2634</v>
      </c>
      <c r="BH124" t="s">
        <v>2634</v>
      </c>
      <c r="BI124" t="s">
        <v>2634</v>
      </c>
      <c r="BJ124" t="s">
        <v>2634</v>
      </c>
      <c r="BK124" t="s">
        <v>2634</v>
      </c>
      <c r="BL124" t="s">
        <v>1538</v>
      </c>
      <c r="BM124" t="s">
        <v>1538</v>
      </c>
      <c r="BN124" t="s">
        <v>1538</v>
      </c>
      <c r="BO124" t="s">
        <v>1538</v>
      </c>
      <c r="BP124" t="s">
        <v>1538</v>
      </c>
      <c r="BQ124" t="s">
        <v>1538</v>
      </c>
      <c r="BR124" t="s">
        <v>1538</v>
      </c>
      <c r="BS124" t="s">
        <v>1538</v>
      </c>
      <c r="BT124" t="s">
        <v>1538</v>
      </c>
      <c r="BU124" t="s">
        <v>1538</v>
      </c>
      <c r="BV124" t="s">
        <v>1538</v>
      </c>
      <c r="BW124" t="s">
        <v>1538</v>
      </c>
      <c r="BX124" t="s">
        <v>1538</v>
      </c>
      <c r="BY124" t="s">
        <v>1538</v>
      </c>
      <c r="BZ124" t="s">
        <v>2656</v>
      </c>
      <c r="CA124" t="s">
        <v>2656</v>
      </c>
      <c r="CB124" t="s">
        <v>2656</v>
      </c>
      <c r="CC124" t="s">
        <v>2656</v>
      </c>
      <c r="CD124" t="s">
        <v>2656</v>
      </c>
      <c r="CE124" t="s">
        <v>2656</v>
      </c>
      <c r="CF124" t="s">
        <v>2656</v>
      </c>
      <c r="CG124" t="s">
        <v>2656</v>
      </c>
      <c r="CH124" t="s">
        <v>2656</v>
      </c>
      <c r="CI124" t="s">
        <v>2656</v>
      </c>
      <c r="CJ124" t="s">
        <v>2656</v>
      </c>
      <c r="CK124" t="s">
        <v>2656</v>
      </c>
      <c r="CL124" t="s">
        <v>2656</v>
      </c>
      <c r="CM124" t="s">
        <v>2656</v>
      </c>
      <c r="CN124" t="s">
        <v>2572</v>
      </c>
      <c r="CO124" t="s">
        <v>2572</v>
      </c>
      <c r="CP124" t="s">
        <v>2572</v>
      </c>
      <c r="CQ124" t="s">
        <v>2572</v>
      </c>
      <c r="CR124" t="s">
        <v>2572</v>
      </c>
      <c r="CS124" t="s">
        <v>2572</v>
      </c>
      <c r="CT124" t="s">
        <v>2572</v>
      </c>
      <c r="CU124" t="s">
        <v>2572</v>
      </c>
      <c r="CV124" t="s">
        <v>2572</v>
      </c>
      <c r="CW124" t="s">
        <v>2572</v>
      </c>
      <c r="CX124" t="s">
        <v>2572</v>
      </c>
      <c r="CY124" t="s">
        <v>2625</v>
      </c>
      <c r="CZ124" t="s">
        <v>2625</v>
      </c>
      <c r="DA124" t="s">
        <v>2625</v>
      </c>
      <c r="DB124" t="s">
        <v>2625</v>
      </c>
      <c r="DC124" t="s">
        <v>2625</v>
      </c>
      <c r="DD124" t="s">
        <v>2625</v>
      </c>
      <c r="DE124" t="s">
        <v>2625</v>
      </c>
      <c r="DF124" t="s">
        <v>2625</v>
      </c>
      <c r="DG124" t="s">
        <v>2625</v>
      </c>
      <c r="DH124" t="s">
        <v>2697</v>
      </c>
      <c r="DI124" t="s">
        <v>2697</v>
      </c>
      <c r="DJ124" t="s">
        <v>2697</v>
      </c>
      <c r="DK124" t="s">
        <v>2697</v>
      </c>
      <c r="DL124" t="s">
        <v>2697</v>
      </c>
      <c r="DM124" t="s">
        <v>2697</v>
      </c>
      <c r="DN124" t="s">
        <v>2697</v>
      </c>
      <c r="DO124" t="s">
        <v>2697</v>
      </c>
      <c r="DP124" t="s">
        <v>2697</v>
      </c>
      <c r="DQ124" t="s">
        <v>2697</v>
      </c>
      <c r="DR124" t="s">
        <v>2697</v>
      </c>
      <c r="DS124" t="s">
        <v>2697</v>
      </c>
      <c r="DT124" t="s">
        <v>2697</v>
      </c>
      <c r="DU124" t="s">
        <v>2697</v>
      </c>
      <c r="DV124" t="s">
        <v>2697</v>
      </c>
      <c r="DW124" t="s">
        <v>2697</v>
      </c>
      <c r="DX124" t="s">
        <v>2697</v>
      </c>
      <c r="DY124" t="s">
        <v>2697</v>
      </c>
      <c r="DZ124" t="s">
        <v>2697</v>
      </c>
      <c r="EA124" t="s">
        <v>2697</v>
      </c>
      <c r="EB124" t="s">
        <v>2697</v>
      </c>
      <c r="EC124" t="s">
        <v>2697</v>
      </c>
      <c r="ED124" t="s">
        <v>2697</v>
      </c>
      <c r="EE124" t="s">
        <v>2697</v>
      </c>
      <c r="EJ124" t="s">
        <v>2779</v>
      </c>
      <c r="EK124" t="s">
        <v>2779</v>
      </c>
      <c r="EL124" t="s">
        <v>2779</v>
      </c>
      <c r="EM124" t="s">
        <v>2779</v>
      </c>
      <c r="EN124" t="s">
        <v>2779</v>
      </c>
      <c r="EO124" t="s">
        <v>2779</v>
      </c>
      <c r="EP124" t="s">
        <v>2779</v>
      </c>
      <c r="EQ124" t="s">
        <v>2779</v>
      </c>
      <c r="ER124" t="s">
        <v>2779</v>
      </c>
      <c r="ES124" t="s">
        <v>2779</v>
      </c>
      <c r="ET124" t="s">
        <v>2779</v>
      </c>
      <c r="EU124" t="s">
        <v>2779</v>
      </c>
      <c r="EV124" t="s">
        <v>2779</v>
      </c>
      <c r="EW124" t="s">
        <v>2779</v>
      </c>
      <c r="EX124" t="s">
        <v>2779</v>
      </c>
      <c r="EY124" t="s">
        <v>2779</v>
      </c>
      <c r="EZ124" t="s">
        <v>2779</v>
      </c>
      <c r="FA124" t="s">
        <v>2779</v>
      </c>
      <c r="FB124" t="s">
        <v>2779</v>
      </c>
      <c r="FC124" t="s">
        <v>2779</v>
      </c>
      <c r="FD124" t="s">
        <v>2779</v>
      </c>
      <c r="FE124" t="s">
        <v>2779</v>
      </c>
      <c r="FF124" t="s">
        <v>2779</v>
      </c>
      <c r="FG124" t="s">
        <v>2779</v>
      </c>
      <c r="FH124" t="s">
        <v>2779</v>
      </c>
      <c r="FI124" t="s">
        <v>2779</v>
      </c>
      <c r="FJ124" t="s">
        <v>2779</v>
      </c>
      <c r="FK124" t="s">
        <v>2779</v>
      </c>
      <c r="FL124" t="s">
        <v>2779</v>
      </c>
      <c r="FM124" t="s">
        <v>2779</v>
      </c>
      <c r="FN124" t="s">
        <v>2779</v>
      </c>
      <c r="FO124" t="s">
        <v>2779</v>
      </c>
      <c r="FP124" t="s">
        <v>2779</v>
      </c>
      <c r="FQ124" t="s">
        <v>2787</v>
      </c>
      <c r="FR124" t="s">
        <v>2787</v>
      </c>
      <c r="FS124" t="s">
        <v>2787</v>
      </c>
      <c r="FT124" t="s">
        <v>2787</v>
      </c>
      <c r="FU124" t="s">
        <v>2787</v>
      </c>
      <c r="FV124" t="s">
        <v>2787</v>
      </c>
      <c r="FW124" t="s">
        <v>2787</v>
      </c>
      <c r="GT124" t="s">
        <v>4326</v>
      </c>
      <c r="GU124" t="s">
        <v>4326</v>
      </c>
      <c r="GV124" t="s">
        <v>4326</v>
      </c>
      <c r="GW124" t="s">
        <v>4326</v>
      </c>
      <c r="GX124" t="s">
        <v>4326</v>
      </c>
      <c r="GY124" t="s">
        <v>4326</v>
      </c>
      <c r="GZ124" t="s">
        <v>4326</v>
      </c>
      <c r="HA124" t="s">
        <v>4326</v>
      </c>
      <c r="HB124" t="s">
        <v>4326</v>
      </c>
      <c r="HC124" t="s">
        <v>4326</v>
      </c>
      <c r="HD124" t="s">
        <v>4326</v>
      </c>
      <c r="HE124" t="s">
        <v>4326</v>
      </c>
      <c r="HF124" t="s">
        <v>4326</v>
      </c>
      <c r="HG124" t="s">
        <v>4326</v>
      </c>
      <c r="HH124" t="s">
        <v>4326</v>
      </c>
      <c r="HI124" t="s">
        <v>4326</v>
      </c>
      <c r="HJ124" t="s">
        <v>4326</v>
      </c>
      <c r="HK124" t="s">
        <v>4326</v>
      </c>
      <c r="HL124" t="s">
        <v>4326</v>
      </c>
      <c r="HM124" t="s">
        <v>4326</v>
      </c>
      <c r="HN124" t="s">
        <v>4326</v>
      </c>
      <c r="HO124" t="s">
        <v>4326</v>
      </c>
      <c r="HP124" t="s">
        <v>4326</v>
      </c>
      <c r="HQ124" t="s">
        <v>4326</v>
      </c>
      <c r="HR124" t="s">
        <v>4326</v>
      </c>
      <c r="HS124" t="s">
        <v>4326</v>
      </c>
      <c r="HT124" t="s">
        <v>4326</v>
      </c>
      <c r="HU124" t="s">
        <v>4326</v>
      </c>
      <c r="HV124" t="s">
        <v>4326</v>
      </c>
      <c r="HW124" t="s">
        <v>4326</v>
      </c>
      <c r="HX124" t="s">
        <v>4326</v>
      </c>
      <c r="HY124" t="s">
        <v>4326</v>
      </c>
      <c r="HZ124" t="s">
        <v>4326</v>
      </c>
      <c r="IA124" t="s">
        <v>4326</v>
      </c>
      <c r="IL124" t="s">
        <v>4332</v>
      </c>
      <c r="IM124" t="s">
        <v>4328</v>
      </c>
      <c r="IN124" t="s">
        <v>4328</v>
      </c>
      <c r="IO124" t="s">
        <v>4328</v>
      </c>
      <c r="IP124" t="s">
        <v>4328</v>
      </c>
      <c r="IQ124" t="s">
        <v>4328</v>
      </c>
      <c r="IR124" t="s">
        <v>4328</v>
      </c>
      <c r="IS124" t="s">
        <v>4328</v>
      </c>
      <c r="IT124" t="s">
        <v>4328</v>
      </c>
      <c r="IU124" t="s">
        <v>4328</v>
      </c>
      <c r="IV124" t="s">
        <v>4328</v>
      </c>
      <c r="IW124" t="s">
        <v>4328</v>
      </c>
      <c r="IX124" t="s">
        <v>4328</v>
      </c>
      <c r="IY124" t="s">
        <v>4328</v>
      </c>
      <c r="IZ124" t="s">
        <v>4328</v>
      </c>
      <c r="JA124" t="s">
        <v>4328</v>
      </c>
      <c r="JB124" t="s">
        <v>4328</v>
      </c>
      <c r="JC124" t="s">
        <v>4328</v>
      </c>
      <c r="JD124" t="s">
        <v>4330</v>
      </c>
      <c r="JE124" t="s">
        <v>4331</v>
      </c>
      <c r="JF124" t="s">
        <v>4330</v>
      </c>
      <c r="JG124" t="s">
        <v>4330</v>
      </c>
      <c r="JH124" t="s">
        <v>4327</v>
      </c>
      <c r="JI124" t="s">
        <v>4327</v>
      </c>
      <c r="JJ124" t="s">
        <v>4327</v>
      </c>
      <c r="JK124" t="s">
        <v>4327</v>
      </c>
      <c r="JL124" t="s">
        <v>4327</v>
      </c>
      <c r="JM124" t="s">
        <v>4327</v>
      </c>
      <c r="JN124" t="s">
        <v>4327</v>
      </c>
      <c r="JO124" t="s">
        <v>4327</v>
      </c>
      <c r="JP124" t="s">
        <v>4327</v>
      </c>
    </row>
    <row r="125" spans="11:281" x14ac:dyDescent="0.3">
      <c r="AB125" t="s">
        <v>2646</v>
      </c>
      <c r="AC125" t="s">
        <v>2646</v>
      </c>
      <c r="AD125" t="s">
        <v>2646</v>
      </c>
      <c r="AE125" t="s">
        <v>2646</v>
      </c>
      <c r="AF125" t="s">
        <v>2646</v>
      </c>
      <c r="AG125" t="s">
        <v>2711</v>
      </c>
      <c r="AH125" t="s">
        <v>2711</v>
      </c>
      <c r="AI125" t="s">
        <v>2711</v>
      </c>
      <c r="AJ125" t="s">
        <v>2637</v>
      </c>
      <c r="AK125" t="s">
        <v>2637</v>
      </c>
      <c r="AL125" t="s">
        <v>2637</v>
      </c>
      <c r="AM125" t="s">
        <v>2637</v>
      </c>
      <c r="AN125" t="s">
        <v>2637</v>
      </c>
      <c r="AO125" t="s">
        <v>2637</v>
      </c>
      <c r="AP125" t="s">
        <v>2637</v>
      </c>
      <c r="AQ125" t="s">
        <v>2637</v>
      </c>
      <c r="AR125" t="s">
        <v>2637</v>
      </c>
      <c r="AS125" t="s">
        <v>2637</v>
      </c>
      <c r="AT125" t="s">
        <v>2637</v>
      </c>
      <c r="AU125" t="s">
        <v>2637</v>
      </c>
      <c r="AV125" t="s">
        <v>2637</v>
      </c>
      <c r="AW125" t="s">
        <v>2637</v>
      </c>
      <c r="AX125" t="s">
        <v>2634</v>
      </c>
      <c r="AY125" t="s">
        <v>2634</v>
      </c>
      <c r="AZ125" t="s">
        <v>2634</v>
      </c>
      <c r="BA125" t="s">
        <v>2634</v>
      </c>
      <c r="BB125" t="s">
        <v>2634</v>
      </c>
      <c r="BC125" t="s">
        <v>2634</v>
      </c>
      <c r="BD125" t="s">
        <v>2634</v>
      </c>
      <c r="BE125" t="s">
        <v>2634</v>
      </c>
      <c r="BF125" t="s">
        <v>2634</v>
      </c>
      <c r="BG125" t="s">
        <v>2634</v>
      </c>
      <c r="BH125" t="s">
        <v>2634</v>
      </c>
      <c r="BI125" t="s">
        <v>2634</v>
      </c>
      <c r="BJ125" t="s">
        <v>1538</v>
      </c>
      <c r="BK125" t="s">
        <v>1538</v>
      </c>
      <c r="BL125" t="s">
        <v>1538</v>
      </c>
      <c r="BM125" t="s">
        <v>1538</v>
      </c>
      <c r="BN125" t="s">
        <v>1538</v>
      </c>
      <c r="BO125" t="s">
        <v>1538</v>
      </c>
      <c r="BP125" t="s">
        <v>1538</v>
      </c>
      <c r="BQ125" t="s">
        <v>1538</v>
      </c>
      <c r="BR125" t="s">
        <v>1538</v>
      </c>
      <c r="BS125" t="s">
        <v>1538</v>
      </c>
      <c r="BT125" t="s">
        <v>1538</v>
      </c>
      <c r="BU125" t="s">
        <v>1538</v>
      </c>
      <c r="BV125" t="s">
        <v>1538</v>
      </c>
      <c r="BW125" t="s">
        <v>1538</v>
      </c>
      <c r="BX125" t="s">
        <v>1538</v>
      </c>
      <c r="BY125" t="s">
        <v>1538</v>
      </c>
      <c r="BZ125" t="s">
        <v>1538</v>
      </c>
      <c r="CA125" t="s">
        <v>1538</v>
      </c>
      <c r="CB125" t="s">
        <v>2656</v>
      </c>
      <c r="CC125" t="s">
        <v>2656</v>
      </c>
      <c r="CD125" t="s">
        <v>2656</v>
      </c>
      <c r="CE125" t="s">
        <v>2656</v>
      </c>
      <c r="CF125" t="s">
        <v>2656</v>
      </c>
      <c r="CG125" t="s">
        <v>2656</v>
      </c>
      <c r="CH125" t="s">
        <v>2656</v>
      </c>
      <c r="CI125" t="s">
        <v>2656</v>
      </c>
      <c r="CJ125" t="s">
        <v>2656</v>
      </c>
      <c r="CK125" t="s">
        <v>2656</v>
      </c>
      <c r="CL125" t="s">
        <v>2656</v>
      </c>
      <c r="CM125" t="s">
        <v>2656</v>
      </c>
      <c r="CN125" t="s">
        <v>2572</v>
      </c>
      <c r="CO125" t="s">
        <v>2572</v>
      </c>
      <c r="CP125" t="s">
        <v>2572</v>
      </c>
      <c r="CQ125" t="s">
        <v>2572</v>
      </c>
      <c r="CR125" t="s">
        <v>2572</v>
      </c>
      <c r="CS125" t="s">
        <v>2572</v>
      </c>
      <c r="CT125" t="s">
        <v>2572</v>
      </c>
      <c r="CU125" t="s">
        <v>2572</v>
      </c>
      <c r="CV125" t="s">
        <v>2572</v>
      </c>
      <c r="CW125" t="s">
        <v>2625</v>
      </c>
      <c r="CX125" t="s">
        <v>2625</v>
      </c>
      <c r="CY125" t="s">
        <v>2625</v>
      </c>
      <c r="CZ125" t="s">
        <v>2625</v>
      </c>
      <c r="DA125" t="s">
        <v>2625</v>
      </c>
      <c r="DB125" t="s">
        <v>2625</v>
      </c>
      <c r="DC125" t="s">
        <v>2625</v>
      </c>
      <c r="DD125" t="s">
        <v>2625</v>
      </c>
      <c r="DE125" t="s">
        <v>2625</v>
      </c>
      <c r="DF125" t="s">
        <v>2625</v>
      </c>
      <c r="DG125" t="s">
        <v>2625</v>
      </c>
      <c r="DH125" t="s">
        <v>2697</v>
      </c>
      <c r="DI125" t="s">
        <v>2697</v>
      </c>
      <c r="DJ125" t="s">
        <v>2697</v>
      </c>
      <c r="DK125" t="s">
        <v>2697</v>
      </c>
      <c r="DL125" t="s">
        <v>2697</v>
      </c>
      <c r="DM125" t="s">
        <v>2697</v>
      </c>
      <c r="DN125" t="s">
        <v>2697</v>
      </c>
      <c r="DO125" t="s">
        <v>2697</v>
      </c>
      <c r="DP125" t="s">
        <v>2697</v>
      </c>
      <c r="DQ125" t="s">
        <v>2697</v>
      </c>
      <c r="DR125" t="s">
        <v>2697</v>
      </c>
      <c r="DS125" t="s">
        <v>2697</v>
      </c>
      <c r="DT125" t="s">
        <v>2697</v>
      </c>
      <c r="DU125" t="s">
        <v>2697</v>
      </c>
      <c r="DV125" t="s">
        <v>2697</v>
      </c>
      <c r="DW125" t="s">
        <v>2697</v>
      </c>
      <c r="DX125" t="s">
        <v>2697</v>
      </c>
      <c r="DY125" t="s">
        <v>2697</v>
      </c>
      <c r="DZ125" t="s">
        <v>2697</v>
      </c>
      <c r="EA125" t="s">
        <v>2697</v>
      </c>
      <c r="EB125" t="s">
        <v>2697</v>
      </c>
      <c r="EC125" t="s">
        <v>2697</v>
      </c>
      <c r="ED125" t="s">
        <v>2697</v>
      </c>
      <c r="EE125" t="s">
        <v>2697</v>
      </c>
      <c r="EJ125" t="s">
        <v>2779</v>
      </c>
      <c r="EK125" t="s">
        <v>2779</v>
      </c>
      <c r="EL125" t="s">
        <v>2779</v>
      </c>
      <c r="EM125" t="s">
        <v>2779</v>
      </c>
      <c r="EN125" t="s">
        <v>2779</v>
      </c>
      <c r="EO125" t="s">
        <v>2779</v>
      </c>
      <c r="EP125" t="s">
        <v>2779</v>
      </c>
      <c r="EQ125" t="s">
        <v>2779</v>
      </c>
      <c r="ER125" t="s">
        <v>2779</v>
      </c>
      <c r="ES125" t="s">
        <v>2779</v>
      </c>
      <c r="ET125" t="s">
        <v>2779</v>
      </c>
      <c r="EU125" t="s">
        <v>2779</v>
      </c>
      <c r="EV125" t="s">
        <v>2779</v>
      </c>
      <c r="EW125" t="s">
        <v>2779</v>
      </c>
      <c r="EX125" t="s">
        <v>2779</v>
      </c>
      <c r="EY125" t="s">
        <v>2779</v>
      </c>
      <c r="EZ125" t="s">
        <v>2779</v>
      </c>
      <c r="FA125" t="s">
        <v>2779</v>
      </c>
      <c r="FB125" t="s">
        <v>2779</v>
      </c>
      <c r="FC125" t="s">
        <v>2779</v>
      </c>
      <c r="FD125" t="s">
        <v>2779</v>
      </c>
      <c r="FE125" t="s">
        <v>2779</v>
      </c>
      <c r="FF125" t="s">
        <v>2779</v>
      </c>
      <c r="FG125" t="s">
        <v>2779</v>
      </c>
      <c r="FH125" t="s">
        <v>2779</v>
      </c>
      <c r="FI125" t="s">
        <v>2779</v>
      </c>
      <c r="FJ125" t="s">
        <v>2779</v>
      </c>
      <c r="FK125" t="s">
        <v>2779</v>
      </c>
      <c r="FL125" t="s">
        <v>2779</v>
      </c>
      <c r="FM125" t="s">
        <v>2779</v>
      </c>
      <c r="FN125" t="s">
        <v>2779</v>
      </c>
      <c r="FO125" t="s">
        <v>2779</v>
      </c>
      <c r="FP125" t="s">
        <v>2779</v>
      </c>
      <c r="FQ125" t="s">
        <v>2787</v>
      </c>
      <c r="FR125" t="s">
        <v>2787</v>
      </c>
      <c r="FS125" t="s">
        <v>2787</v>
      </c>
      <c r="FT125" t="s">
        <v>2787</v>
      </c>
      <c r="FU125" t="s">
        <v>2787</v>
      </c>
      <c r="FV125" t="s">
        <v>2787</v>
      </c>
      <c r="FW125" t="s">
        <v>2787</v>
      </c>
      <c r="FX125" t="s">
        <v>2787</v>
      </c>
      <c r="GS125" t="s">
        <v>4326</v>
      </c>
      <c r="GT125" t="s">
        <v>4326</v>
      </c>
      <c r="GU125" t="s">
        <v>4326</v>
      </c>
      <c r="GV125" t="s">
        <v>4326</v>
      </c>
      <c r="GW125" t="s">
        <v>4326</v>
      </c>
      <c r="GX125" t="s">
        <v>4326</v>
      </c>
      <c r="GY125" t="s">
        <v>4326</v>
      </c>
      <c r="GZ125" t="s">
        <v>4326</v>
      </c>
      <c r="HA125" t="s">
        <v>4326</v>
      </c>
      <c r="HB125" t="s">
        <v>4326</v>
      </c>
      <c r="HC125" t="s">
        <v>4326</v>
      </c>
      <c r="HD125" t="s">
        <v>4326</v>
      </c>
      <c r="HE125" t="s">
        <v>4326</v>
      </c>
      <c r="HF125" t="s">
        <v>4326</v>
      </c>
      <c r="HG125" t="s">
        <v>4326</v>
      </c>
      <c r="HH125" t="s">
        <v>4326</v>
      </c>
      <c r="HI125" t="s">
        <v>4326</v>
      </c>
      <c r="HJ125" t="s">
        <v>4326</v>
      </c>
      <c r="HK125" t="s">
        <v>4326</v>
      </c>
      <c r="HL125" t="s">
        <v>4326</v>
      </c>
      <c r="HM125" t="s">
        <v>4326</v>
      </c>
      <c r="HN125" t="s">
        <v>4326</v>
      </c>
      <c r="HO125" t="s">
        <v>4326</v>
      </c>
      <c r="HP125" t="s">
        <v>4326</v>
      </c>
      <c r="HQ125" t="s">
        <v>4326</v>
      </c>
      <c r="HR125" t="s">
        <v>4326</v>
      </c>
      <c r="HS125" t="s">
        <v>4326</v>
      </c>
      <c r="HT125" t="s">
        <v>4326</v>
      </c>
      <c r="HU125" t="s">
        <v>4326</v>
      </c>
      <c r="HV125" t="s">
        <v>4326</v>
      </c>
      <c r="HW125" t="s">
        <v>4326</v>
      </c>
      <c r="HX125" t="s">
        <v>4326</v>
      </c>
      <c r="HY125" t="s">
        <v>4326</v>
      </c>
      <c r="HZ125" t="s">
        <v>4326</v>
      </c>
      <c r="IA125" t="s">
        <v>4326</v>
      </c>
      <c r="IB125" t="s">
        <v>4326</v>
      </c>
      <c r="IC125" t="s">
        <v>4326</v>
      </c>
      <c r="ID125" t="s">
        <v>4326</v>
      </c>
      <c r="IE125" t="s">
        <v>4326</v>
      </c>
      <c r="IL125" t="s">
        <v>4332</v>
      </c>
      <c r="IM125" t="s">
        <v>4328</v>
      </c>
      <c r="IN125" t="s">
        <v>4328</v>
      </c>
      <c r="IO125" t="s">
        <v>4328</v>
      </c>
      <c r="IP125" t="s">
        <v>4328</v>
      </c>
      <c r="IQ125" t="s">
        <v>4328</v>
      </c>
      <c r="IR125" t="s">
        <v>4328</v>
      </c>
      <c r="IS125" t="s">
        <v>4328</v>
      </c>
      <c r="IT125" t="s">
        <v>4328</v>
      </c>
      <c r="IU125" t="s">
        <v>4328</v>
      </c>
      <c r="IV125" t="s">
        <v>4328</v>
      </c>
      <c r="IW125" t="s">
        <v>4328</v>
      </c>
      <c r="IX125" t="s">
        <v>4328</v>
      </c>
      <c r="IY125" t="s">
        <v>4328</v>
      </c>
      <c r="IZ125" t="s">
        <v>4328</v>
      </c>
      <c r="JA125" t="s">
        <v>4328</v>
      </c>
      <c r="JB125" t="s">
        <v>4331</v>
      </c>
      <c r="JC125" t="s">
        <v>4331</v>
      </c>
      <c r="JD125" t="s">
        <v>4331</v>
      </c>
      <c r="JE125" t="s">
        <v>4330</v>
      </c>
      <c r="JF125" t="s">
        <v>4330</v>
      </c>
      <c r="JG125" t="s">
        <v>4327</v>
      </c>
      <c r="JH125" t="s">
        <v>4327</v>
      </c>
      <c r="JI125" t="s">
        <v>4327</v>
      </c>
      <c r="JJ125" t="s">
        <v>4327</v>
      </c>
      <c r="JK125" t="s">
        <v>4327</v>
      </c>
      <c r="JL125" t="s">
        <v>4327</v>
      </c>
      <c r="JM125" t="s">
        <v>4327</v>
      </c>
      <c r="JN125" t="s">
        <v>4327</v>
      </c>
      <c r="JO125" t="s">
        <v>4327</v>
      </c>
      <c r="JP125" t="s">
        <v>4327</v>
      </c>
      <c r="JQ125" t="s">
        <v>4331</v>
      </c>
      <c r="JR125" t="s">
        <v>4331</v>
      </c>
      <c r="JS125" t="s">
        <v>4331</v>
      </c>
      <c r="JT125" t="s">
        <v>4331</v>
      </c>
      <c r="JU125" t="s">
        <v>4331</v>
      </c>
    </row>
    <row r="126" spans="11:281" x14ac:dyDescent="0.3">
      <c r="AC126" t="s">
        <v>2646</v>
      </c>
      <c r="AD126" t="s">
        <v>2646</v>
      </c>
      <c r="AE126" t="s">
        <v>2646</v>
      </c>
      <c r="AF126" t="s">
        <v>2646</v>
      </c>
      <c r="AG126" t="s">
        <v>2711</v>
      </c>
      <c r="AH126" t="s">
        <v>2711</v>
      </c>
      <c r="AI126" t="s">
        <v>2711</v>
      </c>
      <c r="AJ126" t="s">
        <v>2637</v>
      </c>
      <c r="AK126" t="s">
        <v>2637</v>
      </c>
      <c r="AL126" t="s">
        <v>2637</v>
      </c>
      <c r="AM126" t="s">
        <v>2637</v>
      </c>
      <c r="AN126" t="s">
        <v>2637</v>
      </c>
      <c r="AO126" t="s">
        <v>2637</v>
      </c>
      <c r="AP126" t="s">
        <v>2637</v>
      </c>
      <c r="AQ126" t="s">
        <v>2637</v>
      </c>
      <c r="AR126" t="s">
        <v>2637</v>
      </c>
      <c r="AS126" t="s">
        <v>2637</v>
      </c>
      <c r="AT126" t="s">
        <v>2637</v>
      </c>
      <c r="AU126" t="s">
        <v>2637</v>
      </c>
      <c r="AV126" t="s">
        <v>2637</v>
      </c>
      <c r="AW126" t="s">
        <v>2637</v>
      </c>
      <c r="AX126" t="s">
        <v>2634</v>
      </c>
      <c r="AY126" t="s">
        <v>2634</v>
      </c>
      <c r="AZ126" t="s">
        <v>2634</v>
      </c>
      <c r="BA126" t="s">
        <v>2634</v>
      </c>
      <c r="BB126" t="s">
        <v>2634</v>
      </c>
      <c r="BC126" t="s">
        <v>2634</v>
      </c>
      <c r="BD126" t="s">
        <v>2634</v>
      </c>
      <c r="BE126" t="s">
        <v>2634</v>
      </c>
      <c r="BF126" t="s">
        <v>2634</v>
      </c>
      <c r="BG126" t="s">
        <v>2634</v>
      </c>
      <c r="BH126" t="s">
        <v>2634</v>
      </c>
      <c r="BI126" t="s">
        <v>1538</v>
      </c>
      <c r="BJ126" t="s">
        <v>1538</v>
      </c>
      <c r="BK126" t="s">
        <v>1538</v>
      </c>
      <c r="BL126" t="s">
        <v>1538</v>
      </c>
      <c r="BM126" t="s">
        <v>1538</v>
      </c>
      <c r="BN126" t="s">
        <v>1538</v>
      </c>
      <c r="BO126" t="s">
        <v>1538</v>
      </c>
      <c r="BP126" t="s">
        <v>1538</v>
      </c>
      <c r="BQ126" t="s">
        <v>1538</v>
      </c>
      <c r="BR126" t="s">
        <v>1538</v>
      </c>
      <c r="BS126" t="s">
        <v>1538</v>
      </c>
      <c r="BT126" t="s">
        <v>1538</v>
      </c>
      <c r="BU126" t="s">
        <v>1538</v>
      </c>
      <c r="BV126" t="s">
        <v>1538</v>
      </c>
      <c r="BW126" t="s">
        <v>1538</v>
      </c>
      <c r="BX126" t="s">
        <v>1538</v>
      </c>
      <c r="BY126" t="s">
        <v>1538</v>
      </c>
      <c r="BZ126" t="s">
        <v>1538</v>
      </c>
      <c r="CA126" t="s">
        <v>1538</v>
      </c>
      <c r="CB126" t="s">
        <v>1538</v>
      </c>
      <c r="CC126" t="s">
        <v>1538</v>
      </c>
      <c r="CD126" t="s">
        <v>2656</v>
      </c>
      <c r="CE126" t="s">
        <v>2656</v>
      </c>
      <c r="CF126" t="s">
        <v>2656</v>
      </c>
      <c r="CG126" t="s">
        <v>2656</v>
      </c>
      <c r="CH126" t="s">
        <v>2656</v>
      </c>
      <c r="CI126" t="s">
        <v>2656</v>
      </c>
      <c r="CJ126" t="s">
        <v>2656</v>
      </c>
      <c r="CK126" t="s">
        <v>2656</v>
      </c>
      <c r="CL126" t="s">
        <v>2656</v>
      </c>
      <c r="CM126" t="s">
        <v>2656</v>
      </c>
      <c r="CN126" t="s">
        <v>2572</v>
      </c>
      <c r="CO126" t="s">
        <v>2572</v>
      </c>
      <c r="CP126" t="s">
        <v>2572</v>
      </c>
      <c r="CQ126" t="s">
        <v>2572</v>
      </c>
      <c r="CR126" t="s">
        <v>2572</v>
      </c>
      <c r="CS126" t="s">
        <v>2572</v>
      </c>
      <c r="CT126" t="s">
        <v>2572</v>
      </c>
      <c r="CU126" t="s">
        <v>2625</v>
      </c>
      <c r="CV126" t="s">
        <v>2625</v>
      </c>
      <c r="CW126" t="s">
        <v>2625</v>
      </c>
      <c r="CX126" t="s">
        <v>2625</v>
      </c>
      <c r="CY126" t="s">
        <v>2625</v>
      </c>
      <c r="CZ126" t="s">
        <v>2625</v>
      </c>
      <c r="DA126" t="s">
        <v>2625</v>
      </c>
      <c r="DB126" t="s">
        <v>2625</v>
      </c>
      <c r="DC126" t="s">
        <v>2625</v>
      </c>
      <c r="DD126" t="s">
        <v>2625</v>
      </c>
      <c r="DE126" t="s">
        <v>2625</v>
      </c>
      <c r="DF126" t="s">
        <v>2625</v>
      </c>
      <c r="DG126" t="s">
        <v>2625</v>
      </c>
      <c r="DH126" t="s">
        <v>2587</v>
      </c>
      <c r="DI126" t="s">
        <v>2587</v>
      </c>
      <c r="DJ126" t="s">
        <v>2587</v>
      </c>
      <c r="DK126" t="s">
        <v>2587</v>
      </c>
      <c r="DL126" t="s">
        <v>2587</v>
      </c>
      <c r="DM126" t="s">
        <v>2587</v>
      </c>
      <c r="DN126" t="s">
        <v>2587</v>
      </c>
      <c r="DO126" t="s">
        <v>2587</v>
      </c>
      <c r="DP126" t="s">
        <v>2587</v>
      </c>
      <c r="DQ126" t="s">
        <v>2587</v>
      </c>
      <c r="DR126" t="s">
        <v>2587</v>
      </c>
      <c r="DS126" t="s">
        <v>2587</v>
      </c>
      <c r="DT126" t="s">
        <v>2587</v>
      </c>
      <c r="DU126" t="s">
        <v>2587</v>
      </c>
      <c r="DV126" t="s">
        <v>2587</v>
      </c>
      <c r="DW126" t="s">
        <v>2587</v>
      </c>
      <c r="DX126" t="s">
        <v>2587</v>
      </c>
      <c r="DY126" t="s">
        <v>2587</v>
      </c>
      <c r="DZ126" t="s">
        <v>2587</v>
      </c>
      <c r="EA126" t="s">
        <v>2587</v>
      </c>
      <c r="EB126" t="s">
        <v>2587</v>
      </c>
      <c r="EC126" t="s">
        <v>2587</v>
      </c>
      <c r="ED126" t="s">
        <v>2587</v>
      </c>
      <c r="EJ126" t="s">
        <v>2779</v>
      </c>
      <c r="EK126" t="s">
        <v>2779</v>
      </c>
      <c r="EL126" t="s">
        <v>2779</v>
      </c>
      <c r="EM126" t="s">
        <v>2779</v>
      </c>
      <c r="EN126" t="s">
        <v>2779</v>
      </c>
      <c r="EO126" t="s">
        <v>2779</v>
      </c>
      <c r="EP126" t="s">
        <v>2779</v>
      </c>
      <c r="EQ126" t="s">
        <v>2779</v>
      </c>
      <c r="ER126" t="s">
        <v>2779</v>
      </c>
      <c r="ES126" t="s">
        <v>2779</v>
      </c>
      <c r="ET126" t="s">
        <v>2779</v>
      </c>
      <c r="EU126" t="s">
        <v>2779</v>
      </c>
      <c r="EV126" t="s">
        <v>2779</v>
      </c>
      <c r="EW126" t="s">
        <v>2779</v>
      </c>
      <c r="EX126" t="s">
        <v>2779</v>
      </c>
      <c r="EY126" t="s">
        <v>2779</v>
      </c>
      <c r="EZ126" t="s">
        <v>2779</v>
      </c>
      <c r="FA126" t="s">
        <v>2779</v>
      </c>
      <c r="FB126" t="s">
        <v>2779</v>
      </c>
      <c r="FC126" t="s">
        <v>2779</v>
      </c>
      <c r="FD126" t="s">
        <v>2779</v>
      </c>
      <c r="FE126" t="s">
        <v>2779</v>
      </c>
      <c r="FF126" t="s">
        <v>2779</v>
      </c>
      <c r="FG126" t="s">
        <v>2779</v>
      </c>
      <c r="FH126" t="s">
        <v>2779</v>
      </c>
      <c r="FI126" t="s">
        <v>2779</v>
      </c>
      <c r="FJ126" t="s">
        <v>2779</v>
      </c>
      <c r="FK126" t="s">
        <v>2779</v>
      </c>
      <c r="FL126" t="s">
        <v>2779</v>
      </c>
      <c r="FM126" t="s">
        <v>2779</v>
      </c>
      <c r="FN126" t="s">
        <v>2779</v>
      </c>
      <c r="FO126" t="s">
        <v>2779</v>
      </c>
      <c r="FP126" t="s">
        <v>2779</v>
      </c>
      <c r="FQ126" t="s">
        <v>2787</v>
      </c>
      <c r="FR126" t="s">
        <v>2787</v>
      </c>
      <c r="FS126" t="s">
        <v>2787</v>
      </c>
      <c r="FT126" t="s">
        <v>2787</v>
      </c>
      <c r="FU126" t="s">
        <v>2787</v>
      </c>
      <c r="FV126" t="s">
        <v>2787</v>
      </c>
      <c r="FW126" t="s">
        <v>2787</v>
      </c>
      <c r="FX126" t="s">
        <v>2787</v>
      </c>
      <c r="FY126" t="s">
        <v>2787</v>
      </c>
      <c r="GS126" t="s">
        <v>4326</v>
      </c>
      <c r="GT126" t="s">
        <v>4326</v>
      </c>
      <c r="GU126" t="s">
        <v>4326</v>
      </c>
      <c r="GV126" t="s">
        <v>4326</v>
      </c>
      <c r="GW126" t="s">
        <v>4326</v>
      </c>
      <c r="GX126" t="s">
        <v>4326</v>
      </c>
      <c r="GY126" t="s">
        <v>4326</v>
      </c>
      <c r="GZ126" t="s">
        <v>4326</v>
      </c>
      <c r="HA126" t="s">
        <v>4326</v>
      </c>
      <c r="HB126" t="s">
        <v>4326</v>
      </c>
      <c r="HC126" t="s">
        <v>4326</v>
      </c>
      <c r="HD126" t="s">
        <v>4326</v>
      </c>
      <c r="HE126" t="s">
        <v>4326</v>
      </c>
      <c r="HF126" t="s">
        <v>4326</v>
      </c>
      <c r="HG126" t="s">
        <v>4326</v>
      </c>
      <c r="HH126" t="s">
        <v>4326</v>
      </c>
      <c r="HI126" t="s">
        <v>4326</v>
      </c>
      <c r="HJ126" t="s">
        <v>4326</v>
      </c>
      <c r="HK126" t="s">
        <v>4326</v>
      </c>
      <c r="HL126" t="s">
        <v>4326</v>
      </c>
      <c r="HM126" t="s">
        <v>4326</v>
      </c>
      <c r="HN126" t="s">
        <v>4326</v>
      </c>
      <c r="HO126" t="s">
        <v>4326</v>
      </c>
      <c r="HP126" t="s">
        <v>4326</v>
      </c>
      <c r="HQ126" t="s">
        <v>4326</v>
      </c>
      <c r="HR126" t="s">
        <v>4326</v>
      </c>
      <c r="HS126" t="s">
        <v>4326</v>
      </c>
      <c r="HT126" t="s">
        <v>4326</v>
      </c>
      <c r="HU126" t="s">
        <v>4326</v>
      </c>
      <c r="HV126" t="s">
        <v>4326</v>
      </c>
      <c r="HW126" t="s">
        <v>4326</v>
      </c>
      <c r="HX126" t="s">
        <v>4326</v>
      </c>
      <c r="HY126" t="s">
        <v>4326</v>
      </c>
      <c r="HZ126" t="s">
        <v>4326</v>
      </c>
      <c r="IA126" t="s">
        <v>4326</v>
      </c>
      <c r="IB126" t="s">
        <v>4326</v>
      </c>
      <c r="IC126" t="s">
        <v>4326</v>
      </c>
      <c r="ID126" t="s">
        <v>4326</v>
      </c>
      <c r="IE126" t="s">
        <v>4326</v>
      </c>
      <c r="IF126" t="s">
        <v>4332</v>
      </c>
      <c r="IG126" t="s">
        <v>4332</v>
      </c>
      <c r="IH126" t="s">
        <v>4332</v>
      </c>
      <c r="IL126" t="s">
        <v>4332</v>
      </c>
      <c r="IM126" t="s">
        <v>4326</v>
      </c>
      <c r="IN126" t="s">
        <v>4328</v>
      </c>
      <c r="IO126" t="s">
        <v>4328</v>
      </c>
      <c r="IP126" t="s">
        <v>4328</v>
      </c>
      <c r="IQ126" t="s">
        <v>4328</v>
      </c>
      <c r="IR126" t="s">
        <v>4328</v>
      </c>
      <c r="IS126" t="s">
        <v>4328</v>
      </c>
      <c r="IT126" t="s">
        <v>4328</v>
      </c>
      <c r="IU126" t="s">
        <v>4328</v>
      </c>
      <c r="IV126" t="s">
        <v>4328</v>
      </c>
      <c r="IW126" t="s">
        <v>4328</v>
      </c>
      <c r="IX126" t="s">
        <v>4328</v>
      </c>
      <c r="IY126" t="s">
        <v>4328</v>
      </c>
      <c r="IZ126" t="s">
        <v>4328</v>
      </c>
      <c r="JA126" t="s">
        <v>4331</v>
      </c>
      <c r="JB126" t="s">
        <v>4331</v>
      </c>
      <c r="JC126" t="s">
        <v>4331</v>
      </c>
      <c r="JD126" t="s">
        <v>4331</v>
      </c>
      <c r="JE126" t="s">
        <v>4330</v>
      </c>
      <c r="JF126" t="s">
        <v>4330</v>
      </c>
      <c r="JG126" t="s">
        <v>4327</v>
      </c>
      <c r="JH126" t="s">
        <v>4327</v>
      </c>
      <c r="JI126" t="s">
        <v>4327</v>
      </c>
      <c r="JJ126" t="s">
        <v>4327</v>
      </c>
      <c r="JK126" t="s">
        <v>4327</v>
      </c>
      <c r="JL126" t="s">
        <v>4327</v>
      </c>
      <c r="JM126" t="s">
        <v>4327</v>
      </c>
      <c r="JN126" t="s">
        <v>4327</v>
      </c>
      <c r="JO126" t="s">
        <v>4331</v>
      </c>
      <c r="JP126" t="s">
        <v>4331</v>
      </c>
      <c r="JQ126" t="s">
        <v>4331</v>
      </c>
      <c r="JR126" t="s">
        <v>4331</v>
      </c>
      <c r="JS126" t="s">
        <v>4331</v>
      </c>
      <c r="JT126" t="s">
        <v>4331</v>
      </c>
      <c r="JU126" t="s">
        <v>4331</v>
      </c>
    </row>
    <row r="127" spans="11:281" x14ac:dyDescent="0.3">
      <c r="AC127" t="s">
        <v>2646</v>
      </c>
      <c r="AD127" t="s">
        <v>2646</v>
      </c>
      <c r="AE127" t="s">
        <v>2646</v>
      </c>
      <c r="AF127" t="s">
        <v>2646</v>
      </c>
      <c r="AG127" t="s">
        <v>2646</v>
      </c>
      <c r="AH127" t="s">
        <v>2711</v>
      </c>
      <c r="AI127" t="s">
        <v>2711</v>
      </c>
      <c r="AJ127" t="s">
        <v>2637</v>
      </c>
      <c r="AK127" t="s">
        <v>2637</v>
      </c>
      <c r="AL127" t="s">
        <v>2637</v>
      </c>
      <c r="AM127" t="s">
        <v>2637</v>
      </c>
      <c r="AN127" t="s">
        <v>2637</v>
      </c>
      <c r="AO127" t="s">
        <v>2637</v>
      </c>
      <c r="AP127" t="s">
        <v>2637</v>
      </c>
      <c r="AQ127" t="s">
        <v>2637</v>
      </c>
      <c r="AR127" t="s">
        <v>2637</v>
      </c>
      <c r="AS127" t="s">
        <v>2637</v>
      </c>
      <c r="AT127" t="s">
        <v>2637</v>
      </c>
      <c r="AU127" t="s">
        <v>2637</v>
      </c>
      <c r="AV127" t="s">
        <v>2637</v>
      </c>
      <c r="AW127" t="s">
        <v>2637</v>
      </c>
      <c r="AX127" t="s">
        <v>2634</v>
      </c>
      <c r="AY127" t="s">
        <v>2634</v>
      </c>
      <c r="AZ127" t="s">
        <v>2634</v>
      </c>
      <c r="BA127" t="s">
        <v>2634</v>
      </c>
      <c r="BB127" t="s">
        <v>2634</v>
      </c>
      <c r="BC127" t="s">
        <v>2634</v>
      </c>
      <c r="BD127" t="s">
        <v>2634</v>
      </c>
      <c r="BE127" t="s">
        <v>2634</v>
      </c>
      <c r="BF127" t="s">
        <v>2634</v>
      </c>
      <c r="BG127" t="s">
        <v>1538</v>
      </c>
      <c r="BH127" t="s">
        <v>1538</v>
      </c>
      <c r="BI127" t="s">
        <v>1538</v>
      </c>
      <c r="BJ127" t="s">
        <v>1538</v>
      </c>
      <c r="BK127" t="s">
        <v>1538</v>
      </c>
      <c r="BL127" t="s">
        <v>1538</v>
      </c>
      <c r="BM127" t="s">
        <v>1538</v>
      </c>
      <c r="BN127" t="s">
        <v>1538</v>
      </c>
      <c r="BO127" t="s">
        <v>1538</v>
      </c>
      <c r="BP127" t="s">
        <v>1538</v>
      </c>
      <c r="BQ127" t="s">
        <v>1538</v>
      </c>
      <c r="BR127" t="s">
        <v>1538</v>
      </c>
      <c r="BS127" t="s">
        <v>1538</v>
      </c>
      <c r="BT127" t="s">
        <v>1538</v>
      </c>
      <c r="BU127" t="s">
        <v>1538</v>
      </c>
      <c r="BV127" t="s">
        <v>1538</v>
      </c>
      <c r="BW127" t="s">
        <v>1538</v>
      </c>
      <c r="BX127" t="s">
        <v>1538</v>
      </c>
      <c r="BY127" t="s">
        <v>1538</v>
      </c>
      <c r="BZ127" t="s">
        <v>1538</v>
      </c>
      <c r="CA127" t="s">
        <v>1538</v>
      </c>
      <c r="CB127" t="s">
        <v>1538</v>
      </c>
      <c r="CC127" t="s">
        <v>1538</v>
      </c>
      <c r="CD127" t="s">
        <v>1538</v>
      </c>
      <c r="CE127" t="s">
        <v>2656</v>
      </c>
      <c r="CF127" t="s">
        <v>2656</v>
      </c>
      <c r="CG127" t="s">
        <v>2656</v>
      </c>
      <c r="CH127" t="s">
        <v>2656</v>
      </c>
      <c r="CI127" t="s">
        <v>2656</v>
      </c>
      <c r="CJ127" t="s">
        <v>2656</v>
      </c>
      <c r="CK127" t="s">
        <v>2656</v>
      </c>
      <c r="CL127" t="s">
        <v>2625</v>
      </c>
      <c r="CM127" t="s">
        <v>2656</v>
      </c>
      <c r="CN127" t="s">
        <v>2572</v>
      </c>
      <c r="CO127" t="s">
        <v>2572</v>
      </c>
      <c r="CP127" t="s">
        <v>2572</v>
      </c>
      <c r="CQ127" t="s">
        <v>2572</v>
      </c>
      <c r="CR127" t="s">
        <v>2625</v>
      </c>
      <c r="CS127" t="s">
        <v>2625</v>
      </c>
      <c r="CT127" t="s">
        <v>2625</v>
      </c>
      <c r="CU127" t="s">
        <v>2625</v>
      </c>
      <c r="CV127" t="s">
        <v>2625</v>
      </c>
      <c r="CW127" t="s">
        <v>2625</v>
      </c>
      <c r="CX127" t="s">
        <v>2625</v>
      </c>
      <c r="CY127" t="s">
        <v>2625</v>
      </c>
      <c r="CZ127" t="s">
        <v>2625</v>
      </c>
      <c r="DA127" t="s">
        <v>2625</v>
      </c>
      <c r="DB127" t="s">
        <v>2625</v>
      </c>
      <c r="DC127" t="s">
        <v>2625</v>
      </c>
      <c r="DD127" t="s">
        <v>2625</v>
      </c>
      <c r="DE127" t="s">
        <v>2625</v>
      </c>
      <c r="DF127" t="s">
        <v>2625</v>
      </c>
      <c r="DG127" t="s">
        <v>2625</v>
      </c>
      <c r="DH127" t="s">
        <v>2587</v>
      </c>
      <c r="DI127" t="s">
        <v>2587</v>
      </c>
      <c r="DJ127" t="s">
        <v>2587</v>
      </c>
      <c r="DK127" t="s">
        <v>2587</v>
      </c>
      <c r="DL127" t="s">
        <v>2587</v>
      </c>
      <c r="DM127" t="s">
        <v>2587</v>
      </c>
      <c r="DN127" t="s">
        <v>2587</v>
      </c>
      <c r="DO127" t="s">
        <v>2587</v>
      </c>
      <c r="DP127" t="s">
        <v>2587</v>
      </c>
      <c r="DQ127" t="s">
        <v>2587</v>
      </c>
      <c r="DR127" t="s">
        <v>2587</v>
      </c>
      <c r="DS127" t="s">
        <v>2587</v>
      </c>
      <c r="DT127" t="s">
        <v>2587</v>
      </c>
      <c r="DU127" t="s">
        <v>2587</v>
      </c>
      <c r="DV127" t="s">
        <v>2587</v>
      </c>
      <c r="DW127" t="s">
        <v>2587</v>
      </c>
      <c r="DX127" t="s">
        <v>2587</v>
      </c>
      <c r="DY127" t="s">
        <v>2587</v>
      </c>
      <c r="DZ127" t="s">
        <v>2587</v>
      </c>
      <c r="EA127" t="s">
        <v>2587</v>
      </c>
      <c r="EB127" t="s">
        <v>2587</v>
      </c>
      <c r="EC127" t="s">
        <v>2587</v>
      </c>
      <c r="EJ127" t="s">
        <v>2779</v>
      </c>
      <c r="EK127" t="s">
        <v>2779</v>
      </c>
      <c r="EL127" t="s">
        <v>2779</v>
      </c>
      <c r="EM127" t="s">
        <v>2779</v>
      </c>
      <c r="EN127" t="s">
        <v>2779</v>
      </c>
      <c r="EO127" t="s">
        <v>2779</v>
      </c>
      <c r="EP127" t="s">
        <v>2779</v>
      </c>
      <c r="EQ127" t="s">
        <v>2779</v>
      </c>
      <c r="ER127" t="s">
        <v>2779</v>
      </c>
      <c r="ES127" t="s">
        <v>2779</v>
      </c>
      <c r="ET127" t="s">
        <v>2779</v>
      </c>
      <c r="EU127" t="s">
        <v>2779</v>
      </c>
      <c r="EV127" t="s">
        <v>2779</v>
      </c>
      <c r="EW127" t="s">
        <v>2779</v>
      </c>
      <c r="EX127" t="s">
        <v>2779</v>
      </c>
      <c r="EY127" t="s">
        <v>2779</v>
      </c>
      <c r="EZ127" t="s">
        <v>2779</v>
      </c>
      <c r="FA127" t="s">
        <v>2779</v>
      </c>
      <c r="FB127" t="s">
        <v>2779</v>
      </c>
      <c r="FC127" t="s">
        <v>2779</v>
      </c>
      <c r="FD127" t="s">
        <v>2779</v>
      </c>
      <c r="FE127" t="s">
        <v>2779</v>
      </c>
      <c r="FF127" t="s">
        <v>2779</v>
      </c>
      <c r="FG127" t="s">
        <v>2779</v>
      </c>
      <c r="FH127" t="s">
        <v>2779</v>
      </c>
      <c r="FI127" t="s">
        <v>2779</v>
      </c>
      <c r="FJ127" t="s">
        <v>2779</v>
      </c>
      <c r="FK127" t="s">
        <v>2779</v>
      </c>
      <c r="FL127" t="s">
        <v>2779</v>
      </c>
      <c r="FM127" t="s">
        <v>2784</v>
      </c>
      <c r="FN127" t="s">
        <v>2784</v>
      </c>
      <c r="FO127" t="s">
        <v>2784</v>
      </c>
      <c r="FP127" t="s">
        <v>2787</v>
      </c>
      <c r="FQ127" t="s">
        <v>2787</v>
      </c>
      <c r="FR127" t="s">
        <v>2787</v>
      </c>
      <c r="FS127" t="s">
        <v>2787</v>
      </c>
      <c r="FT127" t="s">
        <v>2787</v>
      </c>
      <c r="FU127" t="s">
        <v>2787</v>
      </c>
      <c r="FV127" t="s">
        <v>2787</v>
      </c>
      <c r="FW127" t="s">
        <v>2787</v>
      </c>
      <c r="FX127" t="s">
        <v>2787</v>
      </c>
      <c r="GS127" t="s">
        <v>4326</v>
      </c>
      <c r="GT127" t="s">
        <v>4326</v>
      </c>
      <c r="GU127" t="s">
        <v>4326</v>
      </c>
      <c r="GV127" t="s">
        <v>4326</v>
      </c>
      <c r="GW127" t="s">
        <v>4326</v>
      </c>
      <c r="GX127" t="s">
        <v>4326</v>
      </c>
      <c r="GY127" t="s">
        <v>4326</v>
      </c>
      <c r="GZ127" t="s">
        <v>4326</v>
      </c>
      <c r="HA127" t="s">
        <v>4326</v>
      </c>
      <c r="HB127" t="s">
        <v>4326</v>
      </c>
      <c r="HC127" t="s">
        <v>4326</v>
      </c>
      <c r="HD127" t="s">
        <v>4326</v>
      </c>
      <c r="HE127" t="s">
        <v>4326</v>
      </c>
      <c r="HF127" t="s">
        <v>4326</v>
      </c>
      <c r="HG127" t="s">
        <v>4326</v>
      </c>
      <c r="HH127" t="s">
        <v>4326</v>
      </c>
      <c r="HI127" t="s">
        <v>4326</v>
      </c>
      <c r="HJ127" t="s">
        <v>4326</v>
      </c>
      <c r="HK127" t="s">
        <v>4326</v>
      </c>
      <c r="HL127" t="s">
        <v>4326</v>
      </c>
      <c r="HM127" t="s">
        <v>4326</v>
      </c>
      <c r="HN127" t="s">
        <v>4326</v>
      </c>
      <c r="HO127" t="s">
        <v>4326</v>
      </c>
      <c r="HP127" t="s">
        <v>4326</v>
      </c>
      <c r="HQ127" t="s">
        <v>4326</v>
      </c>
      <c r="HR127" t="s">
        <v>4326</v>
      </c>
      <c r="HS127" t="s">
        <v>4326</v>
      </c>
      <c r="HT127" t="s">
        <v>4326</v>
      </c>
      <c r="HU127" t="s">
        <v>4326</v>
      </c>
      <c r="HV127" t="s">
        <v>4326</v>
      </c>
      <c r="HW127" t="s">
        <v>4326</v>
      </c>
      <c r="HX127" t="s">
        <v>4326</v>
      </c>
      <c r="HY127" t="s">
        <v>4326</v>
      </c>
      <c r="HZ127" t="s">
        <v>4326</v>
      </c>
      <c r="IA127" t="s">
        <v>4326</v>
      </c>
      <c r="IB127" t="s">
        <v>4326</v>
      </c>
      <c r="IC127" t="s">
        <v>4326</v>
      </c>
      <c r="ID127" t="s">
        <v>4326</v>
      </c>
      <c r="IE127" t="s">
        <v>4326</v>
      </c>
      <c r="IF127" t="s">
        <v>4332</v>
      </c>
      <c r="IG127" t="s">
        <v>4332</v>
      </c>
      <c r="IH127" t="s">
        <v>4332</v>
      </c>
      <c r="IK127" t="s">
        <v>4332</v>
      </c>
      <c r="IL127" t="s">
        <v>4332</v>
      </c>
      <c r="IM127" t="s">
        <v>4326</v>
      </c>
      <c r="IN127" t="s">
        <v>4328</v>
      </c>
      <c r="IO127" t="s">
        <v>4328</v>
      </c>
      <c r="IP127" t="s">
        <v>4328</v>
      </c>
      <c r="IQ127" t="s">
        <v>4328</v>
      </c>
      <c r="IR127" t="s">
        <v>4328</v>
      </c>
      <c r="IS127" t="s">
        <v>4328</v>
      </c>
      <c r="IT127" t="s">
        <v>4328</v>
      </c>
      <c r="IU127" t="s">
        <v>4328</v>
      </c>
      <c r="IV127" t="s">
        <v>4328</v>
      </c>
      <c r="IW127" t="s">
        <v>4328</v>
      </c>
      <c r="IX127" t="s">
        <v>4328</v>
      </c>
      <c r="IY127" t="s">
        <v>4328</v>
      </c>
      <c r="IZ127" t="s">
        <v>4328</v>
      </c>
      <c r="JA127" t="s">
        <v>4331</v>
      </c>
      <c r="JB127" t="s">
        <v>4331</v>
      </c>
      <c r="JC127" t="s">
        <v>4331</v>
      </c>
      <c r="JD127" t="s">
        <v>4331</v>
      </c>
      <c r="JE127" t="s">
        <v>4331</v>
      </c>
      <c r="JF127" t="s">
        <v>4331</v>
      </c>
      <c r="JG127" t="s">
        <v>4331</v>
      </c>
      <c r="JH127" t="s">
        <v>4331</v>
      </c>
      <c r="JI127" t="s">
        <v>4331</v>
      </c>
      <c r="JJ127" t="s">
        <v>4327</v>
      </c>
      <c r="JK127" t="s">
        <v>4327</v>
      </c>
      <c r="JL127" t="s">
        <v>4327</v>
      </c>
      <c r="JM127" t="s">
        <v>4327</v>
      </c>
      <c r="JN127" t="s">
        <v>4327</v>
      </c>
      <c r="JO127" t="s">
        <v>4331</v>
      </c>
      <c r="JP127" t="s">
        <v>4331</v>
      </c>
      <c r="JQ127" t="s">
        <v>4331</v>
      </c>
      <c r="JR127" t="s">
        <v>4331</v>
      </c>
      <c r="JS127" t="s">
        <v>4331</v>
      </c>
      <c r="JT127" t="s">
        <v>4331</v>
      </c>
      <c r="JU127" t="s">
        <v>4331</v>
      </c>
    </row>
    <row r="128" spans="11:281" x14ac:dyDescent="0.3">
      <c r="AD128" t="s">
        <v>2646</v>
      </c>
      <c r="AE128" t="s">
        <v>2646</v>
      </c>
      <c r="AF128" t="s">
        <v>2646</v>
      </c>
      <c r="AG128" t="s">
        <v>2646</v>
      </c>
      <c r="AH128" t="s">
        <v>2711</v>
      </c>
      <c r="AI128" t="s">
        <v>2711</v>
      </c>
      <c r="AJ128" t="s">
        <v>2637</v>
      </c>
      <c r="AK128" t="s">
        <v>2637</v>
      </c>
      <c r="AL128" t="s">
        <v>2637</v>
      </c>
      <c r="AM128" t="s">
        <v>2637</v>
      </c>
      <c r="AN128" t="s">
        <v>2637</v>
      </c>
      <c r="AO128" t="s">
        <v>2637</v>
      </c>
      <c r="AP128" t="s">
        <v>2637</v>
      </c>
      <c r="AQ128" t="s">
        <v>2637</v>
      </c>
      <c r="AR128" t="s">
        <v>2637</v>
      </c>
      <c r="AS128" t="s">
        <v>2637</v>
      </c>
      <c r="AT128" t="s">
        <v>2637</v>
      </c>
      <c r="AU128" t="s">
        <v>2637</v>
      </c>
      <c r="AV128" t="s">
        <v>2637</v>
      </c>
      <c r="AW128" t="s">
        <v>2634</v>
      </c>
      <c r="AX128" t="s">
        <v>2634</v>
      </c>
      <c r="AY128" t="s">
        <v>2634</v>
      </c>
      <c r="AZ128" t="s">
        <v>2634</v>
      </c>
      <c r="BA128" t="s">
        <v>2634</v>
      </c>
      <c r="BB128" t="s">
        <v>2634</v>
      </c>
      <c r="BC128" t="s">
        <v>2634</v>
      </c>
      <c r="BD128" t="s">
        <v>2634</v>
      </c>
      <c r="BE128" t="s">
        <v>1538</v>
      </c>
      <c r="BF128" t="s">
        <v>1538</v>
      </c>
      <c r="BG128" t="s">
        <v>1538</v>
      </c>
      <c r="BH128" t="s">
        <v>1538</v>
      </c>
      <c r="BI128" t="s">
        <v>1538</v>
      </c>
      <c r="BJ128" t="s">
        <v>1538</v>
      </c>
      <c r="BK128" t="s">
        <v>1538</v>
      </c>
      <c r="BL128" t="s">
        <v>1538</v>
      </c>
      <c r="BM128" t="s">
        <v>1538</v>
      </c>
      <c r="BN128" t="s">
        <v>1538</v>
      </c>
      <c r="BO128" t="s">
        <v>1538</v>
      </c>
      <c r="BP128" t="s">
        <v>1538</v>
      </c>
      <c r="BQ128" t="s">
        <v>1538</v>
      </c>
      <c r="BR128" t="s">
        <v>1538</v>
      </c>
      <c r="BS128" t="s">
        <v>1538</v>
      </c>
      <c r="BT128" t="s">
        <v>1538</v>
      </c>
      <c r="BU128" t="s">
        <v>1538</v>
      </c>
      <c r="BV128" t="s">
        <v>1538</v>
      </c>
      <c r="BW128" t="s">
        <v>1538</v>
      </c>
      <c r="BX128" t="s">
        <v>1538</v>
      </c>
      <c r="BY128" t="s">
        <v>1538</v>
      </c>
      <c r="BZ128" t="s">
        <v>1538</v>
      </c>
      <c r="CA128" t="s">
        <v>1538</v>
      </c>
      <c r="CB128" t="s">
        <v>1538</v>
      </c>
      <c r="CC128" t="s">
        <v>1538</v>
      </c>
      <c r="CD128" t="s">
        <v>1538</v>
      </c>
      <c r="CE128" t="s">
        <v>1538</v>
      </c>
      <c r="CF128" t="s">
        <v>1538</v>
      </c>
      <c r="CG128" t="s">
        <v>2656</v>
      </c>
      <c r="CH128" t="s">
        <v>2656</v>
      </c>
      <c r="CI128" t="s">
        <v>2656</v>
      </c>
      <c r="CJ128" t="s">
        <v>2625</v>
      </c>
      <c r="CK128" t="s">
        <v>2625</v>
      </c>
      <c r="CL128" t="s">
        <v>2625</v>
      </c>
      <c r="CM128" t="s">
        <v>2625</v>
      </c>
      <c r="CN128" t="s">
        <v>2625</v>
      </c>
      <c r="CO128" t="s">
        <v>2572</v>
      </c>
      <c r="CP128" t="s">
        <v>2625</v>
      </c>
      <c r="CQ128" t="s">
        <v>2625</v>
      </c>
      <c r="CR128" t="s">
        <v>2625</v>
      </c>
      <c r="CS128" t="s">
        <v>2625</v>
      </c>
      <c r="CT128" t="s">
        <v>2625</v>
      </c>
      <c r="CU128" t="s">
        <v>2625</v>
      </c>
      <c r="CV128" t="s">
        <v>2625</v>
      </c>
      <c r="CW128" t="s">
        <v>2625</v>
      </c>
      <c r="CX128" t="s">
        <v>2625</v>
      </c>
      <c r="CY128" t="s">
        <v>2625</v>
      </c>
      <c r="CZ128" t="s">
        <v>2625</v>
      </c>
      <c r="DA128" t="s">
        <v>2625</v>
      </c>
      <c r="DB128" t="s">
        <v>2625</v>
      </c>
      <c r="DC128" t="s">
        <v>2625</v>
      </c>
      <c r="DD128" t="s">
        <v>2625</v>
      </c>
      <c r="DE128" t="s">
        <v>2625</v>
      </c>
      <c r="DF128" t="s">
        <v>2625</v>
      </c>
      <c r="DG128" t="s">
        <v>2625</v>
      </c>
      <c r="DH128" t="s">
        <v>2587</v>
      </c>
      <c r="DI128" t="s">
        <v>2587</v>
      </c>
      <c r="DJ128" t="s">
        <v>2587</v>
      </c>
      <c r="DK128" t="s">
        <v>2587</v>
      </c>
      <c r="DL128" t="s">
        <v>2587</v>
      </c>
      <c r="DM128" t="s">
        <v>2587</v>
      </c>
      <c r="DN128" t="s">
        <v>2587</v>
      </c>
      <c r="DO128" t="s">
        <v>2587</v>
      </c>
      <c r="DP128" t="s">
        <v>2587</v>
      </c>
      <c r="DQ128" t="s">
        <v>2587</v>
      </c>
      <c r="DR128" t="s">
        <v>2587</v>
      </c>
      <c r="DS128" t="s">
        <v>2587</v>
      </c>
      <c r="DT128" t="s">
        <v>2587</v>
      </c>
      <c r="DU128" t="s">
        <v>2587</v>
      </c>
      <c r="DV128" t="s">
        <v>2587</v>
      </c>
      <c r="DW128" t="s">
        <v>2587</v>
      </c>
      <c r="DX128" t="s">
        <v>2587</v>
      </c>
      <c r="DY128" t="s">
        <v>2587</v>
      </c>
      <c r="DZ128" t="s">
        <v>2587</v>
      </c>
      <c r="EA128" t="s">
        <v>2587</v>
      </c>
      <c r="EB128" t="s">
        <v>2587</v>
      </c>
      <c r="EI128" t="s">
        <v>2779</v>
      </c>
      <c r="EJ128" t="s">
        <v>2779</v>
      </c>
      <c r="EK128" t="s">
        <v>2779</v>
      </c>
      <c r="EL128" t="s">
        <v>2779</v>
      </c>
      <c r="EM128" t="s">
        <v>2779</v>
      </c>
      <c r="EN128" t="s">
        <v>2779</v>
      </c>
      <c r="EO128" t="s">
        <v>2779</v>
      </c>
      <c r="EP128" t="s">
        <v>2779</v>
      </c>
      <c r="EQ128" t="s">
        <v>2779</v>
      </c>
      <c r="ER128" t="s">
        <v>2779</v>
      </c>
      <c r="ES128" t="s">
        <v>2779</v>
      </c>
      <c r="ET128" t="s">
        <v>2779</v>
      </c>
      <c r="EU128" t="s">
        <v>2779</v>
      </c>
      <c r="EV128" t="s">
        <v>2779</v>
      </c>
      <c r="EW128" t="s">
        <v>2779</v>
      </c>
      <c r="EX128" t="s">
        <v>2779</v>
      </c>
      <c r="EY128" t="s">
        <v>2779</v>
      </c>
      <c r="EZ128" t="s">
        <v>2779</v>
      </c>
      <c r="FA128" t="s">
        <v>2779</v>
      </c>
      <c r="FB128" t="s">
        <v>2779</v>
      </c>
      <c r="FC128" t="s">
        <v>2779</v>
      </c>
      <c r="FD128" t="s">
        <v>2779</v>
      </c>
      <c r="FE128" t="s">
        <v>2779</v>
      </c>
      <c r="FF128" t="s">
        <v>2779</v>
      </c>
      <c r="FG128" t="s">
        <v>2779</v>
      </c>
      <c r="FH128" t="s">
        <v>2779</v>
      </c>
      <c r="FI128" t="s">
        <v>2779</v>
      </c>
      <c r="FJ128" t="s">
        <v>2784</v>
      </c>
      <c r="FK128" t="s">
        <v>2784</v>
      </c>
      <c r="FL128" t="s">
        <v>2784</v>
      </c>
      <c r="FM128" t="s">
        <v>2784</v>
      </c>
      <c r="FN128" t="s">
        <v>2784</v>
      </c>
      <c r="FO128" t="s">
        <v>2784</v>
      </c>
      <c r="FP128" t="s">
        <v>2784</v>
      </c>
      <c r="FQ128" t="s">
        <v>2787</v>
      </c>
      <c r="FR128" t="s">
        <v>2787</v>
      </c>
      <c r="FS128" t="s">
        <v>2787</v>
      </c>
      <c r="FT128" t="s">
        <v>2787</v>
      </c>
      <c r="FU128" t="s">
        <v>2787</v>
      </c>
      <c r="FV128" t="s">
        <v>2787</v>
      </c>
      <c r="FW128" t="s">
        <v>2787</v>
      </c>
      <c r="GR128" t="s">
        <v>4326</v>
      </c>
      <c r="GS128" t="s">
        <v>4326</v>
      </c>
      <c r="GT128" t="s">
        <v>4326</v>
      </c>
      <c r="GU128" t="s">
        <v>4326</v>
      </c>
      <c r="GV128" t="s">
        <v>4326</v>
      </c>
      <c r="GW128" t="s">
        <v>4326</v>
      </c>
      <c r="GX128" t="s">
        <v>4326</v>
      </c>
      <c r="GY128" t="s">
        <v>4326</v>
      </c>
      <c r="GZ128" t="s">
        <v>4326</v>
      </c>
      <c r="HA128" t="s">
        <v>4326</v>
      </c>
      <c r="HB128" t="s">
        <v>4326</v>
      </c>
      <c r="HC128" t="s">
        <v>4326</v>
      </c>
      <c r="HD128" t="s">
        <v>4326</v>
      </c>
      <c r="HE128" t="s">
        <v>4326</v>
      </c>
      <c r="HF128" t="s">
        <v>4326</v>
      </c>
      <c r="HG128" t="s">
        <v>4326</v>
      </c>
      <c r="HH128" t="s">
        <v>4326</v>
      </c>
      <c r="HI128" t="s">
        <v>4326</v>
      </c>
      <c r="HJ128" t="s">
        <v>4326</v>
      </c>
      <c r="HK128" t="s">
        <v>4326</v>
      </c>
      <c r="HL128" t="s">
        <v>4326</v>
      </c>
      <c r="HM128" t="s">
        <v>4326</v>
      </c>
      <c r="HN128" t="s">
        <v>4326</v>
      </c>
      <c r="HO128" t="s">
        <v>4326</v>
      </c>
      <c r="HP128" t="s">
        <v>4326</v>
      </c>
      <c r="HQ128" t="s">
        <v>4326</v>
      </c>
      <c r="HR128" t="s">
        <v>4326</v>
      </c>
      <c r="HS128" t="s">
        <v>4326</v>
      </c>
      <c r="HT128" t="s">
        <v>4326</v>
      </c>
      <c r="HU128" t="s">
        <v>4326</v>
      </c>
      <c r="HV128" t="s">
        <v>4326</v>
      </c>
      <c r="HW128" t="s">
        <v>4326</v>
      </c>
      <c r="HX128" t="s">
        <v>4326</v>
      </c>
      <c r="HY128" t="s">
        <v>4326</v>
      </c>
      <c r="HZ128" t="s">
        <v>4326</v>
      </c>
      <c r="IA128" t="s">
        <v>4326</v>
      </c>
      <c r="IB128" t="s">
        <v>4326</v>
      </c>
      <c r="IC128" t="s">
        <v>4326</v>
      </c>
      <c r="ID128" t="s">
        <v>4326</v>
      </c>
      <c r="IE128" t="s">
        <v>4332</v>
      </c>
      <c r="IF128" t="s">
        <v>4332</v>
      </c>
      <c r="IG128" t="s">
        <v>4332</v>
      </c>
      <c r="IH128" t="s">
        <v>4332</v>
      </c>
      <c r="II128" t="s">
        <v>4332</v>
      </c>
      <c r="IJ128" t="s">
        <v>4332</v>
      </c>
      <c r="IK128" t="s">
        <v>4326</v>
      </c>
      <c r="IL128" t="s">
        <v>4332</v>
      </c>
      <c r="IM128" t="s">
        <v>4326</v>
      </c>
      <c r="IN128" t="s">
        <v>4326</v>
      </c>
      <c r="IO128" t="s">
        <v>4328</v>
      </c>
      <c r="IP128" t="s">
        <v>4328</v>
      </c>
      <c r="IQ128" t="s">
        <v>4328</v>
      </c>
      <c r="IR128" t="s">
        <v>4328</v>
      </c>
      <c r="IS128" t="s">
        <v>4328</v>
      </c>
      <c r="IT128" t="s">
        <v>4328</v>
      </c>
      <c r="IU128" t="s">
        <v>4328</v>
      </c>
      <c r="IV128" t="s">
        <v>4328</v>
      </c>
      <c r="IW128" t="s">
        <v>4328</v>
      </c>
      <c r="IX128" t="s">
        <v>4328</v>
      </c>
      <c r="IY128" t="s">
        <v>4328</v>
      </c>
      <c r="IZ128" t="s">
        <v>4331</v>
      </c>
      <c r="JA128" t="s">
        <v>4331</v>
      </c>
      <c r="JB128" t="s">
        <v>4331</v>
      </c>
      <c r="JC128" t="s">
        <v>4331</v>
      </c>
      <c r="JD128" t="s">
        <v>4331</v>
      </c>
      <c r="JE128" t="s">
        <v>4331</v>
      </c>
      <c r="JF128" t="s">
        <v>4331</v>
      </c>
      <c r="JG128" t="s">
        <v>4331</v>
      </c>
      <c r="JH128" t="s">
        <v>4331</v>
      </c>
      <c r="JI128" t="s">
        <v>4331</v>
      </c>
      <c r="JJ128" t="s">
        <v>4331</v>
      </c>
      <c r="JK128" t="s">
        <v>4331</v>
      </c>
      <c r="JL128" t="s">
        <v>4327</v>
      </c>
      <c r="JM128" t="s">
        <v>4331</v>
      </c>
      <c r="JN128" t="s">
        <v>4331</v>
      </c>
      <c r="JO128" t="s">
        <v>4331</v>
      </c>
      <c r="JP128" t="s">
        <v>4331</v>
      </c>
      <c r="JQ128" t="s">
        <v>4331</v>
      </c>
      <c r="JR128" t="s">
        <v>4331</v>
      </c>
      <c r="JS128" t="s">
        <v>4331</v>
      </c>
      <c r="JT128" t="s">
        <v>4331</v>
      </c>
      <c r="JU128" t="s">
        <v>4331</v>
      </c>
    </row>
    <row r="129" spans="30:281" x14ac:dyDescent="0.3">
      <c r="AD129" t="s">
        <v>2646</v>
      </c>
      <c r="AE129" t="s">
        <v>2646</v>
      </c>
      <c r="AF129" t="s">
        <v>2646</v>
      </c>
      <c r="AG129" t="s">
        <v>2646</v>
      </c>
      <c r="AH129" t="s">
        <v>2711</v>
      </c>
      <c r="AI129" t="s">
        <v>2711</v>
      </c>
      <c r="AJ129" t="s">
        <v>2711</v>
      </c>
      <c r="AK129" t="s">
        <v>2711</v>
      </c>
      <c r="AL129" t="s">
        <v>2637</v>
      </c>
      <c r="AM129" t="s">
        <v>2637</v>
      </c>
      <c r="AN129" t="s">
        <v>2637</v>
      </c>
      <c r="AO129" t="s">
        <v>2637</v>
      </c>
      <c r="AP129" t="s">
        <v>2637</v>
      </c>
      <c r="AQ129" t="s">
        <v>2637</v>
      </c>
      <c r="AR129" t="s">
        <v>2637</v>
      </c>
      <c r="AS129" t="s">
        <v>2637</v>
      </c>
      <c r="AT129" t="s">
        <v>2637</v>
      </c>
      <c r="AU129" t="s">
        <v>2637</v>
      </c>
      <c r="AV129" t="s">
        <v>2637</v>
      </c>
      <c r="AW129" t="s">
        <v>2634</v>
      </c>
      <c r="AX129" t="s">
        <v>2634</v>
      </c>
      <c r="AY129" t="s">
        <v>2634</v>
      </c>
      <c r="AZ129" t="s">
        <v>2634</v>
      </c>
      <c r="BA129" t="s">
        <v>2634</v>
      </c>
      <c r="BB129" t="s">
        <v>2634</v>
      </c>
      <c r="BC129" t="s">
        <v>2634</v>
      </c>
      <c r="BD129" t="s">
        <v>1538</v>
      </c>
      <c r="BE129" t="s">
        <v>1538</v>
      </c>
      <c r="BF129" t="s">
        <v>1538</v>
      </c>
      <c r="BG129" t="s">
        <v>1538</v>
      </c>
      <c r="BH129" t="s">
        <v>1538</v>
      </c>
      <c r="BI129" t="s">
        <v>1538</v>
      </c>
      <c r="BJ129" t="s">
        <v>1538</v>
      </c>
      <c r="BK129" t="s">
        <v>1538</v>
      </c>
      <c r="BL129" t="s">
        <v>1538</v>
      </c>
      <c r="BM129" t="s">
        <v>1538</v>
      </c>
      <c r="BN129" t="s">
        <v>1538</v>
      </c>
      <c r="BO129" t="s">
        <v>1538</v>
      </c>
      <c r="BP129" t="s">
        <v>1538</v>
      </c>
      <c r="BQ129" t="s">
        <v>1538</v>
      </c>
      <c r="BR129" t="s">
        <v>1538</v>
      </c>
      <c r="BS129" t="s">
        <v>1538</v>
      </c>
      <c r="BT129" t="s">
        <v>1538</v>
      </c>
      <c r="BU129" t="s">
        <v>1538</v>
      </c>
      <c r="BV129" t="s">
        <v>1538</v>
      </c>
      <c r="BW129" t="s">
        <v>1538</v>
      </c>
      <c r="BX129" t="s">
        <v>1538</v>
      </c>
      <c r="BY129" t="s">
        <v>1538</v>
      </c>
      <c r="BZ129" t="s">
        <v>1538</v>
      </c>
      <c r="CA129" t="s">
        <v>1538</v>
      </c>
      <c r="CB129" t="s">
        <v>1538</v>
      </c>
      <c r="CC129" t="s">
        <v>1538</v>
      </c>
      <c r="CD129" t="s">
        <v>1538</v>
      </c>
      <c r="CE129" t="s">
        <v>1538</v>
      </c>
      <c r="CF129" t="s">
        <v>1538</v>
      </c>
      <c r="CG129" t="s">
        <v>1538</v>
      </c>
      <c r="CH129" t="s">
        <v>2625</v>
      </c>
      <c r="CI129" t="s">
        <v>2625</v>
      </c>
      <c r="CJ129" t="s">
        <v>2625</v>
      </c>
      <c r="CK129" t="s">
        <v>2625</v>
      </c>
      <c r="CL129" t="s">
        <v>2625</v>
      </c>
      <c r="CM129" t="s">
        <v>2625</v>
      </c>
      <c r="CN129" t="s">
        <v>2625</v>
      </c>
      <c r="CO129" t="s">
        <v>2625</v>
      </c>
      <c r="CP129" t="s">
        <v>2625</v>
      </c>
      <c r="CQ129" t="s">
        <v>2625</v>
      </c>
      <c r="CR129" t="s">
        <v>2625</v>
      </c>
      <c r="CS129" t="s">
        <v>2625</v>
      </c>
      <c r="CT129" t="s">
        <v>2625</v>
      </c>
      <c r="CU129" t="s">
        <v>2625</v>
      </c>
      <c r="CV129" t="s">
        <v>2625</v>
      </c>
      <c r="CW129" t="s">
        <v>2625</v>
      </c>
      <c r="CX129" t="s">
        <v>2625</v>
      </c>
      <c r="CY129" t="s">
        <v>2625</v>
      </c>
      <c r="CZ129" t="s">
        <v>2625</v>
      </c>
      <c r="DA129" t="s">
        <v>2625</v>
      </c>
      <c r="DB129" t="s">
        <v>2625</v>
      </c>
      <c r="DC129" t="s">
        <v>2625</v>
      </c>
      <c r="DD129" t="s">
        <v>2625</v>
      </c>
      <c r="DE129" t="s">
        <v>2625</v>
      </c>
      <c r="DF129" t="s">
        <v>2625</v>
      </c>
      <c r="DG129" t="s">
        <v>2625</v>
      </c>
      <c r="DH129" t="s">
        <v>2587</v>
      </c>
      <c r="DI129" t="s">
        <v>2587</v>
      </c>
      <c r="DJ129" t="s">
        <v>2587</v>
      </c>
      <c r="DK129" t="s">
        <v>2587</v>
      </c>
      <c r="DL129" t="s">
        <v>2587</v>
      </c>
      <c r="DM129" t="s">
        <v>2587</v>
      </c>
      <c r="DN129" t="s">
        <v>2587</v>
      </c>
      <c r="DO129" t="s">
        <v>2587</v>
      </c>
      <c r="DP129" t="s">
        <v>2587</v>
      </c>
      <c r="DQ129" t="s">
        <v>2587</v>
      </c>
      <c r="DR129" t="s">
        <v>2587</v>
      </c>
      <c r="DS129" t="s">
        <v>2587</v>
      </c>
      <c r="DT129" t="s">
        <v>2587</v>
      </c>
      <c r="DU129" t="s">
        <v>2587</v>
      </c>
      <c r="DV129" t="s">
        <v>2587</v>
      </c>
      <c r="DW129" t="s">
        <v>2587</v>
      </c>
      <c r="DX129" t="s">
        <v>2587</v>
      </c>
      <c r="DY129" t="s">
        <v>2587</v>
      </c>
      <c r="DZ129" t="s">
        <v>2587</v>
      </c>
      <c r="EA129" t="s">
        <v>2587</v>
      </c>
      <c r="EB129" t="s">
        <v>2587</v>
      </c>
      <c r="EI129" t="s">
        <v>2779</v>
      </c>
      <c r="EJ129" t="s">
        <v>2779</v>
      </c>
      <c r="EK129" t="s">
        <v>2779</v>
      </c>
      <c r="EL129" t="s">
        <v>2779</v>
      </c>
      <c r="EM129" t="s">
        <v>2779</v>
      </c>
      <c r="EN129" t="s">
        <v>2779</v>
      </c>
      <c r="EO129" t="s">
        <v>2779</v>
      </c>
      <c r="EP129" t="s">
        <v>2779</v>
      </c>
      <c r="EQ129" t="s">
        <v>2779</v>
      </c>
      <c r="ER129" t="s">
        <v>2779</v>
      </c>
      <c r="ES129" t="s">
        <v>2779</v>
      </c>
      <c r="ET129" t="s">
        <v>2779</v>
      </c>
      <c r="EU129" t="s">
        <v>2779</v>
      </c>
      <c r="EV129" t="s">
        <v>2779</v>
      </c>
      <c r="EW129" t="s">
        <v>2779</v>
      </c>
      <c r="EX129" t="s">
        <v>2779</v>
      </c>
      <c r="EY129" t="s">
        <v>2779</v>
      </c>
      <c r="EZ129" t="s">
        <v>2779</v>
      </c>
      <c r="FA129" t="s">
        <v>2779</v>
      </c>
      <c r="FB129" t="s">
        <v>2779</v>
      </c>
      <c r="FC129" t="s">
        <v>2779</v>
      </c>
      <c r="FD129" t="s">
        <v>2779</v>
      </c>
      <c r="FE129" t="s">
        <v>2779</v>
      </c>
      <c r="FF129" t="s">
        <v>2779</v>
      </c>
      <c r="FG129" t="s">
        <v>2779</v>
      </c>
      <c r="FH129" t="s">
        <v>2779</v>
      </c>
      <c r="FI129" t="s">
        <v>2784</v>
      </c>
      <c r="FJ129" t="s">
        <v>2784</v>
      </c>
      <c r="FK129" t="s">
        <v>2784</v>
      </c>
      <c r="FL129" t="s">
        <v>2784</v>
      </c>
      <c r="FM129" t="s">
        <v>2784</v>
      </c>
      <c r="FN129" t="s">
        <v>2784</v>
      </c>
      <c r="FO129" t="s">
        <v>2784</v>
      </c>
      <c r="FP129" t="s">
        <v>2784</v>
      </c>
      <c r="FQ129" t="s">
        <v>2787</v>
      </c>
      <c r="FR129" t="s">
        <v>2787</v>
      </c>
      <c r="FS129" t="s">
        <v>2787</v>
      </c>
      <c r="FT129" t="s">
        <v>2787</v>
      </c>
      <c r="FU129" t="s">
        <v>2787</v>
      </c>
      <c r="GP129" t="s">
        <v>4326</v>
      </c>
      <c r="GQ129" t="s">
        <v>4326</v>
      </c>
      <c r="GR129" t="s">
        <v>4326</v>
      </c>
      <c r="GS129" t="s">
        <v>4326</v>
      </c>
      <c r="GT129" t="s">
        <v>4326</v>
      </c>
      <c r="GU129" t="s">
        <v>4326</v>
      </c>
      <c r="GV129" t="s">
        <v>4326</v>
      </c>
      <c r="GW129" t="s">
        <v>4326</v>
      </c>
      <c r="GX129" t="s">
        <v>4326</v>
      </c>
      <c r="GY129" t="s">
        <v>4326</v>
      </c>
      <c r="GZ129" t="s">
        <v>4326</v>
      </c>
      <c r="HA129" t="s">
        <v>4326</v>
      </c>
      <c r="HB129" t="s">
        <v>4326</v>
      </c>
      <c r="HC129" t="s">
        <v>4326</v>
      </c>
      <c r="HD129" t="s">
        <v>4326</v>
      </c>
      <c r="HE129" t="s">
        <v>4326</v>
      </c>
      <c r="HF129" t="s">
        <v>4326</v>
      </c>
      <c r="HG129" t="s">
        <v>4326</v>
      </c>
      <c r="HH129" t="s">
        <v>4326</v>
      </c>
      <c r="HI129" t="s">
        <v>4326</v>
      </c>
      <c r="HJ129" t="s">
        <v>4326</v>
      </c>
      <c r="HK129" t="s">
        <v>4326</v>
      </c>
      <c r="HL129" t="s">
        <v>4326</v>
      </c>
      <c r="HM129" t="s">
        <v>4326</v>
      </c>
      <c r="HN129" t="s">
        <v>4326</v>
      </c>
      <c r="HO129" t="s">
        <v>4326</v>
      </c>
      <c r="HP129" t="s">
        <v>4326</v>
      </c>
      <c r="HQ129" t="s">
        <v>4326</v>
      </c>
      <c r="HR129" t="s">
        <v>4326</v>
      </c>
      <c r="HS129" t="s">
        <v>4326</v>
      </c>
      <c r="HT129" t="s">
        <v>4326</v>
      </c>
      <c r="HU129" t="s">
        <v>4326</v>
      </c>
      <c r="HV129" t="s">
        <v>4326</v>
      </c>
      <c r="HW129" t="s">
        <v>4326</v>
      </c>
      <c r="HX129" t="s">
        <v>4326</v>
      </c>
      <c r="HY129" t="s">
        <v>4326</v>
      </c>
      <c r="HZ129" t="s">
        <v>4326</v>
      </c>
      <c r="IA129" t="s">
        <v>4326</v>
      </c>
      <c r="IB129" t="s">
        <v>4326</v>
      </c>
      <c r="IC129" t="s">
        <v>4326</v>
      </c>
      <c r="ID129" t="s">
        <v>4326</v>
      </c>
      <c r="IE129" t="s">
        <v>4332</v>
      </c>
      <c r="IF129" t="s">
        <v>4332</v>
      </c>
      <c r="IG129" t="s">
        <v>4332</v>
      </c>
      <c r="IH129" t="s">
        <v>4332</v>
      </c>
      <c r="II129" t="s">
        <v>4332</v>
      </c>
      <c r="IJ129" t="s">
        <v>4332</v>
      </c>
      <c r="IK129" t="s">
        <v>4326</v>
      </c>
      <c r="IL129" t="s">
        <v>4326</v>
      </c>
      <c r="IM129" t="s">
        <v>4326</v>
      </c>
      <c r="IN129" t="s">
        <v>4326</v>
      </c>
      <c r="IO129" t="s">
        <v>4328</v>
      </c>
      <c r="IP129" t="s">
        <v>4328</v>
      </c>
      <c r="IQ129" t="s">
        <v>4328</v>
      </c>
      <c r="IR129" t="s">
        <v>4328</v>
      </c>
      <c r="IS129" t="s">
        <v>4328</v>
      </c>
      <c r="IT129" t="s">
        <v>4328</v>
      </c>
      <c r="IU129" t="s">
        <v>4328</v>
      </c>
      <c r="IV129" t="s">
        <v>4328</v>
      </c>
      <c r="IW129" t="s">
        <v>4328</v>
      </c>
      <c r="IX129" t="s">
        <v>4328</v>
      </c>
      <c r="IY129" t="s">
        <v>4331</v>
      </c>
      <c r="IZ129" t="s">
        <v>4331</v>
      </c>
      <c r="JA129" t="s">
        <v>4331</v>
      </c>
      <c r="JB129" t="s">
        <v>4331</v>
      </c>
      <c r="JC129" t="s">
        <v>4331</v>
      </c>
      <c r="JD129" t="s">
        <v>4331</v>
      </c>
      <c r="JE129" t="s">
        <v>4331</v>
      </c>
      <c r="JF129" t="s">
        <v>4331</v>
      </c>
      <c r="JG129" t="s">
        <v>4331</v>
      </c>
      <c r="JH129" t="s">
        <v>4331</v>
      </c>
      <c r="JI129" t="s">
        <v>4331</v>
      </c>
      <c r="JJ129" t="s">
        <v>4331</v>
      </c>
      <c r="JK129" t="s">
        <v>4331</v>
      </c>
      <c r="JL129" t="s">
        <v>4331</v>
      </c>
      <c r="JM129" t="s">
        <v>4331</v>
      </c>
      <c r="JN129" t="s">
        <v>4331</v>
      </c>
      <c r="JO129" t="s">
        <v>4331</v>
      </c>
      <c r="JP129" t="s">
        <v>4331</v>
      </c>
      <c r="JQ129" t="s">
        <v>4331</v>
      </c>
      <c r="JR129" t="s">
        <v>4331</v>
      </c>
      <c r="JS129" t="s">
        <v>4331</v>
      </c>
      <c r="JT129" t="s">
        <v>4331</v>
      </c>
      <c r="JU129" t="s">
        <v>4331</v>
      </c>
    </row>
    <row r="130" spans="30:281" x14ac:dyDescent="0.3">
      <c r="AE130" t="s">
        <v>2646</v>
      </c>
      <c r="AF130" t="s">
        <v>2646</v>
      </c>
      <c r="AG130" t="s">
        <v>2646</v>
      </c>
      <c r="AH130" t="s">
        <v>2646</v>
      </c>
      <c r="AI130" t="s">
        <v>2646</v>
      </c>
      <c r="AJ130" t="s">
        <v>2711</v>
      </c>
      <c r="AK130" t="s">
        <v>2711</v>
      </c>
      <c r="AL130" t="s">
        <v>2637</v>
      </c>
      <c r="AM130" t="s">
        <v>2637</v>
      </c>
      <c r="AN130" t="s">
        <v>2637</v>
      </c>
      <c r="AO130" t="s">
        <v>2637</v>
      </c>
      <c r="AP130" t="s">
        <v>2637</v>
      </c>
      <c r="AQ130" t="s">
        <v>2637</v>
      </c>
      <c r="AR130" t="s">
        <v>2637</v>
      </c>
      <c r="AS130" t="s">
        <v>2637</v>
      </c>
      <c r="AT130" t="s">
        <v>2637</v>
      </c>
      <c r="AU130" t="s">
        <v>2637</v>
      </c>
      <c r="AV130" t="s">
        <v>2637</v>
      </c>
      <c r="AW130" t="s">
        <v>2634</v>
      </c>
      <c r="AX130" t="s">
        <v>2634</v>
      </c>
      <c r="AY130" t="s">
        <v>2634</v>
      </c>
      <c r="AZ130" t="s">
        <v>2634</v>
      </c>
      <c r="BA130" t="s">
        <v>2634</v>
      </c>
      <c r="BB130" t="s">
        <v>1538</v>
      </c>
      <c r="BC130" t="s">
        <v>1538</v>
      </c>
      <c r="BD130" t="s">
        <v>1538</v>
      </c>
      <c r="BE130" t="s">
        <v>1538</v>
      </c>
      <c r="BF130" t="s">
        <v>1538</v>
      </c>
      <c r="BG130" t="s">
        <v>1538</v>
      </c>
      <c r="BH130" t="s">
        <v>1538</v>
      </c>
      <c r="BI130" t="s">
        <v>1538</v>
      </c>
      <c r="BJ130" t="s">
        <v>1538</v>
      </c>
      <c r="BK130" t="s">
        <v>1538</v>
      </c>
      <c r="BL130" t="s">
        <v>1538</v>
      </c>
      <c r="BM130" t="s">
        <v>1538</v>
      </c>
      <c r="BN130" t="s">
        <v>1538</v>
      </c>
      <c r="BO130" t="s">
        <v>1538</v>
      </c>
      <c r="BP130" t="s">
        <v>1538</v>
      </c>
      <c r="BQ130" t="s">
        <v>1538</v>
      </c>
      <c r="BR130" t="s">
        <v>1538</v>
      </c>
      <c r="BS130" t="s">
        <v>1538</v>
      </c>
      <c r="BT130" t="s">
        <v>1538</v>
      </c>
      <c r="BU130" t="s">
        <v>1538</v>
      </c>
      <c r="BV130" t="s">
        <v>1538</v>
      </c>
      <c r="BW130" t="s">
        <v>1538</v>
      </c>
      <c r="BX130" t="s">
        <v>1538</v>
      </c>
      <c r="BY130" t="s">
        <v>1538</v>
      </c>
      <c r="BZ130" t="s">
        <v>1538</v>
      </c>
      <c r="CA130" t="s">
        <v>1538</v>
      </c>
      <c r="CB130" t="s">
        <v>1538</v>
      </c>
      <c r="CC130" t="s">
        <v>1538</v>
      </c>
      <c r="CD130" t="s">
        <v>1538</v>
      </c>
      <c r="CE130" t="s">
        <v>1538</v>
      </c>
      <c r="CF130" t="s">
        <v>1538</v>
      </c>
      <c r="CG130" t="s">
        <v>2625</v>
      </c>
      <c r="CH130" t="s">
        <v>2625</v>
      </c>
      <c r="CI130" t="s">
        <v>2625</v>
      </c>
      <c r="CJ130" t="s">
        <v>2625</v>
      </c>
      <c r="CK130" t="s">
        <v>2625</v>
      </c>
      <c r="CL130" t="s">
        <v>2625</v>
      </c>
      <c r="CM130" t="s">
        <v>2625</v>
      </c>
      <c r="CN130" t="s">
        <v>2625</v>
      </c>
      <c r="CO130" t="s">
        <v>2625</v>
      </c>
      <c r="CP130" t="s">
        <v>2625</v>
      </c>
      <c r="CQ130" t="s">
        <v>2625</v>
      </c>
      <c r="CR130" t="s">
        <v>2625</v>
      </c>
      <c r="CS130" t="s">
        <v>2625</v>
      </c>
      <c r="CT130" t="s">
        <v>2625</v>
      </c>
      <c r="CU130" t="s">
        <v>2625</v>
      </c>
      <c r="CV130" t="s">
        <v>2625</v>
      </c>
      <c r="CW130" t="s">
        <v>2625</v>
      </c>
      <c r="CX130" t="s">
        <v>2625</v>
      </c>
      <c r="CY130" t="s">
        <v>2625</v>
      </c>
      <c r="CZ130" t="s">
        <v>2625</v>
      </c>
      <c r="DA130" t="s">
        <v>2625</v>
      </c>
      <c r="DB130" t="s">
        <v>2625</v>
      </c>
      <c r="DC130" t="s">
        <v>2625</v>
      </c>
      <c r="DD130" t="s">
        <v>2625</v>
      </c>
      <c r="DE130" t="s">
        <v>2625</v>
      </c>
      <c r="DF130" t="s">
        <v>2625</v>
      </c>
      <c r="DG130" t="s">
        <v>2625</v>
      </c>
      <c r="DH130" t="s">
        <v>2587</v>
      </c>
      <c r="DI130" t="s">
        <v>2587</v>
      </c>
      <c r="DJ130" t="s">
        <v>2587</v>
      </c>
      <c r="DK130" t="s">
        <v>2587</v>
      </c>
      <c r="DL130" t="s">
        <v>2587</v>
      </c>
      <c r="DM130" t="s">
        <v>2587</v>
      </c>
      <c r="DN130" t="s">
        <v>2587</v>
      </c>
      <c r="DO130" t="s">
        <v>2587</v>
      </c>
      <c r="DP130" t="s">
        <v>2587</v>
      </c>
      <c r="DQ130" t="s">
        <v>2587</v>
      </c>
      <c r="DR130" t="s">
        <v>2587</v>
      </c>
      <c r="DS130" t="s">
        <v>2587</v>
      </c>
      <c r="DT130" t="s">
        <v>2587</v>
      </c>
      <c r="DU130" t="s">
        <v>2587</v>
      </c>
      <c r="DV130" t="s">
        <v>2587</v>
      </c>
      <c r="DW130" t="s">
        <v>2587</v>
      </c>
      <c r="DX130" t="s">
        <v>2587</v>
      </c>
      <c r="DY130" t="s">
        <v>2587</v>
      </c>
      <c r="DZ130" t="s">
        <v>2587</v>
      </c>
      <c r="EA130" t="s">
        <v>2587</v>
      </c>
      <c r="EB130" t="s">
        <v>2587</v>
      </c>
      <c r="EG130" t="s">
        <v>2779</v>
      </c>
      <c r="EH130" t="s">
        <v>2779</v>
      </c>
      <c r="EI130" t="s">
        <v>2779</v>
      </c>
      <c r="EJ130" t="s">
        <v>2779</v>
      </c>
      <c r="EK130" t="s">
        <v>2779</v>
      </c>
      <c r="EL130" t="s">
        <v>2779</v>
      </c>
      <c r="EM130" t="s">
        <v>2779</v>
      </c>
      <c r="EN130" t="s">
        <v>2779</v>
      </c>
      <c r="EO130" t="s">
        <v>2779</v>
      </c>
      <c r="EP130" t="s">
        <v>2779</v>
      </c>
      <c r="EQ130" t="s">
        <v>2779</v>
      </c>
      <c r="ER130" t="s">
        <v>2779</v>
      </c>
      <c r="ES130" t="s">
        <v>2779</v>
      </c>
      <c r="ET130" t="s">
        <v>2779</v>
      </c>
      <c r="EU130" t="s">
        <v>2779</v>
      </c>
      <c r="EV130" t="s">
        <v>2779</v>
      </c>
      <c r="EW130" t="s">
        <v>2779</v>
      </c>
      <c r="EX130" t="s">
        <v>2779</v>
      </c>
      <c r="EY130" t="s">
        <v>2779</v>
      </c>
      <c r="EZ130" t="s">
        <v>2779</v>
      </c>
      <c r="FA130" t="s">
        <v>2779</v>
      </c>
      <c r="FB130" t="s">
        <v>2779</v>
      </c>
      <c r="FC130" t="s">
        <v>2779</v>
      </c>
      <c r="FD130" t="s">
        <v>2779</v>
      </c>
      <c r="FE130" t="s">
        <v>2779</v>
      </c>
      <c r="FF130" t="s">
        <v>2779</v>
      </c>
      <c r="FG130" t="s">
        <v>2779</v>
      </c>
      <c r="FH130" t="s">
        <v>2779</v>
      </c>
      <c r="FI130" t="s">
        <v>2784</v>
      </c>
      <c r="FN130" t="s">
        <v>2784</v>
      </c>
      <c r="FO130" t="s">
        <v>2784</v>
      </c>
      <c r="FP130" t="s">
        <v>2784</v>
      </c>
      <c r="FQ130" t="s">
        <v>2784</v>
      </c>
      <c r="FR130" t="s">
        <v>2787</v>
      </c>
      <c r="FS130" t="s">
        <v>2787</v>
      </c>
      <c r="GO130" t="s">
        <v>4333</v>
      </c>
      <c r="GP130" t="s">
        <v>4333</v>
      </c>
      <c r="GQ130" t="s">
        <v>4326</v>
      </c>
      <c r="GR130" t="s">
        <v>4326</v>
      </c>
      <c r="GS130" t="s">
        <v>4326</v>
      </c>
      <c r="GT130" t="s">
        <v>4326</v>
      </c>
      <c r="GU130" t="s">
        <v>4326</v>
      </c>
      <c r="GV130" t="s">
        <v>4326</v>
      </c>
      <c r="GW130" t="s">
        <v>4326</v>
      </c>
      <c r="GX130" t="s">
        <v>4326</v>
      </c>
      <c r="GY130" t="s">
        <v>4326</v>
      </c>
      <c r="GZ130" t="s">
        <v>4326</v>
      </c>
      <c r="HA130" t="s">
        <v>4326</v>
      </c>
      <c r="HB130" t="s">
        <v>4326</v>
      </c>
      <c r="HC130" t="s">
        <v>4326</v>
      </c>
      <c r="HD130" t="s">
        <v>4326</v>
      </c>
      <c r="HE130" t="s">
        <v>4326</v>
      </c>
      <c r="HF130" t="s">
        <v>4326</v>
      </c>
      <c r="HG130" t="s">
        <v>4326</v>
      </c>
      <c r="HH130" t="s">
        <v>4326</v>
      </c>
      <c r="HI130" t="s">
        <v>4326</v>
      </c>
      <c r="HJ130" t="s">
        <v>4326</v>
      </c>
      <c r="HK130" t="s">
        <v>4326</v>
      </c>
      <c r="HL130" t="s">
        <v>4326</v>
      </c>
      <c r="HM130" t="s">
        <v>4326</v>
      </c>
      <c r="HN130" t="s">
        <v>4326</v>
      </c>
      <c r="HO130" t="s">
        <v>4326</v>
      </c>
      <c r="HP130" t="s">
        <v>4326</v>
      </c>
      <c r="HQ130" t="s">
        <v>4326</v>
      </c>
      <c r="HR130" t="s">
        <v>4326</v>
      </c>
      <c r="HS130" t="s">
        <v>4326</v>
      </c>
      <c r="HT130" t="s">
        <v>4326</v>
      </c>
      <c r="HU130" t="s">
        <v>4326</v>
      </c>
      <c r="HV130" t="s">
        <v>4326</v>
      </c>
      <c r="HW130" t="s">
        <v>4326</v>
      </c>
      <c r="HX130" t="s">
        <v>4326</v>
      </c>
      <c r="HY130" t="s">
        <v>4326</v>
      </c>
      <c r="HZ130" t="s">
        <v>4326</v>
      </c>
      <c r="IA130" t="s">
        <v>4326</v>
      </c>
      <c r="IB130" t="s">
        <v>4326</v>
      </c>
      <c r="IC130" t="s">
        <v>4326</v>
      </c>
      <c r="ID130" t="s">
        <v>4326</v>
      </c>
      <c r="IE130" t="s">
        <v>4332</v>
      </c>
      <c r="IF130" t="s">
        <v>4332</v>
      </c>
      <c r="IG130" t="s">
        <v>4332</v>
      </c>
      <c r="IH130" t="s">
        <v>4332</v>
      </c>
      <c r="II130" t="s">
        <v>4332</v>
      </c>
      <c r="IJ130" t="s">
        <v>4332</v>
      </c>
      <c r="IK130" t="s">
        <v>4332</v>
      </c>
      <c r="IL130" t="s">
        <v>4326</v>
      </c>
      <c r="IM130" t="s">
        <v>4326</v>
      </c>
      <c r="IN130" t="s">
        <v>4326</v>
      </c>
      <c r="IO130" t="s">
        <v>4326</v>
      </c>
      <c r="IP130" t="s">
        <v>4326</v>
      </c>
      <c r="IQ130" t="s">
        <v>4328</v>
      </c>
      <c r="IR130" t="s">
        <v>4328</v>
      </c>
      <c r="IS130" t="s">
        <v>4328</v>
      </c>
      <c r="IT130" t="s">
        <v>4328</v>
      </c>
      <c r="IU130" t="s">
        <v>4328</v>
      </c>
      <c r="IV130" t="s">
        <v>4328</v>
      </c>
      <c r="IW130" t="s">
        <v>4331</v>
      </c>
      <c r="IX130" t="s">
        <v>4331</v>
      </c>
      <c r="IY130" t="s">
        <v>4331</v>
      </c>
      <c r="IZ130" t="s">
        <v>4331</v>
      </c>
      <c r="JA130" t="s">
        <v>4331</v>
      </c>
      <c r="JB130" t="s">
        <v>4331</v>
      </c>
      <c r="JC130" t="s">
        <v>4331</v>
      </c>
      <c r="JD130" t="s">
        <v>4331</v>
      </c>
      <c r="JE130" t="s">
        <v>4331</v>
      </c>
      <c r="JF130" t="s">
        <v>4331</v>
      </c>
      <c r="JG130" t="s">
        <v>4331</v>
      </c>
      <c r="JH130" t="s">
        <v>4331</v>
      </c>
      <c r="JI130" t="s">
        <v>4331</v>
      </c>
      <c r="JJ130" t="s">
        <v>4331</v>
      </c>
      <c r="JK130" t="s">
        <v>4331</v>
      </c>
      <c r="JL130" t="s">
        <v>4331</v>
      </c>
      <c r="JM130" t="s">
        <v>4331</v>
      </c>
      <c r="JN130" t="s">
        <v>4331</v>
      </c>
      <c r="JO130" t="s">
        <v>4331</v>
      </c>
      <c r="JP130" t="s">
        <v>4331</v>
      </c>
      <c r="JQ130" t="s">
        <v>4331</v>
      </c>
      <c r="JR130" t="s">
        <v>4331</v>
      </c>
      <c r="JS130" t="s">
        <v>4331</v>
      </c>
      <c r="JT130" t="s">
        <v>4331</v>
      </c>
      <c r="JU130" t="s">
        <v>4331</v>
      </c>
    </row>
    <row r="131" spans="30:281" x14ac:dyDescent="0.3">
      <c r="AF131" t="s">
        <v>2646</v>
      </c>
      <c r="AG131" t="s">
        <v>2646</v>
      </c>
      <c r="AH131" t="s">
        <v>2646</v>
      </c>
      <c r="AI131" t="s">
        <v>2646</v>
      </c>
      <c r="AJ131" t="s">
        <v>2646</v>
      </c>
      <c r="AK131" t="s">
        <v>2711</v>
      </c>
      <c r="AL131" t="s">
        <v>2637</v>
      </c>
      <c r="AM131" t="s">
        <v>2637</v>
      </c>
      <c r="AN131" t="s">
        <v>2637</v>
      </c>
      <c r="AO131" t="s">
        <v>2637</v>
      </c>
      <c r="AP131" t="s">
        <v>2637</v>
      </c>
      <c r="AQ131" t="s">
        <v>2637</v>
      </c>
      <c r="AR131" t="s">
        <v>2637</v>
      </c>
      <c r="AS131" t="s">
        <v>2637</v>
      </c>
      <c r="AT131" t="s">
        <v>2637</v>
      </c>
      <c r="AU131" t="s">
        <v>2637</v>
      </c>
      <c r="AV131" t="s">
        <v>2637</v>
      </c>
      <c r="AW131" t="s">
        <v>2634</v>
      </c>
      <c r="AX131" t="s">
        <v>2634</v>
      </c>
      <c r="AY131" t="s">
        <v>2634</v>
      </c>
      <c r="AZ131" t="s">
        <v>2634</v>
      </c>
      <c r="BA131" t="s">
        <v>1538</v>
      </c>
      <c r="BB131" t="s">
        <v>1538</v>
      </c>
      <c r="BC131" t="s">
        <v>1538</v>
      </c>
      <c r="BD131" t="s">
        <v>1538</v>
      </c>
      <c r="BE131" t="s">
        <v>1538</v>
      </c>
      <c r="BF131" t="s">
        <v>1538</v>
      </c>
      <c r="BG131" t="s">
        <v>1538</v>
      </c>
      <c r="BH131" t="s">
        <v>1538</v>
      </c>
      <c r="BI131" t="s">
        <v>1538</v>
      </c>
      <c r="BJ131" t="s">
        <v>1538</v>
      </c>
      <c r="BK131" t="s">
        <v>1538</v>
      </c>
      <c r="BL131" t="s">
        <v>1538</v>
      </c>
      <c r="BM131" t="s">
        <v>1538</v>
      </c>
      <c r="BN131" t="s">
        <v>1538</v>
      </c>
      <c r="BO131" t="s">
        <v>1538</v>
      </c>
      <c r="BP131" t="s">
        <v>1538</v>
      </c>
      <c r="BQ131" t="s">
        <v>1538</v>
      </c>
      <c r="BR131" t="s">
        <v>1538</v>
      </c>
      <c r="BS131" t="s">
        <v>1538</v>
      </c>
      <c r="BT131" t="s">
        <v>1538</v>
      </c>
      <c r="BU131" t="s">
        <v>1538</v>
      </c>
      <c r="BV131" t="s">
        <v>1538</v>
      </c>
      <c r="BW131" t="s">
        <v>1538</v>
      </c>
      <c r="BX131" t="s">
        <v>1538</v>
      </c>
      <c r="BY131" t="s">
        <v>1538</v>
      </c>
      <c r="BZ131" t="s">
        <v>1538</v>
      </c>
      <c r="CA131" t="s">
        <v>1538</v>
      </c>
      <c r="CB131" t="s">
        <v>1538</v>
      </c>
      <c r="CC131" t="s">
        <v>1538</v>
      </c>
      <c r="CD131" t="s">
        <v>2625</v>
      </c>
      <c r="CE131" t="s">
        <v>2625</v>
      </c>
      <c r="CF131" t="s">
        <v>2625</v>
      </c>
      <c r="CG131" t="s">
        <v>2625</v>
      </c>
      <c r="CH131" t="s">
        <v>2625</v>
      </c>
      <c r="CI131" t="s">
        <v>2625</v>
      </c>
      <c r="CJ131" t="s">
        <v>2625</v>
      </c>
      <c r="CK131" t="s">
        <v>2625</v>
      </c>
      <c r="CL131" t="s">
        <v>2625</v>
      </c>
      <c r="CM131" t="s">
        <v>2625</v>
      </c>
      <c r="CN131" t="s">
        <v>2625</v>
      </c>
      <c r="CO131" t="s">
        <v>2625</v>
      </c>
      <c r="CP131" t="s">
        <v>2625</v>
      </c>
      <c r="CQ131" t="s">
        <v>2625</v>
      </c>
      <c r="CR131" t="s">
        <v>2625</v>
      </c>
      <c r="CS131" t="s">
        <v>2625</v>
      </c>
      <c r="CT131" t="s">
        <v>2625</v>
      </c>
      <c r="CU131" t="s">
        <v>2625</v>
      </c>
      <c r="CV131" t="s">
        <v>2625</v>
      </c>
      <c r="CW131" t="s">
        <v>2625</v>
      </c>
      <c r="CX131" t="s">
        <v>2625</v>
      </c>
      <c r="CY131" t="s">
        <v>2625</v>
      </c>
      <c r="CZ131" t="s">
        <v>2625</v>
      </c>
      <c r="DA131" t="s">
        <v>2625</v>
      </c>
      <c r="DB131" t="s">
        <v>2625</v>
      </c>
      <c r="DC131" t="s">
        <v>2625</v>
      </c>
      <c r="DD131" t="s">
        <v>2625</v>
      </c>
      <c r="DE131" t="s">
        <v>2625</v>
      </c>
      <c r="DF131" t="s">
        <v>2625</v>
      </c>
      <c r="DG131" t="s">
        <v>2625</v>
      </c>
      <c r="DH131" t="s">
        <v>2587</v>
      </c>
      <c r="DI131" t="s">
        <v>2587</v>
      </c>
      <c r="DJ131" t="s">
        <v>2587</v>
      </c>
      <c r="DK131" t="s">
        <v>2587</v>
      </c>
      <c r="DL131" t="s">
        <v>2587</v>
      </c>
      <c r="DM131" t="s">
        <v>2587</v>
      </c>
      <c r="DN131" t="s">
        <v>2587</v>
      </c>
      <c r="DO131" t="s">
        <v>2587</v>
      </c>
      <c r="DP131" t="s">
        <v>2587</v>
      </c>
      <c r="DQ131" t="s">
        <v>2587</v>
      </c>
      <c r="DR131" t="s">
        <v>2587</v>
      </c>
      <c r="DS131" t="s">
        <v>2587</v>
      </c>
      <c r="DT131" t="s">
        <v>2587</v>
      </c>
      <c r="DU131" t="s">
        <v>2587</v>
      </c>
      <c r="DV131" t="s">
        <v>2587</v>
      </c>
      <c r="DW131" t="s">
        <v>2587</v>
      </c>
      <c r="DX131" t="s">
        <v>2587</v>
      </c>
      <c r="DY131" t="s">
        <v>2587</v>
      </c>
      <c r="DZ131" t="s">
        <v>2587</v>
      </c>
      <c r="EA131" t="s">
        <v>2587</v>
      </c>
      <c r="EF131" t="s">
        <v>2779</v>
      </c>
      <c r="EG131" t="s">
        <v>2779</v>
      </c>
      <c r="EH131" t="s">
        <v>2779</v>
      </c>
      <c r="EI131" t="s">
        <v>2779</v>
      </c>
      <c r="EJ131" t="s">
        <v>2779</v>
      </c>
      <c r="EK131" t="s">
        <v>2779</v>
      </c>
      <c r="EL131" t="s">
        <v>2779</v>
      </c>
      <c r="EM131" t="s">
        <v>2779</v>
      </c>
      <c r="EN131" t="s">
        <v>2779</v>
      </c>
      <c r="EO131" t="s">
        <v>2779</v>
      </c>
      <c r="EP131" t="s">
        <v>2779</v>
      </c>
      <c r="EQ131" t="s">
        <v>2779</v>
      </c>
      <c r="ER131" t="s">
        <v>2779</v>
      </c>
      <c r="ES131" t="s">
        <v>2779</v>
      </c>
      <c r="ET131" t="s">
        <v>2779</v>
      </c>
      <c r="EU131" t="s">
        <v>2779</v>
      </c>
      <c r="EV131" t="s">
        <v>2779</v>
      </c>
      <c r="EW131" t="s">
        <v>2779</v>
      </c>
      <c r="EX131" t="s">
        <v>2779</v>
      </c>
      <c r="EY131" t="s">
        <v>2779</v>
      </c>
      <c r="EZ131" t="s">
        <v>2779</v>
      </c>
      <c r="FA131" t="s">
        <v>2779</v>
      </c>
      <c r="FB131" t="s">
        <v>2779</v>
      </c>
      <c r="FC131" t="s">
        <v>2779</v>
      </c>
      <c r="FD131" t="s">
        <v>2779</v>
      </c>
      <c r="FE131" t="s">
        <v>2779</v>
      </c>
      <c r="FF131" t="s">
        <v>2779</v>
      </c>
      <c r="FG131" t="s">
        <v>2779</v>
      </c>
      <c r="FH131" t="s">
        <v>2793</v>
      </c>
      <c r="FO131" t="s">
        <v>2784</v>
      </c>
      <c r="FP131" t="s">
        <v>2784</v>
      </c>
      <c r="FQ131" t="s">
        <v>2784</v>
      </c>
      <c r="FR131" t="s">
        <v>2787</v>
      </c>
      <c r="GN131" t="s">
        <v>4333</v>
      </c>
      <c r="GO131" t="s">
        <v>4333</v>
      </c>
      <c r="GP131" t="s">
        <v>4333</v>
      </c>
      <c r="GQ131" t="s">
        <v>4333</v>
      </c>
      <c r="GR131" t="s">
        <v>4333</v>
      </c>
      <c r="GS131" t="s">
        <v>4333</v>
      </c>
      <c r="GT131" t="s">
        <v>4333</v>
      </c>
      <c r="GU131" t="s">
        <v>4333</v>
      </c>
      <c r="GV131" t="s">
        <v>4326</v>
      </c>
      <c r="GW131" t="s">
        <v>4326</v>
      </c>
      <c r="GX131" t="s">
        <v>4326</v>
      </c>
      <c r="GY131" t="s">
        <v>4326</v>
      </c>
      <c r="GZ131" t="s">
        <v>4326</v>
      </c>
      <c r="HA131" t="s">
        <v>4326</v>
      </c>
      <c r="HB131" t="s">
        <v>4326</v>
      </c>
      <c r="HC131" t="s">
        <v>4326</v>
      </c>
      <c r="HD131" t="s">
        <v>4326</v>
      </c>
      <c r="HE131" t="s">
        <v>4326</v>
      </c>
      <c r="HF131" t="s">
        <v>4326</v>
      </c>
      <c r="HG131" t="s">
        <v>4326</v>
      </c>
      <c r="HH131" t="s">
        <v>4326</v>
      </c>
      <c r="HI131" t="s">
        <v>4326</v>
      </c>
      <c r="HJ131" t="s">
        <v>4326</v>
      </c>
      <c r="HK131" t="s">
        <v>4326</v>
      </c>
      <c r="HL131" t="s">
        <v>4326</v>
      </c>
      <c r="HM131" t="s">
        <v>4326</v>
      </c>
      <c r="HN131" t="s">
        <v>4326</v>
      </c>
      <c r="HO131" t="s">
        <v>4326</v>
      </c>
      <c r="HP131" t="s">
        <v>4326</v>
      </c>
      <c r="HQ131" t="s">
        <v>4326</v>
      </c>
      <c r="HR131" t="s">
        <v>4326</v>
      </c>
      <c r="HS131" t="s">
        <v>4326</v>
      </c>
      <c r="HT131" t="s">
        <v>4326</v>
      </c>
      <c r="HU131" t="s">
        <v>4326</v>
      </c>
      <c r="HV131" t="s">
        <v>4326</v>
      </c>
      <c r="HW131" t="s">
        <v>4326</v>
      </c>
      <c r="HX131" t="s">
        <v>4326</v>
      </c>
      <c r="HY131" t="s">
        <v>4326</v>
      </c>
      <c r="HZ131" t="s">
        <v>4326</v>
      </c>
      <c r="IA131" t="s">
        <v>4326</v>
      </c>
      <c r="IB131" t="s">
        <v>4326</v>
      </c>
      <c r="IC131" t="s">
        <v>4326</v>
      </c>
      <c r="ID131" t="s">
        <v>4332</v>
      </c>
      <c r="IE131" t="s">
        <v>4332</v>
      </c>
      <c r="IF131" t="s">
        <v>4332</v>
      </c>
      <c r="IG131" t="s">
        <v>4332</v>
      </c>
      <c r="IH131" t="s">
        <v>4332</v>
      </c>
      <c r="II131" t="s">
        <v>4332</v>
      </c>
      <c r="IJ131" t="s">
        <v>4332</v>
      </c>
      <c r="IK131" t="s">
        <v>4332</v>
      </c>
      <c r="IL131" t="s">
        <v>4332</v>
      </c>
      <c r="IM131" t="s">
        <v>4326</v>
      </c>
      <c r="IN131" t="s">
        <v>4326</v>
      </c>
      <c r="IO131" t="s">
        <v>4326</v>
      </c>
      <c r="IP131" t="s">
        <v>4326</v>
      </c>
      <c r="IQ131" t="s">
        <v>4328</v>
      </c>
      <c r="IR131" t="s">
        <v>4328</v>
      </c>
      <c r="IS131" t="s">
        <v>4328</v>
      </c>
      <c r="IT131" t="s">
        <v>4328</v>
      </c>
      <c r="IU131" t="s">
        <v>4328</v>
      </c>
      <c r="IV131" t="s">
        <v>4328</v>
      </c>
      <c r="IW131" t="s">
        <v>4331</v>
      </c>
      <c r="IX131" t="s">
        <v>4331</v>
      </c>
      <c r="IY131" t="s">
        <v>4331</v>
      </c>
      <c r="IZ131" t="s">
        <v>4331</v>
      </c>
      <c r="JA131" t="s">
        <v>4331</v>
      </c>
      <c r="JB131" t="s">
        <v>4331</v>
      </c>
      <c r="JC131" t="s">
        <v>4331</v>
      </c>
      <c r="JD131" t="s">
        <v>4331</v>
      </c>
      <c r="JE131" t="s">
        <v>4331</v>
      </c>
      <c r="JF131" t="s">
        <v>4331</v>
      </c>
      <c r="JG131" t="s">
        <v>4331</v>
      </c>
      <c r="JH131" t="s">
        <v>4331</v>
      </c>
      <c r="JI131" t="s">
        <v>4331</v>
      </c>
      <c r="JJ131" t="s">
        <v>4331</v>
      </c>
      <c r="JK131" t="s">
        <v>4331</v>
      </c>
      <c r="JL131" t="s">
        <v>4331</v>
      </c>
      <c r="JM131" t="s">
        <v>4331</v>
      </c>
      <c r="JN131" t="s">
        <v>4331</v>
      </c>
      <c r="JO131" t="s">
        <v>4331</v>
      </c>
      <c r="JP131" t="s">
        <v>4331</v>
      </c>
      <c r="JQ131" t="s">
        <v>4331</v>
      </c>
      <c r="JR131" t="s">
        <v>4331</v>
      </c>
      <c r="JS131" t="s">
        <v>4331</v>
      </c>
      <c r="JT131" t="s">
        <v>4331</v>
      </c>
      <c r="JU131" t="s">
        <v>4331</v>
      </c>
    </row>
    <row r="132" spans="30:281" x14ac:dyDescent="0.3">
      <c r="AF132" t="s">
        <v>2646</v>
      </c>
      <c r="AG132" t="s">
        <v>2646</v>
      </c>
      <c r="AH132" t="s">
        <v>2646</v>
      </c>
      <c r="AI132" t="s">
        <v>2646</v>
      </c>
      <c r="AJ132" t="s">
        <v>2646</v>
      </c>
      <c r="AK132" t="s">
        <v>2711</v>
      </c>
      <c r="AL132" t="s">
        <v>2637</v>
      </c>
      <c r="AM132" t="s">
        <v>2637</v>
      </c>
      <c r="AN132" t="s">
        <v>2637</v>
      </c>
      <c r="AO132" t="s">
        <v>2637</v>
      </c>
      <c r="AP132" t="s">
        <v>2637</v>
      </c>
      <c r="AQ132" t="s">
        <v>2637</v>
      </c>
      <c r="AR132" t="s">
        <v>2637</v>
      </c>
      <c r="AS132" t="s">
        <v>2637</v>
      </c>
      <c r="AT132" t="s">
        <v>2637</v>
      </c>
      <c r="AU132" t="s">
        <v>2637</v>
      </c>
      <c r="AV132" t="s">
        <v>2637</v>
      </c>
      <c r="AW132" t="s">
        <v>2637</v>
      </c>
      <c r="AX132" t="s">
        <v>2637</v>
      </c>
      <c r="AY132" t="s">
        <v>1538</v>
      </c>
      <c r="AZ132" t="s">
        <v>1538</v>
      </c>
      <c r="BA132" t="s">
        <v>1538</v>
      </c>
      <c r="BB132" t="s">
        <v>1538</v>
      </c>
      <c r="BC132" t="s">
        <v>1538</v>
      </c>
      <c r="BD132" t="s">
        <v>1538</v>
      </c>
      <c r="BE132" t="s">
        <v>1538</v>
      </c>
      <c r="BF132" t="s">
        <v>1538</v>
      </c>
      <c r="BG132" t="s">
        <v>1538</v>
      </c>
      <c r="BH132" t="s">
        <v>1538</v>
      </c>
      <c r="BI132" t="s">
        <v>1538</v>
      </c>
      <c r="BJ132" t="s">
        <v>1538</v>
      </c>
      <c r="BK132" t="s">
        <v>1538</v>
      </c>
      <c r="BL132" t="s">
        <v>1538</v>
      </c>
      <c r="BM132" t="s">
        <v>1538</v>
      </c>
      <c r="BN132" t="s">
        <v>1538</v>
      </c>
      <c r="BO132" t="s">
        <v>1538</v>
      </c>
      <c r="BP132" t="s">
        <v>1538</v>
      </c>
      <c r="BQ132" t="s">
        <v>1538</v>
      </c>
      <c r="BR132" t="s">
        <v>1538</v>
      </c>
      <c r="BS132" t="s">
        <v>1538</v>
      </c>
      <c r="BT132" t="s">
        <v>1538</v>
      </c>
      <c r="BU132" t="s">
        <v>1538</v>
      </c>
      <c r="BV132" t="s">
        <v>1538</v>
      </c>
      <c r="BW132" t="s">
        <v>1538</v>
      </c>
      <c r="BX132" t="s">
        <v>1538</v>
      </c>
      <c r="BY132" t="s">
        <v>1538</v>
      </c>
      <c r="BZ132" t="s">
        <v>1538</v>
      </c>
      <c r="CA132" t="s">
        <v>1538</v>
      </c>
      <c r="CB132" t="s">
        <v>1538</v>
      </c>
      <c r="CC132" t="s">
        <v>1538</v>
      </c>
      <c r="CD132" t="s">
        <v>2625</v>
      </c>
      <c r="CE132" t="s">
        <v>2625</v>
      </c>
      <c r="CF132" t="s">
        <v>2625</v>
      </c>
      <c r="CG132" t="s">
        <v>2625</v>
      </c>
      <c r="CH132" t="s">
        <v>2625</v>
      </c>
      <c r="CI132" t="s">
        <v>2625</v>
      </c>
      <c r="CJ132" t="s">
        <v>2625</v>
      </c>
      <c r="CK132" t="s">
        <v>2625</v>
      </c>
      <c r="CL132" t="s">
        <v>2625</v>
      </c>
      <c r="CM132" t="s">
        <v>2625</v>
      </c>
      <c r="CN132" t="s">
        <v>2625</v>
      </c>
      <c r="CO132" t="s">
        <v>2625</v>
      </c>
      <c r="CP132" t="s">
        <v>2625</v>
      </c>
      <c r="CQ132" t="s">
        <v>2625</v>
      </c>
      <c r="CR132" t="s">
        <v>2625</v>
      </c>
      <c r="CS132" t="s">
        <v>2625</v>
      </c>
      <c r="CT132" t="s">
        <v>2625</v>
      </c>
      <c r="CU132" t="s">
        <v>2625</v>
      </c>
      <c r="CV132" t="s">
        <v>2625</v>
      </c>
      <c r="CW132" t="s">
        <v>2625</v>
      </c>
      <c r="CX132" t="s">
        <v>2625</v>
      </c>
      <c r="CY132" t="s">
        <v>2625</v>
      </c>
      <c r="CZ132" t="s">
        <v>2625</v>
      </c>
      <c r="DA132" t="s">
        <v>2625</v>
      </c>
      <c r="DB132" t="s">
        <v>2625</v>
      </c>
      <c r="DC132" t="s">
        <v>2625</v>
      </c>
      <c r="DD132" t="s">
        <v>2625</v>
      </c>
      <c r="DE132" t="s">
        <v>2625</v>
      </c>
      <c r="DF132" t="s">
        <v>2625</v>
      </c>
      <c r="DG132" t="s">
        <v>2625</v>
      </c>
      <c r="DH132" t="s">
        <v>2587</v>
      </c>
      <c r="DI132" t="s">
        <v>2587</v>
      </c>
      <c r="DJ132" t="s">
        <v>2587</v>
      </c>
      <c r="DK132" t="s">
        <v>2587</v>
      </c>
      <c r="DL132" t="s">
        <v>2587</v>
      </c>
      <c r="DM132" t="s">
        <v>2587</v>
      </c>
      <c r="DN132" t="s">
        <v>2587</v>
      </c>
      <c r="DO132" t="s">
        <v>2587</v>
      </c>
      <c r="DP132" t="s">
        <v>2587</v>
      </c>
      <c r="DQ132" t="s">
        <v>2587</v>
      </c>
      <c r="DR132" t="s">
        <v>2587</v>
      </c>
      <c r="DS132" t="s">
        <v>2587</v>
      </c>
      <c r="DT132" t="s">
        <v>2587</v>
      </c>
      <c r="DU132" t="s">
        <v>2587</v>
      </c>
      <c r="DV132" t="s">
        <v>2587</v>
      </c>
      <c r="DW132" t="s">
        <v>2587</v>
      </c>
      <c r="DX132" t="s">
        <v>2587</v>
      </c>
      <c r="DY132" t="s">
        <v>2587</v>
      </c>
      <c r="DZ132" t="s">
        <v>2587</v>
      </c>
      <c r="EF132" t="s">
        <v>2779</v>
      </c>
      <c r="EG132" t="s">
        <v>2779</v>
      </c>
      <c r="EH132" t="s">
        <v>2779</v>
      </c>
      <c r="EI132" t="s">
        <v>2779</v>
      </c>
      <c r="EJ132" t="s">
        <v>2779</v>
      </c>
      <c r="EK132" t="s">
        <v>2779</v>
      </c>
      <c r="EL132" t="s">
        <v>2779</v>
      </c>
      <c r="EM132" t="s">
        <v>2779</v>
      </c>
      <c r="EN132" t="s">
        <v>2779</v>
      </c>
      <c r="EO132" t="s">
        <v>2779</v>
      </c>
      <c r="EP132" t="s">
        <v>2779</v>
      </c>
      <c r="EQ132" t="s">
        <v>2779</v>
      </c>
      <c r="ER132" t="s">
        <v>2779</v>
      </c>
      <c r="ES132" t="s">
        <v>2779</v>
      </c>
      <c r="ET132" t="s">
        <v>2779</v>
      </c>
      <c r="EU132" t="s">
        <v>2779</v>
      </c>
      <c r="EV132" t="s">
        <v>2779</v>
      </c>
      <c r="EW132" t="s">
        <v>2779</v>
      </c>
      <c r="EX132" t="s">
        <v>2779</v>
      </c>
      <c r="EY132" t="s">
        <v>2779</v>
      </c>
      <c r="EZ132" t="s">
        <v>2779</v>
      </c>
      <c r="FA132" t="s">
        <v>2779</v>
      </c>
      <c r="FB132" t="s">
        <v>2779</v>
      </c>
      <c r="FC132" t="s">
        <v>2779</v>
      </c>
      <c r="FD132" t="s">
        <v>2779</v>
      </c>
      <c r="FE132" t="s">
        <v>2779</v>
      </c>
      <c r="FF132" t="s">
        <v>2779</v>
      </c>
      <c r="FH132" t="s">
        <v>2793</v>
      </c>
      <c r="FP132" t="s">
        <v>2784</v>
      </c>
      <c r="FQ132" t="s">
        <v>2784</v>
      </c>
      <c r="FR132" t="s">
        <v>2784</v>
      </c>
      <c r="GA132" t="s">
        <v>4334</v>
      </c>
      <c r="GB132" t="s">
        <v>4334</v>
      </c>
      <c r="GC132" t="s">
        <v>4333</v>
      </c>
      <c r="GD132" t="s">
        <v>4333</v>
      </c>
      <c r="GE132" t="s">
        <v>4333</v>
      </c>
      <c r="GF132" t="s">
        <v>4333</v>
      </c>
      <c r="GG132" t="s">
        <v>4333</v>
      </c>
      <c r="GH132" t="s">
        <v>4333</v>
      </c>
      <c r="GM132" t="s">
        <v>4333</v>
      </c>
      <c r="GN132" t="s">
        <v>4333</v>
      </c>
      <c r="GO132" t="s">
        <v>4333</v>
      </c>
      <c r="GP132" t="s">
        <v>4333</v>
      </c>
      <c r="GQ132" t="s">
        <v>4333</v>
      </c>
      <c r="GR132" t="s">
        <v>4333</v>
      </c>
      <c r="GS132" t="s">
        <v>4333</v>
      </c>
      <c r="GT132" t="s">
        <v>4333</v>
      </c>
      <c r="GU132" t="s">
        <v>4333</v>
      </c>
      <c r="GV132" t="s">
        <v>4326</v>
      </c>
      <c r="GW132" t="s">
        <v>4326</v>
      </c>
      <c r="GX132" t="s">
        <v>4326</v>
      </c>
      <c r="GY132" t="s">
        <v>4326</v>
      </c>
      <c r="GZ132" t="s">
        <v>4326</v>
      </c>
      <c r="HA132" t="s">
        <v>4326</v>
      </c>
      <c r="HB132" t="s">
        <v>4326</v>
      </c>
      <c r="HC132" t="s">
        <v>4326</v>
      </c>
      <c r="HD132" t="s">
        <v>4326</v>
      </c>
      <c r="HE132" t="s">
        <v>4326</v>
      </c>
      <c r="HF132" t="s">
        <v>4326</v>
      </c>
      <c r="HG132" t="s">
        <v>4326</v>
      </c>
      <c r="HH132" t="s">
        <v>4326</v>
      </c>
      <c r="HI132" t="s">
        <v>4326</v>
      </c>
      <c r="HJ132" t="s">
        <v>4326</v>
      </c>
      <c r="HK132" t="s">
        <v>4326</v>
      </c>
      <c r="HL132" t="s">
        <v>4326</v>
      </c>
      <c r="HM132" t="s">
        <v>4326</v>
      </c>
      <c r="HN132" t="s">
        <v>4326</v>
      </c>
      <c r="HO132" t="s">
        <v>4326</v>
      </c>
      <c r="HP132" t="s">
        <v>4326</v>
      </c>
      <c r="HQ132" t="s">
        <v>4326</v>
      </c>
      <c r="HR132" t="s">
        <v>4326</v>
      </c>
      <c r="HS132" t="s">
        <v>4326</v>
      </c>
      <c r="HT132" t="s">
        <v>4326</v>
      </c>
      <c r="HU132" t="s">
        <v>4326</v>
      </c>
      <c r="HV132" t="s">
        <v>4326</v>
      </c>
      <c r="HW132" t="s">
        <v>4326</v>
      </c>
      <c r="HX132" t="s">
        <v>4326</v>
      </c>
      <c r="HY132" t="s">
        <v>4326</v>
      </c>
      <c r="HZ132" t="s">
        <v>4326</v>
      </c>
      <c r="IA132" t="s">
        <v>4326</v>
      </c>
      <c r="IB132" t="s">
        <v>4326</v>
      </c>
      <c r="IC132" t="s">
        <v>4326</v>
      </c>
      <c r="ID132" t="s">
        <v>4326</v>
      </c>
      <c r="IE132" t="s">
        <v>4326</v>
      </c>
      <c r="IF132" t="s">
        <v>4332</v>
      </c>
      <c r="IG132" t="s">
        <v>4332</v>
      </c>
      <c r="IH132" t="s">
        <v>4326</v>
      </c>
      <c r="II132" t="s">
        <v>4326</v>
      </c>
      <c r="IJ132" t="s">
        <v>4326</v>
      </c>
      <c r="IK132" t="s">
        <v>4326</v>
      </c>
      <c r="IL132" t="s">
        <v>4326</v>
      </c>
      <c r="IM132" t="s">
        <v>4326</v>
      </c>
      <c r="IN132" t="s">
        <v>4326</v>
      </c>
      <c r="IO132" t="s">
        <v>4326</v>
      </c>
      <c r="IP132" t="s">
        <v>4326</v>
      </c>
      <c r="IQ132" t="s">
        <v>4328</v>
      </c>
      <c r="IR132" t="s">
        <v>4328</v>
      </c>
      <c r="IS132" t="s">
        <v>4328</v>
      </c>
      <c r="IT132" t="s">
        <v>4328</v>
      </c>
      <c r="IU132" t="s">
        <v>4328</v>
      </c>
      <c r="IV132" t="s">
        <v>4328</v>
      </c>
      <c r="IW132" t="s">
        <v>4328</v>
      </c>
      <c r="IX132" t="s">
        <v>4331</v>
      </c>
      <c r="IY132" t="s">
        <v>4331</v>
      </c>
      <c r="IZ132" t="s">
        <v>4331</v>
      </c>
      <c r="JA132" t="s">
        <v>4331</v>
      </c>
      <c r="JB132" t="s">
        <v>4331</v>
      </c>
      <c r="JC132" t="s">
        <v>4331</v>
      </c>
      <c r="JD132" t="s">
        <v>4331</v>
      </c>
      <c r="JE132" t="s">
        <v>4331</v>
      </c>
      <c r="JF132" t="s">
        <v>4331</v>
      </c>
      <c r="JG132" t="s">
        <v>4331</v>
      </c>
      <c r="JH132" t="s">
        <v>4331</v>
      </c>
      <c r="JI132" t="s">
        <v>4331</v>
      </c>
      <c r="JJ132" t="s">
        <v>4331</v>
      </c>
      <c r="JK132" t="s">
        <v>4331</v>
      </c>
      <c r="JL132" t="s">
        <v>4331</v>
      </c>
      <c r="JM132" t="s">
        <v>4331</v>
      </c>
      <c r="JN132" t="s">
        <v>4331</v>
      </c>
      <c r="JO132" t="s">
        <v>4331</v>
      </c>
      <c r="JP132" t="s">
        <v>4331</v>
      </c>
      <c r="JQ132" t="s">
        <v>4331</v>
      </c>
      <c r="JR132" t="s">
        <v>4331</v>
      </c>
      <c r="JS132" t="s">
        <v>4331</v>
      </c>
      <c r="JT132" t="s">
        <v>4331</v>
      </c>
      <c r="JU132" t="s">
        <v>4331</v>
      </c>
    </row>
    <row r="133" spans="30:281" x14ac:dyDescent="0.3">
      <c r="AG133" t="s">
        <v>2646</v>
      </c>
      <c r="AH133" t="s">
        <v>2646</v>
      </c>
      <c r="AI133" t="s">
        <v>2646</v>
      </c>
      <c r="AJ133" t="s">
        <v>2646</v>
      </c>
      <c r="AK133" t="s">
        <v>2646</v>
      </c>
      <c r="AL133" t="s">
        <v>2637</v>
      </c>
      <c r="AM133" t="s">
        <v>2637</v>
      </c>
      <c r="AN133" t="s">
        <v>2637</v>
      </c>
      <c r="AO133" t="s">
        <v>2637</v>
      </c>
      <c r="AP133" t="s">
        <v>2637</v>
      </c>
      <c r="AQ133" t="s">
        <v>2637</v>
      </c>
      <c r="AR133" t="s">
        <v>2637</v>
      </c>
      <c r="AS133" t="s">
        <v>2637</v>
      </c>
      <c r="AT133" t="s">
        <v>2637</v>
      </c>
      <c r="AU133" t="s">
        <v>2637</v>
      </c>
      <c r="AV133" t="s">
        <v>2637</v>
      </c>
      <c r="AW133" t="s">
        <v>2637</v>
      </c>
      <c r="AX133" t="s">
        <v>1538</v>
      </c>
      <c r="AY133" t="s">
        <v>1538</v>
      </c>
      <c r="AZ133" t="s">
        <v>1538</v>
      </c>
      <c r="BA133" t="s">
        <v>1538</v>
      </c>
      <c r="BB133" t="s">
        <v>1538</v>
      </c>
      <c r="BC133" t="s">
        <v>1538</v>
      </c>
      <c r="BD133" t="s">
        <v>1538</v>
      </c>
      <c r="BE133" t="s">
        <v>1538</v>
      </c>
      <c r="BF133" t="s">
        <v>1538</v>
      </c>
      <c r="BG133" t="s">
        <v>1538</v>
      </c>
      <c r="BH133" t="s">
        <v>1538</v>
      </c>
      <c r="BI133" t="s">
        <v>1538</v>
      </c>
      <c r="BJ133" t="s">
        <v>1538</v>
      </c>
      <c r="BK133" t="s">
        <v>1538</v>
      </c>
      <c r="BL133" t="s">
        <v>1538</v>
      </c>
      <c r="BM133" t="s">
        <v>1538</v>
      </c>
      <c r="BN133" t="s">
        <v>1538</v>
      </c>
      <c r="BO133" t="s">
        <v>1538</v>
      </c>
      <c r="BP133" t="s">
        <v>1538</v>
      </c>
      <c r="BQ133" t="s">
        <v>1538</v>
      </c>
      <c r="BR133" t="s">
        <v>1538</v>
      </c>
      <c r="BS133" t="s">
        <v>1538</v>
      </c>
      <c r="BT133" t="s">
        <v>1538</v>
      </c>
      <c r="BU133" t="s">
        <v>1538</v>
      </c>
      <c r="BV133" t="s">
        <v>1538</v>
      </c>
      <c r="BW133" t="s">
        <v>1538</v>
      </c>
      <c r="BX133" t="s">
        <v>1538</v>
      </c>
      <c r="BY133" t="s">
        <v>1538</v>
      </c>
      <c r="BZ133" t="s">
        <v>1538</v>
      </c>
      <c r="CA133" t="s">
        <v>1538</v>
      </c>
      <c r="CB133" t="s">
        <v>1538</v>
      </c>
      <c r="CC133" t="s">
        <v>2625</v>
      </c>
      <c r="CD133" t="s">
        <v>2625</v>
      </c>
      <c r="CE133" t="s">
        <v>2625</v>
      </c>
      <c r="CF133" t="s">
        <v>2625</v>
      </c>
      <c r="CG133" t="s">
        <v>2625</v>
      </c>
      <c r="CH133" t="s">
        <v>2625</v>
      </c>
      <c r="CI133" t="s">
        <v>2625</v>
      </c>
      <c r="CJ133" t="s">
        <v>2625</v>
      </c>
      <c r="CK133" t="s">
        <v>2625</v>
      </c>
      <c r="CL133" t="s">
        <v>2625</v>
      </c>
      <c r="CM133" t="s">
        <v>2625</v>
      </c>
      <c r="CN133" t="s">
        <v>2625</v>
      </c>
      <c r="CO133" t="s">
        <v>2625</v>
      </c>
      <c r="CP133" t="s">
        <v>2625</v>
      </c>
      <c r="CQ133" t="s">
        <v>2625</v>
      </c>
      <c r="CR133" t="s">
        <v>2625</v>
      </c>
      <c r="CS133" t="s">
        <v>2625</v>
      </c>
      <c r="CT133" t="s">
        <v>2625</v>
      </c>
      <c r="CU133" t="s">
        <v>2625</v>
      </c>
      <c r="CV133" t="s">
        <v>2625</v>
      </c>
      <c r="CW133" t="s">
        <v>2625</v>
      </c>
      <c r="CX133" t="s">
        <v>2625</v>
      </c>
      <c r="CY133" t="s">
        <v>2625</v>
      </c>
      <c r="CZ133" t="s">
        <v>2625</v>
      </c>
      <c r="DA133" t="s">
        <v>2625</v>
      </c>
      <c r="DB133" t="s">
        <v>2625</v>
      </c>
      <c r="DC133" t="s">
        <v>2625</v>
      </c>
      <c r="DD133" t="s">
        <v>2625</v>
      </c>
      <c r="DE133" t="s">
        <v>2625</v>
      </c>
      <c r="DF133" t="s">
        <v>2625</v>
      </c>
      <c r="DG133" t="s">
        <v>2625</v>
      </c>
      <c r="DH133" t="s">
        <v>2587</v>
      </c>
      <c r="DI133" t="s">
        <v>2587</v>
      </c>
      <c r="DJ133" t="s">
        <v>2587</v>
      </c>
      <c r="DK133" t="s">
        <v>2587</v>
      </c>
      <c r="DL133" t="s">
        <v>2587</v>
      </c>
      <c r="DM133" t="s">
        <v>2587</v>
      </c>
      <c r="DN133" t="s">
        <v>2587</v>
      </c>
      <c r="DO133" t="s">
        <v>2587</v>
      </c>
      <c r="DP133" t="s">
        <v>2587</v>
      </c>
      <c r="DQ133" t="s">
        <v>2587</v>
      </c>
      <c r="DR133" t="s">
        <v>2587</v>
      </c>
      <c r="DS133" t="s">
        <v>2587</v>
      </c>
      <c r="DT133" t="s">
        <v>2587</v>
      </c>
      <c r="DU133" t="s">
        <v>2587</v>
      </c>
      <c r="DV133" t="s">
        <v>2587</v>
      </c>
      <c r="DW133" t="s">
        <v>2587</v>
      </c>
      <c r="DX133" t="s">
        <v>2587</v>
      </c>
      <c r="DY133" t="s">
        <v>2587</v>
      </c>
      <c r="DZ133" t="s">
        <v>2587</v>
      </c>
      <c r="EE133" t="s">
        <v>2779</v>
      </c>
      <c r="EF133" t="s">
        <v>2779</v>
      </c>
      <c r="EG133" t="s">
        <v>2779</v>
      </c>
      <c r="EH133" t="s">
        <v>2779</v>
      </c>
      <c r="EI133" t="s">
        <v>2779</v>
      </c>
      <c r="EJ133" t="s">
        <v>2779</v>
      </c>
      <c r="EK133" t="s">
        <v>2779</v>
      </c>
      <c r="EL133" t="s">
        <v>2779</v>
      </c>
      <c r="EM133" t="s">
        <v>2779</v>
      </c>
      <c r="EN133" t="s">
        <v>2779</v>
      </c>
      <c r="EO133" t="s">
        <v>2779</v>
      </c>
      <c r="EP133" t="s">
        <v>2779</v>
      </c>
      <c r="EQ133" t="s">
        <v>2779</v>
      </c>
      <c r="ER133" t="s">
        <v>2779</v>
      </c>
      <c r="ES133" t="s">
        <v>2779</v>
      </c>
      <c r="ET133" t="s">
        <v>2779</v>
      </c>
      <c r="EU133" t="s">
        <v>2779</v>
      </c>
      <c r="EV133" t="s">
        <v>2779</v>
      </c>
      <c r="EW133" t="s">
        <v>2779</v>
      </c>
      <c r="EX133" t="s">
        <v>2779</v>
      </c>
      <c r="EY133" t="s">
        <v>2779</v>
      </c>
      <c r="EZ133" t="s">
        <v>2779</v>
      </c>
      <c r="FA133" t="s">
        <v>2779</v>
      </c>
      <c r="FB133" t="s">
        <v>2779</v>
      </c>
      <c r="FC133" t="s">
        <v>2779</v>
      </c>
      <c r="FD133" t="s">
        <v>2779</v>
      </c>
      <c r="FE133" t="s">
        <v>2779</v>
      </c>
      <c r="FH133" t="s">
        <v>2793</v>
      </c>
      <c r="FR133" t="s">
        <v>2787</v>
      </c>
      <c r="FU133" t="s">
        <v>4334</v>
      </c>
      <c r="FV133" t="s">
        <v>4334</v>
      </c>
      <c r="FW133" t="s">
        <v>4334</v>
      </c>
      <c r="FX133" t="s">
        <v>4334</v>
      </c>
      <c r="FY133" t="s">
        <v>4334</v>
      </c>
      <c r="FZ133" t="s">
        <v>4334</v>
      </c>
      <c r="GA133" t="s">
        <v>4334</v>
      </c>
      <c r="GB133" t="s">
        <v>4334</v>
      </c>
      <c r="GC133" t="s">
        <v>4333</v>
      </c>
      <c r="GD133" t="s">
        <v>4333</v>
      </c>
      <c r="GE133" t="s">
        <v>4333</v>
      </c>
      <c r="GF133" t="s">
        <v>4333</v>
      </c>
      <c r="GG133" t="s">
        <v>4333</v>
      </c>
      <c r="GH133" t="s">
        <v>4333</v>
      </c>
      <c r="GI133" t="s">
        <v>4333</v>
      </c>
      <c r="GJ133" t="s">
        <v>4333</v>
      </c>
      <c r="GK133" t="s">
        <v>4333</v>
      </c>
      <c r="GL133" t="s">
        <v>4333</v>
      </c>
      <c r="GM133" t="s">
        <v>4333</v>
      </c>
      <c r="GN133" t="s">
        <v>4333</v>
      </c>
      <c r="GO133" t="s">
        <v>4333</v>
      </c>
      <c r="GP133" t="s">
        <v>4333</v>
      </c>
      <c r="GQ133" t="s">
        <v>4333</v>
      </c>
      <c r="GR133" t="s">
        <v>4333</v>
      </c>
      <c r="GS133" t="s">
        <v>4333</v>
      </c>
      <c r="GT133" t="s">
        <v>4333</v>
      </c>
      <c r="GU133" t="s">
        <v>4326</v>
      </c>
      <c r="GV133" t="s">
        <v>4326</v>
      </c>
      <c r="GW133" t="s">
        <v>4326</v>
      </c>
      <c r="GX133" t="s">
        <v>4326</v>
      </c>
      <c r="GY133" t="s">
        <v>4326</v>
      </c>
      <c r="GZ133" t="s">
        <v>4326</v>
      </c>
      <c r="HA133" t="s">
        <v>4326</v>
      </c>
      <c r="HB133" t="s">
        <v>4326</v>
      </c>
      <c r="HC133" t="s">
        <v>4326</v>
      </c>
      <c r="HD133" t="s">
        <v>4326</v>
      </c>
      <c r="HE133" t="s">
        <v>4326</v>
      </c>
      <c r="HF133" t="s">
        <v>4326</v>
      </c>
      <c r="HG133" t="s">
        <v>4326</v>
      </c>
      <c r="HH133" t="s">
        <v>4326</v>
      </c>
      <c r="HI133" t="s">
        <v>4326</v>
      </c>
      <c r="HJ133" t="s">
        <v>4326</v>
      </c>
      <c r="HK133" t="s">
        <v>4326</v>
      </c>
      <c r="HL133" t="s">
        <v>4326</v>
      </c>
      <c r="HM133" t="s">
        <v>4326</v>
      </c>
      <c r="HN133" t="s">
        <v>4326</v>
      </c>
      <c r="HO133" t="s">
        <v>4326</v>
      </c>
      <c r="HP133" t="s">
        <v>4326</v>
      </c>
      <c r="HQ133" t="s">
        <v>4326</v>
      </c>
      <c r="HR133" t="s">
        <v>4326</v>
      </c>
      <c r="HS133" t="s">
        <v>4326</v>
      </c>
      <c r="HT133" t="s">
        <v>4326</v>
      </c>
      <c r="HU133" t="s">
        <v>4326</v>
      </c>
      <c r="HV133" t="s">
        <v>4326</v>
      </c>
      <c r="HW133" t="s">
        <v>4326</v>
      </c>
      <c r="HX133" t="s">
        <v>4326</v>
      </c>
      <c r="HY133" t="s">
        <v>4326</v>
      </c>
      <c r="HZ133" t="s">
        <v>4326</v>
      </c>
      <c r="IA133" t="s">
        <v>4326</v>
      </c>
      <c r="IB133" t="s">
        <v>4326</v>
      </c>
      <c r="IC133" t="s">
        <v>4326</v>
      </c>
      <c r="ID133" t="s">
        <v>4332</v>
      </c>
      <c r="IE133" t="s">
        <v>4332</v>
      </c>
      <c r="IF133" t="s">
        <v>4332</v>
      </c>
      <c r="IG133" t="s">
        <v>4332</v>
      </c>
      <c r="IH133" t="s">
        <v>4326</v>
      </c>
      <c r="II133" t="s">
        <v>4326</v>
      </c>
      <c r="IJ133" t="s">
        <v>4326</v>
      </c>
      <c r="IK133" t="s">
        <v>4326</v>
      </c>
      <c r="IL133" t="s">
        <v>4326</v>
      </c>
      <c r="IM133" t="s">
        <v>4326</v>
      </c>
      <c r="IN133" t="s">
        <v>4326</v>
      </c>
      <c r="IO133" t="s">
        <v>4326</v>
      </c>
      <c r="IP133" t="s">
        <v>4326</v>
      </c>
      <c r="IQ133" t="s">
        <v>4326</v>
      </c>
      <c r="IR133" t="s">
        <v>4328</v>
      </c>
      <c r="IS133" t="s">
        <v>4328</v>
      </c>
      <c r="IT133" t="s">
        <v>4328</v>
      </c>
      <c r="IU133" t="s">
        <v>4328</v>
      </c>
      <c r="IV133" t="s">
        <v>4328</v>
      </c>
      <c r="IW133" t="s">
        <v>4328</v>
      </c>
      <c r="IX133" t="s">
        <v>4328</v>
      </c>
      <c r="IY133" t="s">
        <v>4331</v>
      </c>
      <c r="IZ133" t="s">
        <v>4331</v>
      </c>
      <c r="JA133" t="s">
        <v>4331</v>
      </c>
      <c r="JB133" t="s">
        <v>4331</v>
      </c>
      <c r="JC133" t="s">
        <v>4331</v>
      </c>
      <c r="JD133" t="s">
        <v>4331</v>
      </c>
      <c r="JE133" t="s">
        <v>4331</v>
      </c>
      <c r="JF133" t="s">
        <v>4331</v>
      </c>
      <c r="JG133" t="s">
        <v>4331</v>
      </c>
      <c r="JH133" t="s">
        <v>4331</v>
      </c>
      <c r="JI133" t="s">
        <v>4331</v>
      </c>
      <c r="JJ133" t="s">
        <v>4331</v>
      </c>
      <c r="JK133" t="s">
        <v>4331</v>
      </c>
      <c r="JL133" t="s">
        <v>4331</v>
      </c>
      <c r="JM133" t="s">
        <v>4331</v>
      </c>
      <c r="JN133" t="s">
        <v>4331</v>
      </c>
      <c r="JO133" t="s">
        <v>4331</v>
      </c>
      <c r="JP133" t="s">
        <v>4331</v>
      </c>
      <c r="JQ133" t="s">
        <v>4331</v>
      </c>
      <c r="JR133" t="s">
        <v>4331</v>
      </c>
      <c r="JS133" t="s">
        <v>4331</v>
      </c>
      <c r="JT133" t="s">
        <v>4331</v>
      </c>
      <c r="JU133" t="s">
        <v>4331</v>
      </c>
    </row>
    <row r="134" spans="30:281" x14ac:dyDescent="0.3">
      <c r="AG134" t="s">
        <v>2646</v>
      </c>
      <c r="AH134" t="s">
        <v>2646</v>
      </c>
      <c r="AI134" t="s">
        <v>2646</v>
      </c>
      <c r="AJ134" t="s">
        <v>2646</v>
      </c>
      <c r="AK134" t="s">
        <v>2646</v>
      </c>
      <c r="AL134" t="s">
        <v>2646</v>
      </c>
      <c r="AM134" t="s">
        <v>2711</v>
      </c>
      <c r="AN134" t="s">
        <v>2711</v>
      </c>
      <c r="AO134" t="s">
        <v>2711</v>
      </c>
      <c r="AP134" t="s">
        <v>2711</v>
      </c>
      <c r="AQ134" t="s">
        <v>2711</v>
      </c>
      <c r="AR134" t="s">
        <v>2711</v>
      </c>
      <c r="AS134" t="s">
        <v>2637</v>
      </c>
      <c r="AT134" t="s">
        <v>2637</v>
      </c>
      <c r="AU134" t="s">
        <v>2637</v>
      </c>
      <c r="AV134" t="s">
        <v>1538</v>
      </c>
      <c r="AW134" t="s">
        <v>1538</v>
      </c>
      <c r="AX134" t="s">
        <v>1538</v>
      </c>
      <c r="AY134" t="s">
        <v>1538</v>
      </c>
      <c r="AZ134" t="s">
        <v>1538</v>
      </c>
      <c r="BA134" t="s">
        <v>1538</v>
      </c>
      <c r="BB134" t="s">
        <v>1538</v>
      </c>
      <c r="BC134" t="s">
        <v>1538</v>
      </c>
      <c r="BD134" t="s">
        <v>1538</v>
      </c>
      <c r="BE134" t="s">
        <v>1538</v>
      </c>
      <c r="BF134" t="s">
        <v>1538</v>
      </c>
      <c r="BG134" t="s">
        <v>1538</v>
      </c>
      <c r="BH134" t="s">
        <v>1538</v>
      </c>
      <c r="BI134" t="s">
        <v>1538</v>
      </c>
      <c r="BJ134" t="s">
        <v>1538</v>
      </c>
      <c r="BK134" t="s">
        <v>1538</v>
      </c>
      <c r="BL134" t="s">
        <v>1538</v>
      </c>
      <c r="BM134" t="s">
        <v>1538</v>
      </c>
      <c r="BN134" t="s">
        <v>1538</v>
      </c>
      <c r="BO134" t="s">
        <v>1538</v>
      </c>
      <c r="BP134" t="s">
        <v>1538</v>
      </c>
      <c r="BQ134" t="s">
        <v>1538</v>
      </c>
      <c r="BR134" t="s">
        <v>1538</v>
      </c>
      <c r="BS134" t="s">
        <v>1538</v>
      </c>
      <c r="BT134" t="s">
        <v>1538</v>
      </c>
      <c r="BU134" t="s">
        <v>1538</v>
      </c>
      <c r="BV134" t="s">
        <v>1538</v>
      </c>
      <c r="BW134" t="s">
        <v>1538</v>
      </c>
      <c r="BX134" t="s">
        <v>1538</v>
      </c>
      <c r="BY134" t="s">
        <v>1538</v>
      </c>
      <c r="BZ134" t="s">
        <v>1538</v>
      </c>
      <c r="CA134" t="s">
        <v>1538</v>
      </c>
      <c r="CB134" t="s">
        <v>1538</v>
      </c>
      <c r="CC134" t="s">
        <v>2625</v>
      </c>
      <c r="CD134" t="s">
        <v>2625</v>
      </c>
      <c r="CE134" t="s">
        <v>2625</v>
      </c>
      <c r="CF134" t="s">
        <v>2625</v>
      </c>
      <c r="CG134" t="s">
        <v>2625</v>
      </c>
      <c r="CH134" t="s">
        <v>2625</v>
      </c>
      <c r="CI134" t="s">
        <v>2625</v>
      </c>
      <c r="CJ134" t="s">
        <v>2625</v>
      </c>
      <c r="CK134" t="s">
        <v>2625</v>
      </c>
      <c r="CL134" t="s">
        <v>2625</v>
      </c>
      <c r="CM134" t="s">
        <v>2625</v>
      </c>
      <c r="CN134" t="s">
        <v>2625</v>
      </c>
      <c r="CO134" t="s">
        <v>2625</v>
      </c>
      <c r="CP134" t="s">
        <v>2625</v>
      </c>
      <c r="CQ134" t="s">
        <v>2625</v>
      </c>
      <c r="CR134" t="s">
        <v>2625</v>
      </c>
      <c r="CS134" t="s">
        <v>2625</v>
      </c>
      <c r="CT134" t="s">
        <v>2625</v>
      </c>
      <c r="CU134" t="s">
        <v>2625</v>
      </c>
      <c r="CV134" t="s">
        <v>2625</v>
      </c>
      <c r="CW134" t="s">
        <v>2625</v>
      </c>
      <c r="CX134" t="s">
        <v>2625</v>
      </c>
      <c r="CY134" t="s">
        <v>2625</v>
      </c>
      <c r="CZ134" t="s">
        <v>2625</v>
      </c>
      <c r="DA134" t="s">
        <v>2625</v>
      </c>
      <c r="DB134" t="s">
        <v>2625</v>
      </c>
      <c r="DC134" t="s">
        <v>2625</v>
      </c>
      <c r="DD134" t="s">
        <v>2625</v>
      </c>
      <c r="DE134" t="s">
        <v>2625</v>
      </c>
      <c r="DF134" t="s">
        <v>2625</v>
      </c>
      <c r="DG134" t="s">
        <v>2625</v>
      </c>
      <c r="DH134" t="s">
        <v>2587</v>
      </c>
      <c r="DI134" t="s">
        <v>2587</v>
      </c>
      <c r="DJ134" t="s">
        <v>2587</v>
      </c>
      <c r="DK134" t="s">
        <v>2587</v>
      </c>
      <c r="DL134" t="s">
        <v>2587</v>
      </c>
      <c r="DM134" t="s">
        <v>2587</v>
      </c>
      <c r="DN134" t="s">
        <v>2587</v>
      </c>
      <c r="DO134" t="s">
        <v>2587</v>
      </c>
      <c r="DP134" t="s">
        <v>2587</v>
      </c>
      <c r="DQ134" t="s">
        <v>2587</v>
      </c>
      <c r="DR134" t="s">
        <v>2587</v>
      </c>
      <c r="DS134" t="s">
        <v>2587</v>
      </c>
      <c r="DT134" t="s">
        <v>2587</v>
      </c>
      <c r="DU134" t="s">
        <v>2587</v>
      </c>
      <c r="DV134" t="s">
        <v>2587</v>
      </c>
      <c r="DW134" t="s">
        <v>2587</v>
      </c>
      <c r="DX134" t="s">
        <v>2587</v>
      </c>
      <c r="DY134" t="s">
        <v>2587</v>
      </c>
      <c r="EE134" t="s">
        <v>2779</v>
      </c>
      <c r="EF134" t="s">
        <v>2779</v>
      </c>
      <c r="EG134" t="s">
        <v>2779</v>
      </c>
      <c r="EH134" t="s">
        <v>2779</v>
      </c>
      <c r="EI134" t="s">
        <v>2779</v>
      </c>
      <c r="EJ134" t="s">
        <v>2779</v>
      </c>
      <c r="EK134" t="s">
        <v>2779</v>
      </c>
      <c r="EL134" t="s">
        <v>2779</v>
      </c>
      <c r="EM134" t="s">
        <v>2779</v>
      </c>
      <c r="EN134" t="s">
        <v>2779</v>
      </c>
      <c r="EO134" t="s">
        <v>2779</v>
      </c>
      <c r="EP134" t="s">
        <v>2779</v>
      </c>
      <c r="EQ134" t="s">
        <v>2779</v>
      </c>
      <c r="ER134" t="s">
        <v>2779</v>
      </c>
      <c r="ES134" t="s">
        <v>2779</v>
      </c>
      <c r="ET134" t="s">
        <v>2779</v>
      </c>
      <c r="EU134" t="s">
        <v>2779</v>
      </c>
      <c r="EV134" t="s">
        <v>2779</v>
      </c>
      <c r="EW134" t="s">
        <v>2779</v>
      </c>
      <c r="EX134" t="s">
        <v>2779</v>
      </c>
      <c r="EY134" t="s">
        <v>2779</v>
      </c>
      <c r="EZ134" t="s">
        <v>2779</v>
      </c>
      <c r="FA134" t="s">
        <v>2779</v>
      </c>
      <c r="FB134" t="s">
        <v>2779</v>
      </c>
      <c r="FC134" t="s">
        <v>2779</v>
      </c>
      <c r="FD134" t="s">
        <v>2779</v>
      </c>
      <c r="FE134" t="s">
        <v>2779</v>
      </c>
      <c r="FG134" t="s">
        <v>2802</v>
      </c>
      <c r="FR134" t="s">
        <v>2787</v>
      </c>
      <c r="FT134" t="s">
        <v>4334</v>
      </c>
      <c r="FU134" t="s">
        <v>4334</v>
      </c>
      <c r="FV134" t="s">
        <v>4334</v>
      </c>
      <c r="FW134" t="s">
        <v>4334</v>
      </c>
      <c r="FX134" t="s">
        <v>4334</v>
      </c>
      <c r="FY134" t="s">
        <v>4334</v>
      </c>
      <c r="FZ134" t="s">
        <v>4334</v>
      </c>
      <c r="GA134" t="s">
        <v>4334</v>
      </c>
      <c r="GB134" t="s">
        <v>4334</v>
      </c>
      <c r="GC134" t="s">
        <v>4334</v>
      </c>
      <c r="GD134" t="s">
        <v>4333</v>
      </c>
      <c r="GE134" t="s">
        <v>4333</v>
      </c>
      <c r="GF134" t="s">
        <v>4333</v>
      </c>
      <c r="GG134" t="s">
        <v>4333</v>
      </c>
      <c r="GH134" t="s">
        <v>4333</v>
      </c>
      <c r="GI134" t="s">
        <v>4333</v>
      </c>
      <c r="GJ134" t="s">
        <v>4333</v>
      </c>
      <c r="GK134" t="s">
        <v>4333</v>
      </c>
      <c r="GL134" t="s">
        <v>4333</v>
      </c>
      <c r="GM134" t="s">
        <v>4333</v>
      </c>
      <c r="GN134" t="s">
        <v>4333</v>
      </c>
      <c r="GO134" t="s">
        <v>4333</v>
      </c>
      <c r="GP134" t="s">
        <v>4333</v>
      </c>
      <c r="GQ134" t="s">
        <v>4333</v>
      </c>
      <c r="GR134" t="s">
        <v>4333</v>
      </c>
      <c r="GS134" t="s">
        <v>4333</v>
      </c>
      <c r="GT134" t="s">
        <v>4326</v>
      </c>
      <c r="GU134" t="s">
        <v>4326</v>
      </c>
      <c r="GV134" t="s">
        <v>4326</v>
      </c>
      <c r="GW134" t="s">
        <v>4326</v>
      </c>
      <c r="GX134" t="s">
        <v>4326</v>
      </c>
      <c r="GY134" t="s">
        <v>4326</v>
      </c>
      <c r="GZ134" t="s">
        <v>4326</v>
      </c>
      <c r="HA134" t="s">
        <v>4326</v>
      </c>
      <c r="HB134" t="s">
        <v>4326</v>
      </c>
      <c r="HC134" t="s">
        <v>4326</v>
      </c>
      <c r="HD134" t="s">
        <v>4326</v>
      </c>
      <c r="HE134" t="s">
        <v>4326</v>
      </c>
      <c r="HF134" t="s">
        <v>4326</v>
      </c>
      <c r="HG134" t="s">
        <v>4326</v>
      </c>
      <c r="HH134" t="s">
        <v>4326</v>
      </c>
      <c r="HI134" t="s">
        <v>4326</v>
      </c>
      <c r="HJ134" t="s">
        <v>4326</v>
      </c>
      <c r="HK134" t="s">
        <v>4326</v>
      </c>
      <c r="HL134" t="s">
        <v>4326</v>
      </c>
      <c r="HM134" t="s">
        <v>4326</v>
      </c>
      <c r="HN134" t="s">
        <v>4326</v>
      </c>
      <c r="HO134" t="s">
        <v>4326</v>
      </c>
      <c r="HP134" t="s">
        <v>4326</v>
      </c>
      <c r="HQ134" t="s">
        <v>4326</v>
      </c>
      <c r="HR134" t="s">
        <v>4326</v>
      </c>
      <c r="HS134" t="s">
        <v>4326</v>
      </c>
      <c r="HT134" t="s">
        <v>4326</v>
      </c>
      <c r="HU134" t="s">
        <v>4326</v>
      </c>
      <c r="HV134" t="s">
        <v>4326</v>
      </c>
      <c r="HW134" t="s">
        <v>4326</v>
      </c>
      <c r="HX134" t="s">
        <v>4326</v>
      </c>
      <c r="HY134" t="s">
        <v>4326</v>
      </c>
      <c r="HZ134" t="s">
        <v>4326</v>
      </c>
      <c r="IA134" t="s">
        <v>4326</v>
      </c>
      <c r="IB134" t="s">
        <v>4326</v>
      </c>
      <c r="IC134" t="s">
        <v>4326</v>
      </c>
      <c r="ID134" t="s">
        <v>4326</v>
      </c>
      <c r="IE134" t="s">
        <v>4332</v>
      </c>
      <c r="IF134" t="s">
        <v>4326</v>
      </c>
      <c r="IG134" t="s">
        <v>4326</v>
      </c>
      <c r="IH134" t="s">
        <v>4326</v>
      </c>
      <c r="II134" t="s">
        <v>4326</v>
      </c>
      <c r="IJ134" t="s">
        <v>4326</v>
      </c>
      <c r="IK134" t="s">
        <v>4326</v>
      </c>
      <c r="IL134" t="s">
        <v>4326</v>
      </c>
      <c r="IM134" t="s">
        <v>4326</v>
      </c>
      <c r="IN134" t="s">
        <v>4326</v>
      </c>
      <c r="IO134" t="s">
        <v>4326</v>
      </c>
      <c r="IP134" t="s">
        <v>4326</v>
      </c>
      <c r="IQ134" t="s">
        <v>4326</v>
      </c>
      <c r="IR134" t="s">
        <v>4328</v>
      </c>
      <c r="IS134" t="s">
        <v>4328</v>
      </c>
      <c r="IT134" t="s">
        <v>4328</v>
      </c>
      <c r="IU134" t="s">
        <v>4328</v>
      </c>
      <c r="IV134" t="s">
        <v>4328</v>
      </c>
      <c r="IW134" t="s">
        <v>4328</v>
      </c>
      <c r="IX134" t="s">
        <v>4328</v>
      </c>
      <c r="IY134" t="s">
        <v>4331</v>
      </c>
      <c r="IZ134" t="s">
        <v>4331</v>
      </c>
      <c r="JA134" t="s">
        <v>4331</v>
      </c>
      <c r="JB134" t="s">
        <v>4331</v>
      </c>
      <c r="JC134" t="s">
        <v>4331</v>
      </c>
      <c r="JD134" t="s">
        <v>4331</v>
      </c>
      <c r="JE134" t="s">
        <v>4331</v>
      </c>
      <c r="JF134" t="s">
        <v>4331</v>
      </c>
      <c r="JG134" t="s">
        <v>4331</v>
      </c>
      <c r="JH134" t="s">
        <v>4331</v>
      </c>
      <c r="JI134" t="s">
        <v>4331</v>
      </c>
      <c r="JJ134" t="s">
        <v>4331</v>
      </c>
      <c r="JK134" t="s">
        <v>4331</v>
      </c>
      <c r="JL134" t="s">
        <v>4331</v>
      </c>
      <c r="JM134" t="s">
        <v>4331</v>
      </c>
      <c r="JN134" t="s">
        <v>4331</v>
      </c>
      <c r="JO134" t="s">
        <v>4331</v>
      </c>
      <c r="JP134" t="s">
        <v>4331</v>
      </c>
      <c r="JQ134" t="s">
        <v>4331</v>
      </c>
      <c r="JR134" t="s">
        <v>4331</v>
      </c>
      <c r="JS134" t="s">
        <v>4331</v>
      </c>
      <c r="JT134" t="s">
        <v>4331</v>
      </c>
      <c r="JU134" t="s">
        <v>4331</v>
      </c>
    </row>
    <row r="135" spans="30:281" x14ac:dyDescent="0.3">
      <c r="AI135" t="s">
        <v>2646</v>
      </c>
      <c r="AJ135" t="s">
        <v>2646</v>
      </c>
      <c r="AK135" t="s">
        <v>2646</v>
      </c>
      <c r="AL135" t="s">
        <v>2646</v>
      </c>
      <c r="AM135" t="s">
        <v>2711</v>
      </c>
      <c r="AN135" t="s">
        <v>2711</v>
      </c>
      <c r="AO135" t="s">
        <v>2711</v>
      </c>
      <c r="AP135" t="s">
        <v>2711</v>
      </c>
      <c r="AQ135" t="s">
        <v>2711</v>
      </c>
      <c r="AR135" t="s">
        <v>2711</v>
      </c>
      <c r="AS135" t="s">
        <v>2637</v>
      </c>
      <c r="AT135" t="s">
        <v>2637</v>
      </c>
      <c r="AU135" t="s">
        <v>1538</v>
      </c>
      <c r="AV135" t="s">
        <v>1538</v>
      </c>
      <c r="AW135" t="s">
        <v>1538</v>
      </c>
      <c r="AX135" t="s">
        <v>1538</v>
      </c>
      <c r="AY135" t="s">
        <v>1538</v>
      </c>
      <c r="AZ135" t="s">
        <v>1538</v>
      </c>
      <c r="BA135" t="s">
        <v>1538</v>
      </c>
      <c r="BB135" t="s">
        <v>1538</v>
      </c>
      <c r="BC135" t="s">
        <v>1538</v>
      </c>
      <c r="BD135" t="s">
        <v>1538</v>
      </c>
      <c r="BE135" t="s">
        <v>1538</v>
      </c>
      <c r="BF135" t="s">
        <v>1538</v>
      </c>
      <c r="BG135" t="s">
        <v>1538</v>
      </c>
      <c r="BH135" t="s">
        <v>1538</v>
      </c>
      <c r="BI135" t="s">
        <v>1538</v>
      </c>
      <c r="BJ135" t="s">
        <v>1538</v>
      </c>
      <c r="BK135" t="s">
        <v>1538</v>
      </c>
      <c r="BL135" t="s">
        <v>1538</v>
      </c>
      <c r="BM135" t="s">
        <v>1538</v>
      </c>
      <c r="BN135" t="s">
        <v>1538</v>
      </c>
      <c r="BO135" t="s">
        <v>1538</v>
      </c>
      <c r="BP135" t="s">
        <v>1538</v>
      </c>
      <c r="BQ135" t="s">
        <v>1538</v>
      </c>
      <c r="BR135" t="s">
        <v>1538</v>
      </c>
      <c r="BS135" t="s">
        <v>1538</v>
      </c>
      <c r="BT135" t="s">
        <v>1538</v>
      </c>
      <c r="BU135" t="s">
        <v>1538</v>
      </c>
      <c r="BV135" t="s">
        <v>1538</v>
      </c>
      <c r="BW135" t="s">
        <v>1538</v>
      </c>
      <c r="BX135" t="s">
        <v>1538</v>
      </c>
      <c r="BY135" t="s">
        <v>1538</v>
      </c>
      <c r="BZ135" t="s">
        <v>1538</v>
      </c>
      <c r="CA135" t="s">
        <v>1538</v>
      </c>
      <c r="CB135" t="s">
        <v>1538</v>
      </c>
      <c r="CC135" t="s">
        <v>2625</v>
      </c>
      <c r="CD135" t="s">
        <v>2625</v>
      </c>
      <c r="CE135" t="s">
        <v>2625</v>
      </c>
      <c r="CF135" t="s">
        <v>2625</v>
      </c>
      <c r="CG135" t="s">
        <v>2625</v>
      </c>
      <c r="CH135" t="s">
        <v>2625</v>
      </c>
      <c r="CI135" t="s">
        <v>2625</v>
      </c>
      <c r="CJ135" t="s">
        <v>2625</v>
      </c>
      <c r="CK135" t="s">
        <v>2625</v>
      </c>
      <c r="CL135" t="s">
        <v>2625</v>
      </c>
      <c r="CM135" t="s">
        <v>2625</v>
      </c>
      <c r="CN135" t="s">
        <v>2625</v>
      </c>
      <c r="CO135" t="s">
        <v>2625</v>
      </c>
      <c r="CP135" t="s">
        <v>2625</v>
      </c>
      <c r="CQ135" t="s">
        <v>2625</v>
      </c>
      <c r="CR135" t="s">
        <v>2625</v>
      </c>
      <c r="CS135" t="s">
        <v>2625</v>
      </c>
      <c r="CT135" t="s">
        <v>2625</v>
      </c>
      <c r="CU135" t="s">
        <v>2625</v>
      </c>
      <c r="CV135" t="s">
        <v>2625</v>
      </c>
      <c r="CW135" t="s">
        <v>2625</v>
      </c>
      <c r="CX135" t="s">
        <v>2625</v>
      </c>
      <c r="CY135" t="s">
        <v>2625</v>
      </c>
      <c r="CZ135" t="s">
        <v>2625</v>
      </c>
      <c r="DA135" t="s">
        <v>2625</v>
      </c>
      <c r="DB135" t="s">
        <v>2625</v>
      </c>
      <c r="DC135" t="s">
        <v>2625</v>
      </c>
      <c r="DD135" t="s">
        <v>2625</v>
      </c>
      <c r="DE135" t="s">
        <v>2625</v>
      </c>
      <c r="DF135" t="s">
        <v>2625</v>
      </c>
      <c r="DG135" t="s">
        <v>2625</v>
      </c>
      <c r="DH135" t="s">
        <v>2587</v>
      </c>
      <c r="DI135" t="s">
        <v>2587</v>
      </c>
      <c r="DJ135" t="s">
        <v>2587</v>
      </c>
      <c r="DK135" t="s">
        <v>2587</v>
      </c>
      <c r="DL135" t="s">
        <v>2587</v>
      </c>
      <c r="DM135" t="s">
        <v>2587</v>
      </c>
      <c r="DN135" t="s">
        <v>2587</v>
      </c>
      <c r="DO135" t="s">
        <v>2587</v>
      </c>
      <c r="DP135" t="s">
        <v>2587</v>
      </c>
      <c r="DQ135" t="s">
        <v>2587</v>
      </c>
      <c r="DR135" t="s">
        <v>2587</v>
      </c>
      <c r="DS135" t="s">
        <v>2587</v>
      </c>
      <c r="DT135" t="s">
        <v>2587</v>
      </c>
      <c r="DU135" t="s">
        <v>2587</v>
      </c>
      <c r="DV135" t="s">
        <v>2587</v>
      </c>
      <c r="DW135" t="s">
        <v>2587</v>
      </c>
      <c r="DX135" t="s">
        <v>2587</v>
      </c>
      <c r="DY135" t="s">
        <v>2587</v>
      </c>
      <c r="ED135" t="s">
        <v>2779</v>
      </c>
      <c r="EE135" t="s">
        <v>2779</v>
      </c>
      <c r="EF135" t="s">
        <v>2779</v>
      </c>
      <c r="EG135" t="s">
        <v>2779</v>
      </c>
      <c r="EH135" t="s">
        <v>2779</v>
      </c>
      <c r="EI135" t="s">
        <v>2779</v>
      </c>
      <c r="EJ135" t="s">
        <v>2779</v>
      </c>
      <c r="EK135" t="s">
        <v>2779</v>
      </c>
      <c r="EL135" t="s">
        <v>2779</v>
      </c>
      <c r="EM135" t="s">
        <v>2779</v>
      </c>
      <c r="EN135" t="s">
        <v>2779</v>
      </c>
      <c r="EO135" t="s">
        <v>2779</v>
      </c>
      <c r="EP135" t="s">
        <v>2779</v>
      </c>
      <c r="EQ135" t="s">
        <v>2779</v>
      </c>
      <c r="ER135" t="s">
        <v>2779</v>
      </c>
      <c r="ES135" t="s">
        <v>2779</v>
      </c>
      <c r="ET135" t="s">
        <v>2779</v>
      </c>
      <c r="EU135" t="s">
        <v>2779</v>
      </c>
      <c r="EV135" t="s">
        <v>2779</v>
      </c>
      <c r="EW135" t="s">
        <v>2779</v>
      </c>
      <c r="EX135" t="s">
        <v>2779</v>
      </c>
      <c r="EY135" t="s">
        <v>2779</v>
      </c>
      <c r="EZ135" t="s">
        <v>2779</v>
      </c>
      <c r="FA135" t="s">
        <v>2779</v>
      </c>
      <c r="FB135" t="s">
        <v>2779</v>
      </c>
      <c r="FC135" t="s">
        <v>2779</v>
      </c>
      <c r="FD135" t="s">
        <v>2779</v>
      </c>
      <c r="FE135" t="s">
        <v>2779</v>
      </c>
      <c r="FM135" t="s">
        <v>4334</v>
      </c>
      <c r="FN135" t="s">
        <v>4334</v>
      </c>
      <c r="FO135" t="s">
        <v>4334</v>
      </c>
      <c r="FP135" t="s">
        <v>4334</v>
      </c>
      <c r="FT135" t="s">
        <v>4334</v>
      </c>
      <c r="FU135" t="s">
        <v>4334</v>
      </c>
      <c r="FV135" t="s">
        <v>4334</v>
      </c>
      <c r="FW135" t="s">
        <v>4334</v>
      </c>
      <c r="FX135" t="s">
        <v>4334</v>
      </c>
      <c r="FY135" t="s">
        <v>4334</v>
      </c>
      <c r="FZ135" t="s">
        <v>4334</v>
      </c>
      <c r="GA135" t="s">
        <v>4334</v>
      </c>
      <c r="GB135" t="s">
        <v>4334</v>
      </c>
      <c r="GC135" t="s">
        <v>4334</v>
      </c>
      <c r="GD135" t="s">
        <v>4334</v>
      </c>
      <c r="GE135" t="s">
        <v>4334</v>
      </c>
      <c r="GF135" t="s">
        <v>4334</v>
      </c>
      <c r="GG135" t="s">
        <v>4333</v>
      </c>
      <c r="GH135" t="s">
        <v>4333</v>
      </c>
      <c r="GI135" t="s">
        <v>4333</v>
      </c>
      <c r="GJ135" t="s">
        <v>4333</v>
      </c>
      <c r="GK135" t="s">
        <v>4333</v>
      </c>
      <c r="GL135" t="s">
        <v>4333</v>
      </c>
      <c r="GM135" t="s">
        <v>4333</v>
      </c>
      <c r="GN135" t="s">
        <v>4333</v>
      </c>
      <c r="GO135" t="s">
        <v>4333</v>
      </c>
      <c r="GP135" t="s">
        <v>4333</v>
      </c>
      <c r="GQ135" t="s">
        <v>4333</v>
      </c>
      <c r="GR135" t="s">
        <v>4333</v>
      </c>
      <c r="GS135" t="s">
        <v>4333</v>
      </c>
      <c r="GT135" t="s">
        <v>4326</v>
      </c>
      <c r="GU135" t="s">
        <v>4326</v>
      </c>
      <c r="GV135" t="s">
        <v>4326</v>
      </c>
      <c r="GW135" t="s">
        <v>4326</v>
      </c>
      <c r="GX135" t="s">
        <v>4326</v>
      </c>
      <c r="GY135" t="s">
        <v>4326</v>
      </c>
      <c r="GZ135" t="s">
        <v>4326</v>
      </c>
      <c r="HA135" t="s">
        <v>4326</v>
      </c>
      <c r="HB135" t="s">
        <v>4326</v>
      </c>
      <c r="HC135" t="s">
        <v>4326</v>
      </c>
      <c r="HD135" t="s">
        <v>4326</v>
      </c>
      <c r="HE135" t="s">
        <v>4326</v>
      </c>
      <c r="HF135" t="s">
        <v>4326</v>
      </c>
      <c r="HG135" t="s">
        <v>4326</v>
      </c>
      <c r="HH135" t="s">
        <v>4326</v>
      </c>
      <c r="HI135" t="s">
        <v>4326</v>
      </c>
      <c r="HJ135" t="s">
        <v>4326</v>
      </c>
      <c r="HK135" t="s">
        <v>4326</v>
      </c>
      <c r="HL135" t="s">
        <v>4326</v>
      </c>
      <c r="HM135" t="s">
        <v>4326</v>
      </c>
      <c r="HN135" t="s">
        <v>4326</v>
      </c>
      <c r="HO135" t="s">
        <v>4326</v>
      </c>
      <c r="HP135" t="s">
        <v>4326</v>
      </c>
      <c r="HQ135" t="s">
        <v>4326</v>
      </c>
      <c r="HR135" t="s">
        <v>4326</v>
      </c>
      <c r="HS135" t="s">
        <v>4326</v>
      </c>
      <c r="HT135" t="s">
        <v>4326</v>
      </c>
      <c r="HU135" t="s">
        <v>4326</v>
      </c>
      <c r="HV135" t="s">
        <v>4326</v>
      </c>
      <c r="HW135" t="s">
        <v>4326</v>
      </c>
      <c r="HX135" t="s">
        <v>4335</v>
      </c>
      <c r="HY135" t="s">
        <v>4335</v>
      </c>
      <c r="HZ135" t="s">
        <v>4335</v>
      </c>
      <c r="IA135" t="s">
        <v>4335</v>
      </c>
      <c r="IB135" t="s">
        <v>4335</v>
      </c>
      <c r="IC135" t="s">
        <v>4335</v>
      </c>
      <c r="ID135" t="s">
        <v>4326</v>
      </c>
      <c r="IE135" t="s">
        <v>4326</v>
      </c>
      <c r="IF135" t="s">
        <v>4326</v>
      </c>
      <c r="IG135" t="s">
        <v>4336</v>
      </c>
      <c r="IH135" t="s">
        <v>4326</v>
      </c>
      <c r="II135" t="s">
        <v>4326</v>
      </c>
      <c r="IJ135" t="s">
        <v>4326</v>
      </c>
      <c r="IK135" t="s">
        <v>4326</v>
      </c>
      <c r="IL135" t="s">
        <v>4326</v>
      </c>
      <c r="IM135" t="s">
        <v>4326</v>
      </c>
      <c r="IN135" t="s">
        <v>4326</v>
      </c>
      <c r="IO135" t="s">
        <v>4326</v>
      </c>
      <c r="IP135" t="s">
        <v>4326</v>
      </c>
      <c r="IQ135" t="s">
        <v>4326</v>
      </c>
      <c r="IR135" t="s">
        <v>4326</v>
      </c>
      <c r="IS135" t="s">
        <v>4328</v>
      </c>
      <c r="IT135" t="s">
        <v>4328</v>
      </c>
      <c r="IU135" t="s">
        <v>4328</v>
      </c>
      <c r="IV135" t="s">
        <v>4328</v>
      </c>
      <c r="IW135" t="s">
        <v>4328</v>
      </c>
      <c r="IX135" t="s">
        <v>4328</v>
      </c>
      <c r="IY135" t="s">
        <v>4331</v>
      </c>
      <c r="IZ135" t="s">
        <v>4331</v>
      </c>
      <c r="JA135" t="s">
        <v>4331</v>
      </c>
      <c r="JB135" t="s">
        <v>4331</v>
      </c>
      <c r="JC135" t="s">
        <v>4331</v>
      </c>
      <c r="JD135" t="s">
        <v>4331</v>
      </c>
      <c r="JE135" t="s">
        <v>4331</v>
      </c>
      <c r="JF135" t="s">
        <v>4331</v>
      </c>
      <c r="JG135" t="s">
        <v>4331</v>
      </c>
      <c r="JH135" t="s">
        <v>4331</v>
      </c>
      <c r="JI135" t="s">
        <v>4331</v>
      </c>
      <c r="JJ135" t="s">
        <v>4331</v>
      </c>
      <c r="JK135" t="s">
        <v>4331</v>
      </c>
      <c r="JL135" t="s">
        <v>4331</v>
      </c>
      <c r="JM135" t="s">
        <v>4331</v>
      </c>
      <c r="JN135" t="s">
        <v>4331</v>
      </c>
      <c r="JO135" t="s">
        <v>4331</v>
      </c>
      <c r="JP135" t="s">
        <v>4331</v>
      </c>
      <c r="JQ135" t="s">
        <v>4331</v>
      </c>
      <c r="JR135" t="s">
        <v>4331</v>
      </c>
      <c r="JS135" t="s">
        <v>4331</v>
      </c>
      <c r="JT135" t="s">
        <v>4331</v>
      </c>
      <c r="JU135" t="s">
        <v>4331</v>
      </c>
    </row>
    <row r="136" spans="30:281" x14ac:dyDescent="0.3">
      <c r="AI136" t="s">
        <v>2646</v>
      </c>
      <c r="AJ136" t="s">
        <v>2646</v>
      </c>
      <c r="AK136" t="s">
        <v>2646</v>
      </c>
      <c r="AL136" t="s">
        <v>2646</v>
      </c>
      <c r="AM136" t="s">
        <v>2646</v>
      </c>
      <c r="AN136" t="s">
        <v>2646</v>
      </c>
      <c r="AO136" t="s">
        <v>2646</v>
      </c>
      <c r="AP136" t="s">
        <v>2646</v>
      </c>
      <c r="AQ136" t="s">
        <v>2646</v>
      </c>
      <c r="AR136" t="s">
        <v>2711</v>
      </c>
      <c r="AS136" t="s">
        <v>1538</v>
      </c>
      <c r="AT136" t="s">
        <v>1538</v>
      </c>
      <c r="AU136" t="s">
        <v>1538</v>
      </c>
      <c r="AV136" t="s">
        <v>1538</v>
      </c>
      <c r="AW136" t="s">
        <v>1538</v>
      </c>
      <c r="AX136" t="s">
        <v>1538</v>
      </c>
      <c r="AY136" t="s">
        <v>1538</v>
      </c>
      <c r="AZ136" t="s">
        <v>1538</v>
      </c>
      <c r="BA136" t="s">
        <v>1538</v>
      </c>
      <c r="BB136" t="s">
        <v>1538</v>
      </c>
      <c r="BC136" t="s">
        <v>1538</v>
      </c>
      <c r="BD136" t="s">
        <v>1538</v>
      </c>
      <c r="BE136" t="s">
        <v>1538</v>
      </c>
      <c r="BF136" t="s">
        <v>1538</v>
      </c>
      <c r="BG136" t="s">
        <v>1538</v>
      </c>
      <c r="BH136" t="s">
        <v>1538</v>
      </c>
      <c r="BI136" t="s">
        <v>1538</v>
      </c>
      <c r="BJ136" t="s">
        <v>1538</v>
      </c>
      <c r="BK136" t="s">
        <v>1538</v>
      </c>
      <c r="BL136" t="s">
        <v>1538</v>
      </c>
      <c r="BM136" t="s">
        <v>1538</v>
      </c>
      <c r="BN136" t="s">
        <v>1538</v>
      </c>
      <c r="BO136" t="s">
        <v>1538</v>
      </c>
      <c r="BP136" t="s">
        <v>1538</v>
      </c>
      <c r="BQ136" t="s">
        <v>1538</v>
      </c>
      <c r="BR136" t="s">
        <v>1538</v>
      </c>
      <c r="BS136" t="s">
        <v>1538</v>
      </c>
      <c r="BT136" t="s">
        <v>1538</v>
      </c>
      <c r="BU136" t="s">
        <v>1538</v>
      </c>
      <c r="BV136" t="s">
        <v>1538</v>
      </c>
      <c r="BW136" t="s">
        <v>1538</v>
      </c>
      <c r="BX136" t="s">
        <v>1538</v>
      </c>
      <c r="BY136" t="s">
        <v>1538</v>
      </c>
      <c r="BZ136" t="s">
        <v>1538</v>
      </c>
      <c r="CA136" t="s">
        <v>1538</v>
      </c>
      <c r="CB136" t="s">
        <v>1538</v>
      </c>
      <c r="CC136" t="s">
        <v>2625</v>
      </c>
      <c r="CD136" t="s">
        <v>2625</v>
      </c>
      <c r="CE136" t="s">
        <v>2625</v>
      </c>
      <c r="CF136" t="s">
        <v>2625</v>
      </c>
      <c r="CG136" t="s">
        <v>2625</v>
      </c>
      <c r="CH136" t="s">
        <v>2625</v>
      </c>
      <c r="CI136" t="s">
        <v>2625</v>
      </c>
      <c r="CJ136" t="s">
        <v>2625</v>
      </c>
      <c r="CK136" t="s">
        <v>2625</v>
      </c>
      <c r="CL136" t="s">
        <v>2625</v>
      </c>
      <c r="CM136" t="s">
        <v>2625</v>
      </c>
      <c r="CN136" t="s">
        <v>2625</v>
      </c>
      <c r="CO136" t="s">
        <v>2625</v>
      </c>
      <c r="CP136" t="s">
        <v>2625</v>
      </c>
      <c r="CQ136" t="s">
        <v>2625</v>
      </c>
      <c r="CR136" t="s">
        <v>2625</v>
      </c>
      <c r="CS136" t="s">
        <v>2625</v>
      </c>
      <c r="CT136" t="s">
        <v>2625</v>
      </c>
      <c r="CU136" t="s">
        <v>2625</v>
      </c>
      <c r="CV136" t="s">
        <v>2625</v>
      </c>
      <c r="CW136" t="s">
        <v>2625</v>
      </c>
      <c r="CX136" t="s">
        <v>2625</v>
      </c>
      <c r="CY136" t="s">
        <v>2625</v>
      </c>
      <c r="CZ136" t="s">
        <v>2625</v>
      </c>
      <c r="DA136" t="s">
        <v>2625</v>
      </c>
      <c r="DB136" t="s">
        <v>2625</v>
      </c>
      <c r="DC136" t="s">
        <v>2625</v>
      </c>
      <c r="DD136" t="s">
        <v>2625</v>
      </c>
      <c r="DE136" t="s">
        <v>2625</v>
      </c>
      <c r="DF136" t="s">
        <v>2625</v>
      </c>
      <c r="DG136" t="s">
        <v>2625</v>
      </c>
      <c r="DH136" t="s">
        <v>2587</v>
      </c>
      <c r="DI136" t="s">
        <v>2587</v>
      </c>
      <c r="DJ136" t="s">
        <v>2587</v>
      </c>
      <c r="DK136" t="s">
        <v>2587</v>
      </c>
      <c r="DL136" t="s">
        <v>2587</v>
      </c>
      <c r="DM136" t="s">
        <v>2587</v>
      </c>
      <c r="DN136" t="s">
        <v>2587</v>
      </c>
      <c r="DO136" t="s">
        <v>2587</v>
      </c>
      <c r="DP136" t="s">
        <v>2587</v>
      </c>
      <c r="DQ136" t="s">
        <v>2587</v>
      </c>
      <c r="DR136" t="s">
        <v>2587</v>
      </c>
      <c r="DS136" t="s">
        <v>2587</v>
      </c>
      <c r="DT136" t="s">
        <v>2587</v>
      </c>
      <c r="DU136" t="s">
        <v>2587</v>
      </c>
      <c r="DV136" t="s">
        <v>2587</v>
      </c>
      <c r="DW136" t="s">
        <v>2587</v>
      </c>
      <c r="DX136" t="s">
        <v>2587</v>
      </c>
      <c r="EC136" t="s">
        <v>2779</v>
      </c>
      <c r="ED136" t="s">
        <v>2779</v>
      </c>
      <c r="EE136" t="s">
        <v>2779</v>
      </c>
      <c r="EF136" t="s">
        <v>2779</v>
      </c>
      <c r="EG136" t="s">
        <v>2779</v>
      </c>
      <c r="EH136" t="s">
        <v>2779</v>
      </c>
      <c r="EI136" t="s">
        <v>2779</v>
      </c>
      <c r="EJ136" t="s">
        <v>2779</v>
      </c>
      <c r="EK136" t="s">
        <v>2779</v>
      </c>
      <c r="EL136" t="s">
        <v>2779</v>
      </c>
      <c r="EM136" t="s">
        <v>2779</v>
      </c>
      <c r="EN136" t="s">
        <v>2779</v>
      </c>
      <c r="EO136" t="s">
        <v>2779</v>
      </c>
      <c r="EP136" t="s">
        <v>2779</v>
      </c>
      <c r="EQ136" t="s">
        <v>2779</v>
      </c>
      <c r="ER136" t="s">
        <v>2779</v>
      </c>
      <c r="ES136" t="s">
        <v>2779</v>
      </c>
      <c r="ET136" t="s">
        <v>2779</v>
      </c>
      <c r="EU136" t="s">
        <v>2779</v>
      </c>
      <c r="EV136" t="s">
        <v>2779</v>
      </c>
      <c r="EW136" t="s">
        <v>2779</v>
      </c>
      <c r="EX136" t="s">
        <v>2779</v>
      </c>
      <c r="EY136" t="s">
        <v>2779</v>
      </c>
      <c r="EZ136" t="s">
        <v>2779</v>
      </c>
      <c r="FA136" t="s">
        <v>2779</v>
      </c>
      <c r="FB136" t="s">
        <v>2779</v>
      </c>
      <c r="FC136" t="s">
        <v>2779</v>
      </c>
      <c r="FD136" t="s">
        <v>2779</v>
      </c>
      <c r="FL136" t="s">
        <v>4334</v>
      </c>
      <c r="FM136" t="s">
        <v>4334</v>
      </c>
      <c r="FN136" t="s">
        <v>4334</v>
      </c>
      <c r="FO136" t="s">
        <v>4334</v>
      </c>
      <c r="FP136" t="s">
        <v>4334</v>
      </c>
      <c r="FQ136" t="s">
        <v>4334</v>
      </c>
      <c r="FR136" t="s">
        <v>4334</v>
      </c>
      <c r="FS136" t="s">
        <v>4334</v>
      </c>
      <c r="FT136" t="s">
        <v>4334</v>
      </c>
      <c r="FU136" t="s">
        <v>4334</v>
      </c>
      <c r="FV136" t="s">
        <v>4334</v>
      </c>
      <c r="FW136" t="s">
        <v>4334</v>
      </c>
      <c r="FX136" t="s">
        <v>4334</v>
      </c>
      <c r="FY136" t="s">
        <v>4334</v>
      </c>
      <c r="FZ136" t="s">
        <v>4334</v>
      </c>
      <c r="GA136" t="s">
        <v>4334</v>
      </c>
      <c r="GB136" t="s">
        <v>4334</v>
      </c>
      <c r="GC136" t="s">
        <v>4334</v>
      </c>
      <c r="GD136" t="s">
        <v>4334</v>
      </c>
      <c r="GE136" t="s">
        <v>4334</v>
      </c>
      <c r="GF136" t="s">
        <v>4333</v>
      </c>
      <c r="GG136" t="s">
        <v>4333</v>
      </c>
      <c r="GH136" t="s">
        <v>4333</v>
      </c>
      <c r="GI136" t="s">
        <v>4333</v>
      </c>
      <c r="GJ136" t="s">
        <v>4333</v>
      </c>
      <c r="GK136" t="s">
        <v>4333</v>
      </c>
      <c r="GL136" t="s">
        <v>4333</v>
      </c>
      <c r="GM136" t="s">
        <v>4333</v>
      </c>
      <c r="GN136" t="s">
        <v>4333</v>
      </c>
      <c r="GO136" t="s">
        <v>4333</v>
      </c>
      <c r="GP136" t="s">
        <v>4333</v>
      </c>
      <c r="GQ136" t="s">
        <v>4333</v>
      </c>
      <c r="GR136" t="s">
        <v>4333</v>
      </c>
      <c r="GS136" t="s">
        <v>4333</v>
      </c>
      <c r="GT136" t="s">
        <v>4326</v>
      </c>
      <c r="GU136" t="s">
        <v>4326</v>
      </c>
      <c r="GV136" t="s">
        <v>4326</v>
      </c>
      <c r="GW136" t="s">
        <v>4326</v>
      </c>
      <c r="GX136" t="s">
        <v>4326</v>
      </c>
      <c r="GY136" t="s">
        <v>4326</v>
      </c>
      <c r="GZ136" t="s">
        <v>4326</v>
      </c>
      <c r="HA136" t="s">
        <v>4326</v>
      </c>
      <c r="HB136" t="s">
        <v>4326</v>
      </c>
      <c r="HC136" t="s">
        <v>4326</v>
      </c>
      <c r="HD136" t="s">
        <v>4326</v>
      </c>
      <c r="HE136" t="s">
        <v>4326</v>
      </c>
      <c r="HF136" t="s">
        <v>4326</v>
      </c>
      <c r="HG136" t="s">
        <v>4326</v>
      </c>
      <c r="HH136" t="s">
        <v>4326</v>
      </c>
      <c r="HI136" t="s">
        <v>4326</v>
      </c>
      <c r="HJ136" t="s">
        <v>4326</v>
      </c>
      <c r="HK136" t="s">
        <v>4326</v>
      </c>
      <c r="HL136" t="s">
        <v>4326</v>
      </c>
      <c r="HM136" t="s">
        <v>4326</v>
      </c>
      <c r="HN136" t="s">
        <v>4326</v>
      </c>
      <c r="HO136" t="s">
        <v>4326</v>
      </c>
      <c r="HP136" t="s">
        <v>4326</v>
      </c>
      <c r="HQ136" t="s">
        <v>4326</v>
      </c>
      <c r="HR136" t="s">
        <v>4326</v>
      </c>
      <c r="HS136" t="s">
        <v>4326</v>
      </c>
      <c r="HT136" t="s">
        <v>4326</v>
      </c>
      <c r="HU136" t="s">
        <v>4326</v>
      </c>
      <c r="HV136" t="s">
        <v>4326</v>
      </c>
      <c r="HW136" t="s">
        <v>4335</v>
      </c>
      <c r="HX136" t="s">
        <v>4335</v>
      </c>
      <c r="HY136" t="s">
        <v>4335</v>
      </c>
      <c r="HZ136" t="s">
        <v>4335</v>
      </c>
      <c r="IA136" t="s">
        <v>4335</v>
      </c>
      <c r="IB136" t="s">
        <v>4335</v>
      </c>
      <c r="IC136" t="s">
        <v>4335</v>
      </c>
      <c r="ID136" t="s">
        <v>4326</v>
      </c>
      <c r="IE136" t="s">
        <v>4326</v>
      </c>
      <c r="IF136" t="s">
        <v>4336</v>
      </c>
      <c r="IG136" t="s">
        <v>4336</v>
      </c>
      <c r="IH136" t="s">
        <v>4336</v>
      </c>
      <c r="II136" t="s">
        <v>4336</v>
      </c>
      <c r="IJ136" t="s">
        <v>4336</v>
      </c>
      <c r="IK136" t="s">
        <v>4336</v>
      </c>
      <c r="IL136" t="s">
        <v>4326</v>
      </c>
      <c r="IM136" t="s">
        <v>4326</v>
      </c>
      <c r="IN136" t="s">
        <v>4326</v>
      </c>
      <c r="IO136" t="s">
        <v>4326</v>
      </c>
      <c r="IP136" t="s">
        <v>4326</v>
      </c>
      <c r="IQ136" t="s">
        <v>4326</v>
      </c>
      <c r="IR136" t="s">
        <v>4326</v>
      </c>
      <c r="IS136" t="s">
        <v>4326</v>
      </c>
      <c r="IT136" t="s">
        <v>4326</v>
      </c>
      <c r="IU136" t="s">
        <v>4326</v>
      </c>
      <c r="IV136" t="s">
        <v>4328</v>
      </c>
      <c r="IW136" t="s">
        <v>4328</v>
      </c>
      <c r="IX136" t="s">
        <v>4328</v>
      </c>
      <c r="IY136" t="s">
        <v>4331</v>
      </c>
      <c r="IZ136" t="s">
        <v>4331</v>
      </c>
      <c r="JA136" t="s">
        <v>4331</v>
      </c>
      <c r="JB136" t="s">
        <v>4331</v>
      </c>
      <c r="JC136" t="s">
        <v>4331</v>
      </c>
      <c r="JD136" t="s">
        <v>4331</v>
      </c>
      <c r="JE136" t="s">
        <v>4331</v>
      </c>
      <c r="JF136" t="s">
        <v>4331</v>
      </c>
      <c r="JG136" t="s">
        <v>4331</v>
      </c>
      <c r="JH136" t="s">
        <v>4331</v>
      </c>
      <c r="JI136" t="s">
        <v>4331</v>
      </c>
      <c r="JJ136" t="s">
        <v>4331</v>
      </c>
      <c r="JK136" t="s">
        <v>4331</v>
      </c>
      <c r="JL136" t="s">
        <v>4331</v>
      </c>
      <c r="JM136" t="s">
        <v>4331</v>
      </c>
      <c r="JN136" t="s">
        <v>4331</v>
      </c>
      <c r="JO136" t="s">
        <v>4331</v>
      </c>
      <c r="JP136" t="s">
        <v>4331</v>
      </c>
      <c r="JQ136" t="s">
        <v>4331</v>
      </c>
      <c r="JR136" t="s">
        <v>4331</v>
      </c>
      <c r="JS136" t="s">
        <v>4331</v>
      </c>
      <c r="JT136" t="s">
        <v>4331</v>
      </c>
      <c r="JU136" t="s">
        <v>4331</v>
      </c>
    </row>
    <row r="137" spans="30:281" x14ac:dyDescent="0.3">
      <c r="AJ137" t="s">
        <v>2646</v>
      </c>
      <c r="AK137" t="s">
        <v>2646</v>
      </c>
      <c r="AL137" t="s">
        <v>2646</v>
      </c>
      <c r="AM137" t="s">
        <v>2646</v>
      </c>
      <c r="AN137" t="s">
        <v>2646</v>
      </c>
      <c r="AO137" t="s">
        <v>2646</v>
      </c>
      <c r="AP137" t="s">
        <v>2646</v>
      </c>
      <c r="AQ137" t="s">
        <v>2646</v>
      </c>
      <c r="AR137" t="s">
        <v>2646</v>
      </c>
      <c r="AS137" t="s">
        <v>1538</v>
      </c>
      <c r="AT137" t="s">
        <v>1538</v>
      </c>
      <c r="AU137" t="s">
        <v>1538</v>
      </c>
      <c r="AV137" t="s">
        <v>1538</v>
      </c>
      <c r="AW137" t="s">
        <v>1538</v>
      </c>
      <c r="AX137" t="s">
        <v>1538</v>
      </c>
      <c r="AY137" t="s">
        <v>1538</v>
      </c>
      <c r="AZ137" t="s">
        <v>1538</v>
      </c>
      <c r="BA137" t="s">
        <v>1538</v>
      </c>
      <c r="BB137" t="s">
        <v>1538</v>
      </c>
      <c r="BC137" t="s">
        <v>1538</v>
      </c>
      <c r="BD137" t="s">
        <v>1538</v>
      </c>
      <c r="BE137" t="s">
        <v>1538</v>
      </c>
      <c r="BF137" t="s">
        <v>1538</v>
      </c>
      <c r="BG137" t="s">
        <v>1538</v>
      </c>
      <c r="BH137" t="s">
        <v>1538</v>
      </c>
      <c r="BI137" t="s">
        <v>1538</v>
      </c>
      <c r="BJ137" t="s">
        <v>1538</v>
      </c>
      <c r="BK137" t="s">
        <v>1538</v>
      </c>
      <c r="BL137" t="s">
        <v>1538</v>
      </c>
      <c r="BM137" t="s">
        <v>1538</v>
      </c>
      <c r="BN137" t="s">
        <v>1538</v>
      </c>
      <c r="BO137" t="s">
        <v>1538</v>
      </c>
      <c r="BP137" t="s">
        <v>1538</v>
      </c>
      <c r="BQ137" t="s">
        <v>1538</v>
      </c>
      <c r="BR137" t="s">
        <v>1538</v>
      </c>
      <c r="BS137" t="s">
        <v>1538</v>
      </c>
      <c r="BT137" t="s">
        <v>1538</v>
      </c>
      <c r="BU137" t="s">
        <v>1538</v>
      </c>
      <c r="BV137" t="s">
        <v>1538</v>
      </c>
      <c r="BW137" t="s">
        <v>1538</v>
      </c>
      <c r="BX137" t="s">
        <v>1538</v>
      </c>
      <c r="BY137" t="s">
        <v>1538</v>
      </c>
      <c r="BZ137" t="s">
        <v>1538</v>
      </c>
      <c r="CA137" t="s">
        <v>1538</v>
      </c>
      <c r="CB137" t="s">
        <v>1538</v>
      </c>
      <c r="CC137" t="s">
        <v>2625</v>
      </c>
      <c r="CD137" t="s">
        <v>2625</v>
      </c>
      <c r="CE137" t="s">
        <v>2625</v>
      </c>
      <c r="CF137" t="s">
        <v>2625</v>
      </c>
      <c r="CG137" t="s">
        <v>2625</v>
      </c>
      <c r="CH137" t="s">
        <v>2625</v>
      </c>
      <c r="CI137" t="s">
        <v>2625</v>
      </c>
      <c r="CJ137" t="s">
        <v>2625</v>
      </c>
      <c r="CK137" t="s">
        <v>2625</v>
      </c>
      <c r="CL137" t="s">
        <v>2625</v>
      </c>
      <c r="CM137" t="s">
        <v>2625</v>
      </c>
      <c r="CN137" t="s">
        <v>2625</v>
      </c>
      <c r="CO137" t="s">
        <v>2625</v>
      </c>
      <c r="CP137" t="s">
        <v>2625</v>
      </c>
      <c r="CQ137" t="s">
        <v>2625</v>
      </c>
      <c r="CR137" t="s">
        <v>2625</v>
      </c>
      <c r="CS137" t="s">
        <v>2625</v>
      </c>
      <c r="CT137" t="s">
        <v>2625</v>
      </c>
      <c r="CU137" t="s">
        <v>2625</v>
      </c>
      <c r="CV137" t="s">
        <v>2625</v>
      </c>
      <c r="CW137" t="s">
        <v>2625</v>
      </c>
      <c r="CX137" t="s">
        <v>2625</v>
      </c>
      <c r="CY137" t="s">
        <v>2625</v>
      </c>
      <c r="CZ137" t="s">
        <v>2625</v>
      </c>
      <c r="DA137" t="s">
        <v>2625</v>
      </c>
      <c r="DB137" t="s">
        <v>2625</v>
      </c>
      <c r="DC137" t="s">
        <v>2625</v>
      </c>
      <c r="DD137" t="s">
        <v>2625</v>
      </c>
      <c r="DE137" t="s">
        <v>2625</v>
      </c>
      <c r="DF137" t="s">
        <v>2625</v>
      </c>
      <c r="DG137" t="s">
        <v>2625</v>
      </c>
      <c r="DH137" t="s">
        <v>2587</v>
      </c>
      <c r="DI137" t="s">
        <v>2587</v>
      </c>
      <c r="DJ137" t="s">
        <v>2587</v>
      </c>
      <c r="DK137" t="s">
        <v>2587</v>
      </c>
      <c r="DL137" t="s">
        <v>2587</v>
      </c>
      <c r="DM137" t="s">
        <v>2587</v>
      </c>
      <c r="DN137" t="s">
        <v>2587</v>
      </c>
      <c r="DO137" t="s">
        <v>2587</v>
      </c>
      <c r="DP137" t="s">
        <v>2587</v>
      </c>
      <c r="DQ137" t="s">
        <v>2587</v>
      </c>
      <c r="DR137" t="s">
        <v>2587</v>
      </c>
      <c r="DS137" t="s">
        <v>2587</v>
      </c>
      <c r="DT137" t="s">
        <v>2587</v>
      </c>
      <c r="DU137" t="s">
        <v>2587</v>
      </c>
      <c r="DV137" t="s">
        <v>2587</v>
      </c>
      <c r="DW137" t="s">
        <v>2587</v>
      </c>
      <c r="DX137" t="s">
        <v>2587</v>
      </c>
      <c r="EC137" t="s">
        <v>2779</v>
      </c>
      <c r="ED137" t="s">
        <v>2779</v>
      </c>
      <c r="EE137" t="s">
        <v>2779</v>
      </c>
      <c r="EF137" t="s">
        <v>2779</v>
      </c>
      <c r="EG137" t="s">
        <v>2779</v>
      </c>
      <c r="EH137" t="s">
        <v>2779</v>
      </c>
      <c r="EI137" t="s">
        <v>2779</v>
      </c>
      <c r="EJ137" t="s">
        <v>2779</v>
      </c>
      <c r="EK137" t="s">
        <v>2779</v>
      </c>
      <c r="EL137" t="s">
        <v>2779</v>
      </c>
      <c r="EM137" t="s">
        <v>2779</v>
      </c>
      <c r="EN137" t="s">
        <v>2779</v>
      </c>
      <c r="EO137" t="s">
        <v>2779</v>
      </c>
      <c r="EP137" t="s">
        <v>2779</v>
      </c>
      <c r="EQ137" t="s">
        <v>2779</v>
      </c>
      <c r="ER137" t="s">
        <v>2779</v>
      </c>
      <c r="ES137" t="s">
        <v>2779</v>
      </c>
      <c r="ET137" t="s">
        <v>2779</v>
      </c>
      <c r="EU137" t="s">
        <v>2779</v>
      </c>
      <c r="EV137" t="s">
        <v>2779</v>
      </c>
      <c r="EW137" t="s">
        <v>2779</v>
      </c>
      <c r="EX137" t="s">
        <v>2779</v>
      </c>
      <c r="EY137" t="s">
        <v>2779</v>
      </c>
      <c r="EZ137" t="s">
        <v>2779</v>
      </c>
      <c r="FA137" t="s">
        <v>2779</v>
      </c>
      <c r="FB137" t="s">
        <v>2779</v>
      </c>
      <c r="FC137" t="s">
        <v>2779</v>
      </c>
      <c r="FJ137" t="s">
        <v>4334</v>
      </c>
      <c r="FK137" t="s">
        <v>4334</v>
      </c>
      <c r="FL137" t="s">
        <v>4334</v>
      </c>
      <c r="FM137" t="s">
        <v>4334</v>
      </c>
      <c r="FN137" t="s">
        <v>4334</v>
      </c>
      <c r="FO137" t="s">
        <v>4334</v>
      </c>
      <c r="FP137" t="s">
        <v>4334</v>
      </c>
      <c r="FQ137" t="s">
        <v>4334</v>
      </c>
      <c r="FR137" t="s">
        <v>4334</v>
      </c>
      <c r="FS137" t="s">
        <v>4334</v>
      </c>
      <c r="FT137" t="s">
        <v>4334</v>
      </c>
      <c r="FU137" t="s">
        <v>4334</v>
      </c>
      <c r="FV137" t="s">
        <v>4334</v>
      </c>
      <c r="FW137" t="s">
        <v>4334</v>
      </c>
      <c r="FX137" t="s">
        <v>4334</v>
      </c>
      <c r="FY137" t="s">
        <v>4334</v>
      </c>
      <c r="FZ137" t="s">
        <v>4334</v>
      </c>
      <c r="GA137" t="s">
        <v>4334</v>
      </c>
      <c r="GB137" t="s">
        <v>4334</v>
      </c>
      <c r="GC137" t="s">
        <v>4334</v>
      </c>
      <c r="GD137" t="s">
        <v>4334</v>
      </c>
      <c r="GE137" t="s">
        <v>4333</v>
      </c>
      <c r="GF137" t="s">
        <v>4333</v>
      </c>
      <c r="GG137" t="s">
        <v>4333</v>
      </c>
      <c r="GH137" t="s">
        <v>4333</v>
      </c>
      <c r="GI137" t="s">
        <v>4333</v>
      </c>
      <c r="GJ137" t="s">
        <v>4333</v>
      </c>
      <c r="GK137" t="s">
        <v>4333</v>
      </c>
      <c r="GL137" t="s">
        <v>4333</v>
      </c>
      <c r="GM137" t="s">
        <v>4333</v>
      </c>
      <c r="GN137" t="s">
        <v>4333</v>
      </c>
      <c r="GO137" t="s">
        <v>4333</v>
      </c>
      <c r="GP137" t="s">
        <v>4333</v>
      </c>
      <c r="GQ137" t="s">
        <v>4333</v>
      </c>
      <c r="GR137" t="s">
        <v>4333</v>
      </c>
      <c r="GS137" t="s">
        <v>4333</v>
      </c>
      <c r="GT137" t="s">
        <v>4333</v>
      </c>
      <c r="GU137" t="s">
        <v>4326</v>
      </c>
      <c r="GV137" t="s">
        <v>4326</v>
      </c>
      <c r="GW137" t="s">
        <v>4326</v>
      </c>
      <c r="GX137" t="s">
        <v>4326</v>
      </c>
      <c r="GY137" t="s">
        <v>4326</v>
      </c>
      <c r="GZ137" t="s">
        <v>4326</v>
      </c>
      <c r="HA137" t="s">
        <v>4326</v>
      </c>
      <c r="HB137" t="s">
        <v>4326</v>
      </c>
      <c r="HC137" t="s">
        <v>4326</v>
      </c>
      <c r="HD137" t="s">
        <v>4326</v>
      </c>
      <c r="HE137" t="s">
        <v>4326</v>
      </c>
      <c r="HF137" t="s">
        <v>4326</v>
      </c>
      <c r="HG137" t="s">
        <v>4326</v>
      </c>
      <c r="HH137" t="s">
        <v>4326</v>
      </c>
      <c r="HI137" t="s">
        <v>4326</v>
      </c>
      <c r="HJ137" t="s">
        <v>4326</v>
      </c>
      <c r="HK137" t="s">
        <v>4326</v>
      </c>
      <c r="HL137" t="s">
        <v>4326</v>
      </c>
      <c r="HM137" t="s">
        <v>4326</v>
      </c>
      <c r="HN137" t="s">
        <v>4326</v>
      </c>
      <c r="HO137" t="s">
        <v>4326</v>
      </c>
      <c r="HP137" t="s">
        <v>4326</v>
      </c>
      <c r="HQ137" t="s">
        <v>4326</v>
      </c>
      <c r="HR137" t="s">
        <v>4326</v>
      </c>
      <c r="HS137" t="s">
        <v>4335</v>
      </c>
      <c r="HT137" t="s">
        <v>4335</v>
      </c>
      <c r="HU137" t="s">
        <v>4335</v>
      </c>
      <c r="HV137" t="s">
        <v>4335</v>
      </c>
      <c r="HW137" t="s">
        <v>4335</v>
      </c>
      <c r="HX137" t="s">
        <v>4335</v>
      </c>
      <c r="HY137" t="s">
        <v>4335</v>
      </c>
      <c r="HZ137" t="s">
        <v>4335</v>
      </c>
      <c r="IA137" t="s">
        <v>4335</v>
      </c>
      <c r="IB137" t="s">
        <v>4335</v>
      </c>
      <c r="IC137" t="s">
        <v>4335</v>
      </c>
      <c r="ID137" t="s">
        <v>4326</v>
      </c>
      <c r="IE137" t="s">
        <v>4326</v>
      </c>
      <c r="IF137" t="s">
        <v>4336</v>
      </c>
      <c r="IG137" t="s">
        <v>4336</v>
      </c>
      <c r="IH137" t="s">
        <v>4336</v>
      </c>
      <c r="II137" t="s">
        <v>4336</v>
      </c>
      <c r="IJ137" t="s">
        <v>4336</v>
      </c>
      <c r="IK137" t="s">
        <v>4326</v>
      </c>
      <c r="IL137" t="s">
        <v>4326</v>
      </c>
      <c r="IM137" t="s">
        <v>4326</v>
      </c>
      <c r="IN137" t="s">
        <v>4326</v>
      </c>
      <c r="IO137" t="s">
        <v>4326</v>
      </c>
      <c r="IP137" t="s">
        <v>4326</v>
      </c>
      <c r="IQ137" t="s">
        <v>4326</v>
      </c>
      <c r="IR137" t="s">
        <v>4326</v>
      </c>
      <c r="IS137" t="s">
        <v>4326</v>
      </c>
      <c r="IT137" t="s">
        <v>4326</v>
      </c>
      <c r="IU137" t="s">
        <v>4326</v>
      </c>
      <c r="IV137" t="s">
        <v>4328</v>
      </c>
      <c r="IW137" t="s">
        <v>4328</v>
      </c>
      <c r="IX137" t="s">
        <v>4331</v>
      </c>
      <c r="IY137" t="s">
        <v>4331</v>
      </c>
      <c r="IZ137" t="s">
        <v>4331</v>
      </c>
      <c r="JA137" t="s">
        <v>4331</v>
      </c>
      <c r="JB137" t="s">
        <v>4331</v>
      </c>
      <c r="JC137" t="s">
        <v>4331</v>
      </c>
      <c r="JD137" t="s">
        <v>4331</v>
      </c>
      <c r="JE137" t="s">
        <v>4331</v>
      </c>
      <c r="JF137" t="s">
        <v>4331</v>
      </c>
      <c r="JG137" t="s">
        <v>4331</v>
      </c>
      <c r="JH137" t="s">
        <v>4331</v>
      </c>
      <c r="JI137" t="s">
        <v>4331</v>
      </c>
      <c r="JJ137" t="s">
        <v>4331</v>
      </c>
      <c r="JK137" t="s">
        <v>4331</v>
      </c>
      <c r="JL137" t="s">
        <v>4331</v>
      </c>
      <c r="JM137" t="s">
        <v>4331</v>
      </c>
      <c r="JN137" t="s">
        <v>4331</v>
      </c>
      <c r="JO137" t="s">
        <v>4331</v>
      </c>
      <c r="JP137" t="s">
        <v>4331</v>
      </c>
      <c r="JQ137" t="s">
        <v>4331</v>
      </c>
      <c r="JR137" t="s">
        <v>4331</v>
      </c>
      <c r="JS137" t="s">
        <v>4331</v>
      </c>
      <c r="JT137" t="s">
        <v>4331</v>
      </c>
      <c r="JU137" t="s">
        <v>4331</v>
      </c>
    </row>
    <row r="138" spans="30:281" x14ac:dyDescent="0.3">
      <c r="AM138" t="s">
        <v>2646</v>
      </c>
      <c r="AN138" t="s">
        <v>2646</v>
      </c>
      <c r="AO138" t="s">
        <v>2646</v>
      </c>
      <c r="AP138" t="s">
        <v>2646</v>
      </c>
      <c r="AQ138" t="s">
        <v>2646</v>
      </c>
      <c r="AR138" t="s">
        <v>2646</v>
      </c>
      <c r="AS138" t="s">
        <v>1538</v>
      </c>
      <c r="AT138" t="s">
        <v>1538</v>
      </c>
      <c r="AU138" t="s">
        <v>1538</v>
      </c>
      <c r="AV138" t="s">
        <v>1538</v>
      </c>
      <c r="AW138" t="s">
        <v>1538</v>
      </c>
      <c r="AX138" t="s">
        <v>1538</v>
      </c>
      <c r="AY138" t="s">
        <v>1538</v>
      </c>
      <c r="AZ138" t="s">
        <v>1538</v>
      </c>
      <c r="BA138" t="s">
        <v>1538</v>
      </c>
      <c r="BB138" t="s">
        <v>1538</v>
      </c>
      <c r="BC138" t="s">
        <v>1538</v>
      </c>
      <c r="BD138" t="s">
        <v>1538</v>
      </c>
      <c r="BE138" t="s">
        <v>1538</v>
      </c>
      <c r="BF138" t="s">
        <v>1538</v>
      </c>
      <c r="BG138" t="s">
        <v>1538</v>
      </c>
      <c r="BH138" t="s">
        <v>1538</v>
      </c>
      <c r="BI138" t="s">
        <v>1538</v>
      </c>
      <c r="BJ138" t="s">
        <v>1538</v>
      </c>
      <c r="BK138" t="s">
        <v>1538</v>
      </c>
      <c r="BL138" t="s">
        <v>1538</v>
      </c>
      <c r="BM138" t="s">
        <v>1538</v>
      </c>
      <c r="BN138" t="s">
        <v>1538</v>
      </c>
      <c r="BO138" t="s">
        <v>1538</v>
      </c>
      <c r="BP138" t="s">
        <v>1538</v>
      </c>
      <c r="BQ138" t="s">
        <v>1538</v>
      </c>
      <c r="BR138" t="s">
        <v>1538</v>
      </c>
      <c r="BS138" t="s">
        <v>1538</v>
      </c>
      <c r="BT138" t="s">
        <v>1538</v>
      </c>
      <c r="BU138" t="s">
        <v>1538</v>
      </c>
      <c r="BV138" t="s">
        <v>1538</v>
      </c>
      <c r="BW138" t="s">
        <v>1538</v>
      </c>
      <c r="BX138" t="s">
        <v>1538</v>
      </c>
      <c r="BY138" t="s">
        <v>1538</v>
      </c>
      <c r="BZ138" t="s">
        <v>1538</v>
      </c>
      <c r="CA138" t="s">
        <v>1538</v>
      </c>
      <c r="CB138" t="s">
        <v>1538</v>
      </c>
      <c r="CC138" t="s">
        <v>2625</v>
      </c>
      <c r="CD138" t="s">
        <v>2625</v>
      </c>
      <c r="CE138" t="s">
        <v>2625</v>
      </c>
      <c r="CF138" t="s">
        <v>2625</v>
      </c>
      <c r="CG138" t="s">
        <v>2625</v>
      </c>
      <c r="CH138" t="s">
        <v>2625</v>
      </c>
      <c r="CI138" t="s">
        <v>2625</v>
      </c>
      <c r="CJ138" t="s">
        <v>2625</v>
      </c>
      <c r="CK138" t="s">
        <v>2625</v>
      </c>
      <c r="CL138" t="s">
        <v>2625</v>
      </c>
      <c r="CM138" t="s">
        <v>2625</v>
      </c>
      <c r="CN138" t="s">
        <v>2625</v>
      </c>
      <c r="CO138" t="s">
        <v>2625</v>
      </c>
      <c r="CP138" t="s">
        <v>2625</v>
      </c>
      <c r="CQ138" t="s">
        <v>2625</v>
      </c>
      <c r="CR138" t="s">
        <v>2625</v>
      </c>
      <c r="CS138" t="s">
        <v>2625</v>
      </c>
      <c r="CT138" t="s">
        <v>2625</v>
      </c>
      <c r="CU138" t="s">
        <v>2625</v>
      </c>
      <c r="CV138" t="s">
        <v>2625</v>
      </c>
      <c r="CW138" t="s">
        <v>2625</v>
      </c>
      <c r="CX138" t="s">
        <v>2625</v>
      </c>
      <c r="CY138" t="s">
        <v>2625</v>
      </c>
      <c r="CZ138" t="s">
        <v>2625</v>
      </c>
      <c r="DA138" t="s">
        <v>2625</v>
      </c>
      <c r="DB138" t="s">
        <v>2625</v>
      </c>
      <c r="DC138" t="s">
        <v>2625</v>
      </c>
      <c r="DD138" t="s">
        <v>2625</v>
      </c>
      <c r="DE138" t="s">
        <v>2625</v>
      </c>
      <c r="DF138" t="s">
        <v>2625</v>
      </c>
      <c r="DG138" t="s">
        <v>2625</v>
      </c>
      <c r="DH138" t="s">
        <v>2587</v>
      </c>
      <c r="DI138" t="s">
        <v>2587</v>
      </c>
      <c r="DJ138" t="s">
        <v>2587</v>
      </c>
      <c r="DK138" t="s">
        <v>2587</v>
      </c>
      <c r="DL138" t="s">
        <v>2587</v>
      </c>
      <c r="DM138" t="s">
        <v>2587</v>
      </c>
      <c r="DN138" t="s">
        <v>2587</v>
      </c>
      <c r="DO138" t="s">
        <v>2587</v>
      </c>
      <c r="DP138" t="s">
        <v>2587</v>
      </c>
      <c r="DQ138" t="s">
        <v>2587</v>
      </c>
      <c r="DR138" t="s">
        <v>2587</v>
      </c>
      <c r="DS138" t="s">
        <v>2587</v>
      </c>
      <c r="DT138" t="s">
        <v>2587</v>
      </c>
      <c r="DU138" t="s">
        <v>2587</v>
      </c>
      <c r="DV138" t="s">
        <v>2587</v>
      </c>
      <c r="DW138" t="s">
        <v>2587</v>
      </c>
      <c r="DY138" t="s">
        <v>2587</v>
      </c>
      <c r="DZ138" t="s">
        <v>2587</v>
      </c>
      <c r="EA138" t="s">
        <v>2779</v>
      </c>
      <c r="EB138" t="s">
        <v>2779</v>
      </c>
      <c r="EC138" t="s">
        <v>2779</v>
      </c>
      <c r="ED138" t="s">
        <v>2779</v>
      </c>
      <c r="EE138" t="s">
        <v>2779</v>
      </c>
      <c r="EF138" t="s">
        <v>2779</v>
      </c>
      <c r="EG138" t="s">
        <v>2779</v>
      </c>
      <c r="EH138" t="s">
        <v>2779</v>
      </c>
      <c r="EI138" t="s">
        <v>2779</v>
      </c>
      <c r="EJ138" t="s">
        <v>2779</v>
      </c>
      <c r="EK138" t="s">
        <v>2779</v>
      </c>
      <c r="EL138" t="s">
        <v>2779</v>
      </c>
      <c r="EM138" t="s">
        <v>2779</v>
      </c>
      <c r="EN138" t="s">
        <v>2779</v>
      </c>
      <c r="EO138" t="s">
        <v>2779</v>
      </c>
      <c r="EP138" t="s">
        <v>2779</v>
      </c>
      <c r="EQ138" t="s">
        <v>2779</v>
      </c>
      <c r="ER138" t="s">
        <v>2779</v>
      </c>
      <c r="ES138" t="s">
        <v>2779</v>
      </c>
      <c r="ET138" t="s">
        <v>2779</v>
      </c>
      <c r="EU138" t="s">
        <v>2779</v>
      </c>
      <c r="EV138" t="s">
        <v>2779</v>
      </c>
      <c r="EW138" t="s">
        <v>2779</v>
      </c>
      <c r="EX138" t="s">
        <v>2779</v>
      </c>
      <c r="EY138" t="s">
        <v>2779</v>
      </c>
      <c r="EZ138" t="s">
        <v>2779</v>
      </c>
      <c r="FA138" t="s">
        <v>2779</v>
      </c>
      <c r="FB138" t="s">
        <v>2779</v>
      </c>
      <c r="FI138" t="s">
        <v>4334</v>
      </c>
      <c r="FJ138" t="s">
        <v>4334</v>
      </c>
      <c r="FK138" t="s">
        <v>4334</v>
      </c>
      <c r="FL138" t="s">
        <v>4334</v>
      </c>
      <c r="FM138" t="s">
        <v>4334</v>
      </c>
      <c r="FN138" t="s">
        <v>4334</v>
      </c>
      <c r="FO138" t="s">
        <v>4334</v>
      </c>
      <c r="FP138" t="s">
        <v>4334</v>
      </c>
      <c r="FQ138" t="s">
        <v>4334</v>
      </c>
      <c r="FR138" t="s">
        <v>4334</v>
      </c>
      <c r="FS138" t="s">
        <v>4334</v>
      </c>
      <c r="FT138" t="s">
        <v>4334</v>
      </c>
      <c r="FU138" t="s">
        <v>4334</v>
      </c>
      <c r="FV138" t="s">
        <v>4334</v>
      </c>
      <c r="FW138" t="s">
        <v>4334</v>
      </c>
      <c r="FX138" t="s">
        <v>4334</v>
      </c>
      <c r="FY138" t="s">
        <v>4334</v>
      </c>
      <c r="FZ138" t="s">
        <v>4334</v>
      </c>
      <c r="GA138" t="s">
        <v>4334</v>
      </c>
      <c r="GB138" t="s">
        <v>4334</v>
      </c>
      <c r="GC138" t="s">
        <v>4334</v>
      </c>
      <c r="GD138" t="s">
        <v>4334</v>
      </c>
      <c r="GE138" t="s">
        <v>4333</v>
      </c>
      <c r="GF138" t="s">
        <v>4333</v>
      </c>
      <c r="GG138" t="s">
        <v>4333</v>
      </c>
      <c r="GH138" t="s">
        <v>4333</v>
      </c>
      <c r="GI138" t="s">
        <v>4333</v>
      </c>
      <c r="GJ138" t="s">
        <v>4333</v>
      </c>
      <c r="GK138" t="s">
        <v>4333</v>
      </c>
      <c r="GL138" t="s">
        <v>4333</v>
      </c>
      <c r="GM138" t="s">
        <v>4333</v>
      </c>
      <c r="GN138" t="s">
        <v>4333</v>
      </c>
      <c r="GO138" t="s">
        <v>4333</v>
      </c>
      <c r="GP138" t="s">
        <v>4333</v>
      </c>
      <c r="GQ138" t="s">
        <v>4333</v>
      </c>
      <c r="GR138" t="s">
        <v>4333</v>
      </c>
      <c r="GS138" t="s">
        <v>4333</v>
      </c>
      <c r="GT138" t="s">
        <v>4333</v>
      </c>
      <c r="GU138" t="s">
        <v>4333</v>
      </c>
      <c r="GV138" t="s">
        <v>4333</v>
      </c>
      <c r="GW138" t="s">
        <v>4333</v>
      </c>
      <c r="GX138" t="s">
        <v>4326</v>
      </c>
      <c r="GY138" t="s">
        <v>4326</v>
      </c>
      <c r="GZ138" t="s">
        <v>4326</v>
      </c>
      <c r="HA138" t="s">
        <v>4326</v>
      </c>
      <c r="HB138" t="s">
        <v>4326</v>
      </c>
      <c r="HC138" t="s">
        <v>4326</v>
      </c>
      <c r="HD138" t="s">
        <v>4326</v>
      </c>
      <c r="HE138" t="s">
        <v>4326</v>
      </c>
      <c r="HF138" t="s">
        <v>4326</v>
      </c>
      <c r="HG138" t="s">
        <v>4326</v>
      </c>
      <c r="HH138" t="s">
        <v>4326</v>
      </c>
      <c r="HI138" t="s">
        <v>4326</v>
      </c>
      <c r="HJ138" t="s">
        <v>4326</v>
      </c>
      <c r="HK138" t="s">
        <v>4326</v>
      </c>
      <c r="HL138" t="s">
        <v>4326</v>
      </c>
      <c r="HM138" t="s">
        <v>4326</v>
      </c>
      <c r="HN138" t="s">
        <v>4326</v>
      </c>
      <c r="HO138" t="s">
        <v>4326</v>
      </c>
      <c r="HP138" t="s">
        <v>4326</v>
      </c>
      <c r="HQ138" t="s">
        <v>4335</v>
      </c>
      <c r="HR138" t="s">
        <v>4335</v>
      </c>
      <c r="HS138" t="s">
        <v>4335</v>
      </c>
      <c r="HT138" t="s">
        <v>4335</v>
      </c>
      <c r="HU138" t="s">
        <v>4335</v>
      </c>
      <c r="HV138" t="s">
        <v>4335</v>
      </c>
      <c r="HW138" t="s">
        <v>4335</v>
      </c>
      <c r="HX138" t="s">
        <v>4335</v>
      </c>
      <c r="HY138" t="s">
        <v>4331</v>
      </c>
      <c r="HZ138" t="s">
        <v>4331</v>
      </c>
      <c r="IA138" t="s">
        <v>4331</v>
      </c>
      <c r="IB138" t="s">
        <v>4331</v>
      </c>
      <c r="IC138" t="s">
        <v>4331</v>
      </c>
      <c r="ID138" t="s">
        <v>4331</v>
      </c>
      <c r="IE138" t="s">
        <v>4331</v>
      </c>
      <c r="IF138" t="s">
        <v>4331</v>
      </c>
      <c r="IG138" t="s">
        <v>4331</v>
      </c>
      <c r="IH138" t="s">
        <v>4331</v>
      </c>
      <c r="II138" t="s">
        <v>4331</v>
      </c>
      <c r="IJ138" t="s">
        <v>4331</v>
      </c>
      <c r="IK138" t="s">
        <v>4331</v>
      </c>
      <c r="IL138" t="s">
        <v>4331</v>
      </c>
      <c r="IM138" t="s">
        <v>4331</v>
      </c>
      <c r="IN138" t="s">
        <v>4326</v>
      </c>
      <c r="IO138" t="s">
        <v>4326</v>
      </c>
      <c r="IP138" t="s">
        <v>4326</v>
      </c>
      <c r="IQ138" t="s">
        <v>4326</v>
      </c>
      <c r="IR138" t="s">
        <v>4326</v>
      </c>
      <c r="IS138" t="s">
        <v>4326</v>
      </c>
      <c r="IT138" t="s">
        <v>4326</v>
      </c>
      <c r="IU138" t="s">
        <v>4326</v>
      </c>
      <c r="IV138" t="s">
        <v>4326</v>
      </c>
      <c r="IW138" t="s">
        <v>4328</v>
      </c>
      <c r="IX138" t="s">
        <v>4331</v>
      </c>
      <c r="IY138" t="s">
        <v>4331</v>
      </c>
      <c r="IZ138" t="s">
        <v>4331</v>
      </c>
      <c r="JA138" t="s">
        <v>4331</v>
      </c>
      <c r="JB138" t="s">
        <v>4331</v>
      </c>
      <c r="JC138" t="s">
        <v>4331</v>
      </c>
      <c r="JD138" t="s">
        <v>4331</v>
      </c>
      <c r="JE138" t="s">
        <v>4331</v>
      </c>
      <c r="JF138" t="s">
        <v>4331</v>
      </c>
      <c r="JG138" t="s">
        <v>4331</v>
      </c>
      <c r="JH138" t="s">
        <v>4331</v>
      </c>
      <c r="JI138" t="s">
        <v>4331</v>
      </c>
      <c r="JJ138" t="s">
        <v>4331</v>
      </c>
      <c r="JK138" t="s">
        <v>4331</v>
      </c>
      <c r="JL138" t="s">
        <v>4331</v>
      </c>
      <c r="JM138" t="s">
        <v>4331</v>
      </c>
      <c r="JN138" t="s">
        <v>4331</v>
      </c>
      <c r="JO138" t="s">
        <v>4331</v>
      </c>
      <c r="JP138" t="s">
        <v>4331</v>
      </c>
      <c r="JQ138" t="s">
        <v>4331</v>
      </c>
      <c r="JR138" t="s">
        <v>4331</v>
      </c>
      <c r="JS138" t="s">
        <v>4331</v>
      </c>
      <c r="JT138" t="s">
        <v>4331</v>
      </c>
      <c r="JU138" t="s">
        <v>4331</v>
      </c>
    </row>
    <row r="139" spans="30:281" x14ac:dyDescent="0.3">
      <c r="AN139" t="s">
        <v>2646</v>
      </c>
      <c r="AO139" t="s">
        <v>2646</v>
      </c>
      <c r="AP139" t="s">
        <v>2646</v>
      </c>
      <c r="AQ139" t="s">
        <v>2646</v>
      </c>
      <c r="AR139" t="s">
        <v>2646</v>
      </c>
      <c r="AS139" t="s">
        <v>1538</v>
      </c>
      <c r="AT139" t="s">
        <v>1538</v>
      </c>
      <c r="AU139" t="s">
        <v>1538</v>
      </c>
      <c r="AV139" t="s">
        <v>1538</v>
      </c>
      <c r="AW139" t="s">
        <v>1538</v>
      </c>
      <c r="AX139" t="s">
        <v>1538</v>
      </c>
      <c r="AY139" t="s">
        <v>1538</v>
      </c>
      <c r="AZ139" t="s">
        <v>1538</v>
      </c>
      <c r="BA139" t="s">
        <v>1538</v>
      </c>
      <c r="BB139" t="s">
        <v>1538</v>
      </c>
      <c r="BC139" t="s">
        <v>1538</v>
      </c>
      <c r="BD139" t="s">
        <v>1538</v>
      </c>
      <c r="BE139" t="s">
        <v>1538</v>
      </c>
      <c r="BF139" t="s">
        <v>1538</v>
      </c>
      <c r="BG139" t="s">
        <v>1538</v>
      </c>
      <c r="BH139" t="s">
        <v>1538</v>
      </c>
      <c r="BI139" t="s">
        <v>1538</v>
      </c>
      <c r="BJ139" t="s">
        <v>1538</v>
      </c>
      <c r="BK139" t="s">
        <v>1538</v>
      </c>
      <c r="BL139" t="s">
        <v>1538</v>
      </c>
      <c r="BM139" t="s">
        <v>1538</v>
      </c>
      <c r="BN139" t="s">
        <v>1538</v>
      </c>
      <c r="BO139" t="s">
        <v>1538</v>
      </c>
      <c r="BP139" t="s">
        <v>1538</v>
      </c>
      <c r="BQ139" t="s">
        <v>1538</v>
      </c>
      <c r="BR139" t="s">
        <v>1538</v>
      </c>
      <c r="BS139" t="s">
        <v>1538</v>
      </c>
      <c r="BT139" t="s">
        <v>1538</v>
      </c>
      <c r="BU139" t="s">
        <v>1538</v>
      </c>
      <c r="BV139" t="s">
        <v>1538</v>
      </c>
      <c r="BW139" t="s">
        <v>1538</v>
      </c>
      <c r="BX139" t="s">
        <v>1538</v>
      </c>
      <c r="BY139" t="s">
        <v>1538</v>
      </c>
      <c r="BZ139" t="s">
        <v>1538</v>
      </c>
      <c r="CA139" t="s">
        <v>1538</v>
      </c>
      <c r="CB139" t="s">
        <v>1538</v>
      </c>
      <c r="CC139" t="s">
        <v>1538</v>
      </c>
      <c r="CD139" t="s">
        <v>2625</v>
      </c>
      <c r="CE139" t="s">
        <v>2625</v>
      </c>
      <c r="CF139" t="s">
        <v>2625</v>
      </c>
      <c r="CG139" t="s">
        <v>2625</v>
      </c>
      <c r="CH139" t="s">
        <v>2625</v>
      </c>
      <c r="CI139" t="s">
        <v>2625</v>
      </c>
      <c r="CJ139" t="s">
        <v>2625</v>
      </c>
      <c r="CK139" t="s">
        <v>2625</v>
      </c>
      <c r="CL139" t="s">
        <v>2625</v>
      </c>
      <c r="CM139" t="s">
        <v>2625</v>
      </c>
      <c r="CN139" t="s">
        <v>2625</v>
      </c>
      <c r="CO139" t="s">
        <v>2625</v>
      </c>
      <c r="CP139" t="s">
        <v>2625</v>
      </c>
      <c r="CQ139" t="s">
        <v>2625</v>
      </c>
      <c r="CR139" t="s">
        <v>2625</v>
      </c>
      <c r="CS139" t="s">
        <v>2625</v>
      </c>
      <c r="CT139" t="s">
        <v>2625</v>
      </c>
      <c r="CU139" t="s">
        <v>2625</v>
      </c>
      <c r="CV139" t="s">
        <v>2625</v>
      </c>
      <c r="CW139" t="s">
        <v>2625</v>
      </c>
      <c r="CX139" t="s">
        <v>2625</v>
      </c>
      <c r="CY139" t="s">
        <v>2625</v>
      </c>
      <c r="CZ139" t="s">
        <v>2625</v>
      </c>
      <c r="DA139" t="s">
        <v>2625</v>
      </c>
      <c r="DB139" t="s">
        <v>2625</v>
      </c>
      <c r="DC139" t="s">
        <v>2625</v>
      </c>
      <c r="DD139" t="s">
        <v>2625</v>
      </c>
      <c r="DE139" t="s">
        <v>2625</v>
      </c>
      <c r="DF139" t="s">
        <v>2625</v>
      </c>
      <c r="DG139" t="s">
        <v>2625</v>
      </c>
      <c r="DH139" t="s">
        <v>2587</v>
      </c>
      <c r="DI139" t="s">
        <v>2587</v>
      </c>
      <c r="DJ139" t="s">
        <v>2587</v>
      </c>
      <c r="DK139" t="s">
        <v>2587</v>
      </c>
      <c r="DL139" t="s">
        <v>2587</v>
      </c>
      <c r="DM139" t="s">
        <v>2587</v>
      </c>
      <c r="DN139" t="s">
        <v>2587</v>
      </c>
      <c r="DO139" t="s">
        <v>2587</v>
      </c>
      <c r="DP139" t="s">
        <v>2587</v>
      </c>
      <c r="DQ139" t="s">
        <v>2587</v>
      </c>
      <c r="DR139" t="s">
        <v>2587</v>
      </c>
      <c r="DS139" t="s">
        <v>2587</v>
      </c>
      <c r="DT139" t="s">
        <v>2587</v>
      </c>
      <c r="DU139" t="s">
        <v>2587</v>
      </c>
      <c r="DV139" t="s">
        <v>2587</v>
      </c>
      <c r="DX139" t="s">
        <v>2587</v>
      </c>
      <c r="DY139" t="s">
        <v>2587</v>
      </c>
      <c r="DZ139" t="s">
        <v>2587</v>
      </c>
      <c r="EB139" t="s">
        <v>2779</v>
      </c>
      <c r="EC139" t="s">
        <v>2779</v>
      </c>
      <c r="ED139" t="s">
        <v>2779</v>
      </c>
      <c r="EE139" t="s">
        <v>2779</v>
      </c>
      <c r="EF139" t="s">
        <v>2779</v>
      </c>
      <c r="EG139" t="s">
        <v>2779</v>
      </c>
      <c r="EH139" t="s">
        <v>2779</v>
      </c>
      <c r="EI139" t="s">
        <v>2779</v>
      </c>
      <c r="EJ139" t="s">
        <v>2779</v>
      </c>
      <c r="EK139" t="s">
        <v>2779</v>
      </c>
      <c r="EL139" t="s">
        <v>2779</v>
      </c>
      <c r="EM139" t="s">
        <v>2779</v>
      </c>
      <c r="EN139" t="s">
        <v>2779</v>
      </c>
      <c r="EO139" t="s">
        <v>2779</v>
      </c>
      <c r="EP139" t="s">
        <v>2779</v>
      </c>
      <c r="EQ139" t="s">
        <v>2779</v>
      </c>
      <c r="ER139" t="s">
        <v>2779</v>
      </c>
      <c r="ES139" t="s">
        <v>2779</v>
      </c>
      <c r="ET139" t="s">
        <v>2779</v>
      </c>
      <c r="EU139" t="s">
        <v>2779</v>
      </c>
      <c r="EV139" t="s">
        <v>2779</v>
      </c>
      <c r="EW139" t="s">
        <v>2779</v>
      </c>
      <c r="EX139" t="s">
        <v>2779</v>
      </c>
      <c r="EY139" t="s">
        <v>2779</v>
      </c>
      <c r="EZ139" t="s">
        <v>2779</v>
      </c>
      <c r="FA139" t="s">
        <v>2799</v>
      </c>
      <c r="FB139" t="s">
        <v>2799</v>
      </c>
      <c r="FH139" t="s">
        <v>4334</v>
      </c>
      <c r="FI139" t="s">
        <v>4334</v>
      </c>
      <c r="FJ139" t="s">
        <v>4334</v>
      </c>
      <c r="FK139" t="s">
        <v>4334</v>
      </c>
      <c r="FL139" t="s">
        <v>4334</v>
      </c>
      <c r="FM139" t="s">
        <v>4334</v>
      </c>
      <c r="FN139" t="s">
        <v>4334</v>
      </c>
      <c r="FO139" t="s">
        <v>4334</v>
      </c>
      <c r="FP139" t="s">
        <v>4334</v>
      </c>
      <c r="FQ139" t="s">
        <v>4334</v>
      </c>
      <c r="FR139" t="s">
        <v>4334</v>
      </c>
      <c r="FS139" t="s">
        <v>4334</v>
      </c>
      <c r="FT139" t="s">
        <v>4334</v>
      </c>
      <c r="FU139" t="s">
        <v>4334</v>
      </c>
      <c r="FV139" t="s">
        <v>4334</v>
      </c>
      <c r="FW139" t="s">
        <v>4334</v>
      </c>
      <c r="FX139" t="s">
        <v>4334</v>
      </c>
      <c r="FY139" t="s">
        <v>4334</v>
      </c>
      <c r="FZ139" t="s">
        <v>4334</v>
      </c>
      <c r="GA139" t="s">
        <v>4334</v>
      </c>
      <c r="GB139" t="s">
        <v>4334</v>
      </c>
      <c r="GC139" t="s">
        <v>4333</v>
      </c>
      <c r="GD139" t="s">
        <v>4333</v>
      </c>
      <c r="GE139" t="s">
        <v>4333</v>
      </c>
      <c r="GF139" t="s">
        <v>4333</v>
      </c>
      <c r="GG139" t="s">
        <v>4333</v>
      </c>
      <c r="GH139" t="s">
        <v>4333</v>
      </c>
      <c r="GI139" t="s">
        <v>4333</v>
      </c>
      <c r="GJ139" t="s">
        <v>4333</v>
      </c>
      <c r="GK139" t="s">
        <v>4333</v>
      </c>
      <c r="GL139" t="s">
        <v>4333</v>
      </c>
      <c r="GM139" t="s">
        <v>4333</v>
      </c>
      <c r="GN139" t="s">
        <v>4333</v>
      </c>
      <c r="GO139" t="s">
        <v>4333</v>
      </c>
      <c r="GP139" t="s">
        <v>4333</v>
      </c>
      <c r="GQ139" t="s">
        <v>4333</v>
      </c>
      <c r="GR139" t="s">
        <v>4333</v>
      </c>
      <c r="GS139" t="s">
        <v>4333</v>
      </c>
      <c r="GT139" t="s">
        <v>4333</v>
      </c>
      <c r="GU139" t="s">
        <v>4333</v>
      </c>
      <c r="GV139" t="s">
        <v>4333</v>
      </c>
      <c r="GW139" t="s">
        <v>4333</v>
      </c>
      <c r="GX139" t="s">
        <v>4333</v>
      </c>
      <c r="GY139" t="s">
        <v>4326</v>
      </c>
      <c r="GZ139" t="s">
        <v>4326</v>
      </c>
      <c r="HA139" t="s">
        <v>4326</v>
      </c>
      <c r="HB139" t="s">
        <v>4326</v>
      </c>
      <c r="HC139" t="s">
        <v>4326</v>
      </c>
      <c r="HD139" t="s">
        <v>4326</v>
      </c>
      <c r="HE139" t="s">
        <v>4326</v>
      </c>
      <c r="HF139" t="s">
        <v>4326</v>
      </c>
      <c r="HG139" t="s">
        <v>4326</v>
      </c>
      <c r="HH139" t="s">
        <v>4326</v>
      </c>
      <c r="HI139" t="s">
        <v>4326</v>
      </c>
      <c r="HJ139" t="s">
        <v>4326</v>
      </c>
      <c r="HK139" t="s">
        <v>4326</v>
      </c>
      <c r="HL139" t="s">
        <v>4326</v>
      </c>
      <c r="HM139" t="s">
        <v>4326</v>
      </c>
      <c r="HN139" t="s">
        <v>4335</v>
      </c>
      <c r="HO139" t="s">
        <v>4335</v>
      </c>
      <c r="HP139" t="s">
        <v>4335</v>
      </c>
      <c r="HQ139" t="s">
        <v>4335</v>
      </c>
      <c r="HR139" t="s">
        <v>4335</v>
      </c>
      <c r="HS139" t="s">
        <v>4335</v>
      </c>
      <c r="HT139" t="s">
        <v>4335</v>
      </c>
      <c r="HU139" t="s">
        <v>4335</v>
      </c>
      <c r="HV139" t="s">
        <v>4335</v>
      </c>
      <c r="HW139" t="s">
        <v>4331</v>
      </c>
      <c r="HX139" t="s">
        <v>4331</v>
      </c>
      <c r="HY139" t="s">
        <v>4331</v>
      </c>
      <c r="HZ139" t="s">
        <v>4331</v>
      </c>
      <c r="IA139" t="s">
        <v>4331</v>
      </c>
      <c r="IB139" t="s">
        <v>4331</v>
      </c>
      <c r="IC139" t="s">
        <v>4331</v>
      </c>
      <c r="ID139" t="s">
        <v>4331</v>
      </c>
      <c r="IE139" t="s">
        <v>4331</v>
      </c>
      <c r="IF139" t="s">
        <v>4331</v>
      </c>
      <c r="IG139" t="s">
        <v>4331</v>
      </c>
      <c r="IH139" t="s">
        <v>4331</v>
      </c>
      <c r="II139" t="s">
        <v>4331</v>
      </c>
      <c r="IJ139" t="s">
        <v>4331</v>
      </c>
      <c r="IK139" t="s">
        <v>4331</v>
      </c>
      <c r="IL139" t="s">
        <v>4331</v>
      </c>
      <c r="IM139" t="s">
        <v>4331</v>
      </c>
      <c r="IN139" t="s">
        <v>4331</v>
      </c>
      <c r="IO139" t="s">
        <v>4326</v>
      </c>
      <c r="IP139" t="s">
        <v>4326</v>
      </c>
      <c r="IQ139" t="s">
        <v>4326</v>
      </c>
      <c r="IR139" t="s">
        <v>4326</v>
      </c>
      <c r="IS139" t="s">
        <v>4326</v>
      </c>
      <c r="IT139" t="s">
        <v>4326</v>
      </c>
      <c r="IU139" t="s">
        <v>4331</v>
      </c>
      <c r="IV139" t="s">
        <v>4331</v>
      </c>
      <c r="IW139" t="s">
        <v>4331</v>
      </c>
      <c r="IX139" t="s">
        <v>4331</v>
      </c>
      <c r="IY139" t="s">
        <v>4331</v>
      </c>
      <c r="IZ139" t="s">
        <v>4331</v>
      </c>
      <c r="JA139" t="s">
        <v>4331</v>
      </c>
      <c r="JB139" t="s">
        <v>4331</v>
      </c>
      <c r="JC139" t="s">
        <v>4331</v>
      </c>
      <c r="JD139" t="s">
        <v>4331</v>
      </c>
      <c r="JE139" t="s">
        <v>4331</v>
      </c>
      <c r="JF139" t="s">
        <v>4331</v>
      </c>
      <c r="JG139" t="s">
        <v>4331</v>
      </c>
      <c r="JH139" t="s">
        <v>4331</v>
      </c>
      <c r="JI139" t="s">
        <v>4331</v>
      </c>
      <c r="JJ139" t="s">
        <v>4331</v>
      </c>
      <c r="JK139" t="s">
        <v>4331</v>
      </c>
      <c r="JL139" t="s">
        <v>4331</v>
      </c>
      <c r="JM139" t="s">
        <v>4331</v>
      </c>
      <c r="JN139" t="s">
        <v>4331</v>
      </c>
      <c r="JO139" t="s">
        <v>4331</v>
      </c>
      <c r="JP139" t="s">
        <v>4331</v>
      </c>
      <c r="JQ139" t="s">
        <v>4331</v>
      </c>
      <c r="JR139" t="s">
        <v>4331</v>
      </c>
      <c r="JS139" t="s">
        <v>4331</v>
      </c>
      <c r="JT139" t="s">
        <v>4331</v>
      </c>
      <c r="JU139" t="s">
        <v>4331</v>
      </c>
    </row>
    <row r="140" spans="30:281" x14ac:dyDescent="0.3">
      <c r="AP140" t="s">
        <v>2646</v>
      </c>
      <c r="AQ140" t="s">
        <v>2646</v>
      </c>
      <c r="AR140" t="s">
        <v>2646</v>
      </c>
      <c r="AS140" t="s">
        <v>2646</v>
      </c>
      <c r="AT140" t="s">
        <v>1538</v>
      </c>
      <c r="AU140" t="s">
        <v>1538</v>
      </c>
      <c r="AV140" t="s">
        <v>1538</v>
      </c>
      <c r="AW140" t="s">
        <v>1538</v>
      </c>
      <c r="AX140" t="s">
        <v>1538</v>
      </c>
      <c r="AY140" t="s">
        <v>1538</v>
      </c>
      <c r="AZ140" t="s">
        <v>1538</v>
      </c>
      <c r="BA140" t="s">
        <v>1538</v>
      </c>
      <c r="BB140" t="s">
        <v>1538</v>
      </c>
      <c r="BC140" t="s">
        <v>1538</v>
      </c>
      <c r="BD140" t="s">
        <v>1538</v>
      </c>
      <c r="BE140" t="s">
        <v>1538</v>
      </c>
      <c r="BF140" t="s">
        <v>1538</v>
      </c>
      <c r="BG140" t="s">
        <v>1538</v>
      </c>
      <c r="BH140" t="s">
        <v>1538</v>
      </c>
      <c r="BI140" t="s">
        <v>1538</v>
      </c>
      <c r="BJ140" t="s">
        <v>1538</v>
      </c>
      <c r="BK140" t="s">
        <v>1538</v>
      </c>
      <c r="BL140" t="s">
        <v>1538</v>
      </c>
      <c r="BM140" t="s">
        <v>1538</v>
      </c>
      <c r="BN140" t="s">
        <v>1538</v>
      </c>
      <c r="BO140" t="s">
        <v>1538</v>
      </c>
      <c r="BP140" t="s">
        <v>1538</v>
      </c>
      <c r="BQ140" t="s">
        <v>1538</v>
      </c>
      <c r="BR140" t="s">
        <v>1538</v>
      </c>
      <c r="BS140" t="s">
        <v>1538</v>
      </c>
      <c r="BT140" t="s">
        <v>1538</v>
      </c>
      <c r="BU140" t="s">
        <v>1538</v>
      </c>
      <c r="BV140" t="s">
        <v>1538</v>
      </c>
      <c r="BW140" t="s">
        <v>1538</v>
      </c>
      <c r="BX140" t="s">
        <v>1538</v>
      </c>
      <c r="BY140" t="s">
        <v>1538</v>
      </c>
      <c r="BZ140" t="s">
        <v>1538</v>
      </c>
      <c r="CA140" t="s">
        <v>1538</v>
      </c>
      <c r="CB140" t="s">
        <v>1538</v>
      </c>
      <c r="CC140" t="s">
        <v>1538</v>
      </c>
      <c r="CD140" t="s">
        <v>2625</v>
      </c>
      <c r="CE140" t="s">
        <v>2625</v>
      </c>
      <c r="CF140" t="s">
        <v>2625</v>
      </c>
      <c r="CG140" t="s">
        <v>2625</v>
      </c>
      <c r="CH140" t="s">
        <v>2625</v>
      </c>
      <c r="CI140" t="s">
        <v>2625</v>
      </c>
      <c r="CJ140" t="s">
        <v>2625</v>
      </c>
      <c r="CK140" t="s">
        <v>2625</v>
      </c>
      <c r="CL140" t="s">
        <v>2625</v>
      </c>
      <c r="CM140" t="s">
        <v>2625</v>
      </c>
      <c r="CN140" t="s">
        <v>2625</v>
      </c>
      <c r="CO140" t="s">
        <v>2625</v>
      </c>
      <c r="CP140" t="s">
        <v>2625</v>
      </c>
      <c r="CQ140" t="s">
        <v>2625</v>
      </c>
      <c r="CR140" t="s">
        <v>2625</v>
      </c>
      <c r="CS140" t="s">
        <v>2625</v>
      </c>
      <c r="CT140" t="s">
        <v>2625</v>
      </c>
      <c r="CU140" t="s">
        <v>2625</v>
      </c>
      <c r="CV140" t="s">
        <v>2625</v>
      </c>
      <c r="CW140" t="s">
        <v>2625</v>
      </c>
      <c r="CX140" t="s">
        <v>2625</v>
      </c>
      <c r="CY140" t="s">
        <v>2625</v>
      </c>
      <c r="CZ140" t="s">
        <v>2625</v>
      </c>
      <c r="DA140" t="s">
        <v>2625</v>
      </c>
      <c r="DB140" t="s">
        <v>2625</v>
      </c>
      <c r="DC140" t="s">
        <v>2625</v>
      </c>
      <c r="DD140" t="s">
        <v>2625</v>
      </c>
      <c r="DE140" t="s">
        <v>2625</v>
      </c>
      <c r="DF140" t="s">
        <v>2625</v>
      </c>
      <c r="DG140" t="s">
        <v>2625</v>
      </c>
      <c r="DH140" t="s">
        <v>2587</v>
      </c>
      <c r="DI140" t="s">
        <v>2587</v>
      </c>
      <c r="DJ140" t="s">
        <v>2587</v>
      </c>
      <c r="DK140" t="s">
        <v>2587</v>
      </c>
      <c r="DL140" t="s">
        <v>2587</v>
      </c>
      <c r="DM140" t="s">
        <v>2587</v>
      </c>
      <c r="DN140" t="s">
        <v>2587</v>
      </c>
      <c r="DO140" t="s">
        <v>2587</v>
      </c>
      <c r="DP140" t="s">
        <v>2587</v>
      </c>
      <c r="DQ140" t="s">
        <v>2587</v>
      </c>
      <c r="DR140" t="s">
        <v>2587</v>
      </c>
      <c r="DS140" t="s">
        <v>2587</v>
      </c>
      <c r="DT140" t="s">
        <v>2587</v>
      </c>
      <c r="DU140" t="s">
        <v>2587</v>
      </c>
      <c r="DV140" t="s">
        <v>2587</v>
      </c>
      <c r="DW140" t="s">
        <v>2587</v>
      </c>
      <c r="DX140" t="s">
        <v>2587</v>
      </c>
      <c r="DY140" t="s">
        <v>2587</v>
      </c>
      <c r="DZ140" t="s">
        <v>2587</v>
      </c>
      <c r="EB140" t="s">
        <v>2779</v>
      </c>
      <c r="EC140" t="s">
        <v>2796</v>
      </c>
      <c r="ED140" t="s">
        <v>2779</v>
      </c>
      <c r="EE140" t="s">
        <v>2779</v>
      </c>
      <c r="EF140" t="s">
        <v>2779</v>
      </c>
      <c r="EG140" t="s">
        <v>2779</v>
      </c>
      <c r="EH140" t="s">
        <v>2779</v>
      </c>
      <c r="EI140" t="s">
        <v>2779</v>
      </c>
      <c r="EJ140" t="s">
        <v>2779</v>
      </c>
      <c r="EK140" t="s">
        <v>2779</v>
      </c>
      <c r="EL140" t="s">
        <v>2779</v>
      </c>
      <c r="EM140" t="s">
        <v>2779</v>
      </c>
      <c r="EN140" t="s">
        <v>2779</v>
      </c>
      <c r="EO140" t="s">
        <v>2779</v>
      </c>
      <c r="EP140" t="s">
        <v>2779</v>
      </c>
      <c r="EQ140" t="s">
        <v>2779</v>
      </c>
      <c r="ER140" t="s">
        <v>2779</v>
      </c>
      <c r="ES140" t="s">
        <v>2779</v>
      </c>
      <c r="ET140" t="s">
        <v>2779</v>
      </c>
      <c r="EU140" t="s">
        <v>2808</v>
      </c>
      <c r="EV140" t="s">
        <v>2808</v>
      </c>
      <c r="EW140" t="s">
        <v>2808</v>
      </c>
      <c r="EX140" t="s">
        <v>2808</v>
      </c>
      <c r="EY140" t="s">
        <v>2799</v>
      </c>
      <c r="EZ140" t="s">
        <v>2799</v>
      </c>
      <c r="FA140" t="s">
        <v>2799</v>
      </c>
      <c r="FG140" t="s">
        <v>4334</v>
      </c>
      <c r="FH140" t="s">
        <v>4334</v>
      </c>
      <c r="FI140" t="s">
        <v>4334</v>
      </c>
      <c r="FJ140" t="s">
        <v>4334</v>
      </c>
      <c r="FK140" t="s">
        <v>4334</v>
      </c>
      <c r="FL140" t="s">
        <v>4334</v>
      </c>
      <c r="FM140" t="s">
        <v>4334</v>
      </c>
      <c r="FN140" t="s">
        <v>4334</v>
      </c>
      <c r="FO140" t="s">
        <v>4334</v>
      </c>
      <c r="FP140" t="s">
        <v>4334</v>
      </c>
      <c r="FQ140" t="s">
        <v>4334</v>
      </c>
      <c r="FR140" t="s">
        <v>4334</v>
      </c>
      <c r="FS140" t="s">
        <v>4334</v>
      </c>
      <c r="FT140" t="s">
        <v>4334</v>
      </c>
      <c r="FU140" t="s">
        <v>4334</v>
      </c>
      <c r="FV140" t="s">
        <v>4334</v>
      </c>
      <c r="FW140" t="s">
        <v>4334</v>
      </c>
      <c r="FX140" t="s">
        <v>4334</v>
      </c>
      <c r="FY140" t="s">
        <v>4334</v>
      </c>
      <c r="FZ140" t="s">
        <v>4334</v>
      </c>
      <c r="GA140" t="s">
        <v>4334</v>
      </c>
      <c r="GB140" t="s">
        <v>4334</v>
      </c>
      <c r="GC140" t="s">
        <v>4333</v>
      </c>
      <c r="GD140" t="s">
        <v>4333</v>
      </c>
      <c r="GE140" t="s">
        <v>4333</v>
      </c>
      <c r="GF140" t="s">
        <v>4333</v>
      </c>
      <c r="GG140" t="s">
        <v>4333</v>
      </c>
      <c r="GH140" t="s">
        <v>4333</v>
      </c>
      <c r="GI140" t="s">
        <v>4333</v>
      </c>
      <c r="GJ140" t="s">
        <v>4333</v>
      </c>
      <c r="GK140" t="s">
        <v>4333</v>
      </c>
      <c r="GL140" t="s">
        <v>4333</v>
      </c>
      <c r="GM140" t="s">
        <v>4333</v>
      </c>
      <c r="GN140" t="s">
        <v>4333</v>
      </c>
      <c r="GO140" t="s">
        <v>4333</v>
      </c>
      <c r="GP140" t="s">
        <v>4333</v>
      </c>
      <c r="GQ140" t="s">
        <v>4333</v>
      </c>
      <c r="GR140" t="s">
        <v>4333</v>
      </c>
      <c r="GS140" t="s">
        <v>4333</v>
      </c>
      <c r="GT140" t="s">
        <v>4333</v>
      </c>
      <c r="GU140" t="s">
        <v>4333</v>
      </c>
      <c r="GV140" t="s">
        <v>4333</v>
      </c>
      <c r="GW140" t="s">
        <v>4333</v>
      </c>
      <c r="GX140" t="s">
        <v>4333</v>
      </c>
      <c r="GY140" t="s">
        <v>4333</v>
      </c>
      <c r="GZ140" t="s">
        <v>4326</v>
      </c>
      <c r="HA140" t="s">
        <v>4326</v>
      </c>
      <c r="HB140" t="s">
        <v>4326</v>
      </c>
      <c r="HC140" t="s">
        <v>4326</v>
      </c>
      <c r="HD140" t="s">
        <v>4326</v>
      </c>
      <c r="HE140" t="s">
        <v>4326</v>
      </c>
      <c r="HF140" t="s">
        <v>4326</v>
      </c>
      <c r="HG140" t="s">
        <v>4326</v>
      </c>
      <c r="HH140" t="s">
        <v>4326</v>
      </c>
      <c r="HI140" t="s">
        <v>4326</v>
      </c>
      <c r="HJ140" t="s">
        <v>4326</v>
      </c>
      <c r="HK140" t="s">
        <v>4326</v>
      </c>
      <c r="HL140" t="s">
        <v>4326</v>
      </c>
      <c r="HM140" t="s">
        <v>4326</v>
      </c>
      <c r="HN140" t="s">
        <v>4326</v>
      </c>
      <c r="HO140" t="s">
        <v>4335</v>
      </c>
      <c r="HP140" t="s">
        <v>4335</v>
      </c>
      <c r="HQ140" t="s">
        <v>4335</v>
      </c>
      <c r="HR140" t="s">
        <v>4335</v>
      </c>
      <c r="HS140" t="s">
        <v>4335</v>
      </c>
      <c r="HT140" t="s">
        <v>4335</v>
      </c>
      <c r="HU140" t="s">
        <v>4335</v>
      </c>
      <c r="HV140" t="s">
        <v>4331</v>
      </c>
      <c r="HW140" t="s">
        <v>4331</v>
      </c>
      <c r="HX140" t="s">
        <v>4331</v>
      </c>
      <c r="HY140" t="s">
        <v>4331</v>
      </c>
      <c r="HZ140" t="s">
        <v>4331</v>
      </c>
      <c r="IA140" t="s">
        <v>4331</v>
      </c>
      <c r="IB140" t="s">
        <v>4331</v>
      </c>
      <c r="IC140" t="s">
        <v>4331</v>
      </c>
      <c r="ID140" t="s">
        <v>4331</v>
      </c>
      <c r="IE140" t="s">
        <v>4331</v>
      </c>
      <c r="IF140" t="s">
        <v>4331</v>
      </c>
      <c r="IG140" t="s">
        <v>4331</v>
      </c>
      <c r="IH140" t="s">
        <v>4331</v>
      </c>
      <c r="II140" t="s">
        <v>4331</v>
      </c>
      <c r="IJ140" t="s">
        <v>4331</v>
      </c>
      <c r="IK140" t="s">
        <v>4331</v>
      </c>
      <c r="IL140" t="s">
        <v>4331</v>
      </c>
      <c r="IM140" t="s">
        <v>4331</v>
      </c>
      <c r="IN140" t="s">
        <v>4331</v>
      </c>
      <c r="IO140" t="s">
        <v>4331</v>
      </c>
      <c r="IP140" t="s">
        <v>4331</v>
      </c>
      <c r="IQ140" t="s">
        <v>4331</v>
      </c>
      <c r="IR140" t="s">
        <v>4331</v>
      </c>
      <c r="IS140" t="s">
        <v>4331</v>
      </c>
      <c r="IT140" t="s">
        <v>4326</v>
      </c>
      <c r="IU140" t="s">
        <v>4331</v>
      </c>
      <c r="IV140" t="s">
        <v>4331</v>
      </c>
      <c r="IW140" t="s">
        <v>4331</v>
      </c>
      <c r="IX140" t="s">
        <v>4331</v>
      </c>
      <c r="IY140" t="s">
        <v>4331</v>
      </c>
      <c r="IZ140" t="s">
        <v>4331</v>
      </c>
      <c r="JA140" t="s">
        <v>4331</v>
      </c>
      <c r="JB140" t="s">
        <v>4331</v>
      </c>
      <c r="JC140" t="s">
        <v>4331</v>
      </c>
      <c r="JD140" t="s">
        <v>4331</v>
      </c>
      <c r="JE140" t="s">
        <v>4331</v>
      </c>
      <c r="JF140" t="s">
        <v>4331</v>
      </c>
      <c r="JG140" t="s">
        <v>4331</v>
      </c>
      <c r="JH140" t="s">
        <v>4331</v>
      </c>
      <c r="JI140" t="s">
        <v>4331</v>
      </c>
      <c r="JJ140" t="s">
        <v>4331</v>
      </c>
      <c r="JK140" t="s">
        <v>4331</v>
      </c>
      <c r="JL140" t="s">
        <v>4331</v>
      </c>
      <c r="JM140" t="s">
        <v>4331</v>
      </c>
      <c r="JN140" t="s">
        <v>4331</v>
      </c>
      <c r="JO140" t="s">
        <v>4331</v>
      </c>
      <c r="JP140" t="s">
        <v>4331</v>
      </c>
      <c r="JQ140" t="s">
        <v>4331</v>
      </c>
      <c r="JR140" t="s">
        <v>4331</v>
      </c>
      <c r="JS140" t="s">
        <v>4331</v>
      </c>
      <c r="JT140" t="s">
        <v>4331</v>
      </c>
      <c r="JU140" t="s">
        <v>4331</v>
      </c>
    </row>
    <row r="141" spans="30:281" x14ac:dyDescent="0.3">
      <c r="AQ141" t="s">
        <v>2646</v>
      </c>
      <c r="AR141" t="s">
        <v>2646</v>
      </c>
      <c r="AS141" t="s">
        <v>2646</v>
      </c>
      <c r="AT141" t="s">
        <v>2646</v>
      </c>
      <c r="AU141" t="s">
        <v>2646</v>
      </c>
      <c r="AV141" t="s">
        <v>2646</v>
      </c>
      <c r="AW141" t="s">
        <v>2646</v>
      </c>
      <c r="AX141" t="s">
        <v>1538</v>
      </c>
      <c r="AY141" t="s">
        <v>1538</v>
      </c>
      <c r="AZ141" t="s">
        <v>1538</v>
      </c>
      <c r="BA141" t="s">
        <v>1538</v>
      </c>
      <c r="BB141" t="s">
        <v>1538</v>
      </c>
      <c r="BC141" t="s">
        <v>1538</v>
      </c>
      <c r="BD141" t="s">
        <v>1538</v>
      </c>
      <c r="BE141" t="s">
        <v>1538</v>
      </c>
      <c r="BF141" t="s">
        <v>1538</v>
      </c>
      <c r="BG141" t="s">
        <v>1538</v>
      </c>
      <c r="BH141" t="s">
        <v>1538</v>
      </c>
      <c r="BI141" t="s">
        <v>1538</v>
      </c>
      <c r="BJ141" t="s">
        <v>1538</v>
      </c>
      <c r="BK141" t="s">
        <v>1538</v>
      </c>
      <c r="BL141" t="s">
        <v>1538</v>
      </c>
      <c r="BM141" t="s">
        <v>1538</v>
      </c>
      <c r="BN141" t="s">
        <v>1538</v>
      </c>
      <c r="BO141" t="s">
        <v>1538</v>
      </c>
      <c r="BP141" t="s">
        <v>1538</v>
      </c>
      <c r="BQ141" t="s">
        <v>1538</v>
      </c>
      <c r="BR141" t="s">
        <v>1538</v>
      </c>
      <c r="BS141" t="s">
        <v>1538</v>
      </c>
      <c r="BT141" t="s">
        <v>1538</v>
      </c>
      <c r="BU141" t="s">
        <v>1538</v>
      </c>
      <c r="BV141" t="s">
        <v>1538</v>
      </c>
      <c r="BW141" t="s">
        <v>1538</v>
      </c>
      <c r="BX141" t="s">
        <v>1538</v>
      </c>
      <c r="BY141" t="s">
        <v>1538</v>
      </c>
      <c r="BZ141" t="s">
        <v>1538</v>
      </c>
      <c r="CA141" t="s">
        <v>1538</v>
      </c>
      <c r="CB141" t="s">
        <v>1538</v>
      </c>
      <c r="CC141" t="s">
        <v>2625</v>
      </c>
      <c r="CD141" t="s">
        <v>2625</v>
      </c>
      <c r="CE141" t="s">
        <v>2625</v>
      </c>
      <c r="CF141" t="s">
        <v>2625</v>
      </c>
      <c r="CG141" t="s">
        <v>2625</v>
      </c>
      <c r="CH141" t="s">
        <v>2625</v>
      </c>
      <c r="CI141" t="s">
        <v>2625</v>
      </c>
      <c r="CJ141" t="s">
        <v>2625</v>
      </c>
      <c r="CK141" t="s">
        <v>2625</v>
      </c>
      <c r="CL141" t="s">
        <v>2625</v>
      </c>
      <c r="CM141" t="s">
        <v>2625</v>
      </c>
      <c r="CN141" t="s">
        <v>2625</v>
      </c>
      <c r="CO141" t="s">
        <v>2625</v>
      </c>
      <c r="CP141" t="s">
        <v>2625</v>
      </c>
      <c r="CQ141" t="s">
        <v>2625</v>
      </c>
      <c r="CR141" t="s">
        <v>2625</v>
      </c>
      <c r="CS141" t="s">
        <v>2625</v>
      </c>
      <c r="CT141" t="s">
        <v>2625</v>
      </c>
      <c r="CU141" t="s">
        <v>2625</v>
      </c>
      <c r="CV141" t="s">
        <v>2625</v>
      </c>
      <c r="CW141" t="s">
        <v>2625</v>
      </c>
      <c r="CX141" t="s">
        <v>2625</v>
      </c>
      <c r="CY141" t="s">
        <v>2625</v>
      </c>
      <c r="CZ141" t="s">
        <v>2625</v>
      </c>
      <c r="DA141" t="s">
        <v>2625</v>
      </c>
      <c r="DB141" t="s">
        <v>2625</v>
      </c>
      <c r="DC141" t="s">
        <v>2625</v>
      </c>
      <c r="DD141" t="s">
        <v>2625</v>
      </c>
      <c r="DE141" t="s">
        <v>2625</v>
      </c>
      <c r="DF141" t="s">
        <v>2625</v>
      </c>
      <c r="DG141" t="s">
        <v>2625</v>
      </c>
      <c r="DH141" t="s">
        <v>2587</v>
      </c>
      <c r="DI141" t="s">
        <v>2587</v>
      </c>
      <c r="DJ141" t="s">
        <v>2587</v>
      </c>
      <c r="DK141" t="s">
        <v>2587</v>
      </c>
      <c r="DL141" t="s">
        <v>2587</v>
      </c>
      <c r="DM141" t="s">
        <v>2587</v>
      </c>
      <c r="DN141" t="s">
        <v>2587</v>
      </c>
      <c r="DO141" t="s">
        <v>2587</v>
      </c>
      <c r="DP141" t="s">
        <v>2587</v>
      </c>
      <c r="DQ141" t="s">
        <v>2587</v>
      </c>
      <c r="DR141" t="s">
        <v>2587</v>
      </c>
      <c r="DS141" t="s">
        <v>2587</v>
      </c>
      <c r="DT141" t="s">
        <v>2587</v>
      </c>
      <c r="DU141" t="s">
        <v>2587</v>
      </c>
      <c r="DV141" t="s">
        <v>2587</v>
      </c>
      <c r="DW141" t="s">
        <v>2587</v>
      </c>
      <c r="DX141" t="s">
        <v>2587</v>
      </c>
      <c r="DY141" t="s">
        <v>2587</v>
      </c>
      <c r="DZ141" t="s">
        <v>2587</v>
      </c>
      <c r="EA141" t="s">
        <v>2587</v>
      </c>
      <c r="EB141" t="s">
        <v>2796</v>
      </c>
      <c r="EC141" t="s">
        <v>2796</v>
      </c>
      <c r="ED141" t="s">
        <v>2796</v>
      </c>
      <c r="EE141" t="s">
        <v>2779</v>
      </c>
      <c r="EF141" t="s">
        <v>2779</v>
      </c>
      <c r="EG141" t="s">
        <v>2779</v>
      </c>
      <c r="EH141" t="s">
        <v>2779</v>
      </c>
      <c r="EI141" t="s">
        <v>2779</v>
      </c>
      <c r="EJ141" t="s">
        <v>2779</v>
      </c>
      <c r="EK141" t="s">
        <v>2779</v>
      </c>
      <c r="EL141" t="s">
        <v>2779</v>
      </c>
      <c r="EM141" t="s">
        <v>2779</v>
      </c>
      <c r="EN141" t="s">
        <v>2779</v>
      </c>
      <c r="EO141" t="s">
        <v>2779</v>
      </c>
      <c r="EP141" t="s">
        <v>2779</v>
      </c>
      <c r="EQ141" t="s">
        <v>2779</v>
      </c>
      <c r="ER141" t="s">
        <v>2779</v>
      </c>
      <c r="ES141" t="s">
        <v>2779</v>
      </c>
      <c r="ET141" t="s">
        <v>2808</v>
      </c>
      <c r="EU141" t="s">
        <v>2808</v>
      </c>
      <c r="EV141" t="s">
        <v>2808</v>
      </c>
      <c r="EW141" t="s">
        <v>2808</v>
      </c>
      <c r="EX141" t="s">
        <v>2808</v>
      </c>
      <c r="EY141" t="s">
        <v>2808</v>
      </c>
      <c r="EZ141" t="s">
        <v>2799</v>
      </c>
      <c r="FA141" t="s">
        <v>2799</v>
      </c>
      <c r="FG141" t="s">
        <v>4334</v>
      </c>
      <c r="FH141" t="s">
        <v>4334</v>
      </c>
      <c r="FI141" t="s">
        <v>4334</v>
      </c>
      <c r="FJ141" t="s">
        <v>4334</v>
      </c>
      <c r="FK141" t="s">
        <v>4334</v>
      </c>
      <c r="FL141" t="s">
        <v>4334</v>
      </c>
      <c r="FM141" t="s">
        <v>4334</v>
      </c>
      <c r="FN141" t="s">
        <v>4334</v>
      </c>
      <c r="FO141" t="s">
        <v>4334</v>
      </c>
      <c r="FP141" t="s">
        <v>4334</v>
      </c>
      <c r="FQ141" t="s">
        <v>4334</v>
      </c>
      <c r="FR141" t="s">
        <v>4334</v>
      </c>
      <c r="FS141" t="s">
        <v>4334</v>
      </c>
      <c r="FT141" t="s">
        <v>4334</v>
      </c>
      <c r="FU141" t="s">
        <v>4334</v>
      </c>
      <c r="FV141" t="s">
        <v>4334</v>
      </c>
      <c r="FW141" t="s">
        <v>4334</v>
      </c>
      <c r="FX141" t="s">
        <v>4334</v>
      </c>
      <c r="FY141" t="s">
        <v>4334</v>
      </c>
      <c r="FZ141" t="s">
        <v>4334</v>
      </c>
      <c r="GA141" t="s">
        <v>4334</v>
      </c>
      <c r="GB141" t="s">
        <v>2814</v>
      </c>
      <c r="GC141" t="s">
        <v>2814</v>
      </c>
      <c r="GD141" t="s">
        <v>2814</v>
      </c>
      <c r="GE141" t="s">
        <v>2814</v>
      </c>
      <c r="GF141" t="s">
        <v>2814</v>
      </c>
      <c r="GG141" t="s">
        <v>2814</v>
      </c>
      <c r="GH141" t="s">
        <v>2814</v>
      </c>
      <c r="GI141" t="s">
        <v>2814</v>
      </c>
      <c r="GJ141" t="s">
        <v>2814</v>
      </c>
      <c r="GK141" t="s">
        <v>2814</v>
      </c>
      <c r="GL141" t="s">
        <v>4333</v>
      </c>
      <c r="GM141" t="s">
        <v>4333</v>
      </c>
      <c r="GN141" t="s">
        <v>4333</v>
      </c>
      <c r="GO141" t="s">
        <v>4333</v>
      </c>
      <c r="GP141" t="s">
        <v>4333</v>
      </c>
      <c r="GQ141" t="s">
        <v>4333</v>
      </c>
      <c r="GR141" t="s">
        <v>4333</v>
      </c>
      <c r="GS141" t="s">
        <v>4333</v>
      </c>
      <c r="GT141" t="s">
        <v>4333</v>
      </c>
      <c r="GU141" t="s">
        <v>4333</v>
      </c>
      <c r="GV141" t="s">
        <v>4333</v>
      </c>
      <c r="GW141" t="s">
        <v>4333</v>
      </c>
      <c r="GX141" t="s">
        <v>4333</v>
      </c>
      <c r="GY141" t="s">
        <v>4333</v>
      </c>
      <c r="GZ141" t="s">
        <v>4333</v>
      </c>
      <c r="HA141" t="s">
        <v>4326</v>
      </c>
      <c r="HB141" t="s">
        <v>4326</v>
      </c>
      <c r="HC141" t="s">
        <v>4326</v>
      </c>
      <c r="HD141" t="s">
        <v>4326</v>
      </c>
      <c r="HE141" t="s">
        <v>4326</v>
      </c>
      <c r="HF141" t="s">
        <v>4326</v>
      </c>
      <c r="HG141" t="s">
        <v>4326</v>
      </c>
      <c r="HH141" t="s">
        <v>4326</v>
      </c>
      <c r="HI141" t="s">
        <v>4326</v>
      </c>
      <c r="HJ141" t="s">
        <v>4326</v>
      </c>
      <c r="HK141" t="s">
        <v>4326</v>
      </c>
      <c r="HL141" t="s">
        <v>4326</v>
      </c>
      <c r="HM141" t="s">
        <v>4326</v>
      </c>
      <c r="HN141" t="s">
        <v>4326</v>
      </c>
      <c r="HO141" t="s">
        <v>4335</v>
      </c>
      <c r="HP141" t="s">
        <v>4335</v>
      </c>
      <c r="HQ141" t="s">
        <v>4335</v>
      </c>
      <c r="HR141" t="s">
        <v>4335</v>
      </c>
      <c r="HS141" t="s">
        <v>4335</v>
      </c>
      <c r="HT141" t="s">
        <v>4331</v>
      </c>
      <c r="HU141" t="s">
        <v>4331</v>
      </c>
      <c r="HV141" t="s">
        <v>4331</v>
      </c>
      <c r="HW141" t="s">
        <v>4331</v>
      </c>
      <c r="HX141" t="s">
        <v>4331</v>
      </c>
      <c r="HY141" t="s">
        <v>4331</v>
      </c>
      <c r="HZ141" t="s">
        <v>4331</v>
      </c>
      <c r="IA141" t="s">
        <v>4331</v>
      </c>
      <c r="IB141" t="s">
        <v>4331</v>
      </c>
      <c r="IC141" t="s">
        <v>4331</v>
      </c>
      <c r="ID141" t="s">
        <v>4331</v>
      </c>
      <c r="IE141" t="s">
        <v>4331</v>
      </c>
      <c r="IF141" t="s">
        <v>4331</v>
      </c>
      <c r="IG141" t="s">
        <v>4331</v>
      </c>
      <c r="IH141" t="s">
        <v>4331</v>
      </c>
      <c r="II141" t="s">
        <v>4331</v>
      </c>
      <c r="IJ141" t="s">
        <v>4331</v>
      </c>
      <c r="IK141" t="s">
        <v>4331</v>
      </c>
      <c r="IL141" t="s">
        <v>4331</v>
      </c>
      <c r="IM141" t="s">
        <v>4331</v>
      </c>
      <c r="IN141" t="s">
        <v>4331</v>
      </c>
      <c r="IO141" t="s">
        <v>4331</v>
      </c>
      <c r="IP141" t="s">
        <v>4331</v>
      </c>
      <c r="IQ141" t="s">
        <v>4331</v>
      </c>
      <c r="IR141" t="s">
        <v>4331</v>
      </c>
      <c r="IS141" t="s">
        <v>4331</v>
      </c>
      <c r="IT141" t="s">
        <v>4331</v>
      </c>
      <c r="IU141" t="s">
        <v>4331</v>
      </c>
      <c r="IV141" t="s">
        <v>4331</v>
      </c>
      <c r="IW141" t="s">
        <v>4331</v>
      </c>
      <c r="IX141" t="s">
        <v>4331</v>
      </c>
      <c r="IY141" t="s">
        <v>4331</v>
      </c>
      <c r="IZ141" t="s">
        <v>4331</v>
      </c>
      <c r="JA141" t="s">
        <v>4331</v>
      </c>
      <c r="JB141" t="s">
        <v>4331</v>
      </c>
      <c r="JC141" t="s">
        <v>4331</v>
      </c>
      <c r="JD141" t="s">
        <v>4331</v>
      </c>
      <c r="JE141" t="s">
        <v>4331</v>
      </c>
      <c r="JF141" t="s">
        <v>4331</v>
      </c>
      <c r="JG141" t="s">
        <v>4331</v>
      </c>
      <c r="JH141" t="s">
        <v>4331</v>
      </c>
      <c r="JI141" t="s">
        <v>4331</v>
      </c>
      <c r="JJ141" t="s">
        <v>4331</v>
      </c>
      <c r="JK141" t="s">
        <v>4331</v>
      </c>
      <c r="JL141" t="s">
        <v>4331</v>
      </c>
      <c r="JM141" t="s">
        <v>4331</v>
      </c>
      <c r="JN141" t="s">
        <v>4331</v>
      </c>
      <c r="JO141" t="s">
        <v>4331</v>
      </c>
      <c r="JP141" t="s">
        <v>4331</v>
      </c>
      <c r="JQ141" t="s">
        <v>4331</v>
      </c>
      <c r="JR141" t="s">
        <v>4331</v>
      </c>
      <c r="JS141" t="s">
        <v>4331</v>
      </c>
      <c r="JT141" t="s">
        <v>4331</v>
      </c>
      <c r="JU141" t="s">
        <v>4331</v>
      </c>
    </row>
    <row r="142" spans="30:281" x14ac:dyDescent="0.3">
      <c r="AQ142" t="s">
        <v>2646</v>
      </c>
      <c r="AR142" t="s">
        <v>2646</v>
      </c>
      <c r="AS142" t="s">
        <v>2646</v>
      </c>
      <c r="AT142" t="s">
        <v>2646</v>
      </c>
      <c r="AU142" t="s">
        <v>2646</v>
      </c>
      <c r="AV142" t="s">
        <v>2646</v>
      </c>
      <c r="AW142" t="s">
        <v>2646</v>
      </c>
      <c r="AX142" t="s">
        <v>2646</v>
      </c>
      <c r="AY142" t="s">
        <v>2646</v>
      </c>
      <c r="AZ142" t="s">
        <v>1538</v>
      </c>
      <c r="BA142" t="s">
        <v>1538</v>
      </c>
      <c r="BB142" t="s">
        <v>1538</v>
      </c>
      <c r="BC142" t="s">
        <v>1538</v>
      </c>
      <c r="BD142" t="s">
        <v>1538</v>
      </c>
      <c r="BE142" t="s">
        <v>1538</v>
      </c>
      <c r="BF142" t="s">
        <v>1538</v>
      </c>
      <c r="BG142" t="s">
        <v>1538</v>
      </c>
      <c r="BH142" t="s">
        <v>1538</v>
      </c>
      <c r="BI142" t="s">
        <v>1538</v>
      </c>
      <c r="BJ142" t="s">
        <v>1538</v>
      </c>
      <c r="BK142" t="s">
        <v>1538</v>
      </c>
      <c r="BL142" t="s">
        <v>1538</v>
      </c>
      <c r="BM142" t="s">
        <v>1538</v>
      </c>
      <c r="BN142" t="s">
        <v>1538</v>
      </c>
      <c r="BO142" t="s">
        <v>1538</v>
      </c>
      <c r="BP142" t="s">
        <v>1538</v>
      </c>
      <c r="BQ142" t="s">
        <v>1538</v>
      </c>
      <c r="BR142" t="s">
        <v>1538</v>
      </c>
      <c r="BS142" t="s">
        <v>1538</v>
      </c>
      <c r="BT142" t="s">
        <v>1538</v>
      </c>
      <c r="BU142" t="s">
        <v>1538</v>
      </c>
      <c r="BV142" t="s">
        <v>1538</v>
      </c>
      <c r="BW142" t="s">
        <v>1538</v>
      </c>
      <c r="BX142" t="s">
        <v>1538</v>
      </c>
      <c r="BY142" t="s">
        <v>1538</v>
      </c>
      <c r="BZ142" t="s">
        <v>1538</v>
      </c>
      <c r="CA142" t="s">
        <v>1538</v>
      </c>
      <c r="CB142" t="s">
        <v>1538</v>
      </c>
      <c r="CC142" t="s">
        <v>2625</v>
      </c>
      <c r="CD142" t="s">
        <v>2625</v>
      </c>
      <c r="CE142" t="s">
        <v>2625</v>
      </c>
      <c r="CF142" t="s">
        <v>2625</v>
      </c>
      <c r="CG142" t="s">
        <v>2625</v>
      </c>
      <c r="CH142" t="s">
        <v>2625</v>
      </c>
      <c r="CI142" t="s">
        <v>2625</v>
      </c>
      <c r="CJ142" t="s">
        <v>2625</v>
      </c>
      <c r="CK142" t="s">
        <v>2625</v>
      </c>
      <c r="CL142" t="s">
        <v>2625</v>
      </c>
      <c r="CM142" t="s">
        <v>2625</v>
      </c>
      <c r="CN142" t="s">
        <v>2625</v>
      </c>
      <c r="CO142" t="s">
        <v>2625</v>
      </c>
      <c r="CP142" t="s">
        <v>2625</v>
      </c>
      <c r="CQ142" t="s">
        <v>2625</v>
      </c>
      <c r="CR142" t="s">
        <v>2625</v>
      </c>
      <c r="CS142" t="s">
        <v>2625</v>
      </c>
      <c r="CT142" t="s">
        <v>2625</v>
      </c>
      <c r="CU142" t="s">
        <v>2625</v>
      </c>
      <c r="CV142" t="s">
        <v>2625</v>
      </c>
      <c r="CW142" t="s">
        <v>2625</v>
      </c>
      <c r="CX142" t="s">
        <v>2625</v>
      </c>
      <c r="CY142" t="s">
        <v>2625</v>
      </c>
      <c r="CZ142" t="s">
        <v>2625</v>
      </c>
      <c r="DA142" t="s">
        <v>2625</v>
      </c>
      <c r="DB142" t="s">
        <v>2625</v>
      </c>
      <c r="DC142" t="s">
        <v>2625</v>
      </c>
      <c r="DD142" t="s">
        <v>2625</v>
      </c>
      <c r="DE142" t="s">
        <v>2625</v>
      </c>
      <c r="DF142" t="s">
        <v>2625</v>
      </c>
      <c r="DG142" t="s">
        <v>2625</v>
      </c>
      <c r="DH142" t="s">
        <v>2587</v>
      </c>
      <c r="DI142" t="s">
        <v>2587</v>
      </c>
      <c r="DJ142" t="s">
        <v>2587</v>
      </c>
      <c r="DK142" t="s">
        <v>2587</v>
      </c>
      <c r="DL142" t="s">
        <v>2587</v>
      </c>
      <c r="DM142" t="s">
        <v>2587</v>
      </c>
      <c r="DN142" t="s">
        <v>2587</v>
      </c>
      <c r="DO142" t="s">
        <v>2587</v>
      </c>
      <c r="DP142" t="s">
        <v>2587</v>
      </c>
      <c r="DQ142" t="s">
        <v>2587</v>
      </c>
      <c r="DR142" t="s">
        <v>2587</v>
      </c>
      <c r="DS142" t="s">
        <v>2587</v>
      </c>
      <c r="DT142" t="s">
        <v>2587</v>
      </c>
      <c r="DU142" t="s">
        <v>2587</v>
      </c>
      <c r="DV142" t="s">
        <v>2587</v>
      </c>
      <c r="DW142" t="s">
        <v>2587</v>
      </c>
      <c r="DX142" t="s">
        <v>2587</v>
      </c>
      <c r="DY142" t="s">
        <v>2587</v>
      </c>
      <c r="DZ142" t="s">
        <v>2587</v>
      </c>
      <c r="EA142" t="s">
        <v>2790</v>
      </c>
      <c r="EB142" t="s">
        <v>2796</v>
      </c>
      <c r="EC142" t="s">
        <v>2796</v>
      </c>
      <c r="ED142" t="s">
        <v>2796</v>
      </c>
      <c r="EE142" t="s">
        <v>2796</v>
      </c>
      <c r="EF142" t="s">
        <v>2796</v>
      </c>
      <c r="EG142" t="s">
        <v>2779</v>
      </c>
      <c r="EH142" t="s">
        <v>2779</v>
      </c>
      <c r="EI142" t="s">
        <v>2779</v>
      </c>
      <c r="EJ142" t="s">
        <v>2779</v>
      </c>
      <c r="EK142" t="s">
        <v>2779</v>
      </c>
      <c r="EL142" t="s">
        <v>2779</v>
      </c>
      <c r="EM142" t="s">
        <v>2779</v>
      </c>
      <c r="EN142" t="s">
        <v>2779</v>
      </c>
      <c r="EO142" t="s">
        <v>2779</v>
      </c>
      <c r="EP142" t="s">
        <v>2779</v>
      </c>
      <c r="EQ142" t="s">
        <v>2779</v>
      </c>
      <c r="ER142" t="s">
        <v>2808</v>
      </c>
      <c r="ES142" t="s">
        <v>2808</v>
      </c>
      <c r="ET142" t="s">
        <v>2808</v>
      </c>
      <c r="EU142" t="s">
        <v>2808</v>
      </c>
      <c r="EV142" t="s">
        <v>2808</v>
      </c>
      <c r="EW142" t="s">
        <v>2808</v>
      </c>
      <c r="EX142" t="s">
        <v>2808</v>
      </c>
      <c r="EY142" t="s">
        <v>2808</v>
      </c>
      <c r="EZ142" t="s">
        <v>2808</v>
      </c>
      <c r="FA142" t="s">
        <v>2808</v>
      </c>
      <c r="FB142" t="s">
        <v>4334</v>
      </c>
      <c r="FC142" t="s">
        <v>4334</v>
      </c>
      <c r="FD142" t="s">
        <v>4334</v>
      </c>
      <c r="FE142" t="s">
        <v>4334</v>
      </c>
      <c r="FF142" t="s">
        <v>4334</v>
      </c>
      <c r="FG142" t="s">
        <v>4334</v>
      </c>
      <c r="FH142" t="s">
        <v>4334</v>
      </c>
      <c r="FI142" t="s">
        <v>4334</v>
      </c>
      <c r="FJ142" t="s">
        <v>4334</v>
      </c>
      <c r="FK142" t="s">
        <v>4334</v>
      </c>
      <c r="FL142" t="s">
        <v>4334</v>
      </c>
      <c r="FM142" t="s">
        <v>4334</v>
      </c>
      <c r="FN142" t="s">
        <v>4334</v>
      </c>
      <c r="FO142" t="s">
        <v>4334</v>
      </c>
      <c r="FP142" t="s">
        <v>4334</v>
      </c>
      <c r="FQ142" t="s">
        <v>4334</v>
      </c>
      <c r="FR142" t="s">
        <v>4334</v>
      </c>
      <c r="FS142" t="s">
        <v>4334</v>
      </c>
      <c r="FT142" t="s">
        <v>4334</v>
      </c>
      <c r="FU142" t="s">
        <v>4334</v>
      </c>
      <c r="FV142" t="s">
        <v>4334</v>
      </c>
      <c r="FW142" t="s">
        <v>4334</v>
      </c>
      <c r="FX142" t="s">
        <v>4334</v>
      </c>
      <c r="FY142" t="s">
        <v>4334</v>
      </c>
      <c r="FZ142" t="s">
        <v>4334</v>
      </c>
      <c r="GA142" t="s">
        <v>4334</v>
      </c>
      <c r="GB142" t="s">
        <v>4334</v>
      </c>
      <c r="GC142" t="s">
        <v>2814</v>
      </c>
      <c r="GD142" t="s">
        <v>2814</v>
      </c>
      <c r="GE142" t="s">
        <v>2814</v>
      </c>
      <c r="GF142" t="s">
        <v>2814</v>
      </c>
      <c r="GG142" t="s">
        <v>2814</v>
      </c>
      <c r="GH142" t="s">
        <v>2814</v>
      </c>
      <c r="GI142" t="s">
        <v>2814</v>
      </c>
      <c r="GJ142" t="s">
        <v>2814</v>
      </c>
      <c r="GK142" t="s">
        <v>2814</v>
      </c>
      <c r="GL142" t="s">
        <v>2814</v>
      </c>
      <c r="GM142" t="s">
        <v>4333</v>
      </c>
      <c r="GN142" t="s">
        <v>4333</v>
      </c>
      <c r="GO142" t="s">
        <v>4333</v>
      </c>
      <c r="GP142" t="s">
        <v>4333</v>
      </c>
      <c r="GQ142" t="s">
        <v>4333</v>
      </c>
      <c r="GR142" t="s">
        <v>4333</v>
      </c>
      <c r="GS142" t="s">
        <v>4333</v>
      </c>
      <c r="GT142" t="s">
        <v>4333</v>
      </c>
      <c r="GU142" t="s">
        <v>4333</v>
      </c>
      <c r="GV142" t="s">
        <v>4333</v>
      </c>
      <c r="GW142" t="s">
        <v>4333</v>
      </c>
      <c r="GX142" t="s">
        <v>4333</v>
      </c>
      <c r="GY142" t="s">
        <v>4333</v>
      </c>
      <c r="GZ142" t="s">
        <v>4333</v>
      </c>
      <c r="HA142" t="s">
        <v>4326</v>
      </c>
      <c r="HB142" t="s">
        <v>4326</v>
      </c>
      <c r="HC142" t="s">
        <v>4326</v>
      </c>
      <c r="HD142" t="s">
        <v>4326</v>
      </c>
      <c r="HE142" t="s">
        <v>4326</v>
      </c>
      <c r="HF142" t="s">
        <v>4326</v>
      </c>
      <c r="HG142" t="s">
        <v>4326</v>
      </c>
      <c r="HH142" t="s">
        <v>4326</v>
      </c>
      <c r="HI142" t="s">
        <v>4326</v>
      </c>
      <c r="HJ142" t="s">
        <v>4326</v>
      </c>
      <c r="HK142" t="s">
        <v>4326</v>
      </c>
      <c r="HL142" t="s">
        <v>4326</v>
      </c>
      <c r="HM142" t="s">
        <v>4326</v>
      </c>
      <c r="HN142" t="s">
        <v>4326</v>
      </c>
      <c r="HO142" t="s">
        <v>4326</v>
      </c>
      <c r="HP142" t="s">
        <v>4335</v>
      </c>
      <c r="HQ142" t="s">
        <v>4335</v>
      </c>
      <c r="HR142" t="s">
        <v>4331</v>
      </c>
      <c r="HS142" t="s">
        <v>4331</v>
      </c>
      <c r="HT142" t="s">
        <v>4331</v>
      </c>
      <c r="HU142" t="s">
        <v>4331</v>
      </c>
      <c r="HV142" t="s">
        <v>4331</v>
      </c>
      <c r="HW142" t="s">
        <v>4331</v>
      </c>
      <c r="HX142" t="s">
        <v>4331</v>
      </c>
      <c r="HY142" t="s">
        <v>4331</v>
      </c>
      <c r="HZ142" t="s">
        <v>4331</v>
      </c>
      <c r="IA142" t="s">
        <v>4331</v>
      </c>
      <c r="IB142" t="s">
        <v>4331</v>
      </c>
      <c r="IC142" t="s">
        <v>4331</v>
      </c>
      <c r="ID142" t="s">
        <v>4331</v>
      </c>
      <c r="IE142" t="s">
        <v>4331</v>
      </c>
      <c r="IF142" t="s">
        <v>4331</v>
      </c>
      <c r="IG142" t="s">
        <v>4331</v>
      </c>
      <c r="IH142" t="s">
        <v>4331</v>
      </c>
      <c r="II142" t="s">
        <v>4331</v>
      </c>
      <c r="IJ142" t="s">
        <v>4331</v>
      </c>
      <c r="IK142" t="s">
        <v>4331</v>
      </c>
      <c r="IL142" t="s">
        <v>4331</v>
      </c>
      <c r="IM142" t="s">
        <v>4331</v>
      </c>
      <c r="IN142" t="s">
        <v>4331</v>
      </c>
      <c r="IO142" t="s">
        <v>4331</v>
      </c>
      <c r="IP142" t="s">
        <v>4331</v>
      </c>
      <c r="IQ142" t="s">
        <v>4331</v>
      </c>
      <c r="IR142" t="s">
        <v>4331</v>
      </c>
      <c r="IS142" t="s">
        <v>4331</v>
      </c>
      <c r="IT142" t="s">
        <v>4331</v>
      </c>
      <c r="IU142" t="s">
        <v>4331</v>
      </c>
      <c r="IV142" t="s">
        <v>4331</v>
      </c>
      <c r="IW142" t="s">
        <v>4331</v>
      </c>
      <c r="IX142" t="s">
        <v>4331</v>
      </c>
      <c r="IY142" t="s">
        <v>4331</v>
      </c>
      <c r="IZ142" t="s">
        <v>4331</v>
      </c>
      <c r="JA142" t="s">
        <v>4331</v>
      </c>
      <c r="JB142" t="s">
        <v>4331</v>
      </c>
      <c r="JC142" t="s">
        <v>4331</v>
      </c>
      <c r="JD142" t="s">
        <v>4331</v>
      </c>
      <c r="JE142" t="s">
        <v>4331</v>
      </c>
      <c r="JF142" t="s">
        <v>4331</v>
      </c>
      <c r="JG142" t="s">
        <v>4331</v>
      </c>
      <c r="JH142" t="s">
        <v>4331</v>
      </c>
      <c r="JI142" t="s">
        <v>4331</v>
      </c>
      <c r="JJ142" t="s">
        <v>4331</v>
      </c>
      <c r="JK142" t="s">
        <v>4331</v>
      </c>
      <c r="JL142" t="s">
        <v>4331</v>
      </c>
      <c r="JM142" t="s">
        <v>4331</v>
      </c>
      <c r="JN142" t="s">
        <v>4331</v>
      </c>
      <c r="JO142" t="s">
        <v>4331</v>
      </c>
      <c r="JP142" t="s">
        <v>4331</v>
      </c>
      <c r="JQ142" t="s">
        <v>4331</v>
      </c>
      <c r="JR142" t="s">
        <v>4331</v>
      </c>
      <c r="JS142" t="s">
        <v>4331</v>
      </c>
      <c r="JT142" t="s">
        <v>4331</v>
      </c>
      <c r="JU142" t="s">
        <v>4331</v>
      </c>
    </row>
    <row r="143" spans="30:281" x14ac:dyDescent="0.3">
      <c r="AQ143" t="s">
        <v>2646</v>
      </c>
      <c r="AR143" t="s">
        <v>2646</v>
      </c>
      <c r="AS143" t="s">
        <v>2646</v>
      </c>
      <c r="AT143" t="s">
        <v>2646</v>
      </c>
      <c r="AU143" t="s">
        <v>2646</v>
      </c>
      <c r="AV143" t="s">
        <v>2646</v>
      </c>
      <c r="AW143" t="s">
        <v>2646</v>
      </c>
      <c r="AX143" t="s">
        <v>2646</v>
      </c>
      <c r="AY143" t="s">
        <v>2646</v>
      </c>
      <c r="AZ143" t="s">
        <v>2646</v>
      </c>
      <c r="BA143" t="s">
        <v>2646</v>
      </c>
      <c r="BB143" t="s">
        <v>1538</v>
      </c>
      <c r="BC143" t="s">
        <v>1538</v>
      </c>
      <c r="BD143" t="s">
        <v>1538</v>
      </c>
      <c r="BE143" t="s">
        <v>1538</v>
      </c>
      <c r="BF143" t="s">
        <v>1538</v>
      </c>
      <c r="BG143" t="s">
        <v>1538</v>
      </c>
      <c r="BH143" t="s">
        <v>1538</v>
      </c>
      <c r="BI143" t="s">
        <v>1538</v>
      </c>
      <c r="BJ143" t="s">
        <v>1538</v>
      </c>
      <c r="BK143" t="s">
        <v>1538</v>
      </c>
      <c r="BL143" t="s">
        <v>1538</v>
      </c>
      <c r="BM143" t="s">
        <v>1538</v>
      </c>
      <c r="BN143" t="s">
        <v>1538</v>
      </c>
      <c r="BO143" t="s">
        <v>1538</v>
      </c>
      <c r="BP143" t="s">
        <v>1538</v>
      </c>
      <c r="BQ143" t="s">
        <v>1538</v>
      </c>
      <c r="BR143" t="s">
        <v>1538</v>
      </c>
      <c r="BS143" t="s">
        <v>1538</v>
      </c>
      <c r="BT143" t="s">
        <v>1538</v>
      </c>
      <c r="BU143" t="s">
        <v>1538</v>
      </c>
      <c r="BV143" t="s">
        <v>1538</v>
      </c>
      <c r="BW143" t="s">
        <v>1538</v>
      </c>
      <c r="BX143" t="s">
        <v>1538</v>
      </c>
      <c r="BY143" t="s">
        <v>1538</v>
      </c>
      <c r="BZ143" t="s">
        <v>1538</v>
      </c>
      <c r="CA143" t="s">
        <v>1538</v>
      </c>
      <c r="CB143" t="s">
        <v>1538</v>
      </c>
      <c r="CC143" t="s">
        <v>1472</v>
      </c>
      <c r="CD143" t="s">
        <v>2625</v>
      </c>
      <c r="CE143" t="s">
        <v>2625</v>
      </c>
      <c r="CF143" t="s">
        <v>2625</v>
      </c>
      <c r="CG143" t="s">
        <v>2625</v>
      </c>
      <c r="CH143" t="s">
        <v>2625</v>
      </c>
      <c r="CI143" t="s">
        <v>2625</v>
      </c>
      <c r="CJ143" t="s">
        <v>2625</v>
      </c>
      <c r="CK143" t="s">
        <v>2625</v>
      </c>
      <c r="CL143" t="s">
        <v>2625</v>
      </c>
      <c r="CM143" t="s">
        <v>2625</v>
      </c>
      <c r="CN143" t="s">
        <v>2625</v>
      </c>
      <c r="CO143" t="s">
        <v>2625</v>
      </c>
      <c r="CP143" t="s">
        <v>2625</v>
      </c>
      <c r="CQ143" t="s">
        <v>2625</v>
      </c>
      <c r="CR143" t="s">
        <v>2625</v>
      </c>
      <c r="CS143" t="s">
        <v>2625</v>
      </c>
      <c r="CX143" t="s">
        <v>2625</v>
      </c>
      <c r="CY143" t="s">
        <v>2625</v>
      </c>
      <c r="CZ143" t="s">
        <v>2625</v>
      </c>
      <c r="DA143" t="s">
        <v>2625</v>
      </c>
      <c r="DB143" t="s">
        <v>2625</v>
      </c>
      <c r="DC143" t="s">
        <v>2625</v>
      </c>
      <c r="DD143" t="s">
        <v>2625</v>
      </c>
      <c r="DE143" t="s">
        <v>2625</v>
      </c>
      <c r="DF143" t="s">
        <v>2625</v>
      </c>
      <c r="DG143" t="s">
        <v>2625</v>
      </c>
      <c r="DH143" t="s">
        <v>2587</v>
      </c>
      <c r="DI143" t="s">
        <v>2587</v>
      </c>
      <c r="DJ143" t="s">
        <v>2587</v>
      </c>
      <c r="DK143" t="s">
        <v>2587</v>
      </c>
      <c r="DL143" t="s">
        <v>2587</v>
      </c>
      <c r="DM143" t="s">
        <v>2587</v>
      </c>
      <c r="DN143" t="s">
        <v>2587</v>
      </c>
      <c r="DO143" t="s">
        <v>2587</v>
      </c>
      <c r="DP143" t="s">
        <v>2587</v>
      </c>
      <c r="DQ143" t="s">
        <v>2587</v>
      </c>
      <c r="DR143" t="s">
        <v>2587</v>
      </c>
      <c r="DS143" t="s">
        <v>2587</v>
      </c>
      <c r="DT143" t="s">
        <v>2587</v>
      </c>
      <c r="DU143" t="s">
        <v>2587</v>
      </c>
      <c r="DV143" t="s">
        <v>2587</v>
      </c>
      <c r="DW143" t="s">
        <v>2587</v>
      </c>
      <c r="DX143" t="s">
        <v>2587</v>
      </c>
      <c r="DY143" t="s">
        <v>2587</v>
      </c>
      <c r="DZ143" t="s">
        <v>2587</v>
      </c>
      <c r="EA143" t="s">
        <v>2790</v>
      </c>
      <c r="EB143" t="s">
        <v>2790</v>
      </c>
      <c r="EC143" t="s">
        <v>2796</v>
      </c>
      <c r="ED143" t="s">
        <v>2796</v>
      </c>
      <c r="EE143" t="s">
        <v>2796</v>
      </c>
      <c r="EF143" t="s">
        <v>2796</v>
      </c>
      <c r="EG143" t="s">
        <v>2796</v>
      </c>
      <c r="EH143" t="s">
        <v>2779</v>
      </c>
      <c r="EI143" t="s">
        <v>2779</v>
      </c>
      <c r="EJ143" t="s">
        <v>2779</v>
      </c>
      <c r="EK143" t="s">
        <v>2779</v>
      </c>
      <c r="EL143" t="s">
        <v>2779</v>
      </c>
      <c r="EM143" t="s">
        <v>2779</v>
      </c>
      <c r="EN143" t="s">
        <v>2779</v>
      </c>
      <c r="EO143" t="s">
        <v>2779</v>
      </c>
      <c r="EP143" t="s">
        <v>2779</v>
      </c>
      <c r="EQ143" t="s">
        <v>2808</v>
      </c>
      <c r="ER143" t="s">
        <v>2808</v>
      </c>
      <c r="ES143" t="s">
        <v>2808</v>
      </c>
      <c r="ET143" t="s">
        <v>2808</v>
      </c>
      <c r="EU143" t="s">
        <v>2808</v>
      </c>
      <c r="EV143" t="s">
        <v>2808</v>
      </c>
      <c r="EW143" t="s">
        <v>2808</v>
      </c>
      <c r="EX143" t="s">
        <v>2808</v>
      </c>
      <c r="EY143" t="s">
        <v>2808</v>
      </c>
      <c r="EZ143" t="s">
        <v>2808</v>
      </c>
      <c r="FA143" t="s">
        <v>2808</v>
      </c>
      <c r="FB143" t="s">
        <v>4334</v>
      </c>
      <c r="FC143" t="s">
        <v>4334</v>
      </c>
      <c r="FD143" t="s">
        <v>4334</v>
      </c>
      <c r="FE143" t="s">
        <v>4334</v>
      </c>
      <c r="FF143" t="s">
        <v>4334</v>
      </c>
      <c r="FG143" t="s">
        <v>4334</v>
      </c>
      <c r="FH143" t="s">
        <v>4334</v>
      </c>
      <c r="FI143" t="s">
        <v>4334</v>
      </c>
      <c r="FJ143" t="s">
        <v>4334</v>
      </c>
      <c r="FK143" t="s">
        <v>4334</v>
      </c>
      <c r="FL143" t="s">
        <v>4334</v>
      </c>
      <c r="FM143" t="s">
        <v>4334</v>
      </c>
      <c r="FN143" t="s">
        <v>4334</v>
      </c>
      <c r="FO143" t="s">
        <v>4334</v>
      </c>
      <c r="FP143" t="s">
        <v>4334</v>
      </c>
      <c r="FQ143" t="s">
        <v>4334</v>
      </c>
      <c r="FR143" t="s">
        <v>4334</v>
      </c>
      <c r="FS143" t="s">
        <v>4334</v>
      </c>
      <c r="FT143" t="s">
        <v>4334</v>
      </c>
      <c r="FU143" t="s">
        <v>4334</v>
      </c>
      <c r="FV143" t="s">
        <v>4334</v>
      </c>
      <c r="FW143" t="s">
        <v>4334</v>
      </c>
      <c r="FX143" t="s">
        <v>4334</v>
      </c>
      <c r="FY143" t="s">
        <v>4334</v>
      </c>
      <c r="FZ143" t="s">
        <v>4334</v>
      </c>
      <c r="GA143" t="s">
        <v>4334</v>
      </c>
      <c r="GB143" t="s">
        <v>4334</v>
      </c>
      <c r="GC143" t="s">
        <v>4334</v>
      </c>
      <c r="GD143" t="s">
        <v>2814</v>
      </c>
      <c r="GE143" t="s">
        <v>2814</v>
      </c>
      <c r="GF143" t="s">
        <v>2814</v>
      </c>
      <c r="GG143" t="s">
        <v>2814</v>
      </c>
      <c r="GH143" t="s">
        <v>2814</v>
      </c>
      <c r="GI143" t="s">
        <v>2814</v>
      </c>
      <c r="GJ143" t="s">
        <v>2814</v>
      </c>
      <c r="GK143" t="s">
        <v>2814</v>
      </c>
      <c r="GL143" t="s">
        <v>2814</v>
      </c>
      <c r="GM143" t="s">
        <v>4333</v>
      </c>
      <c r="GN143" t="s">
        <v>4333</v>
      </c>
      <c r="GO143" t="s">
        <v>4333</v>
      </c>
      <c r="GP143" t="s">
        <v>4333</v>
      </c>
      <c r="GQ143" t="s">
        <v>4333</v>
      </c>
      <c r="GR143" t="s">
        <v>4333</v>
      </c>
      <c r="GS143" t="s">
        <v>4333</v>
      </c>
      <c r="GT143" t="s">
        <v>4333</v>
      </c>
      <c r="GU143" t="s">
        <v>4333</v>
      </c>
      <c r="GV143" t="s">
        <v>4333</v>
      </c>
      <c r="GW143" t="s">
        <v>4333</v>
      </c>
      <c r="GX143" t="s">
        <v>4333</v>
      </c>
      <c r="GY143" t="s">
        <v>4333</v>
      </c>
      <c r="GZ143" t="s">
        <v>4333</v>
      </c>
      <c r="HA143" t="s">
        <v>4333</v>
      </c>
      <c r="HB143" t="s">
        <v>4326</v>
      </c>
      <c r="HC143" t="s">
        <v>4326</v>
      </c>
      <c r="HD143" t="s">
        <v>4326</v>
      </c>
      <c r="HE143" t="s">
        <v>4326</v>
      </c>
      <c r="HF143" t="s">
        <v>4326</v>
      </c>
      <c r="HG143" t="s">
        <v>4326</v>
      </c>
      <c r="HH143" t="s">
        <v>4326</v>
      </c>
      <c r="HI143" t="s">
        <v>4326</v>
      </c>
      <c r="HJ143" t="s">
        <v>4326</v>
      </c>
      <c r="HK143" t="s">
        <v>4326</v>
      </c>
      <c r="HL143" t="s">
        <v>4326</v>
      </c>
      <c r="HM143" t="s">
        <v>4326</v>
      </c>
      <c r="HN143" t="s">
        <v>4331</v>
      </c>
      <c r="HO143" t="s">
        <v>4331</v>
      </c>
      <c r="HP143" t="s">
        <v>4331</v>
      </c>
      <c r="HQ143" t="s">
        <v>4331</v>
      </c>
      <c r="HR143" t="s">
        <v>4331</v>
      </c>
      <c r="HS143" t="s">
        <v>4331</v>
      </c>
      <c r="HT143" t="s">
        <v>4331</v>
      </c>
      <c r="HU143" t="s">
        <v>4331</v>
      </c>
      <c r="HV143" t="s">
        <v>4331</v>
      </c>
      <c r="HW143" t="s">
        <v>4331</v>
      </c>
      <c r="HX143" t="s">
        <v>4331</v>
      </c>
      <c r="HY143" t="s">
        <v>4331</v>
      </c>
      <c r="HZ143" t="s">
        <v>4331</v>
      </c>
      <c r="IA143" t="s">
        <v>4331</v>
      </c>
      <c r="IB143" t="s">
        <v>4331</v>
      </c>
      <c r="IC143" t="s">
        <v>4331</v>
      </c>
      <c r="ID143" t="s">
        <v>4331</v>
      </c>
      <c r="IE143" t="s">
        <v>4331</v>
      </c>
      <c r="IF143" t="s">
        <v>4331</v>
      </c>
      <c r="IG143" t="s">
        <v>4331</v>
      </c>
      <c r="IH143" t="s">
        <v>4331</v>
      </c>
      <c r="II143" t="s">
        <v>4331</v>
      </c>
      <c r="IJ143" t="s">
        <v>4331</v>
      </c>
      <c r="IK143" t="s">
        <v>4331</v>
      </c>
      <c r="IL143" t="s">
        <v>4331</v>
      </c>
      <c r="IM143" t="s">
        <v>4331</v>
      </c>
      <c r="IN143" t="s">
        <v>4331</v>
      </c>
      <c r="IO143" t="s">
        <v>4331</v>
      </c>
      <c r="IP143" t="s">
        <v>4331</v>
      </c>
      <c r="IQ143" t="s">
        <v>4331</v>
      </c>
      <c r="IR143" t="s">
        <v>4331</v>
      </c>
      <c r="IS143" t="s">
        <v>4331</v>
      </c>
      <c r="IT143" t="s">
        <v>4331</v>
      </c>
      <c r="IU143" t="s">
        <v>4331</v>
      </c>
      <c r="IV143" t="s">
        <v>4331</v>
      </c>
      <c r="IW143" t="s">
        <v>4331</v>
      </c>
      <c r="IX143" t="s">
        <v>4331</v>
      </c>
      <c r="IY143" t="s">
        <v>4331</v>
      </c>
      <c r="IZ143" t="s">
        <v>4331</v>
      </c>
      <c r="JA143" t="s">
        <v>4331</v>
      </c>
      <c r="JB143" t="s">
        <v>4331</v>
      </c>
      <c r="JC143" t="s">
        <v>4331</v>
      </c>
      <c r="JD143" t="s">
        <v>4331</v>
      </c>
      <c r="JE143" t="s">
        <v>4331</v>
      </c>
      <c r="JF143" t="s">
        <v>4331</v>
      </c>
      <c r="JG143" t="s">
        <v>4331</v>
      </c>
      <c r="JH143" t="s">
        <v>4331</v>
      </c>
      <c r="JI143" t="s">
        <v>4331</v>
      </c>
      <c r="JJ143" t="s">
        <v>4331</v>
      </c>
      <c r="JK143" t="s">
        <v>4331</v>
      </c>
      <c r="JL143" t="s">
        <v>4331</v>
      </c>
      <c r="JM143" t="s">
        <v>4331</v>
      </c>
      <c r="JN143" t="s">
        <v>4331</v>
      </c>
      <c r="JO143" t="s">
        <v>4331</v>
      </c>
      <c r="JP143" t="s">
        <v>4331</v>
      </c>
      <c r="JQ143" t="s">
        <v>4331</v>
      </c>
      <c r="JR143" t="s">
        <v>4331</v>
      </c>
      <c r="JS143" t="s">
        <v>4331</v>
      </c>
      <c r="JT143" t="s">
        <v>4331</v>
      </c>
      <c r="JU143" t="s">
        <v>4331</v>
      </c>
    </row>
    <row r="144" spans="30:281" x14ac:dyDescent="0.3">
      <c r="AP144" t="s">
        <v>2646</v>
      </c>
      <c r="AQ144" t="s">
        <v>2646</v>
      </c>
      <c r="AR144" t="s">
        <v>2646</v>
      </c>
      <c r="AS144" t="s">
        <v>2646</v>
      </c>
      <c r="AT144" t="s">
        <v>2646</v>
      </c>
      <c r="AU144" t="s">
        <v>2646</v>
      </c>
      <c r="AV144" t="s">
        <v>2646</v>
      </c>
      <c r="AW144" t="s">
        <v>2646</v>
      </c>
      <c r="AX144" t="s">
        <v>2646</v>
      </c>
      <c r="AY144" t="s">
        <v>2646</v>
      </c>
      <c r="AZ144" t="s">
        <v>2646</v>
      </c>
      <c r="BA144" t="s">
        <v>2646</v>
      </c>
      <c r="BB144" t="s">
        <v>2646</v>
      </c>
      <c r="BC144" t="s">
        <v>1538</v>
      </c>
      <c r="BD144" t="s">
        <v>1538</v>
      </c>
      <c r="BE144" t="s">
        <v>1538</v>
      </c>
      <c r="BF144" t="s">
        <v>1538</v>
      </c>
      <c r="BG144" t="s">
        <v>1538</v>
      </c>
      <c r="BH144" t="s">
        <v>1538</v>
      </c>
      <c r="BI144" t="s">
        <v>1538</v>
      </c>
      <c r="BJ144" t="s">
        <v>1538</v>
      </c>
      <c r="BK144" t="s">
        <v>1538</v>
      </c>
      <c r="BL144" t="s">
        <v>1538</v>
      </c>
      <c r="BM144" t="s">
        <v>1538</v>
      </c>
      <c r="BN144" t="s">
        <v>1538</v>
      </c>
      <c r="BO144" t="s">
        <v>1538</v>
      </c>
      <c r="BP144" t="s">
        <v>1538</v>
      </c>
      <c r="BQ144" t="s">
        <v>1538</v>
      </c>
      <c r="BR144" t="s">
        <v>1538</v>
      </c>
      <c r="BS144" t="s">
        <v>1538</v>
      </c>
      <c r="BT144" t="s">
        <v>1538</v>
      </c>
      <c r="BU144" t="s">
        <v>1538</v>
      </c>
      <c r="BV144" t="s">
        <v>1538</v>
      </c>
      <c r="BW144" t="s">
        <v>1538</v>
      </c>
      <c r="BX144" t="s">
        <v>1538</v>
      </c>
      <c r="BY144" t="s">
        <v>1538</v>
      </c>
      <c r="BZ144" t="s">
        <v>1538</v>
      </c>
      <c r="CA144" t="s">
        <v>1538</v>
      </c>
      <c r="CB144" t="s">
        <v>1538</v>
      </c>
      <c r="CC144" t="s">
        <v>1472</v>
      </c>
      <c r="CD144" t="s">
        <v>2625</v>
      </c>
      <c r="CE144" t="s">
        <v>2625</v>
      </c>
      <c r="CF144" t="s">
        <v>2625</v>
      </c>
      <c r="CG144" t="s">
        <v>2625</v>
      </c>
      <c r="CH144" t="s">
        <v>2625</v>
      </c>
      <c r="CI144" t="s">
        <v>2625</v>
      </c>
      <c r="CJ144" t="s">
        <v>2625</v>
      </c>
      <c r="CK144" t="s">
        <v>2625</v>
      </c>
      <c r="CL144" t="s">
        <v>2625</v>
      </c>
      <c r="CM144" t="s">
        <v>2625</v>
      </c>
      <c r="CN144" t="s">
        <v>2625</v>
      </c>
      <c r="CO144" t="s">
        <v>2625</v>
      </c>
      <c r="CP144" t="s">
        <v>2625</v>
      </c>
      <c r="CX144" t="s">
        <v>2625</v>
      </c>
      <c r="CY144" t="s">
        <v>2625</v>
      </c>
      <c r="CZ144" t="s">
        <v>2625</v>
      </c>
      <c r="DA144" t="s">
        <v>2625</v>
      </c>
      <c r="DB144" t="s">
        <v>2625</v>
      </c>
      <c r="DC144" t="s">
        <v>2625</v>
      </c>
      <c r="DD144" t="s">
        <v>2625</v>
      </c>
      <c r="DE144" t="s">
        <v>2625</v>
      </c>
      <c r="DF144" t="s">
        <v>2625</v>
      </c>
      <c r="DG144" t="s">
        <v>2625</v>
      </c>
      <c r="DH144" t="s">
        <v>2587</v>
      </c>
      <c r="DI144" t="s">
        <v>2587</v>
      </c>
      <c r="DJ144" t="s">
        <v>2587</v>
      </c>
      <c r="DK144" t="s">
        <v>2587</v>
      </c>
      <c r="DL144" t="s">
        <v>2587</v>
      </c>
      <c r="DR144" t="s">
        <v>2587</v>
      </c>
      <c r="DS144" t="s">
        <v>2587</v>
      </c>
      <c r="DT144" t="s">
        <v>2587</v>
      </c>
      <c r="DU144" t="s">
        <v>2587</v>
      </c>
      <c r="EA144" t="s">
        <v>2790</v>
      </c>
      <c r="EB144" t="s">
        <v>2790</v>
      </c>
      <c r="EC144" t="s">
        <v>2796</v>
      </c>
      <c r="ED144" t="s">
        <v>2796</v>
      </c>
      <c r="EE144" t="s">
        <v>2796</v>
      </c>
      <c r="EF144" t="s">
        <v>2796</v>
      </c>
      <c r="EG144" t="s">
        <v>2779</v>
      </c>
      <c r="EH144" t="s">
        <v>2779</v>
      </c>
      <c r="EI144" t="s">
        <v>2779</v>
      </c>
      <c r="EJ144" t="s">
        <v>2779</v>
      </c>
      <c r="EK144" t="s">
        <v>2779</v>
      </c>
      <c r="EL144" t="s">
        <v>2779</v>
      </c>
      <c r="EM144" t="s">
        <v>2779</v>
      </c>
      <c r="EN144" t="s">
        <v>2779</v>
      </c>
      <c r="EO144" t="s">
        <v>2779</v>
      </c>
      <c r="EP144" t="s">
        <v>2808</v>
      </c>
      <c r="EQ144" t="s">
        <v>2808</v>
      </c>
      <c r="ER144" t="s">
        <v>2808</v>
      </c>
      <c r="ES144" t="s">
        <v>2808</v>
      </c>
      <c r="ET144" t="s">
        <v>2808</v>
      </c>
      <c r="EU144" t="s">
        <v>2808</v>
      </c>
      <c r="EV144" t="s">
        <v>2808</v>
      </c>
      <c r="EW144" t="s">
        <v>2808</v>
      </c>
      <c r="EX144" t="s">
        <v>2808</v>
      </c>
      <c r="EY144" t="s">
        <v>2808</v>
      </c>
      <c r="EZ144" t="s">
        <v>2808</v>
      </c>
      <c r="FA144" t="s">
        <v>4334</v>
      </c>
      <c r="FB144" t="s">
        <v>4334</v>
      </c>
      <c r="FC144" t="s">
        <v>4334</v>
      </c>
      <c r="FD144" t="s">
        <v>4334</v>
      </c>
      <c r="FE144" t="s">
        <v>4334</v>
      </c>
      <c r="FF144" t="s">
        <v>4334</v>
      </c>
      <c r="FG144" t="s">
        <v>4334</v>
      </c>
      <c r="FH144" t="s">
        <v>4334</v>
      </c>
      <c r="FI144" t="s">
        <v>4334</v>
      </c>
      <c r="FJ144" t="s">
        <v>4334</v>
      </c>
      <c r="FK144" t="s">
        <v>4334</v>
      </c>
      <c r="FL144" t="s">
        <v>4334</v>
      </c>
      <c r="FM144" t="s">
        <v>4334</v>
      </c>
      <c r="FN144" t="s">
        <v>4334</v>
      </c>
      <c r="FO144" t="s">
        <v>4334</v>
      </c>
      <c r="FP144" t="s">
        <v>4334</v>
      </c>
      <c r="FQ144" t="s">
        <v>4334</v>
      </c>
      <c r="FR144" t="s">
        <v>4334</v>
      </c>
      <c r="FS144" t="s">
        <v>4334</v>
      </c>
      <c r="FT144" t="s">
        <v>4334</v>
      </c>
      <c r="FU144" t="s">
        <v>4334</v>
      </c>
      <c r="FV144" t="s">
        <v>4334</v>
      </c>
      <c r="FW144" t="s">
        <v>4334</v>
      </c>
      <c r="FX144" t="s">
        <v>4334</v>
      </c>
      <c r="FY144" t="s">
        <v>4334</v>
      </c>
      <c r="FZ144" t="s">
        <v>4334</v>
      </c>
      <c r="GA144" t="s">
        <v>4334</v>
      </c>
      <c r="GB144" t="s">
        <v>4334</v>
      </c>
      <c r="GC144" t="s">
        <v>2814</v>
      </c>
      <c r="GD144" t="s">
        <v>2814</v>
      </c>
      <c r="GE144" t="s">
        <v>2814</v>
      </c>
      <c r="GF144" t="s">
        <v>2814</v>
      </c>
      <c r="GG144" t="s">
        <v>2814</v>
      </c>
      <c r="GH144" t="s">
        <v>2814</v>
      </c>
      <c r="GI144" t="s">
        <v>2814</v>
      </c>
      <c r="GJ144" t="s">
        <v>2814</v>
      </c>
      <c r="GK144" t="s">
        <v>2814</v>
      </c>
      <c r="GL144" t="s">
        <v>2814</v>
      </c>
      <c r="GM144" t="s">
        <v>2814</v>
      </c>
      <c r="GN144" t="s">
        <v>4333</v>
      </c>
      <c r="GO144" t="s">
        <v>4333</v>
      </c>
      <c r="GP144" t="s">
        <v>4333</v>
      </c>
      <c r="GQ144" t="s">
        <v>4333</v>
      </c>
      <c r="GR144" t="s">
        <v>4333</v>
      </c>
      <c r="GS144" t="s">
        <v>4333</v>
      </c>
      <c r="GT144" t="s">
        <v>4333</v>
      </c>
      <c r="GU144" t="s">
        <v>4333</v>
      </c>
      <c r="GV144" t="s">
        <v>4333</v>
      </c>
      <c r="GW144" t="s">
        <v>4333</v>
      </c>
      <c r="GX144" t="s">
        <v>4333</v>
      </c>
      <c r="GY144" t="s">
        <v>4333</v>
      </c>
      <c r="GZ144" t="s">
        <v>4333</v>
      </c>
      <c r="HA144" t="s">
        <v>4333</v>
      </c>
      <c r="HB144" t="s">
        <v>4333</v>
      </c>
      <c r="HC144" t="s">
        <v>4326</v>
      </c>
      <c r="HD144" t="s">
        <v>4326</v>
      </c>
      <c r="HE144" t="s">
        <v>4326</v>
      </c>
      <c r="HF144" t="s">
        <v>4326</v>
      </c>
      <c r="HG144" t="s">
        <v>4326</v>
      </c>
      <c r="HH144" t="s">
        <v>4326</v>
      </c>
      <c r="HI144" t="s">
        <v>4326</v>
      </c>
      <c r="HJ144" t="s">
        <v>4326</v>
      </c>
      <c r="HK144" t="s">
        <v>4326</v>
      </c>
      <c r="HL144" t="s">
        <v>4331</v>
      </c>
      <c r="HM144" t="s">
        <v>4331</v>
      </c>
      <c r="HN144" t="s">
        <v>4331</v>
      </c>
      <c r="HO144" t="s">
        <v>4331</v>
      </c>
      <c r="HP144" t="s">
        <v>4331</v>
      </c>
      <c r="HQ144" t="s">
        <v>4331</v>
      </c>
      <c r="HR144" t="s">
        <v>4331</v>
      </c>
      <c r="HS144" t="s">
        <v>4331</v>
      </c>
      <c r="HT144" t="s">
        <v>4331</v>
      </c>
      <c r="HU144" t="s">
        <v>4331</v>
      </c>
      <c r="HV144" t="s">
        <v>4331</v>
      </c>
      <c r="HW144" t="s">
        <v>4331</v>
      </c>
      <c r="HX144" t="s">
        <v>4331</v>
      </c>
      <c r="HY144" t="s">
        <v>4331</v>
      </c>
      <c r="HZ144" t="s">
        <v>4331</v>
      </c>
      <c r="IA144" t="s">
        <v>4331</v>
      </c>
      <c r="IB144" t="s">
        <v>4331</v>
      </c>
      <c r="IC144" t="s">
        <v>4331</v>
      </c>
      <c r="ID144" t="s">
        <v>4331</v>
      </c>
      <c r="IE144" t="s">
        <v>4331</v>
      </c>
      <c r="IF144" t="s">
        <v>4331</v>
      </c>
      <c r="IG144" t="s">
        <v>4331</v>
      </c>
      <c r="IH144" t="s">
        <v>4331</v>
      </c>
      <c r="II144" t="s">
        <v>4331</v>
      </c>
      <c r="IJ144" t="s">
        <v>4331</v>
      </c>
      <c r="IK144" t="s">
        <v>4331</v>
      </c>
      <c r="IL144" t="s">
        <v>4331</v>
      </c>
      <c r="IM144" t="s">
        <v>4331</v>
      </c>
      <c r="IN144" t="s">
        <v>4331</v>
      </c>
      <c r="IO144" t="s">
        <v>4331</v>
      </c>
      <c r="IP144" t="s">
        <v>4331</v>
      </c>
      <c r="IQ144" t="s">
        <v>4331</v>
      </c>
      <c r="IR144" t="s">
        <v>4331</v>
      </c>
      <c r="IS144" t="s">
        <v>4331</v>
      </c>
      <c r="IT144" t="s">
        <v>4331</v>
      </c>
      <c r="IU144" t="s">
        <v>4331</v>
      </c>
      <c r="IV144" t="s">
        <v>4331</v>
      </c>
      <c r="IW144" t="s">
        <v>4331</v>
      </c>
      <c r="IX144" t="s">
        <v>4331</v>
      </c>
      <c r="IY144" t="s">
        <v>4331</v>
      </c>
      <c r="IZ144" t="s">
        <v>4331</v>
      </c>
      <c r="JA144" t="s">
        <v>4331</v>
      </c>
      <c r="JB144" t="s">
        <v>4331</v>
      </c>
      <c r="JC144" t="s">
        <v>4331</v>
      </c>
      <c r="JD144" t="s">
        <v>4331</v>
      </c>
      <c r="JE144" t="s">
        <v>4331</v>
      </c>
      <c r="JF144" t="s">
        <v>4331</v>
      </c>
      <c r="JG144" t="s">
        <v>4331</v>
      </c>
      <c r="JH144" t="s">
        <v>4331</v>
      </c>
      <c r="JI144" t="s">
        <v>4331</v>
      </c>
      <c r="JJ144" t="s">
        <v>4331</v>
      </c>
      <c r="JK144" t="s">
        <v>4331</v>
      </c>
      <c r="JL144" t="s">
        <v>4331</v>
      </c>
      <c r="JM144" t="s">
        <v>4331</v>
      </c>
      <c r="JN144" t="s">
        <v>4331</v>
      </c>
      <c r="JO144" t="s">
        <v>4331</v>
      </c>
      <c r="JP144" t="s">
        <v>4331</v>
      </c>
      <c r="JQ144" t="s">
        <v>4331</v>
      </c>
      <c r="JR144" t="s">
        <v>4331</v>
      </c>
      <c r="JS144" t="s">
        <v>4331</v>
      </c>
      <c r="JT144" t="s">
        <v>4331</v>
      </c>
      <c r="JU144" t="s">
        <v>4331</v>
      </c>
    </row>
    <row r="145" spans="43:281" x14ac:dyDescent="0.3">
      <c r="AQ145" t="s">
        <v>2646</v>
      </c>
      <c r="AR145" t="s">
        <v>2646</v>
      </c>
      <c r="AS145" t="s">
        <v>2646</v>
      </c>
      <c r="AT145" t="s">
        <v>2646</v>
      </c>
      <c r="AU145" t="s">
        <v>2646</v>
      </c>
      <c r="AV145" t="s">
        <v>2646</v>
      </c>
      <c r="AW145" t="s">
        <v>2646</v>
      </c>
      <c r="AX145" t="s">
        <v>2646</v>
      </c>
      <c r="AY145" t="s">
        <v>2646</v>
      </c>
      <c r="AZ145" t="s">
        <v>2646</v>
      </c>
      <c r="BA145" t="s">
        <v>2646</v>
      </c>
      <c r="BB145" t="s">
        <v>2646</v>
      </c>
      <c r="BC145" t="s">
        <v>2646</v>
      </c>
      <c r="BD145" t="s">
        <v>1538</v>
      </c>
      <c r="BE145" t="s">
        <v>1538</v>
      </c>
      <c r="BF145" t="s">
        <v>1538</v>
      </c>
      <c r="BG145" t="s">
        <v>1538</v>
      </c>
      <c r="BH145" t="s">
        <v>1538</v>
      </c>
      <c r="BI145" t="s">
        <v>1538</v>
      </c>
      <c r="BJ145" t="s">
        <v>1538</v>
      </c>
      <c r="BK145" t="s">
        <v>1538</v>
      </c>
      <c r="BL145" t="s">
        <v>1538</v>
      </c>
      <c r="BM145" t="s">
        <v>1538</v>
      </c>
      <c r="BN145" t="s">
        <v>1538</v>
      </c>
      <c r="BO145" t="s">
        <v>1538</v>
      </c>
      <c r="BP145" t="s">
        <v>1538</v>
      </c>
      <c r="BQ145" t="s">
        <v>1538</v>
      </c>
      <c r="BR145" t="s">
        <v>1538</v>
      </c>
      <c r="BS145" t="s">
        <v>1538</v>
      </c>
      <c r="BT145" t="s">
        <v>1538</v>
      </c>
      <c r="BU145" t="s">
        <v>1538</v>
      </c>
      <c r="BV145" t="s">
        <v>1538</v>
      </c>
      <c r="BW145" t="s">
        <v>1538</v>
      </c>
      <c r="BX145" t="s">
        <v>1538</v>
      </c>
      <c r="BY145" t="s">
        <v>1538</v>
      </c>
      <c r="BZ145" t="s">
        <v>1538</v>
      </c>
      <c r="CA145" t="s">
        <v>1538</v>
      </c>
      <c r="CB145" t="s">
        <v>1472</v>
      </c>
      <c r="CC145" t="s">
        <v>1472</v>
      </c>
      <c r="CD145" t="s">
        <v>1472</v>
      </c>
      <c r="CE145" t="s">
        <v>2625</v>
      </c>
      <c r="CF145" t="s">
        <v>2625</v>
      </c>
      <c r="CG145" t="s">
        <v>2625</v>
      </c>
      <c r="CH145" t="s">
        <v>2625</v>
      </c>
      <c r="CI145" t="s">
        <v>2625</v>
      </c>
      <c r="CJ145" t="s">
        <v>2625</v>
      </c>
      <c r="CK145" t="s">
        <v>2625</v>
      </c>
      <c r="CL145" t="s">
        <v>2625</v>
      </c>
      <c r="CM145" t="s">
        <v>2625</v>
      </c>
      <c r="CN145" t="s">
        <v>2625</v>
      </c>
      <c r="CX145" t="s">
        <v>2625</v>
      </c>
      <c r="CY145" t="s">
        <v>2625</v>
      </c>
      <c r="CZ145" t="s">
        <v>2625</v>
      </c>
      <c r="DA145" t="s">
        <v>2625</v>
      </c>
      <c r="DB145" t="s">
        <v>2625</v>
      </c>
      <c r="DC145" t="s">
        <v>2625</v>
      </c>
      <c r="DD145" t="s">
        <v>2625</v>
      </c>
      <c r="DE145" t="s">
        <v>2625</v>
      </c>
      <c r="DF145" t="s">
        <v>2625</v>
      </c>
      <c r="DG145" t="s">
        <v>2625</v>
      </c>
      <c r="EA145" t="s">
        <v>2790</v>
      </c>
      <c r="EB145" t="s">
        <v>4337</v>
      </c>
      <c r="EC145" t="s">
        <v>2796</v>
      </c>
      <c r="ED145" t="s">
        <v>2796</v>
      </c>
      <c r="EE145" t="s">
        <v>2796</v>
      </c>
      <c r="EF145" t="s">
        <v>2796</v>
      </c>
      <c r="EG145" t="s">
        <v>2796</v>
      </c>
      <c r="EH145" t="s">
        <v>2779</v>
      </c>
      <c r="EI145" t="s">
        <v>2779</v>
      </c>
      <c r="EJ145" t="s">
        <v>2779</v>
      </c>
      <c r="EK145" t="s">
        <v>2779</v>
      </c>
      <c r="EL145" t="s">
        <v>2779</v>
      </c>
      <c r="EM145" t="s">
        <v>2808</v>
      </c>
      <c r="EN145" t="s">
        <v>2808</v>
      </c>
      <c r="EO145" t="s">
        <v>2808</v>
      </c>
      <c r="EP145" t="s">
        <v>2808</v>
      </c>
      <c r="EQ145" t="s">
        <v>2808</v>
      </c>
      <c r="ER145" t="s">
        <v>2808</v>
      </c>
      <c r="ES145" t="s">
        <v>2808</v>
      </c>
      <c r="ET145" t="s">
        <v>2808</v>
      </c>
      <c r="EU145" t="s">
        <v>2808</v>
      </c>
      <c r="EV145" t="s">
        <v>2808</v>
      </c>
      <c r="EW145" t="s">
        <v>2808</v>
      </c>
      <c r="EX145" t="s">
        <v>2808</v>
      </c>
      <c r="EY145" t="s">
        <v>2808</v>
      </c>
      <c r="EZ145" t="s">
        <v>2808</v>
      </c>
      <c r="FA145" t="s">
        <v>2808</v>
      </c>
      <c r="FB145" t="s">
        <v>4334</v>
      </c>
      <c r="FC145" t="s">
        <v>4334</v>
      </c>
      <c r="FD145" t="s">
        <v>4334</v>
      </c>
      <c r="FE145" t="s">
        <v>4334</v>
      </c>
      <c r="FF145" t="s">
        <v>4334</v>
      </c>
      <c r="FG145" t="s">
        <v>4334</v>
      </c>
      <c r="FH145" t="s">
        <v>4334</v>
      </c>
      <c r="FI145" t="s">
        <v>4334</v>
      </c>
      <c r="FJ145" t="s">
        <v>4334</v>
      </c>
      <c r="FK145" t="s">
        <v>4334</v>
      </c>
      <c r="FL145" t="s">
        <v>4334</v>
      </c>
      <c r="FM145" t="s">
        <v>4334</v>
      </c>
      <c r="FN145" t="s">
        <v>4334</v>
      </c>
      <c r="FO145" t="s">
        <v>4334</v>
      </c>
      <c r="FP145" t="s">
        <v>4334</v>
      </c>
      <c r="FQ145" t="s">
        <v>4334</v>
      </c>
      <c r="FR145" t="s">
        <v>4334</v>
      </c>
      <c r="FS145" t="s">
        <v>4334</v>
      </c>
      <c r="FT145" t="s">
        <v>4334</v>
      </c>
      <c r="FU145" t="s">
        <v>4334</v>
      </c>
      <c r="FV145" t="s">
        <v>4334</v>
      </c>
      <c r="FW145" t="s">
        <v>4334</v>
      </c>
      <c r="FX145" t="s">
        <v>4334</v>
      </c>
      <c r="FY145" t="s">
        <v>4334</v>
      </c>
      <c r="FZ145" t="s">
        <v>4334</v>
      </c>
      <c r="GA145" t="s">
        <v>4334</v>
      </c>
      <c r="GB145" t="s">
        <v>2814</v>
      </c>
      <c r="GC145" t="s">
        <v>2814</v>
      </c>
      <c r="GD145" t="s">
        <v>2814</v>
      </c>
      <c r="GE145" t="s">
        <v>2814</v>
      </c>
      <c r="GF145" t="s">
        <v>2814</v>
      </c>
      <c r="GG145" t="s">
        <v>2814</v>
      </c>
      <c r="GH145" t="s">
        <v>2814</v>
      </c>
      <c r="GI145" t="s">
        <v>2814</v>
      </c>
      <c r="GJ145" t="s">
        <v>2814</v>
      </c>
      <c r="GK145" t="s">
        <v>2814</v>
      </c>
      <c r="GL145" t="s">
        <v>2814</v>
      </c>
      <c r="GM145" t="s">
        <v>2814</v>
      </c>
      <c r="GN145" t="s">
        <v>2814</v>
      </c>
      <c r="GO145" t="s">
        <v>2814</v>
      </c>
      <c r="GP145" t="s">
        <v>2814</v>
      </c>
      <c r="GQ145" t="s">
        <v>2814</v>
      </c>
      <c r="GR145" t="s">
        <v>4333</v>
      </c>
      <c r="GS145" t="s">
        <v>4333</v>
      </c>
      <c r="GT145" t="s">
        <v>4333</v>
      </c>
      <c r="GU145" t="s">
        <v>4333</v>
      </c>
      <c r="GV145" t="s">
        <v>4333</v>
      </c>
      <c r="GW145" t="s">
        <v>4333</v>
      </c>
      <c r="GX145" t="s">
        <v>4333</v>
      </c>
      <c r="GY145" t="s">
        <v>4333</v>
      </c>
      <c r="GZ145" t="s">
        <v>4333</v>
      </c>
      <c r="HA145" t="s">
        <v>4333</v>
      </c>
      <c r="HB145" t="s">
        <v>4333</v>
      </c>
      <c r="HC145" t="s">
        <v>4326</v>
      </c>
      <c r="HD145" t="s">
        <v>4326</v>
      </c>
      <c r="HE145" t="s">
        <v>4326</v>
      </c>
      <c r="HF145" t="s">
        <v>4326</v>
      </c>
      <c r="HG145" t="s">
        <v>4326</v>
      </c>
      <c r="HH145" t="s">
        <v>4326</v>
      </c>
      <c r="HI145" t="s">
        <v>4326</v>
      </c>
      <c r="HJ145" t="s">
        <v>4326</v>
      </c>
      <c r="HK145" t="s">
        <v>4331</v>
      </c>
      <c r="HL145" t="s">
        <v>4331</v>
      </c>
      <c r="HM145" t="s">
        <v>4331</v>
      </c>
      <c r="HN145" t="s">
        <v>4331</v>
      </c>
      <c r="HO145" t="s">
        <v>4331</v>
      </c>
      <c r="HP145" t="s">
        <v>4331</v>
      </c>
      <c r="HQ145" t="s">
        <v>4331</v>
      </c>
      <c r="HR145" t="s">
        <v>4331</v>
      </c>
      <c r="HS145" t="s">
        <v>4331</v>
      </c>
      <c r="HT145" t="s">
        <v>4331</v>
      </c>
      <c r="HU145" t="s">
        <v>4331</v>
      </c>
      <c r="HV145" t="s">
        <v>4331</v>
      </c>
      <c r="HW145" t="s">
        <v>4331</v>
      </c>
      <c r="HX145" t="s">
        <v>4331</v>
      </c>
      <c r="HY145" t="s">
        <v>4331</v>
      </c>
      <c r="HZ145" t="s">
        <v>4331</v>
      </c>
      <c r="IA145" t="s">
        <v>4331</v>
      </c>
      <c r="IB145" t="s">
        <v>4331</v>
      </c>
      <c r="IC145" t="s">
        <v>4331</v>
      </c>
      <c r="ID145" t="s">
        <v>4331</v>
      </c>
      <c r="IE145" t="s">
        <v>4331</v>
      </c>
      <c r="IF145" t="s">
        <v>4331</v>
      </c>
      <c r="IG145" t="s">
        <v>4331</v>
      </c>
      <c r="IH145" t="s">
        <v>4331</v>
      </c>
      <c r="II145" t="s">
        <v>4331</v>
      </c>
      <c r="IJ145" t="s">
        <v>4331</v>
      </c>
      <c r="IK145" t="s">
        <v>4331</v>
      </c>
      <c r="IL145" t="s">
        <v>4331</v>
      </c>
      <c r="IM145" t="s">
        <v>4331</v>
      </c>
      <c r="IN145" t="s">
        <v>4331</v>
      </c>
      <c r="IO145" t="s">
        <v>4331</v>
      </c>
      <c r="IP145" t="s">
        <v>4331</v>
      </c>
      <c r="IQ145" t="s">
        <v>4331</v>
      </c>
      <c r="IR145" t="s">
        <v>4331</v>
      </c>
      <c r="IS145" t="s">
        <v>4331</v>
      </c>
      <c r="IT145" t="s">
        <v>4331</v>
      </c>
      <c r="IU145" t="s">
        <v>4331</v>
      </c>
      <c r="IV145" t="s">
        <v>4331</v>
      </c>
      <c r="IW145" t="s">
        <v>4331</v>
      </c>
      <c r="IX145" t="s">
        <v>4331</v>
      </c>
      <c r="IY145" t="s">
        <v>4331</v>
      </c>
      <c r="IZ145" t="s">
        <v>4331</v>
      </c>
      <c r="JA145" t="s">
        <v>4331</v>
      </c>
      <c r="JB145" t="s">
        <v>4331</v>
      </c>
      <c r="JC145" t="s">
        <v>4331</v>
      </c>
      <c r="JD145" t="s">
        <v>4331</v>
      </c>
      <c r="JE145" t="s">
        <v>4331</v>
      </c>
      <c r="JF145" t="s">
        <v>4331</v>
      </c>
      <c r="JG145" t="s">
        <v>4331</v>
      </c>
      <c r="JH145" t="s">
        <v>4331</v>
      </c>
      <c r="JI145" t="s">
        <v>4331</v>
      </c>
      <c r="JJ145" t="s">
        <v>4331</v>
      </c>
      <c r="JK145" t="s">
        <v>4331</v>
      </c>
      <c r="JL145" t="s">
        <v>4331</v>
      </c>
      <c r="JM145" t="s">
        <v>4331</v>
      </c>
      <c r="JN145" t="s">
        <v>4331</v>
      </c>
      <c r="JO145" t="s">
        <v>4331</v>
      </c>
      <c r="JP145" t="s">
        <v>4331</v>
      </c>
      <c r="JQ145" t="s">
        <v>4331</v>
      </c>
      <c r="JR145" t="s">
        <v>4331</v>
      </c>
      <c r="JS145" t="s">
        <v>4331</v>
      </c>
      <c r="JT145" t="s">
        <v>4331</v>
      </c>
      <c r="JU145" t="s">
        <v>4331</v>
      </c>
    </row>
    <row r="146" spans="43:281" x14ac:dyDescent="0.3">
      <c r="AQ146" t="s">
        <v>2646</v>
      </c>
      <c r="AR146" t="s">
        <v>2646</v>
      </c>
      <c r="AS146" t="s">
        <v>2646</v>
      </c>
      <c r="AT146" t="s">
        <v>2646</v>
      </c>
      <c r="AU146" t="s">
        <v>2646</v>
      </c>
      <c r="AV146" t="s">
        <v>2646</v>
      </c>
      <c r="AW146" t="s">
        <v>2646</v>
      </c>
      <c r="AX146" t="s">
        <v>2646</v>
      </c>
      <c r="AY146" t="s">
        <v>2646</v>
      </c>
      <c r="AZ146" t="s">
        <v>2646</v>
      </c>
      <c r="BA146" t="s">
        <v>2646</v>
      </c>
      <c r="BB146" t="s">
        <v>2646</v>
      </c>
      <c r="BC146" t="s">
        <v>2646</v>
      </c>
      <c r="BD146" t="s">
        <v>2646</v>
      </c>
      <c r="BE146" t="s">
        <v>2646</v>
      </c>
      <c r="BF146" t="s">
        <v>2646</v>
      </c>
      <c r="BG146" t="s">
        <v>1538</v>
      </c>
      <c r="BH146" t="s">
        <v>1538</v>
      </c>
      <c r="BI146" t="s">
        <v>1538</v>
      </c>
      <c r="BJ146" t="s">
        <v>1538</v>
      </c>
      <c r="BK146" t="s">
        <v>1538</v>
      </c>
      <c r="BL146" t="s">
        <v>1538</v>
      </c>
      <c r="BM146" t="s">
        <v>1538</v>
      </c>
      <c r="BN146" t="s">
        <v>1538</v>
      </c>
      <c r="BO146" t="s">
        <v>1538</v>
      </c>
      <c r="BP146" t="s">
        <v>1538</v>
      </c>
      <c r="BQ146" t="s">
        <v>1538</v>
      </c>
      <c r="BR146" t="s">
        <v>1538</v>
      </c>
      <c r="BS146" t="s">
        <v>1538</v>
      </c>
      <c r="BT146" t="s">
        <v>1538</v>
      </c>
      <c r="BU146" t="s">
        <v>1538</v>
      </c>
      <c r="BV146" t="s">
        <v>1538</v>
      </c>
      <c r="BW146" t="s">
        <v>1538</v>
      </c>
      <c r="BX146" t="s">
        <v>1538</v>
      </c>
      <c r="BY146" t="s">
        <v>1538</v>
      </c>
      <c r="BZ146" t="s">
        <v>1538</v>
      </c>
      <c r="CA146" t="s">
        <v>1538</v>
      </c>
      <c r="CB146" t="s">
        <v>1472</v>
      </c>
      <c r="CC146" t="s">
        <v>1472</v>
      </c>
      <c r="CD146" t="s">
        <v>1472</v>
      </c>
      <c r="CE146" t="s">
        <v>1472</v>
      </c>
      <c r="CF146" t="s">
        <v>2625</v>
      </c>
      <c r="CG146" t="s">
        <v>2625</v>
      </c>
      <c r="CH146" t="s">
        <v>2625</v>
      </c>
      <c r="CI146" t="s">
        <v>2625</v>
      </c>
      <c r="CJ146" t="s">
        <v>2625</v>
      </c>
      <c r="CK146" t="s">
        <v>2625</v>
      </c>
      <c r="CL146" t="s">
        <v>2625</v>
      </c>
      <c r="CM146" t="s">
        <v>2625</v>
      </c>
      <c r="CN146" t="s">
        <v>2625</v>
      </c>
      <c r="CX146" t="s">
        <v>2625</v>
      </c>
      <c r="CY146" t="s">
        <v>2625</v>
      </c>
      <c r="CZ146" t="s">
        <v>2625</v>
      </c>
      <c r="DA146" t="s">
        <v>2625</v>
      </c>
      <c r="DB146" t="s">
        <v>2625</v>
      </c>
      <c r="DC146" t="s">
        <v>2625</v>
      </c>
      <c r="EB146" t="s">
        <v>4337</v>
      </c>
      <c r="EC146" t="s">
        <v>2796</v>
      </c>
      <c r="ED146" t="s">
        <v>2796</v>
      </c>
      <c r="EE146" t="s">
        <v>2796</v>
      </c>
      <c r="EF146" t="s">
        <v>2796</v>
      </c>
      <c r="EG146" t="s">
        <v>2796</v>
      </c>
      <c r="EH146" t="s">
        <v>2796</v>
      </c>
      <c r="EI146" t="s">
        <v>2796</v>
      </c>
      <c r="EJ146" t="s">
        <v>2808</v>
      </c>
      <c r="EK146" t="s">
        <v>2808</v>
      </c>
      <c r="EL146" t="s">
        <v>2808</v>
      </c>
      <c r="EM146" t="s">
        <v>2808</v>
      </c>
      <c r="EN146" t="s">
        <v>2808</v>
      </c>
      <c r="EO146" t="s">
        <v>2808</v>
      </c>
      <c r="EP146" t="s">
        <v>2808</v>
      </c>
      <c r="EQ146" t="s">
        <v>2808</v>
      </c>
      <c r="ER146" t="s">
        <v>2808</v>
      </c>
      <c r="ES146" t="s">
        <v>2808</v>
      </c>
      <c r="ET146" t="s">
        <v>2808</v>
      </c>
      <c r="EU146" t="s">
        <v>2808</v>
      </c>
      <c r="EV146" t="s">
        <v>2808</v>
      </c>
      <c r="EW146" t="s">
        <v>2808</v>
      </c>
      <c r="EX146" t="s">
        <v>2808</v>
      </c>
      <c r="EY146" t="s">
        <v>2808</v>
      </c>
      <c r="EZ146" t="s">
        <v>2808</v>
      </c>
      <c r="FA146" t="s">
        <v>4334</v>
      </c>
      <c r="FB146" t="s">
        <v>4334</v>
      </c>
      <c r="FC146" t="s">
        <v>4334</v>
      </c>
      <c r="FD146" t="s">
        <v>4334</v>
      </c>
      <c r="FE146" t="s">
        <v>4334</v>
      </c>
      <c r="FF146" t="s">
        <v>4334</v>
      </c>
      <c r="FG146" t="s">
        <v>4334</v>
      </c>
      <c r="FH146" t="s">
        <v>4334</v>
      </c>
      <c r="FI146" t="s">
        <v>4334</v>
      </c>
      <c r="FJ146" t="s">
        <v>4334</v>
      </c>
      <c r="FK146" t="s">
        <v>4334</v>
      </c>
      <c r="FL146" t="s">
        <v>4334</v>
      </c>
      <c r="FM146" t="s">
        <v>4334</v>
      </c>
      <c r="FN146" t="s">
        <v>4334</v>
      </c>
      <c r="FO146" t="s">
        <v>4334</v>
      </c>
      <c r="FP146" t="s">
        <v>4334</v>
      </c>
      <c r="FQ146" t="s">
        <v>4334</v>
      </c>
      <c r="FR146" t="s">
        <v>4334</v>
      </c>
      <c r="FS146" t="s">
        <v>4334</v>
      </c>
      <c r="FT146" t="s">
        <v>4334</v>
      </c>
      <c r="FU146" t="s">
        <v>4334</v>
      </c>
      <c r="FV146" t="s">
        <v>4334</v>
      </c>
      <c r="FW146" t="s">
        <v>4334</v>
      </c>
      <c r="FX146" t="s">
        <v>4334</v>
      </c>
      <c r="FY146" t="s">
        <v>4334</v>
      </c>
      <c r="FZ146" t="s">
        <v>4334</v>
      </c>
      <c r="GA146" t="s">
        <v>4334</v>
      </c>
      <c r="GB146" t="s">
        <v>2814</v>
      </c>
      <c r="GC146" t="s">
        <v>2814</v>
      </c>
      <c r="GD146" t="s">
        <v>2814</v>
      </c>
      <c r="GE146" t="s">
        <v>2814</v>
      </c>
      <c r="GF146" t="s">
        <v>2814</v>
      </c>
      <c r="GG146" t="s">
        <v>2814</v>
      </c>
      <c r="GH146" t="s">
        <v>2814</v>
      </c>
      <c r="GI146" t="s">
        <v>2814</v>
      </c>
      <c r="GJ146" t="s">
        <v>2814</v>
      </c>
      <c r="GK146" t="s">
        <v>2814</v>
      </c>
      <c r="GL146" t="s">
        <v>2814</v>
      </c>
      <c r="GM146" t="s">
        <v>2814</v>
      </c>
      <c r="GN146" t="s">
        <v>2814</v>
      </c>
      <c r="GO146" t="s">
        <v>2814</v>
      </c>
      <c r="GP146" t="s">
        <v>2814</v>
      </c>
      <c r="GQ146" t="s">
        <v>2814</v>
      </c>
      <c r="GR146" t="s">
        <v>2814</v>
      </c>
      <c r="GS146" t="s">
        <v>4333</v>
      </c>
      <c r="GT146" t="s">
        <v>4333</v>
      </c>
      <c r="GU146" t="s">
        <v>4333</v>
      </c>
      <c r="GV146" t="s">
        <v>4333</v>
      </c>
      <c r="GW146" t="s">
        <v>4333</v>
      </c>
      <c r="GX146" t="s">
        <v>4333</v>
      </c>
      <c r="GY146" t="s">
        <v>4333</v>
      </c>
      <c r="GZ146" t="s">
        <v>4333</v>
      </c>
      <c r="HA146" t="s">
        <v>4333</v>
      </c>
      <c r="HB146" t="s">
        <v>4333</v>
      </c>
      <c r="HC146" t="s">
        <v>4333</v>
      </c>
      <c r="HD146" t="s">
        <v>4326</v>
      </c>
      <c r="HE146" t="s">
        <v>4326</v>
      </c>
      <c r="HF146" t="s">
        <v>4326</v>
      </c>
      <c r="HG146" t="s">
        <v>4326</v>
      </c>
      <c r="HH146" t="s">
        <v>4326</v>
      </c>
      <c r="HI146" t="s">
        <v>4326</v>
      </c>
      <c r="HJ146" t="s">
        <v>4326</v>
      </c>
      <c r="HK146" t="s">
        <v>4331</v>
      </c>
      <c r="HL146" t="s">
        <v>4331</v>
      </c>
      <c r="HM146" t="s">
        <v>4331</v>
      </c>
      <c r="HN146" t="s">
        <v>4331</v>
      </c>
      <c r="HO146" t="s">
        <v>4331</v>
      </c>
      <c r="HP146" t="s">
        <v>4331</v>
      </c>
      <c r="HQ146" t="s">
        <v>4331</v>
      </c>
      <c r="HR146" t="s">
        <v>4331</v>
      </c>
      <c r="HS146" t="s">
        <v>4331</v>
      </c>
      <c r="HT146" t="s">
        <v>4331</v>
      </c>
      <c r="HU146" t="s">
        <v>4331</v>
      </c>
      <c r="HV146" t="s">
        <v>4331</v>
      </c>
      <c r="HW146" t="s">
        <v>4331</v>
      </c>
      <c r="HX146" t="s">
        <v>4331</v>
      </c>
      <c r="HY146" t="s">
        <v>4331</v>
      </c>
      <c r="HZ146" t="s">
        <v>4331</v>
      </c>
      <c r="IA146" t="s">
        <v>4331</v>
      </c>
      <c r="IB146" t="s">
        <v>4331</v>
      </c>
      <c r="IC146" t="s">
        <v>4331</v>
      </c>
      <c r="ID146" t="s">
        <v>4331</v>
      </c>
      <c r="IE146" t="s">
        <v>4331</v>
      </c>
      <c r="IF146" t="s">
        <v>4331</v>
      </c>
      <c r="IG146" t="s">
        <v>4331</v>
      </c>
      <c r="IH146" t="s">
        <v>4331</v>
      </c>
      <c r="II146" t="s">
        <v>4331</v>
      </c>
      <c r="IJ146" t="s">
        <v>4331</v>
      </c>
      <c r="IK146" t="s">
        <v>4331</v>
      </c>
      <c r="IL146" t="s">
        <v>4331</v>
      </c>
      <c r="IM146" t="s">
        <v>4331</v>
      </c>
      <c r="IN146" t="s">
        <v>4331</v>
      </c>
      <c r="IO146" t="s">
        <v>4331</v>
      </c>
      <c r="IP146" t="s">
        <v>4331</v>
      </c>
      <c r="IQ146" t="s">
        <v>4331</v>
      </c>
      <c r="IR146" t="s">
        <v>4331</v>
      </c>
      <c r="IS146" t="s">
        <v>4331</v>
      </c>
      <c r="IT146" t="s">
        <v>4331</v>
      </c>
      <c r="IU146" t="s">
        <v>4331</v>
      </c>
      <c r="IV146" t="s">
        <v>4331</v>
      </c>
      <c r="IW146" t="s">
        <v>4331</v>
      </c>
      <c r="IX146" t="s">
        <v>4331</v>
      </c>
      <c r="IY146" t="s">
        <v>4331</v>
      </c>
      <c r="IZ146" t="s">
        <v>4331</v>
      </c>
      <c r="JA146" t="s">
        <v>4331</v>
      </c>
      <c r="JB146" t="s">
        <v>4331</v>
      </c>
      <c r="JC146" t="s">
        <v>4331</v>
      </c>
      <c r="JD146" t="s">
        <v>4331</v>
      </c>
      <c r="JE146" t="s">
        <v>4331</v>
      </c>
      <c r="JF146" t="s">
        <v>4331</v>
      </c>
      <c r="JG146" t="s">
        <v>4331</v>
      </c>
      <c r="JH146" t="s">
        <v>4331</v>
      </c>
      <c r="JI146" t="s">
        <v>4331</v>
      </c>
      <c r="JJ146" t="s">
        <v>4331</v>
      </c>
      <c r="JK146" t="s">
        <v>4331</v>
      </c>
      <c r="JL146" t="s">
        <v>4331</v>
      </c>
      <c r="JM146" t="s">
        <v>4331</v>
      </c>
      <c r="JN146" t="s">
        <v>4331</v>
      </c>
      <c r="JO146" t="s">
        <v>4331</v>
      </c>
      <c r="JP146" t="s">
        <v>4331</v>
      </c>
      <c r="JQ146" t="s">
        <v>4331</v>
      </c>
      <c r="JR146" t="s">
        <v>4331</v>
      </c>
      <c r="JS146" t="s">
        <v>4331</v>
      </c>
      <c r="JT146" t="s">
        <v>4331</v>
      </c>
      <c r="JU146" t="s">
        <v>4331</v>
      </c>
    </row>
    <row r="147" spans="43:281" x14ac:dyDescent="0.3">
      <c r="AR147" t="s">
        <v>2646</v>
      </c>
      <c r="AS147" t="s">
        <v>2646</v>
      </c>
      <c r="AT147" t="s">
        <v>2646</v>
      </c>
      <c r="AU147" t="s">
        <v>2646</v>
      </c>
      <c r="AV147" t="s">
        <v>2646</v>
      </c>
      <c r="AW147" t="s">
        <v>2646</v>
      </c>
      <c r="AX147" t="s">
        <v>2646</v>
      </c>
      <c r="AY147" t="s">
        <v>2646</v>
      </c>
      <c r="AZ147" t="s">
        <v>2646</v>
      </c>
      <c r="BA147" t="s">
        <v>2646</v>
      </c>
      <c r="BB147" t="s">
        <v>2646</v>
      </c>
      <c r="BC147" t="s">
        <v>2646</v>
      </c>
      <c r="BD147" t="s">
        <v>2646</v>
      </c>
      <c r="BE147" t="s">
        <v>2646</v>
      </c>
      <c r="BF147" t="s">
        <v>2646</v>
      </c>
      <c r="BG147" t="s">
        <v>2646</v>
      </c>
      <c r="BH147" t="s">
        <v>1538</v>
      </c>
      <c r="BI147" t="s">
        <v>1538</v>
      </c>
      <c r="BJ147" t="s">
        <v>1538</v>
      </c>
      <c r="BK147" t="s">
        <v>1538</v>
      </c>
      <c r="BL147" t="s">
        <v>1538</v>
      </c>
      <c r="BM147" t="s">
        <v>1538</v>
      </c>
      <c r="BN147" t="s">
        <v>1538</v>
      </c>
      <c r="BO147" t="s">
        <v>1538</v>
      </c>
      <c r="BP147" t="s">
        <v>1538</v>
      </c>
      <c r="BQ147" t="s">
        <v>1538</v>
      </c>
      <c r="BR147" t="s">
        <v>1538</v>
      </c>
      <c r="BS147" t="s">
        <v>1538</v>
      </c>
      <c r="BT147" t="s">
        <v>1538</v>
      </c>
      <c r="BU147" t="s">
        <v>1538</v>
      </c>
      <c r="BV147" t="s">
        <v>1538</v>
      </c>
      <c r="BW147" t="s">
        <v>1538</v>
      </c>
      <c r="BX147" t="s">
        <v>1538</v>
      </c>
      <c r="BY147" t="s">
        <v>1538</v>
      </c>
      <c r="BZ147" t="s">
        <v>1538</v>
      </c>
      <c r="CA147" t="s">
        <v>1472</v>
      </c>
      <c r="CB147" t="s">
        <v>1472</v>
      </c>
      <c r="CC147" t="s">
        <v>1472</v>
      </c>
      <c r="CD147" t="s">
        <v>1472</v>
      </c>
      <c r="CE147" t="s">
        <v>1472</v>
      </c>
      <c r="CF147" t="s">
        <v>1472</v>
      </c>
      <c r="CG147" t="s">
        <v>2625</v>
      </c>
      <c r="CH147" t="s">
        <v>2625</v>
      </c>
      <c r="CI147" t="s">
        <v>2625</v>
      </c>
      <c r="CJ147" t="s">
        <v>2625</v>
      </c>
      <c r="CZ147" t="s">
        <v>2625</v>
      </c>
      <c r="DA147" t="s">
        <v>2625</v>
      </c>
      <c r="EB147" t="s">
        <v>2790</v>
      </c>
      <c r="EC147" t="s">
        <v>4338</v>
      </c>
      <c r="ED147" t="s">
        <v>4338</v>
      </c>
      <c r="EE147" t="s">
        <v>4338</v>
      </c>
      <c r="EF147" t="s">
        <v>4338</v>
      </c>
      <c r="EG147" t="s">
        <v>2796</v>
      </c>
      <c r="EH147" t="s">
        <v>2796</v>
      </c>
      <c r="EI147" t="s">
        <v>2796</v>
      </c>
      <c r="EJ147" t="s">
        <v>2808</v>
      </c>
      <c r="EK147" t="s">
        <v>2808</v>
      </c>
      <c r="EL147" t="s">
        <v>2808</v>
      </c>
      <c r="EM147" t="s">
        <v>2808</v>
      </c>
      <c r="EN147" t="s">
        <v>2808</v>
      </c>
      <c r="EO147" t="s">
        <v>2808</v>
      </c>
      <c r="EP147" t="s">
        <v>2808</v>
      </c>
      <c r="EQ147" t="s">
        <v>2808</v>
      </c>
      <c r="ER147" t="s">
        <v>2808</v>
      </c>
      <c r="ES147" t="s">
        <v>2808</v>
      </c>
      <c r="ET147" t="s">
        <v>2808</v>
      </c>
      <c r="EU147" t="s">
        <v>2808</v>
      </c>
      <c r="EV147" t="s">
        <v>2808</v>
      </c>
      <c r="EW147" t="s">
        <v>2808</v>
      </c>
      <c r="EX147" t="s">
        <v>2808</v>
      </c>
      <c r="EY147" t="s">
        <v>4334</v>
      </c>
      <c r="EZ147" t="s">
        <v>4334</v>
      </c>
      <c r="FA147" t="s">
        <v>4334</v>
      </c>
      <c r="FB147" t="s">
        <v>4334</v>
      </c>
      <c r="FC147" t="s">
        <v>4334</v>
      </c>
      <c r="FD147" t="s">
        <v>4334</v>
      </c>
      <c r="FE147" t="s">
        <v>4334</v>
      </c>
      <c r="FF147" t="s">
        <v>4334</v>
      </c>
      <c r="FG147" t="s">
        <v>4334</v>
      </c>
      <c r="FH147" t="s">
        <v>4334</v>
      </c>
      <c r="FI147" t="s">
        <v>4334</v>
      </c>
      <c r="FJ147" t="s">
        <v>4334</v>
      </c>
      <c r="FK147" t="s">
        <v>4334</v>
      </c>
      <c r="FL147" t="s">
        <v>4334</v>
      </c>
      <c r="FM147" t="s">
        <v>4334</v>
      </c>
      <c r="FN147" t="s">
        <v>4334</v>
      </c>
      <c r="FO147" t="s">
        <v>4334</v>
      </c>
      <c r="FP147" t="s">
        <v>4334</v>
      </c>
      <c r="FQ147" t="s">
        <v>4334</v>
      </c>
      <c r="FR147" t="s">
        <v>4334</v>
      </c>
      <c r="FS147" t="s">
        <v>4334</v>
      </c>
      <c r="FT147" t="s">
        <v>4334</v>
      </c>
      <c r="FU147" t="s">
        <v>4334</v>
      </c>
      <c r="FV147" t="s">
        <v>4334</v>
      </c>
      <c r="FW147" t="s">
        <v>4334</v>
      </c>
      <c r="FX147" t="s">
        <v>4334</v>
      </c>
      <c r="FY147" t="s">
        <v>4334</v>
      </c>
      <c r="FZ147" t="s">
        <v>4334</v>
      </c>
      <c r="GA147" t="s">
        <v>2814</v>
      </c>
      <c r="GB147" t="s">
        <v>2814</v>
      </c>
      <c r="GC147" t="s">
        <v>2814</v>
      </c>
      <c r="GD147" t="s">
        <v>2814</v>
      </c>
      <c r="GE147" t="s">
        <v>2814</v>
      </c>
      <c r="GF147" t="s">
        <v>2814</v>
      </c>
      <c r="GG147" t="s">
        <v>2814</v>
      </c>
      <c r="GH147" t="s">
        <v>2814</v>
      </c>
      <c r="GI147" t="s">
        <v>2814</v>
      </c>
      <c r="GJ147" t="s">
        <v>2814</v>
      </c>
      <c r="GK147" t="s">
        <v>2814</v>
      </c>
      <c r="GL147" t="s">
        <v>2814</v>
      </c>
      <c r="GM147" t="s">
        <v>2814</v>
      </c>
      <c r="GN147" t="s">
        <v>2814</v>
      </c>
      <c r="GO147" t="s">
        <v>2814</v>
      </c>
      <c r="GP147" t="s">
        <v>2814</v>
      </c>
      <c r="GQ147" t="s">
        <v>2814</v>
      </c>
      <c r="GR147" t="s">
        <v>2814</v>
      </c>
      <c r="GS147" t="s">
        <v>4333</v>
      </c>
      <c r="GT147" t="s">
        <v>4333</v>
      </c>
      <c r="GU147" t="s">
        <v>4333</v>
      </c>
      <c r="GV147" t="s">
        <v>4333</v>
      </c>
      <c r="GW147" t="s">
        <v>4333</v>
      </c>
      <c r="GX147" t="s">
        <v>4333</v>
      </c>
      <c r="GY147" t="s">
        <v>4333</v>
      </c>
      <c r="GZ147" t="s">
        <v>4333</v>
      </c>
      <c r="HA147" t="s">
        <v>4333</v>
      </c>
      <c r="HB147" t="s">
        <v>4333</v>
      </c>
      <c r="HC147" t="s">
        <v>4326</v>
      </c>
      <c r="HD147" t="s">
        <v>4326</v>
      </c>
      <c r="HE147" t="s">
        <v>4326</v>
      </c>
      <c r="HF147" t="s">
        <v>4326</v>
      </c>
      <c r="HG147" t="s">
        <v>4326</v>
      </c>
      <c r="HH147" t="s">
        <v>4326</v>
      </c>
      <c r="HI147" t="s">
        <v>4326</v>
      </c>
      <c r="HJ147" t="s">
        <v>4326</v>
      </c>
      <c r="HK147" t="s">
        <v>4326</v>
      </c>
      <c r="HL147" t="s">
        <v>4331</v>
      </c>
      <c r="HM147" t="s">
        <v>4331</v>
      </c>
      <c r="HN147" t="s">
        <v>4331</v>
      </c>
      <c r="HO147" t="s">
        <v>4331</v>
      </c>
      <c r="HP147" t="s">
        <v>4331</v>
      </c>
      <c r="HQ147" t="s">
        <v>4331</v>
      </c>
      <c r="HR147" t="s">
        <v>4331</v>
      </c>
      <c r="HS147" t="s">
        <v>4331</v>
      </c>
      <c r="HT147" t="s">
        <v>4331</v>
      </c>
      <c r="HU147" t="s">
        <v>4331</v>
      </c>
      <c r="HV147" t="s">
        <v>4331</v>
      </c>
      <c r="HW147" t="s">
        <v>4331</v>
      </c>
      <c r="HX147" t="s">
        <v>4331</v>
      </c>
      <c r="HY147" t="s">
        <v>4331</v>
      </c>
      <c r="HZ147" t="s">
        <v>4331</v>
      </c>
      <c r="IA147" t="s">
        <v>4331</v>
      </c>
      <c r="IB147" t="s">
        <v>4331</v>
      </c>
      <c r="IC147" t="s">
        <v>4331</v>
      </c>
      <c r="ID147" t="s">
        <v>4331</v>
      </c>
      <c r="IE147" t="s">
        <v>4331</v>
      </c>
      <c r="IF147" t="s">
        <v>4331</v>
      </c>
      <c r="IG147" t="s">
        <v>4331</v>
      </c>
      <c r="IH147" t="s">
        <v>4331</v>
      </c>
      <c r="II147" t="s">
        <v>4331</v>
      </c>
      <c r="IJ147" t="s">
        <v>4331</v>
      </c>
      <c r="IK147" t="s">
        <v>4331</v>
      </c>
      <c r="IL147" t="s">
        <v>4331</v>
      </c>
      <c r="IM147" t="s">
        <v>4331</v>
      </c>
      <c r="IN147" t="s">
        <v>4331</v>
      </c>
      <c r="IO147" t="s">
        <v>4331</v>
      </c>
      <c r="IP147" t="s">
        <v>4331</v>
      </c>
      <c r="IQ147" t="s">
        <v>4331</v>
      </c>
      <c r="IR147" t="s">
        <v>4331</v>
      </c>
      <c r="IS147" t="s">
        <v>4331</v>
      </c>
      <c r="IT147" t="s">
        <v>4331</v>
      </c>
      <c r="IU147" t="s">
        <v>4331</v>
      </c>
      <c r="IV147" t="s">
        <v>4331</v>
      </c>
      <c r="IW147" t="s">
        <v>4331</v>
      </c>
      <c r="IX147" t="s">
        <v>4331</v>
      </c>
      <c r="IY147" t="s">
        <v>4331</v>
      </c>
      <c r="IZ147" t="s">
        <v>4331</v>
      </c>
      <c r="JA147" t="s">
        <v>4331</v>
      </c>
      <c r="JB147" t="s">
        <v>4331</v>
      </c>
      <c r="JC147" t="s">
        <v>4331</v>
      </c>
      <c r="JD147" t="s">
        <v>4331</v>
      </c>
      <c r="JE147" t="s">
        <v>4331</v>
      </c>
      <c r="JF147" t="s">
        <v>4331</v>
      </c>
      <c r="JG147" t="s">
        <v>4331</v>
      </c>
      <c r="JH147" t="s">
        <v>4331</v>
      </c>
      <c r="JI147" t="s">
        <v>4331</v>
      </c>
      <c r="JJ147" t="s">
        <v>4331</v>
      </c>
      <c r="JK147" t="s">
        <v>4331</v>
      </c>
      <c r="JL147" t="s">
        <v>4331</v>
      </c>
      <c r="JM147" t="s">
        <v>4331</v>
      </c>
      <c r="JN147" t="s">
        <v>4331</v>
      </c>
      <c r="JO147" t="s">
        <v>4331</v>
      </c>
      <c r="JP147" t="s">
        <v>4331</v>
      </c>
      <c r="JQ147" t="s">
        <v>4331</v>
      </c>
      <c r="JR147" t="s">
        <v>4331</v>
      </c>
      <c r="JS147" t="s">
        <v>4331</v>
      </c>
      <c r="JT147" t="s">
        <v>4331</v>
      </c>
      <c r="JU147" t="s">
        <v>4331</v>
      </c>
    </row>
    <row r="148" spans="43:281" x14ac:dyDescent="0.3">
      <c r="AS148" t="s">
        <v>2646</v>
      </c>
      <c r="AT148" t="s">
        <v>2646</v>
      </c>
      <c r="AU148" t="s">
        <v>2646</v>
      </c>
      <c r="AV148" t="s">
        <v>2646</v>
      </c>
      <c r="AW148" t="s">
        <v>2646</v>
      </c>
      <c r="AX148" t="s">
        <v>2646</v>
      </c>
      <c r="AY148" t="s">
        <v>2646</v>
      </c>
      <c r="AZ148" t="s">
        <v>2646</v>
      </c>
      <c r="BA148" t="s">
        <v>2646</v>
      </c>
      <c r="BB148" t="s">
        <v>2646</v>
      </c>
      <c r="BC148" t="s">
        <v>2646</v>
      </c>
      <c r="BD148" t="s">
        <v>2646</v>
      </c>
      <c r="BE148" t="s">
        <v>2646</v>
      </c>
      <c r="BF148" t="s">
        <v>2646</v>
      </c>
      <c r="BG148" t="s">
        <v>1538</v>
      </c>
      <c r="BH148" t="s">
        <v>1538</v>
      </c>
      <c r="BI148" t="s">
        <v>1538</v>
      </c>
      <c r="BJ148" t="s">
        <v>1538</v>
      </c>
      <c r="BK148" t="s">
        <v>1538</v>
      </c>
      <c r="BL148" t="s">
        <v>1538</v>
      </c>
      <c r="BM148" t="s">
        <v>1538</v>
      </c>
      <c r="BN148" t="s">
        <v>1538</v>
      </c>
      <c r="BO148" t="s">
        <v>1538</v>
      </c>
      <c r="BP148" t="s">
        <v>1538</v>
      </c>
      <c r="BQ148" t="s">
        <v>1538</v>
      </c>
      <c r="BR148" t="s">
        <v>1538</v>
      </c>
      <c r="BS148" t="s">
        <v>1538</v>
      </c>
      <c r="BT148" t="s">
        <v>1538</v>
      </c>
      <c r="BU148" t="s">
        <v>1538</v>
      </c>
      <c r="BV148" t="s">
        <v>1538</v>
      </c>
      <c r="BW148" t="s">
        <v>1538</v>
      </c>
      <c r="BX148" t="s">
        <v>1538</v>
      </c>
      <c r="BY148" t="s">
        <v>1472</v>
      </c>
      <c r="BZ148" t="s">
        <v>1472</v>
      </c>
      <c r="CA148" t="s">
        <v>1472</v>
      </c>
      <c r="CB148" t="s">
        <v>1472</v>
      </c>
      <c r="CC148" t="s">
        <v>1472</v>
      </c>
      <c r="CD148" t="s">
        <v>1472</v>
      </c>
      <c r="CE148" t="s">
        <v>1472</v>
      </c>
      <c r="EB148" t="s">
        <v>2805</v>
      </c>
      <c r="EC148" t="s">
        <v>2790</v>
      </c>
      <c r="ED148" t="s">
        <v>4338</v>
      </c>
      <c r="EE148" t="s">
        <v>4338</v>
      </c>
      <c r="EF148" t="s">
        <v>4338</v>
      </c>
      <c r="EG148" t="s">
        <v>4338</v>
      </c>
      <c r="EH148" t="s">
        <v>4338</v>
      </c>
      <c r="EI148" t="s">
        <v>2796</v>
      </c>
      <c r="EJ148" t="s">
        <v>2808</v>
      </c>
      <c r="EK148" t="s">
        <v>2808</v>
      </c>
      <c r="EL148" t="s">
        <v>2808</v>
      </c>
      <c r="EM148" t="s">
        <v>2808</v>
      </c>
      <c r="EN148" t="s">
        <v>2808</v>
      </c>
      <c r="EO148" t="s">
        <v>2808</v>
      </c>
      <c r="EP148" t="s">
        <v>2808</v>
      </c>
      <c r="EQ148" t="s">
        <v>2808</v>
      </c>
      <c r="ER148" t="s">
        <v>2808</v>
      </c>
      <c r="ES148" t="s">
        <v>2808</v>
      </c>
      <c r="ET148" t="s">
        <v>2808</v>
      </c>
      <c r="EU148" t="s">
        <v>2808</v>
      </c>
      <c r="EV148" t="s">
        <v>2808</v>
      </c>
      <c r="EW148" t="s">
        <v>2808</v>
      </c>
      <c r="EX148" t="s">
        <v>4334</v>
      </c>
      <c r="EY148" t="s">
        <v>4334</v>
      </c>
      <c r="EZ148" t="s">
        <v>4334</v>
      </c>
      <c r="FA148" t="s">
        <v>4334</v>
      </c>
      <c r="FB148" t="s">
        <v>4334</v>
      </c>
      <c r="FC148" t="s">
        <v>4334</v>
      </c>
      <c r="FD148" t="s">
        <v>4334</v>
      </c>
      <c r="FE148" t="s">
        <v>4334</v>
      </c>
      <c r="FF148" t="s">
        <v>4334</v>
      </c>
      <c r="FG148" t="s">
        <v>4334</v>
      </c>
      <c r="FH148" t="s">
        <v>4334</v>
      </c>
      <c r="FI148" t="s">
        <v>4334</v>
      </c>
      <c r="FJ148" t="s">
        <v>4334</v>
      </c>
      <c r="FK148" t="s">
        <v>4334</v>
      </c>
      <c r="FL148" t="s">
        <v>4334</v>
      </c>
      <c r="FM148" t="s">
        <v>4334</v>
      </c>
      <c r="FN148" t="s">
        <v>4334</v>
      </c>
      <c r="FO148" t="s">
        <v>4334</v>
      </c>
      <c r="FP148" t="s">
        <v>4334</v>
      </c>
      <c r="FQ148" t="s">
        <v>4334</v>
      </c>
      <c r="FR148" t="s">
        <v>4334</v>
      </c>
      <c r="FS148" t="s">
        <v>4334</v>
      </c>
      <c r="FT148" t="s">
        <v>4334</v>
      </c>
      <c r="FU148" t="s">
        <v>4334</v>
      </c>
      <c r="FV148" t="s">
        <v>4334</v>
      </c>
      <c r="FW148" t="s">
        <v>4334</v>
      </c>
      <c r="FX148" t="s">
        <v>4334</v>
      </c>
      <c r="FY148" t="s">
        <v>4334</v>
      </c>
      <c r="FZ148" t="s">
        <v>4334</v>
      </c>
      <c r="GA148" t="s">
        <v>2814</v>
      </c>
      <c r="GB148" t="s">
        <v>2814</v>
      </c>
      <c r="GC148" t="s">
        <v>2814</v>
      </c>
      <c r="GD148" t="s">
        <v>2814</v>
      </c>
      <c r="GE148" t="s">
        <v>2814</v>
      </c>
      <c r="GF148" t="s">
        <v>2814</v>
      </c>
      <c r="GG148" t="s">
        <v>2814</v>
      </c>
      <c r="GH148" t="s">
        <v>2814</v>
      </c>
      <c r="GI148" t="s">
        <v>2814</v>
      </c>
      <c r="GJ148" t="s">
        <v>2814</v>
      </c>
      <c r="GK148" t="s">
        <v>2814</v>
      </c>
      <c r="GL148" t="s">
        <v>2814</v>
      </c>
      <c r="GM148" t="s">
        <v>2814</v>
      </c>
      <c r="GN148" t="s">
        <v>2814</v>
      </c>
      <c r="GO148" t="s">
        <v>2814</v>
      </c>
      <c r="GP148" t="s">
        <v>2814</v>
      </c>
      <c r="GQ148" t="s">
        <v>2814</v>
      </c>
      <c r="GR148" t="s">
        <v>2814</v>
      </c>
      <c r="GS148" t="s">
        <v>2814</v>
      </c>
      <c r="GT148" t="s">
        <v>4333</v>
      </c>
      <c r="GU148" t="s">
        <v>4333</v>
      </c>
      <c r="GV148" t="s">
        <v>4333</v>
      </c>
      <c r="GW148" t="s">
        <v>4333</v>
      </c>
      <c r="GX148" t="s">
        <v>4333</v>
      </c>
      <c r="GY148" t="s">
        <v>4333</v>
      </c>
      <c r="GZ148" t="s">
        <v>4333</v>
      </c>
      <c r="HA148" t="s">
        <v>4333</v>
      </c>
      <c r="HB148" t="s">
        <v>4326</v>
      </c>
      <c r="HC148" t="s">
        <v>4326</v>
      </c>
      <c r="HD148" t="s">
        <v>4326</v>
      </c>
      <c r="HE148" t="s">
        <v>4326</v>
      </c>
      <c r="HF148" t="s">
        <v>4326</v>
      </c>
      <c r="HG148" t="s">
        <v>4326</v>
      </c>
      <c r="HH148" t="s">
        <v>4326</v>
      </c>
      <c r="HI148" t="s">
        <v>4326</v>
      </c>
      <c r="HJ148" t="s">
        <v>4326</v>
      </c>
      <c r="HK148" t="s">
        <v>4326</v>
      </c>
      <c r="HL148" t="s">
        <v>4331</v>
      </c>
      <c r="HM148" t="s">
        <v>4331</v>
      </c>
      <c r="HN148" t="s">
        <v>4331</v>
      </c>
      <c r="HO148" t="s">
        <v>4331</v>
      </c>
      <c r="HP148" t="s">
        <v>4331</v>
      </c>
      <c r="HQ148" t="s">
        <v>4331</v>
      </c>
      <c r="HR148" t="s">
        <v>4331</v>
      </c>
      <c r="HS148" t="s">
        <v>4331</v>
      </c>
      <c r="HT148" t="s">
        <v>4331</v>
      </c>
      <c r="HU148" t="s">
        <v>4331</v>
      </c>
      <c r="HV148" t="s">
        <v>4331</v>
      </c>
      <c r="HW148" t="s">
        <v>4331</v>
      </c>
      <c r="HX148" t="s">
        <v>4331</v>
      </c>
      <c r="HY148" t="s">
        <v>4331</v>
      </c>
      <c r="HZ148" t="s">
        <v>4331</v>
      </c>
      <c r="IA148" t="s">
        <v>4331</v>
      </c>
      <c r="IB148" t="s">
        <v>4331</v>
      </c>
      <c r="IC148" t="s">
        <v>4331</v>
      </c>
      <c r="ID148" t="s">
        <v>4331</v>
      </c>
      <c r="IE148" t="s">
        <v>4331</v>
      </c>
      <c r="IF148" t="s">
        <v>4331</v>
      </c>
      <c r="IG148" t="s">
        <v>4331</v>
      </c>
      <c r="IH148" t="s">
        <v>4331</v>
      </c>
      <c r="II148" t="s">
        <v>4331</v>
      </c>
      <c r="IJ148" t="s">
        <v>4331</v>
      </c>
      <c r="IK148" t="s">
        <v>4331</v>
      </c>
      <c r="IL148" t="s">
        <v>4331</v>
      </c>
      <c r="IM148" t="s">
        <v>4331</v>
      </c>
      <c r="IN148" t="s">
        <v>4331</v>
      </c>
      <c r="IO148" t="s">
        <v>4331</v>
      </c>
      <c r="IP148" t="s">
        <v>4331</v>
      </c>
      <c r="IQ148" t="s">
        <v>4331</v>
      </c>
      <c r="IR148" t="s">
        <v>4331</v>
      </c>
      <c r="IS148" t="s">
        <v>4331</v>
      </c>
      <c r="IT148" t="s">
        <v>4331</v>
      </c>
      <c r="IU148" t="s">
        <v>4331</v>
      </c>
      <c r="IV148" t="s">
        <v>4331</v>
      </c>
      <c r="IW148" t="s">
        <v>4331</v>
      </c>
      <c r="IX148" t="s">
        <v>4331</v>
      </c>
      <c r="IY148" t="s">
        <v>4331</v>
      </c>
      <c r="IZ148" t="s">
        <v>4331</v>
      </c>
      <c r="JA148" t="s">
        <v>4331</v>
      </c>
      <c r="JB148" t="s">
        <v>4331</v>
      </c>
      <c r="JC148" t="s">
        <v>4331</v>
      </c>
      <c r="JD148" t="s">
        <v>4331</v>
      </c>
      <c r="JE148" t="s">
        <v>4331</v>
      </c>
      <c r="JF148" t="s">
        <v>4331</v>
      </c>
      <c r="JG148" t="s">
        <v>4331</v>
      </c>
      <c r="JH148" t="s">
        <v>4331</v>
      </c>
      <c r="JI148" t="s">
        <v>4331</v>
      </c>
      <c r="JJ148" t="s">
        <v>4331</v>
      </c>
      <c r="JK148" t="s">
        <v>4331</v>
      </c>
      <c r="JL148" t="s">
        <v>4331</v>
      </c>
      <c r="JM148" t="s">
        <v>4331</v>
      </c>
      <c r="JN148" t="s">
        <v>4331</v>
      </c>
      <c r="JO148" t="s">
        <v>4331</v>
      </c>
      <c r="JP148" t="s">
        <v>4331</v>
      </c>
      <c r="JQ148" t="s">
        <v>4331</v>
      </c>
      <c r="JR148" t="s">
        <v>4331</v>
      </c>
      <c r="JS148" t="s">
        <v>4331</v>
      </c>
      <c r="JT148" t="s">
        <v>4331</v>
      </c>
      <c r="JU148" t="s">
        <v>4331</v>
      </c>
    </row>
    <row r="149" spans="43:281" x14ac:dyDescent="0.3">
      <c r="AU149" t="s">
        <v>2646</v>
      </c>
      <c r="AV149" t="s">
        <v>2646</v>
      </c>
      <c r="AW149" t="s">
        <v>2646</v>
      </c>
      <c r="AX149" t="s">
        <v>2646</v>
      </c>
      <c r="AY149" t="s">
        <v>2646</v>
      </c>
      <c r="AZ149" t="s">
        <v>2646</v>
      </c>
      <c r="BA149" t="s">
        <v>2646</v>
      </c>
      <c r="BB149" t="s">
        <v>2646</v>
      </c>
      <c r="BC149" t="s">
        <v>2646</v>
      </c>
      <c r="BD149" t="s">
        <v>2646</v>
      </c>
      <c r="BE149" t="s">
        <v>2646</v>
      </c>
      <c r="BF149" t="s">
        <v>2646</v>
      </c>
      <c r="BG149" t="s">
        <v>1538</v>
      </c>
      <c r="BH149" t="s">
        <v>1538</v>
      </c>
      <c r="BI149" t="s">
        <v>1538</v>
      </c>
      <c r="BJ149" t="s">
        <v>1538</v>
      </c>
      <c r="BK149" t="s">
        <v>1538</v>
      </c>
      <c r="BL149" t="s">
        <v>1538</v>
      </c>
      <c r="BM149" t="s">
        <v>1538</v>
      </c>
      <c r="BN149" t="s">
        <v>1538</v>
      </c>
      <c r="BO149" t="s">
        <v>1538</v>
      </c>
      <c r="BP149" t="s">
        <v>1538</v>
      </c>
      <c r="BQ149" t="s">
        <v>1538</v>
      </c>
      <c r="BR149" t="s">
        <v>1538</v>
      </c>
      <c r="BS149" t="s">
        <v>1538</v>
      </c>
      <c r="BT149" t="s">
        <v>1538</v>
      </c>
      <c r="BU149" t="s">
        <v>1538</v>
      </c>
      <c r="BV149" t="s">
        <v>1538</v>
      </c>
      <c r="BW149" t="s">
        <v>1538</v>
      </c>
      <c r="BX149" t="s">
        <v>1538</v>
      </c>
      <c r="BY149" t="s">
        <v>1472</v>
      </c>
      <c r="BZ149" t="s">
        <v>1472</v>
      </c>
      <c r="CA149" t="s">
        <v>1472</v>
      </c>
      <c r="CB149" t="s">
        <v>1472</v>
      </c>
      <c r="CC149" t="s">
        <v>1472</v>
      </c>
      <c r="CD149" t="s">
        <v>1472</v>
      </c>
      <c r="CE149" t="s">
        <v>1472</v>
      </c>
      <c r="EC149" t="s">
        <v>2805</v>
      </c>
      <c r="ED149" t="s">
        <v>4338</v>
      </c>
      <c r="EE149" t="s">
        <v>4338</v>
      </c>
      <c r="EF149" t="s">
        <v>4338</v>
      </c>
      <c r="EG149" t="s">
        <v>4338</v>
      </c>
      <c r="EH149" t="s">
        <v>4338</v>
      </c>
      <c r="EI149" t="s">
        <v>4338</v>
      </c>
      <c r="EJ149" t="s">
        <v>4338</v>
      </c>
      <c r="EK149" t="s">
        <v>2808</v>
      </c>
      <c r="EL149" t="s">
        <v>2808</v>
      </c>
      <c r="EM149" t="s">
        <v>2808</v>
      </c>
      <c r="EN149" t="s">
        <v>2808</v>
      </c>
      <c r="EO149" t="s">
        <v>2808</v>
      </c>
      <c r="EP149" t="s">
        <v>2808</v>
      </c>
      <c r="EQ149" t="s">
        <v>2808</v>
      </c>
      <c r="ER149" t="s">
        <v>2808</v>
      </c>
      <c r="ES149" t="s">
        <v>2808</v>
      </c>
      <c r="ET149" t="s">
        <v>2808</v>
      </c>
      <c r="EU149" t="s">
        <v>2808</v>
      </c>
      <c r="EV149" t="s">
        <v>2808</v>
      </c>
      <c r="EW149" t="s">
        <v>4334</v>
      </c>
      <c r="EX149" t="s">
        <v>4334</v>
      </c>
      <c r="EY149" t="s">
        <v>4334</v>
      </c>
      <c r="EZ149" t="s">
        <v>4334</v>
      </c>
      <c r="FA149" t="s">
        <v>4334</v>
      </c>
      <c r="FB149" t="s">
        <v>4334</v>
      </c>
      <c r="FC149" t="s">
        <v>4334</v>
      </c>
      <c r="FD149" t="s">
        <v>4334</v>
      </c>
      <c r="FE149" t="s">
        <v>4334</v>
      </c>
      <c r="FF149" t="s">
        <v>4334</v>
      </c>
      <c r="FG149" t="s">
        <v>4334</v>
      </c>
      <c r="FH149" t="s">
        <v>4334</v>
      </c>
      <c r="FI149" t="s">
        <v>4334</v>
      </c>
      <c r="FJ149" t="s">
        <v>4334</v>
      </c>
      <c r="FK149" t="s">
        <v>4334</v>
      </c>
      <c r="FL149" t="s">
        <v>4334</v>
      </c>
      <c r="FM149" t="s">
        <v>4334</v>
      </c>
      <c r="FN149" t="s">
        <v>4334</v>
      </c>
      <c r="FO149" t="s">
        <v>4334</v>
      </c>
      <c r="FP149" t="s">
        <v>4334</v>
      </c>
      <c r="FQ149" t="s">
        <v>4334</v>
      </c>
      <c r="FR149" t="s">
        <v>4334</v>
      </c>
      <c r="FS149" t="s">
        <v>4334</v>
      </c>
      <c r="FT149" t="s">
        <v>4334</v>
      </c>
      <c r="FU149" t="s">
        <v>4334</v>
      </c>
      <c r="FV149" t="s">
        <v>4334</v>
      </c>
      <c r="FW149" t="s">
        <v>4334</v>
      </c>
      <c r="FX149" t="s">
        <v>4334</v>
      </c>
      <c r="FY149" t="s">
        <v>4334</v>
      </c>
      <c r="FZ149" t="s">
        <v>4334</v>
      </c>
      <c r="GA149" t="s">
        <v>2814</v>
      </c>
      <c r="GB149" t="s">
        <v>2814</v>
      </c>
      <c r="GC149" t="s">
        <v>2814</v>
      </c>
      <c r="GD149" t="s">
        <v>2814</v>
      </c>
      <c r="GE149" t="s">
        <v>2814</v>
      </c>
      <c r="GF149" t="s">
        <v>2814</v>
      </c>
      <c r="GG149" t="s">
        <v>2814</v>
      </c>
      <c r="GH149" t="s">
        <v>2814</v>
      </c>
      <c r="GI149" t="s">
        <v>2814</v>
      </c>
      <c r="GJ149" t="s">
        <v>2814</v>
      </c>
      <c r="GK149" t="s">
        <v>2814</v>
      </c>
      <c r="GL149" t="s">
        <v>2814</v>
      </c>
      <c r="GM149" t="s">
        <v>2814</v>
      </c>
      <c r="GN149" t="s">
        <v>2814</v>
      </c>
      <c r="GO149" t="s">
        <v>2814</v>
      </c>
      <c r="GP149" t="s">
        <v>2814</v>
      </c>
      <c r="GQ149" t="s">
        <v>2814</v>
      </c>
      <c r="GR149" t="s">
        <v>2814</v>
      </c>
      <c r="GS149" t="s">
        <v>2814</v>
      </c>
      <c r="GT149" t="s">
        <v>4333</v>
      </c>
      <c r="GU149" t="s">
        <v>4333</v>
      </c>
      <c r="GV149" t="s">
        <v>4333</v>
      </c>
      <c r="GW149" t="s">
        <v>4333</v>
      </c>
      <c r="GX149" t="s">
        <v>4333</v>
      </c>
      <c r="GY149" t="s">
        <v>4333</v>
      </c>
      <c r="GZ149" t="s">
        <v>4333</v>
      </c>
      <c r="HA149" t="s">
        <v>4333</v>
      </c>
      <c r="HB149" t="s">
        <v>4326</v>
      </c>
      <c r="HC149" t="s">
        <v>4326</v>
      </c>
      <c r="HD149" t="s">
        <v>4326</v>
      </c>
      <c r="HE149" t="s">
        <v>4326</v>
      </c>
      <c r="HF149" t="s">
        <v>4326</v>
      </c>
      <c r="HG149" t="s">
        <v>4326</v>
      </c>
      <c r="HH149" t="s">
        <v>4326</v>
      </c>
      <c r="HI149" t="s">
        <v>4326</v>
      </c>
      <c r="HJ149" t="s">
        <v>4326</v>
      </c>
      <c r="HK149" t="s">
        <v>4326</v>
      </c>
      <c r="HL149" t="s">
        <v>4331</v>
      </c>
      <c r="HM149" t="s">
        <v>4331</v>
      </c>
      <c r="HN149" t="s">
        <v>4331</v>
      </c>
      <c r="HO149" t="s">
        <v>4331</v>
      </c>
      <c r="HP149" t="s">
        <v>4331</v>
      </c>
      <c r="HQ149" t="s">
        <v>4331</v>
      </c>
      <c r="HR149" t="s">
        <v>4331</v>
      </c>
      <c r="HS149" t="s">
        <v>4331</v>
      </c>
      <c r="HT149" t="s">
        <v>4331</v>
      </c>
      <c r="HU149" t="s">
        <v>4331</v>
      </c>
      <c r="HV149" t="s">
        <v>4331</v>
      </c>
      <c r="HW149" t="s">
        <v>4331</v>
      </c>
      <c r="HX149" t="s">
        <v>4331</v>
      </c>
      <c r="HY149" t="s">
        <v>4331</v>
      </c>
      <c r="HZ149" t="s">
        <v>4331</v>
      </c>
      <c r="IA149" t="s">
        <v>4331</v>
      </c>
      <c r="IB149" t="s">
        <v>4331</v>
      </c>
      <c r="IC149" t="s">
        <v>4331</v>
      </c>
      <c r="ID149" t="s">
        <v>4331</v>
      </c>
      <c r="IE149" t="s">
        <v>4331</v>
      </c>
      <c r="IF149" t="s">
        <v>4331</v>
      </c>
      <c r="IG149" t="s">
        <v>4331</v>
      </c>
      <c r="IH149" t="s">
        <v>4331</v>
      </c>
      <c r="II149" t="s">
        <v>4331</v>
      </c>
      <c r="IJ149" t="s">
        <v>4331</v>
      </c>
      <c r="IK149" t="s">
        <v>4331</v>
      </c>
      <c r="IL149" t="s">
        <v>4331</v>
      </c>
      <c r="IM149" t="s">
        <v>4331</v>
      </c>
      <c r="IN149" t="s">
        <v>4331</v>
      </c>
      <c r="IO149" t="s">
        <v>4331</v>
      </c>
      <c r="IP149" t="s">
        <v>4331</v>
      </c>
      <c r="IQ149" t="s">
        <v>4331</v>
      </c>
      <c r="IR149" t="s">
        <v>4331</v>
      </c>
      <c r="IS149" t="s">
        <v>4331</v>
      </c>
      <c r="IT149" t="s">
        <v>4331</v>
      </c>
      <c r="IU149" t="s">
        <v>4331</v>
      </c>
      <c r="IV149" t="s">
        <v>4331</v>
      </c>
      <c r="IW149" t="s">
        <v>4331</v>
      </c>
      <c r="IX149" t="s">
        <v>4331</v>
      </c>
      <c r="IY149" t="s">
        <v>4331</v>
      </c>
      <c r="IZ149" t="s">
        <v>4331</v>
      </c>
      <c r="JA149" t="s">
        <v>4331</v>
      </c>
      <c r="JB149" t="s">
        <v>4331</v>
      </c>
      <c r="JC149" t="s">
        <v>4331</v>
      </c>
      <c r="JD149" t="s">
        <v>4331</v>
      </c>
      <c r="JE149" t="s">
        <v>4331</v>
      </c>
      <c r="JF149" t="s">
        <v>4331</v>
      </c>
      <c r="JG149" t="s">
        <v>4331</v>
      </c>
      <c r="JH149" t="s">
        <v>4331</v>
      </c>
      <c r="JI149" t="s">
        <v>4331</v>
      </c>
      <c r="JJ149" t="s">
        <v>4331</v>
      </c>
      <c r="JK149" t="s">
        <v>4331</v>
      </c>
      <c r="JL149" t="s">
        <v>4331</v>
      </c>
      <c r="JM149" t="s">
        <v>4331</v>
      </c>
      <c r="JN149" t="s">
        <v>4331</v>
      </c>
      <c r="JO149" t="s">
        <v>4331</v>
      </c>
      <c r="JP149" t="s">
        <v>4331</v>
      </c>
      <c r="JQ149" t="s">
        <v>4331</v>
      </c>
      <c r="JR149" t="s">
        <v>4331</v>
      </c>
      <c r="JS149" t="s">
        <v>4331</v>
      </c>
      <c r="JT149" t="s">
        <v>4331</v>
      </c>
      <c r="JU149" t="s">
        <v>4331</v>
      </c>
    </row>
    <row r="150" spans="43:281" x14ac:dyDescent="0.3">
      <c r="AV150" t="s">
        <v>2646</v>
      </c>
      <c r="AW150" t="s">
        <v>2646</v>
      </c>
      <c r="AX150" t="s">
        <v>2646</v>
      </c>
      <c r="AY150" t="s">
        <v>2646</v>
      </c>
      <c r="AZ150" t="s">
        <v>2646</v>
      </c>
      <c r="BA150" t="s">
        <v>2646</v>
      </c>
      <c r="BB150" t="s">
        <v>2646</v>
      </c>
      <c r="BC150" t="s">
        <v>2646</v>
      </c>
      <c r="BD150" t="s">
        <v>2646</v>
      </c>
      <c r="BE150" t="s">
        <v>2646</v>
      </c>
      <c r="BF150" t="s">
        <v>1538</v>
      </c>
      <c r="BG150" t="s">
        <v>1538</v>
      </c>
      <c r="BH150" t="s">
        <v>1538</v>
      </c>
      <c r="BI150" t="s">
        <v>1538</v>
      </c>
      <c r="BJ150" t="s">
        <v>1538</v>
      </c>
      <c r="BK150" t="s">
        <v>1538</v>
      </c>
      <c r="BL150" t="s">
        <v>1538</v>
      </c>
      <c r="BM150" t="s">
        <v>1538</v>
      </c>
      <c r="BN150" t="s">
        <v>1538</v>
      </c>
      <c r="BO150" t="s">
        <v>1538</v>
      </c>
      <c r="BP150" t="s">
        <v>1538</v>
      </c>
      <c r="BQ150" t="s">
        <v>1538</v>
      </c>
      <c r="BR150" t="s">
        <v>1538</v>
      </c>
      <c r="BS150" t="s">
        <v>1538</v>
      </c>
      <c r="BT150" t="s">
        <v>1538</v>
      </c>
      <c r="BU150" t="s">
        <v>1538</v>
      </c>
      <c r="BV150" t="s">
        <v>1538</v>
      </c>
      <c r="BW150" t="s">
        <v>1538</v>
      </c>
      <c r="BX150" t="s">
        <v>1538</v>
      </c>
      <c r="BY150" t="s">
        <v>1472</v>
      </c>
      <c r="BZ150" t="s">
        <v>1472</v>
      </c>
      <c r="CA150" t="s">
        <v>1472</v>
      </c>
      <c r="CB150" t="s">
        <v>1472</v>
      </c>
      <c r="CC150" t="s">
        <v>1472</v>
      </c>
      <c r="EC150" t="s">
        <v>2805</v>
      </c>
      <c r="ED150" t="s">
        <v>2805</v>
      </c>
      <c r="EE150" t="s">
        <v>4338</v>
      </c>
      <c r="EF150" t="s">
        <v>4338</v>
      </c>
      <c r="EG150" t="s">
        <v>4338</v>
      </c>
      <c r="EH150" t="s">
        <v>4338</v>
      </c>
      <c r="EI150" t="s">
        <v>4338</v>
      </c>
      <c r="EJ150" t="s">
        <v>4338</v>
      </c>
      <c r="EK150" t="s">
        <v>4338</v>
      </c>
      <c r="EL150" t="s">
        <v>4338</v>
      </c>
      <c r="EM150" t="s">
        <v>2808</v>
      </c>
      <c r="EN150" t="s">
        <v>2808</v>
      </c>
      <c r="EO150" t="s">
        <v>2808</v>
      </c>
      <c r="EP150" t="s">
        <v>2808</v>
      </c>
      <c r="EQ150" t="s">
        <v>2808</v>
      </c>
      <c r="ER150" t="s">
        <v>2808</v>
      </c>
      <c r="ES150" t="s">
        <v>2808</v>
      </c>
      <c r="ET150" t="s">
        <v>2808</v>
      </c>
      <c r="EU150" t="s">
        <v>2808</v>
      </c>
      <c r="EV150" t="s">
        <v>2808</v>
      </c>
      <c r="EW150" t="s">
        <v>4334</v>
      </c>
      <c r="EX150" t="s">
        <v>4334</v>
      </c>
      <c r="EY150" t="s">
        <v>4334</v>
      </c>
      <c r="EZ150" t="s">
        <v>4334</v>
      </c>
      <c r="FA150" t="s">
        <v>4334</v>
      </c>
      <c r="FB150" t="s">
        <v>4334</v>
      </c>
      <c r="FC150" t="s">
        <v>4334</v>
      </c>
      <c r="FD150" t="s">
        <v>4334</v>
      </c>
      <c r="FE150" t="s">
        <v>4334</v>
      </c>
      <c r="FF150" t="s">
        <v>4334</v>
      </c>
      <c r="FG150" t="s">
        <v>4334</v>
      </c>
      <c r="FH150" t="s">
        <v>4334</v>
      </c>
      <c r="FI150" t="s">
        <v>4334</v>
      </c>
      <c r="FJ150" t="s">
        <v>4334</v>
      </c>
      <c r="FK150" t="s">
        <v>4334</v>
      </c>
      <c r="FL150" t="s">
        <v>4334</v>
      </c>
      <c r="FM150" t="s">
        <v>4334</v>
      </c>
      <c r="FN150" t="s">
        <v>4334</v>
      </c>
      <c r="FO150" t="s">
        <v>4334</v>
      </c>
      <c r="FP150" t="s">
        <v>4334</v>
      </c>
      <c r="FQ150" t="s">
        <v>4334</v>
      </c>
      <c r="FR150" t="s">
        <v>4334</v>
      </c>
      <c r="FS150" t="s">
        <v>4334</v>
      </c>
      <c r="FT150" t="s">
        <v>4334</v>
      </c>
      <c r="FU150" t="s">
        <v>4334</v>
      </c>
      <c r="FV150" t="s">
        <v>4334</v>
      </c>
      <c r="FW150" t="s">
        <v>4334</v>
      </c>
      <c r="FX150" t="s">
        <v>4334</v>
      </c>
      <c r="FY150" t="s">
        <v>4334</v>
      </c>
      <c r="FZ150" t="s">
        <v>4334</v>
      </c>
      <c r="GA150" t="s">
        <v>2814</v>
      </c>
      <c r="GB150" t="s">
        <v>2814</v>
      </c>
      <c r="GC150" t="s">
        <v>2814</v>
      </c>
      <c r="GD150" t="s">
        <v>2814</v>
      </c>
      <c r="GE150" t="s">
        <v>2814</v>
      </c>
      <c r="GF150" t="s">
        <v>2814</v>
      </c>
      <c r="GG150" t="s">
        <v>2814</v>
      </c>
      <c r="GH150" t="s">
        <v>2814</v>
      </c>
      <c r="GI150" t="s">
        <v>2814</v>
      </c>
      <c r="GJ150" t="s">
        <v>2814</v>
      </c>
      <c r="GK150" t="s">
        <v>2814</v>
      </c>
      <c r="GL150" t="s">
        <v>2814</v>
      </c>
      <c r="GM150" t="s">
        <v>2814</v>
      </c>
      <c r="GN150" t="s">
        <v>2814</v>
      </c>
      <c r="GO150" t="s">
        <v>2814</v>
      </c>
      <c r="GP150" t="s">
        <v>2814</v>
      </c>
      <c r="GQ150" t="s">
        <v>2814</v>
      </c>
      <c r="GR150" t="s">
        <v>2814</v>
      </c>
      <c r="GS150" t="s">
        <v>2814</v>
      </c>
      <c r="GT150" t="s">
        <v>2814</v>
      </c>
      <c r="GU150" t="s">
        <v>2814</v>
      </c>
      <c r="GV150" t="s">
        <v>4333</v>
      </c>
      <c r="GW150" t="s">
        <v>4333</v>
      </c>
      <c r="GX150" t="s">
        <v>4333</v>
      </c>
      <c r="GY150" t="s">
        <v>4333</v>
      </c>
      <c r="GZ150" t="s">
        <v>4333</v>
      </c>
      <c r="HA150" t="s">
        <v>4333</v>
      </c>
      <c r="HB150" t="s">
        <v>4326</v>
      </c>
      <c r="HC150" t="s">
        <v>4326</v>
      </c>
      <c r="HD150" t="s">
        <v>4326</v>
      </c>
      <c r="HE150" t="s">
        <v>4326</v>
      </c>
      <c r="HF150" t="s">
        <v>4326</v>
      </c>
      <c r="HG150" t="s">
        <v>4326</v>
      </c>
      <c r="HH150" t="s">
        <v>4326</v>
      </c>
      <c r="HI150" t="s">
        <v>4326</v>
      </c>
      <c r="HJ150" t="s">
        <v>4326</v>
      </c>
      <c r="HK150" t="s">
        <v>4326</v>
      </c>
      <c r="HL150" t="s">
        <v>4331</v>
      </c>
      <c r="HM150" t="s">
        <v>4331</v>
      </c>
      <c r="HN150" t="s">
        <v>4331</v>
      </c>
      <c r="HO150" t="s">
        <v>4331</v>
      </c>
      <c r="HP150" t="s">
        <v>4331</v>
      </c>
      <c r="HQ150" t="s">
        <v>4331</v>
      </c>
      <c r="HR150" t="s">
        <v>4331</v>
      </c>
      <c r="HS150" t="s">
        <v>4331</v>
      </c>
      <c r="HT150" t="s">
        <v>4331</v>
      </c>
      <c r="HU150" t="s">
        <v>4331</v>
      </c>
      <c r="HV150" t="s">
        <v>4331</v>
      </c>
      <c r="HW150" t="s">
        <v>4331</v>
      </c>
      <c r="HX150" t="s">
        <v>4331</v>
      </c>
      <c r="HY150" t="s">
        <v>4331</v>
      </c>
      <c r="HZ150" t="s">
        <v>4331</v>
      </c>
      <c r="IA150" t="s">
        <v>4331</v>
      </c>
      <c r="IB150" t="s">
        <v>4331</v>
      </c>
      <c r="IC150" t="s">
        <v>4331</v>
      </c>
      <c r="ID150" t="s">
        <v>4331</v>
      </c>
      <c r="IE150" t="s">
        <v>4331</v>
      </c>
      <c r="IF150" t="s">
        <v>4331</v>
      </c>
      <c r="IG150" t="s">
        <v>4331</v>
      </c>
      <c r="IH150" t="s">
        <v>4331</v>
      </c>
      <c r="II150" t="s">
        <v>4331</v>
      </c>
      <c r="IJ150" t="s">
        <v>4331</v>
      </c>
      <c r="IK150" t="s">
        <v>4331</v>
      </c>
      <c r="IL150" t="s">
        <v>4331</v>
      </c>
      <c r="IM150" t="s">
        <v>4331</v>
      </c>
      <c r="IN150" t="s">
        <v>4331</v>
      </c>
      <c r="IO150" t="s">
        <v>4331</v>
      </c>
      <c r="IP150" t="s">
        <v>4331</v>
      </c>
      <c r="IQ150" t="s">
        <v>4331</v>
      </c>
      <c r="IR150" t="s">
        <v>4331</v>
      </c>
      <c r="IS150" t="s">
        <v>4331</v>
      </c>
      <c r="IT150" t="s">
        <v>4331</v>
      </c>
      <c r="IU150" t="s">
        <v>4331</v>
      </c>
      <c r="IV150" t="s">
        <v>4331</v>
      </c>
      <c r="IW150" t="s">
        <v>4331</v>
      </c>
      <c r="IX150" t="s">
        <v>4331</v>
      </c>
      <c r="IY150" t="s">
        <v>4331</v>
      </c>
      <c r="IZ150" t="s">
        <v>4331</v>
      </c>
      <c r="JA150" t="s">
        <v>4331</v>
      </c>
      <c r="JB150" t="s">
        <v>4331</v>
      </c>
      <c r="JC150" t="s">
        <v>4331</v>
      </c>
      <c r="JD150" t="s">
        <v>4331</v>
      </c>
      <c r="JE150" t="s">
        <v>4331</v>
      </c>
      <c r="JF150" t="s">
        <v>4331</v>
      </c>
      <c r="JG150" t="s">
        <v>4331</v>
      </c>
      <c r="JH150" t="s">
        <v>4331</v>
      </c>
      <c r="JI150" t="s">
        <v>4331</v>
      </c>
      <c r="JJ150" t="s">
        <v>4331</v>
      </c>
      <c r="JK150" t="s">
        <v>4331</v>
      </c>
      <c r="JL150" t="s">
        <v>4331</v>
      </c>
      <c r="JM150" t="s">
        <v>4331</v>
      </c>
      <c r="JN150" t="s">
        <v>4331</v>
      </c>
      <c r="JO150" t="s">
        <v>4331</v>
      </c>
      <c r="JP150" t="s">
        <v>4331</v>
      </c>
      <c r="JQ150" t="s">
        <v>4331</v>
      </c>
      <c r="JR150" t="s">
        <v>4331</v>
      </c>
      <c r="JS150" t="s">
        <v>4331</v>
      </c>
      <c r="JT150" t="s">
        <v>4331</v>
      </c>
      <c r="JU150" t="s">
        <v>4331</v>
      </c>
    </row>
    <row r="151" spans="43:281" x14ac:dyDescent="0.3">
      <c r="AW151" t="s">
        <v>2646</v>
      </c>
      <c r="AX151" t="s">
        <v>2646</v>
      </c>
      <c r="AY151" t="s">
        <v>2646</v>
      </c>
      <c r="AZ151" t="s">
        <v>2646</v>
      </c>
      <c r="BA151" t="s">
        <v>2646</v>
      </c>
      <c r="BB151" t="s">
        <v>2646</v>
      </c>
      <c r="BC151" t="s">
        <v>2646</v>
      </c>
      <c r="BD151" t="s">
        <v>2646</v>
      </c>
      <c r="BE151" t="s">
        <v>2646</v>
      </c>
      <c r="BF151" t="s">
        <v>1538</v>
      </c>
      <c r="BG151" t="s">
        <v>1538</v>
      </c>
      <c r="BH151" t="s">
        <v>1538</v>
      </c>
      <c r="BI151" t="s">
        <v>1538</v>
      </c>
      <c r="BJ151" t="s">
        <v>1538</v>
      </c>
      <c r="BK151" t="s">
        <v>1538</v>
      </c>
      <c r="BL151" t="s">
        <v>1538</v>
      </c>
      <c r="BM151" t="s">
        <v>1538</v>
      </c>
      <c r="BN151" t="s">
        <v>1538</v>
      </c>
      <c r="BO151" t="s">
        <v>1538</v>
      </c>
      <c r="BP151" t="s">
        <v>1538</v>
      </c>
      <c r="BQ151" t="s">
        <v>1538</v>
      </c>
      <c r="BR151" t="s">
        <v>1538</v>
      </c>
      <c r="BS151" t="s">
        <v>1538</v>
      </c>
      <c r="BT151" t="s">
        <v>1538</v>
      </c>
      <c r="BU151" t="s">
        <v>1538</v>
      </c>
      <c r="BV151" t="s">
        <v>1538</v>
      </c>
      <c r="BW151" t="s">
        <v>1538</v>
      </c>
      <c r="BX151" t="s">
        <v>1538</v>
      </c>
      <c r="BY151" t="s">
        <v>1538</v>
      </c>
      <c r="BZ151" t="s">
        <v>1472</v>
      </c>
      <c r="CA151" t="s">
        <v>1472</v>
      </c>
      <c r="CB151" t="s">
        <v>1472</v>
      </c>
      <c r="CC151" t="s">
        <v>1472</v>
      </c>
      <c r="CD151" t="s">
        <v>1472</v>
      </c>
      <c r="DW151" t="s">
        <v>4339</v>
      </c>
      <c r="DX151" t="s">
        <v>4339</v>
      </c>
      <c r="ED151" t="s">
        <v>4338</v>
      </c>
      <c r="EE151" t="s">
        <v>4338</v>
      </c>
      <c r="EF151" t="s">
        <v>4338</v>
      </c>
      <c r="EG151" t="s">
        <v>4338</v>
      </c>
      <c r="EH151" t="s">
        <v>4338</v>
      </c>
      <c r="EI151" t="s">
        <v>4338</v>
      </c>
      <c r="EJ151" t="s">
        <v>4338</v>
      </c>
      <c r="EK151" t="s">
        <v>4338</v>
      </c>
      <c r="EL151" t="s">
        <v>4338</v>
      </c>
      <c r="EM151" t="s">
        <v>4338</v>
      </c>
      <c r="EN151" t="s">
        <v>2808</v>
      </c>
      <c r="EO151" t="s">
        <v>2808</v>
      </c>
      <c r="EP151" t="s">
        <v>2808</v>
      </c>
      <c r="EQ151" t="s">
        <v>2808</v>
      </c>
      <c r="ER151" t="s">
        <v>2808</v>
      </c>
      <c r="ES151" t="s">
        <v>2808</v>
      </c>
      <c r="ET151" t="s">
        <v>2808</v>
      </c>
      <c r="EU151" t="s">
        <v>2808</v>
      </c>
      <c r="EV151" t="s">
        <v>2808</v>
      </c>
      <c r="EW151" t="s">
        <v>4334</v>
      </c>
      <c r="EX151" t="s">
        <v>4334</v>
      </c>
      <c r="EY151" t="s">
        <v>4334</v>
      </c>
      <c r="EZ151" t="s">
        <v>4334</v>
      </c>
      <c r="FA151" t="s">
        <v>4334</v>
      </c>
      <c r="FB151" t="s">
        <v>4334</v>
      </c>
      <c r="FC151" t="s">
        <v>4334</v>
      </c>
      <c r="FD151" t="s">
        <v>4334</v>
      </c>
      <c r="FE151" t="s">
        <v>4334</v>
      </c>
      <c r="FF151" t="s">
        <v>4334</v>
      </c>
      <c r="FG151" t="s">
        <v>4334</v>
      </c>
      <c r="FH151" t="s">
        <v>4334</v>
      </c>
      <c r="FI151" t="s">
        <v>4334</v>
      </c>
      <c r="FJ151" t="s">
        <v>4334</v>
      </c>
      <c r="FK151" t="s">
        <v>4334</v>
      </c>
      <c r="FL151" t="s">
        <v>4334</v>
      </c>
      <c r="FM151" t="s">
        <v>4334</v>
      </c>
      <c r="FN151" t="s">
        <v>4334</v>
      </c>
      <c r="FO151" t="s">
        <v>4334</v>
      </c>
      <c r="FP151" t="s">
        <v>4334</v>
      </c>
      <c r="FQ151" t="s">
        <v>4334</v>
      </c>
      <c r="FR151" t="s">
        <v>4334</v>
      </c>
      <c r="FS151" t="s">
        <v>4334</v>
      </c>
      <c r="FT151" t="s">
        <v>4334</v>
      </c>
      <c r="FU151" t="s">
        <v>4334</v>
      </c>
      <c r="FV151" t="s">
        <v>4334</v>
      </c>
      <c r="FW151" t="s">
        <v>4334</v>
      </c>
      <c r="FX151" t="s">
        <v>4334</v>
      </c>
      <c r="FY151" t="s">
        <v>4334</v>
      </c>
      <c r="FZ151" t="s">
        <v>4334</v>
      </c>
      <c r="GA151" t="s">
        <v>4334</v>
      </c>
      <c r="GB151" t="s">
        <v>2814</v>
      </c>
      <c r="GC151" t="s">
        <v>2814</v>
      </c>
      <c r="GD151" t="s">
        <v>2814</v>
      </c>
      <c r="GE151" t="s">
        <v>2814</v>
      </c>
      <c r="GF151" t="s">
        <v>2814</v>
      </c>
      <c r="GG151" t="s">
        <v>2814</v>
      </c>
      <c r="GH151" t="s">
        <v>2814</v>
      </c>
      <c r="GI151" t="s">
        <v>2814</v>
      </c>
      <c r="GJ151" t="s">
        <v>2814</v>
      </c>
      <c r="GK151" t="s">
        <v>2814</v>
      </c>
      <c r="GL151" t="s">
        <v>2814</v>
      </c>
      <c r="GM151" t="s">
        <v>2814</v>
      </c>
      <c r="GN151" t="s">
        <v>2814</v>
      </c>
      <c r="GO151" t="s">
        <v>2814</v>
      </c>
      <c r="GP151" t="s">
        <v>2814</v>
      </c>
      <c r="GQ151" t="s">
        <v>2814</v>
      </c>
      <c r="GR151" t="s">
        <v>2814</v>
      </c>
      <c r="GS151" t="s">
        <v>2814</v>
      </c>
      <c r="GT151" t="s">
        <v>2814</v>
      </c>
      <c r="GU151" t="s">
        <v>2814</v>
      </c>
      <c r="GV151" t="s">
        <v>4333</v>
      </c>
      <c r="GW151" t="s">
        <v>4333</v>
      </c>
      <c r="GX151" t="s">
        <v>4333</v>
      </c>
      <c r="GY151" t="s">
        <v>4333</v>
      </c>
      <c r="GZ151" t="s">
        <v>4333</v>
      </c>
      <c r="HA151" t="s">
        <v>4333</v>
      </c>
      <c r="HB151" t="s">
        <v>4333</v>
      </c>
      <c r="HC151" t="s">
        <v>4333</v>
      </c>
      <c r="HD151" t="s">
        <v>4333</v>
      </c>
      <c r="HE151" t="s">
        <v>4333</v>
      </c>
      <c r="HF151" t="s">
        <v>4333</v>
      </c>
      <c r="HG151" t="s">
        <v>4333</v>
      </c>
      <c r="HH151" t="s">
        <v>4326</v>
      </c>
      <c r="HI151" t="s">
        <v>4326</v>
      </c>
      <c r="HJ151" t="s">
        <v>4326</v>
      </c>
      <c r="HK151" t="s">
        <v>4331</v>
      </c>
      <c r="HL151" t="s">
        <v>4331</v>
      </c>
      <c r="HM151" t="s">
        <v>4331</v>
      </c>
      <c r="HN151" t="s">
        <v>4331</v>
      </c>
      <c r="HO151" t="s">
        <v>4331</v>
      </c>
      <c r="HP151" t="s">
        <v>4331</v>
      </c>
      <c r="HQ151" t="s">
        <v>4331</v>
      </c>
      <c r="HR151" t="s">
        <v>4331</v>
      </c>
      <c r="HS151" t="s">
        <v>4331</v>
      </c>
      <c r="HT151" t="s">
        <v>4331</v>
      </c>
      <c r="HU151" t="s">
        <v>4331</v>
      </c>
      <c r="HV151" t="s">
        <v>4331</v>
      </c>
      <c r="HW151" t="s">
        <v>4331</v>
      </c>
      <c r="HX151" t="s">
        <v>4331</v>
      </c>
      <c r="HY151" t="s">
        <v>4331</v>
      </c>
      <c r="HZ151" t="s">
        <v>4331</v>
      </c>
      <c r="IA151" t="s">
        <v>4331</v>
      </c>
      <c r="IB151" t="s">
        <v>4331</v>
      </c>
      <c r="IC151" t="s">
        <v>4331</v>
      </c>
      <c r="ID151" t="s">
        <v>4331</v>
      </c>
      <c r="IE151" t="s">
        <v>4331</v>
      </c>
      <c r="IF151" t="s">
        <v>4331</v>
      </c>
      <c r="IG151" t="s">
        <v>4331</v>
      </c>
      <c r="IH151" t="s">
        <v>4331</v>
      </c>
      <c r="II151" t="s">
        <v>4331</v>
      </c>
      <c r="IJ151" t="s">
        <v>4331</v>
      </c>
      <c r="IK151" t="s">
        <v>4331</v>
      </c>
      <c r="IL151" t="s">
        <v>4331</v>
      </c>
      <c r="IM151" t="s">
        <v>4331</v>
      </c>
      <c r="IN151" t="s">
        <v>4331</v>
      </c>
      <c r="IO151" t="s">
        <v>4331</v>
      </c>
      <c r="IP151" t="s">
        <v>4331</v>
      </c>
      <c r="IQ151" t="s">
        <v>4331</v>
      </c>
      <c r="IR151" t="s">
        <v>4331</v>
      </c>
      <c r="IS151" t="s">
        <v>4331</v>
      </c>
      <c r="IT151" t="s">
        <v>4331</v>
      </c>
      <c r="IU151" t="s">
        <v>4331</v>
      </c>
      <c r="IV151" t="s">
        <v>4331</v>
      </c>
      <c r="IW151" t="s">
        <v>4331</v>
      </c>
      <c r="IX151" t="s">
        <v>4331</v>
      </c>
      <c r="IY151" t="s">
        <v>4331</v>
      </c>
      <c r="IZ151" t="s">
        <v>4331</v>
      </c>
      <c r="JA151" t="s">
        <v>4331</v>
      </c>
      <c r="JB151" t="s">
        <v>4331</v>
      </c>
      <c r="JC151" t="s">
        <v>4331</v>
      </c>
      <c r="JD151" t="s">
        <v>4331</v>
      </c>
      <c r="JE151" t="s">
        <v>4331</v>
      </c>
      <c r="JF151" t="s">
        <v>4331</v>
      </c>
      <c r="JG151" t="s">
        <v>4331</v>
      </c>
      <c r="JH151" t="s">
        <v>4331</v>
      </c>
      <c r="JI151" t="s">
        <v>4331</v>
      </c>
      <c r="JJ151" t="s">
        <v>4331</v>
      </c>
      <c r="JK151" t="s">
        <v>4331</v>
      </c>
      <c r="JL151" t="s">
        <v>4331</v>
      </c>
      <c r="JM151" t="s">
        <v>4331</v>
      </c>
      <c r="JN151" t="s">
        <v>4331</v>
      </c>
      <c r="JO151" t="s">
        <v>4331</v>
      </c>
      <c r="JP151" t="s">
        <v>4331</v>
      </c>
      <c r="JQ151" t="s">
        <v>4331</v>
      </c>
      <c r="JR151" t="s">
        <v>4331</v>
      </c>
      <c r="JS151" t="s">
        <v>4331</v>
      </c>
      <c r="JT151" t="s">
        <v>4331</v>
      </c>
      <c r="JU151" t="s">
        <v>4331</v>
      </c>
    </row>
    <row r="152" spans="43:281" x14ac:dyDescent="0.3">
      <c r="AX152" t="s">
        <v>2646</v>
      </c>
      <c r="AY152" t="s">
        <v>2646</v>
      </c>
      <c r="AZ152" t="s">
        <v>2646</v>
      </c>
      <c r="BA152" t="s">
        <v>2646</v>
      </c>
      <c r="BB152" t="s">
        <v>2646</v>
      </c>
      <c r="BC152" t="s">
        <v>2646</v>
      </c>
      <c r="BF152" t="s">
        <v>1538</v>
      </c>
      <c r="BG152" t="s">
        <v>1538</v>
      </c>
      <c r="BH152" t="s">
        <v>1538</v>
      </c>
      <c r="BI152" t="s">
        <v>1538</v>
      </c>
      <c r="BJ152" t="s">
        <v>1538</v>
      </c>
      <c r="BK152" t="s">
        <v>1538</v>
      </c>
      <c r="BL152" t="s">
        <v>1538</v>
      </c>
      <c r="BM152" t="s">
        <v>1538</v>
      </c>
      <c r="BN152" t="s">
        <v>1538</v>
      </c>
      <c r="BO152" t="s">
        <v>1538</v>
      </c>
      <c r="BP152" t="s">
        <v>1538</v>
      </c>
      <c r="BQ152" t="s">
        <v>1538</v>
      </c>
      <c r="BR152" t="s">
        <v>1538</v>
      </c>
      <c r="BS152" t="s">
        <v>1538</v>
      </c>
      <c r="BT152" t="s">
        <v>1538</v>
      </c>
      <c r="BU152" t="s">
        <v>1538</v>
      </c>
      <c r="BV152" t="s">
        <v>1538</v>
      </c>
      <c r="BW152" t="s">
        <v>1538</v>
      </c>
      <c r="BX152" t="s">
        <v>1538</v>
      </c>
      <c r="BY152" t="s">
        <v>1538</v>
      </c>
      <c r="BZ152" t="s">
        <v>1538</v>
      </c>
      <c r="CA152" t="s">
        <v>1472</v>
      </c>
      <c r="CB152" t="s">
        <v>1472</v>
      </c>
      <c r="CC152" t="s">
        <v>1472</v>
      </c>
      <c r="CD152" t="s">
        <v>1472</v>
      </c>
      <c r="CE152" t="s">
        <v>1472</v>
      </c>
      <c r="DE152" t="s">
        <v>4340</v>
      </c>
      <c r="DF152" t="s">
        <v>4340</v>
      </c>
      <c r="DG152" t="s">
        <v>4340</v>
      </c>
      <c r="DH152" t="s">
        <v>4340</v>
      </c>
      <c r="DI152" t="s">
        <v>4340</v>
      </c>
      <c r="DJ152" t="s">
        <v>4340</v>
      </c>
      <c r="DX152" t="s">
        <v>4341</v>
      </c>
      <c r="DY152" t="s">
        <v>4341</v>
      </c>
      <c r="ED152" t="s">
        <v>4338</v>
      </c>
      <c r="EE152" t="s">
        <v>4338</v>
      </c>
      <c r="EF152" t="s">
        <v>4338</v>
      </c>
      <c r="EG152" t="s">
        <v>4338</v>
      </c>
      <c r="EH152" t="s">
        <v>4338</v>
      </c>
      <c r="EI152" t="s">
        <v>4338</v>
      </c>
      <c r="EJ152" t="s">
        <v>4338</v>
      </c>
      <c r="EK152" t="s">
        <v>4338</v>
      </c>
      <c r="EL152" t="s">
        <v>4338</v>
      </c>
      <c r="EM152" t="s">
        <v>4338</v>
      </c>
      <c r="EN152" t="s">
        <v>4338</v>
      </c>
      <c r="EO152" t="s">
        <v>2808</v>
      </c>
      <c r="EP152" t="s">
        <v>2808</v>
      </c>
      <c r="EQ152" t="s">
        <v>2808</v>
      </c>
      <c r="ER152" t="s">
        <v>2808</v>
      </c>
      <c r="ES152" t="s">
        <v>2808</v>
      </c>
      <c r="ET152" t="s">
        <v>2808</v>
      </c>
      <c r="EU152" t="s">
        <v>2808</v>
      </c>
      <c r="EV152" t="s">
        <v>2808</v>
      </c>
      <c r="EW152" t="s">
        <v>2808</v>
      </c>
      <c r="EX152" t="s">
        <v>4334</v>
      </c>
      <c r="EY152" t="s">
        <v>4334</v>
      </c>
      <c r="EZ152" t="s">
        <v>4334</v>
      </c>
      <c r="FA152" t="s">
        <v>4334</v>
      </c>
      <c r="FB152" t="s">
        <v>4334</v>
      </c>
      <c r="FC152" t="s">
        <v>4334</v>
      </c>
      <c r="FD152" t="s">
        <v>4334</v>
      </c>
      <c r="FE152" t="s">
        <v>4334</v>
      </c>
      <c r="FF152" t="s">
        <v>4334</v>
      </c>
      <c r="FG152" t="s">
        <v>4334</v>
      </c>
      <c r="FH152" t="s">
        <v>4334</v>
      </c>
      <c r="FI152" t="s">
        <v>4334</v>
      </c>
      <c r="FJ152" t="s">
        <v>4334</v>
      </c>
      <c r="FK152" t="s">
        <v>4334</v>
      </c>
      <c r="FL152" t="s">
        <v>4334</v>
      </c>
      <c r="FM152" t="s">
        <v>4334</v>
      </c>
      <c r="FN152" t="s">
        <v>4334</v>
      </c>
      <c r="FO152" t="s">
        <v>4334</v>
      </c>
      <c r="FP152" t="s">
        <v>4334</v>
      </c>
      <c r="FQ152" t="s">
        <v>4334</v>
      </c>
      <c r="FR152" t="s">
        <v>4334</v>
      </c>
      <c r="FS152" t="s">
        <v>4334</v>
      </c>
      <c r="FT152" t="s">
        <v>4334</v>
      </c>
      <c r="FU152" t="s">
        <v>4334</v>
      </c>
      <c r="FV152" t="s">
        <v>4334</v>
      </c>
      <c r="FW152" t="s">
        <v>4334</v>
      </c>
      <c r="FX152" t="s">
        <v>4334</v>
      </c>
      <c r="FY152" t="s">
        <v>4334</v>
      </c>
      <c r="FZ152" t="s">
        <v>4334</v>
      </c>
      <c r="GA152" t="s">
        <v>4334</v>
      </c>
      <c r="GB152" t="s">
        <v>2814</v>
      </c>
      <c r="GC152" t="s">
        <v>2814</v>
      </c>
      <c r="GD152" t="s">
        <v>2814</v>
      </c>
      <c r="GE152" t="s">
        <v>2814</v>
      </c>
      <c r="GF152" t="s">
        <v>2814</v>
      </c>
      <c r="GG152" t="s">
        <v>2814</v>
      </c>
      <c r="GH152" t="s">
        <v>2814</v>
      </c>
      <c r="GI152" t="s">
        <v>2814</v>
      </c>
      <c r="GJ152" t="s">
        <v>2814</v>
      </c>
      <c r="GK152" t="s">
        <v>2814</v>
      </c>
      <c r="GL152" t="s">
        <v>2814</v>
      </c>
      <c r="GM152" t="s">
        <v>2814</v>
      </c>
      <c r="GN152" t="s">
        <v>2814</v>
      </c>
      <c r="GO152" t="s">
        <v>2814</v>
      </c>
      <c r="GP152" t="s">
        <v>2814</v>
      </c>
      <c r="GQ152" t="s">
        <v>2814</v>
      </c>
      <c r="GR152" t="s">
        <v>2814</v>
      </c>
      <c r="GS152" t="s">
        <v>2814</v>
      </c>
      <c r="GT152" t="s">
        <v>2814</v>
      </c>
      <c r="GU152" t="s">
        <v>2814</v>
      </c>
      <c r="GV152" t="s">
        <v>2814</v>
      </c>
      <c r="GW152" t="s">
        <v>4333</v>
      </c>
      <c r="GX152" t="s">
        <v>4333</v>
      </c>
      <c r="GY152" t="s">
        <v>4333</v>
      </c>
      <c r="GZ152" t="s">
        <v>4333</v>
      </c>
      <c r="HA152" t="s">
        <v>4333</v>
      </c>
      <c r="HB152" t="s">
        <v>4333</v>
      </c>
      <c r="HC152" t="s">
        <v>4333</v>
      </c>
      <c r="HD152" t="s">
        <v>4333</v>
      </c>
      <c r="HE152" t="s">
        <v>4333</v>
      </c>
      <c r="HF152" t="s">
        <v>4333</v>
      </c>
      <c r="HG152" t="s">
        <v>4333</v>
      </c>
      <c r="HH152" t="s">
        <v>4333</v>
      </c>
      <c r="HI152" t="s">
        <v>4326</v>
      </c>
      <c r="HJ152" t="s">
        <v>4331</v>
      </c>
      <c r="HK152" t="s">
        <v>4331</v>
      </c>
      <c r="HL152" t="s">
        <v>4331</v>
      </c>
      <c r="HM152" t="s">
        <v>4331</v>
      </c>
      <c r="HN152" t="s">
        <v>4331</v>
      </c>
      <c r="HO152" t="s">
        <v>4331</v>
      </c>
      <c r="HP152" t="s">
        <v>4331</v>
      </c>
      <c r="HQ152" t="s">
        <v>4331</v>
      </c>
      <c r="HR152" t="s">
        <v>4331</v>
      </c>
      <c r="HS152" t="s">
        <v>4331</v>
      </c>
      <c r="HT152" t="s">
        <v>4331</v>
      </c>
      <c r="HU152" t="s">
        <v>4331</v>
      </c>
      <c r="HV152" t="s">
        <v>4331</v>
      </c>
      <c r="HW152" t="s">
        <v>4331</v>
      </c>
      <c r="HX152" t="s">
        <v>4331</v>
      </c>
      <c r="HY152" t="s">
        <v>4331</v>
      </c>
      <c r="HZ152" t="s">
        <v>4331</v>
      </c>
      <c r="IA152" t="s">
        <v>4331</v>
      </c>
      <c r="IB152" t="s">
        <v>4331</v>
      </c>
      <c r="IC152" t="s">
        <v>4331</v>
      </c>
      <c r="ID152" t="s">
        <v>4331</v>
      </c>
      <c r="IE152" t="s">
        <v>4331</v>
      </c>
      <c r="IF152" t="s">
        <v>4331</v>
      </c>
      <c r="IG152" t="s">
        <v>4331</v>
      </c>
      <c r="IH152" t="s">
        <v>4331</v>
      </c>
      <c r="II152" t="s">
        <v>4331</v>
      </c>
      <c r="IJ152" t="s">
        <v>4331</v>
      </c>
      <c r="IK152" t="s">
        <v>4331</v>
      </c>
      <c r="IL152" t="s">
        <v>4331</v>
      </c>
      <c r="IM152" t="s">
        <v>4331</v>
      </c>
      <c r="IN152" t="s">
        <v>4331</v>
      </c>
      <c r="IO152" t="s">
        <v>4331</v>
      </c>
      <c r="IP152" t="s">
        <v>4331</v>
      </c>
      <c r="IQ152" t="s">
        <v>4331</v>
      </c>
      <c r="IR152" t="s">
        <v>4331</v>
      </c>
      <c r="IS152" t="s">
        <v>4331</v>
      </c>
      <c r="IT152" t="s">
        <v>4331</v>
      </c>
      <c r="IU152" t="s">
        <v>4331</v>
      </c>
      <c r="IV152" t="s">
        <v>4331</v>
      </c>
      <c r="IW152" t="s">
        <v>4331</v>
      </c>
      <c r="IX152" t="s">
        <v>4331</v>
      </c>
      <c r="IY152" t="s">
        <v>4331</v>
      </c>
      <c r="IZ152" t="s">
        <v>4331</v>
      </c>
      <c r="JA152" t="s">
        <v>4331</v>
      </c>
      <c r="JB152" t="s">
        <v>4331</v>
      </c>
      <c r="JC152" t="s">
        <v>4331</v>
      </c>
      <c r="JD152" t="s">
        <v>4331</v>
      </c>
      <c r="JE152" t="s">
        <v>4331</v>
      </c>
      <c r="JF152" t="s">
        <v>4331</v>
      </c>
      <c r="JG152" t="s">
        <v>4331</v>
      </c>
      <c r="JH152" t="s">
        <v>4331</v>
      </c>
      <c r="JI152" t="s">
        <v>4331</v>
      </c>
      <c r="JJ152" t="s">
        <v>4331</v>
      </c>
      <c r="JK152" t="s">
        <v>4331</v>
      </c>
      <c r="JL152" t="s">
        <v>4331</v>
      </c>
      <c r="JM152" t="s">
        <v>4331</v>
      </c>
      <c r="JN152" t="s">
        <v>4331</v>
      </c>
      <c r="JO152" t="s">
        <v>4331</v>
      </c>
      <c r="JP152" t="s">
        <v>4331</v>
      </c>
      <c r="JQ152" t="s">
        <v>4331</v>
      </c>
      <c r="JR152" t="s">
        <v>4331</v>
      </c>
      <c r="JS152" t="s">
        <v>4331</v>
      </c>
      <c r="JT152" t="s">
        <v>4331</v>
      </c>
      <c r="JU152" t="s">
        <v>4331</v>
      </c>
    </row>
    <row r="153" spans="43:281" x14ac:dyDescent="0.3">
      <c r="AX153" t="s">
        <v>2646</v>
      </c>
      <c r="AY153" t="s">
        <v>2646</v>
      </c>
      <c r="BH153" t="s">
        <v>1538</v>
      </c>
      <c r="BI153" t="s">
        <v>1538</v>
      </c>
      <c r="BJ153" t="s">
        <v>1538</v>
      </c>
      <c r="BK153" t="s">
        <v>1538</v>
      </c>
      <c r="BL153" t="s">
        <v>1538</v>
      </c>
      <c r="BM153" t="s">
        <v>1538</v>
      </c>
      <c r="BN153" t="s">
        <v>1538</v>
      </c>
      <c r="BO153" t="s">
        <v>1538</v>
      </c>
      <c r="BP153" t="s">
        <v>1538</v>
      </c>
      <c r="BQ153" t="s">
        <v>1538</v>
      </c>
      <c r="BR153" t="s">
        <v>1538</v>
      </c>
      <c r="BS153" t="s">
        <v>1538</v>
      </c>
      <c r="BT153" t="s">
        <v>1538</v>
      </c>
      <c r="BU153" t="s">
        <v>1538</v>
      </c>
      <c r="BV153" t="s">
        <v>1538</v>
      </c>
      <c r="BW153" t="s">
        <v>1538</v>
      </c>
      <c r="BX153" t="s">
        <v>1538</v>
      </c>
      <c r="BY153" t="s">
        <v>1538</v>
      </c>
      <c r="BZ153" t="s">
        <v>1538</v>
      </c>
      <c r="CA153" t="s">
        <v>1472</v>
      </c>
      <c r="CB153" t="s">
        <v>1472</v>
      </c>
      <c r="CC153" t="s">
        <v>1472</v>
      </c>
      <c r="CD153" t="s">
        <v>1472</v>
      </c>
      <c r="CE153" t="s">
        <v>1472</v>
      </c>
      <c r="CL153" t="s">
        <v>4342</v>
      </c>
      <c r="ED153" t="s">
        <v>4338</v>
      </c>
      <c r="EE153" t="s">
        <v>4338</v>
      </c>
      <c r="EF153" t="s">
        <v>4338</v>
      </c>
      <c r="EG153" t="s">
        <v>4338</v>
      </c>
      <c r="EH153" t="s">
        <v>4338</v>
      </c>
      <c r="EI153" t="s">
        <v>4338</v>
      </c>
      <c r="EJ153" t="s">
        <v>4338</v>
      </c>
      <c r="EK153" t="s">
        <v>4338</v>
      </c>
      <c r="EL153" t="s">
        <v>4338</v>
      </c>
      <c r="EM153" t="s">
        <v>4338</v>
      </c>
      <c r="EN153" t="s">
        <v>4338</v>
      </c>
      <c r="EO153" t="s">
        <v>2808</v>
      </c>
      <c r="EP153" t="s">
        <v>2808</v>
      </c>
      <c r="EQ153" t="s">
        <v>2808</v>
      </c>
      <c r="ER153" t="s">
        <v>2808</v>
      </c>
      <c r="ES153" t="s">
        <v>2808</v>
      </c>
      <c r="ET153" t="s">
        <v>2808</v>
      </c>
      <c r="EU153" t="s">
        <v>2808</v>
      </c>
      <c r="EV153" t="s">
        <v>2808</v>
      </c>
      <c r="EW153" t="s">
        <v>2808</v>
      </c>
      <c r="EX153" t="s">
        <v>4334</v>
      </c>
      <c r="EY153" t="s">
        <v>4334</v>
      </c>
      <c r="EZ153" t="s">
        <v>4334</v>
      </c>
      <c r="FA153" t="s">
        <v>4334</v>
      </c>
      <c r="FB153" t="s">
        <v>4334</v>
      </c>
      <c r="FC153" t="s">
        <v>4334</v>
      </c>
      <c r="FD153" t="s">
        <v>4334</v>
      </c>
      <c r="FE153" t="s">
        <v>4334</v>
      </c>
      <c r="FF153" t="s">
        <v>4334</v>
      </c>
      <c r="FG153" t="s">
        <v>4334</v>
      </c>
      <c r="FH153" t="s">
        <v>4334</v>
      </c>
      <c r="FI153" t="s">
        <v>4334</v>
      </c>
      <c r="FJ153" t="s">
        <v>4334</v>
      </c>
      <c r="FK153" t="s">
        <v>4334</v>
      </c>
      <c r="FL153" t="s">
        <v>4334</v>
      </c>
      <c r="FM153" t="s">
        <v>4334</v>
      </c>
      <c r="FN153" t="s">
        <v>4334</v>
      </c>
      <c r="FO153" t="s">
        <v>4334</v>
      </c>
      <c r="FP153" t="s">
        <v>4334</v>
      </c>
      <c r="FQ153" t="s">
        <v>4334</v>
      </c>
      <c r="FR153" t="s">
        <v>4334</v>
      </c>
      <c r="FS153" t="s">
        <v>4334</v>
      </c>
      <c r="FT153" t="s">
        <v>4334</v>
      </c>
      <c r="FU153" t="s">
        <v>4334</v>
      </c>
      <c r="FV153" t="s">
        <v>4334</v>
      </c>
      <c r="FW153" t="s">
        <v>4334</v>
      </c>
      <c r="FX153" t="s">
        <v>4334</v>
      </c>
      <c r="FY153" t="s">
        <v>4334</v>
      </c>
      <c r="FZ153" t="s">
        <v>4334</v>
      </c>
      <c r="GA153" t="s">
        <v>4334</v>
      </c>
      <c r="GB153" t="s">
        <v>4343</v>
      </c>
      <c r="GC153" t="s">
        <v>4343</v>
      </c>
      <c r="GD153" t="s">
        <v>4343</v>
      </c>
      <c r="GE153" t="s">
        <v>4343</v>
      </c>
      <c r="GF153" t="s">
        <v>2814</v>
      </c>
      <c r="GG153" t="s">
        <v>2814</v>
      </c>
      <c r="GH153" t="s">
        <v>2814</v>
      </c>
      <c r="GI153" t="s">
        <v>2814</v>
      </c>
      <c r="GJ153" t="s">
        <v>2814</v>
      </c>
      <c r="GK153" t="s">
        <v>2814</v>
      </c>
      <c r="GL153" t="s">
        <v>2814</v>
      </c>
      <c r="GM153" t="s">
        <v>2814</v>
      </c>
      <c r="GN153" t="s">
        <v>2814</v>
      </c>
      <c r="GO153" t="s">
        <v>2814</v>
      </c>
      <c r="GP153" t="s">
        <v>2814</v>
      </c>
      <c r="GQ153" t="s">
        <v>2814</v>
      </c>
      <c r="GR153" t="s">
        <v>2814</v>
      </c>
      <c r="GS153" t="s">
        <v>2814</v>
      </c>
      <c r="GT153" t="s">
        <v>2814</v>
      </c>
      <c r="GU153" t="s">
        <v>2814</v>
      </c>
      <c r="GV153" t="s">
        <v>2814</v>
      </c>
      <c r="GW153" t="s">
        <v>4333</v>
      </c>
      <c r="GX153" t="s">
        <v>4333</v>
      </c>
      <c r="GY153" t="s">
        <v>4333</v>
      </c>
      <c r="GZ153" t="s">
        <v>4333</v>
      </c>
      <c r="HA153" t="s">
        <v>4333</v>
      </c>
      <c r="HB153" t="s">
        <v>4333</v>
      </c>
      <c r="HC153" t="s">
        <v>4333</v>
      </c>
      <c r="HD153" t="s">
        <v>4333</v>
      </c>
      <c r="HE153" t="s">
        <v>4333</v>
      </c>
      <c r="HF153" t="s">
        <v>4333</v>
      </c>
      <c r="HG153" t="s">
        <v>4333</v>
      </c>
      <c r="HH153" t="s">
        <v>4331</v>
      </c>
      <c r="HI153" t="s">
        <v>4331</v>
      </c>
      <c r="HJ153" t="s">
        <v>4331</v>
      </c>
      <c r="HK153" t="s">
        <v>4331</v>
      </c>
      <c r="HL153" t="s">
        <v>4331</v>
      </c>
      <c r="HM153" t="s">
        <v>4331</v>
      </c>
      <c r="HN153" t="s">
        <v>4331</v>
      </c>
      <c r="HO153" t="s">
        <v>4331</v>
      </c>
      <c r="HP153" t="s">
        <v>4331</v>
      </c>
      <c r="HQ153" t="s">
        <v>4331</v>
      </c>
      <c r="HR153" t="s">
        <v>4331</v>
      </c>
      <c r="HS153" t="s">
        <v>4331</v>
      </c>
      <c r="HT153" t="s">
        <v>4331</v>
      </c>
      <c r="HU153" t="s">
        <v>4331</v>
      </c>
      <c r="HV153" t="s">
        <v>4331</v>
      </c>
      <c r="HW153" t="s">
        <v>4331</v>
      </c>
      <c r="HX153" t="s">
        <v>4331</v>
      </c>
      <c r="HY153" t="s">
        <v>4331</v>
      </c>
      <c r="HZ153" t="s">
        <v>4331</v>
      </c>
      <c r="IA153" t="s">
        <v>4331</v>
      </c>
      <c r="IB153" t="s">
        <v>4331</v>
      </c>
      <c r="IC153" t="s">
        <v>4331</v>
      </c>
      <c r="ID153" t="s">
        <v>4331</v>
      </c>
      <c r="IE153" t="s">
        <v>4331</v>
      </c>
      <c r="IF153" t="s">
        <v>4331</v>
      </c>
      <c r="IG153" t="s">
        <v>4331</v>
      </c>
      <c r="IH153" t="s">
        <v>4331</v>
      </c>
      <c r="II153" t="s">
        <v>4331</v>
      </c>
      <c r="IJ153" t="s">
        <v>4331</v>
      </c>
      <c r="IK153" t="s">
        <v>4331</v>
      </c>
      <c r="IL153" t="s">
        <v>4331</v>
      </c>
      <c r="IM153" t="s">
        <v>4331</v>
      </c>
      <c r="IN153" t="s">
        <v>4331</v>
      </c>
      <c r="IO153" t="s">
        <v>4331</v>
      </c>
      <c r="IP153" t="s">
        <v>4331</v>
      </c>
      <c r="IQ153" t="s">
        <v>4331</v>
      </c>
      <c r="IR153" t="s">
        <v>4331</v>
      </c>
      <c r="IS153" t="s">
        <v>4331</v>
      </c>
      <c r="IT153" t="s">
        <v>4331</v>
      </c>
      <c r="IU153" t="s">
        <v>4331</v>
      </c>
      <c r="IV153" t="s">
        <v>4331</v>
      </c>
      <c r="IW153" t="s">
        <v>4331</v>
      </c>
      <c r="IX153" t="s">
        <v>4331</v>
      </c>
      <c r="IY153" t="s">
        <v>4331</v>
      </c>
      <c r="IZ153" t="s">
        <v>4331</v>
      </c>
      <c r="JA153" t="s">
        <v>4331</v>
      </c>
      <c r="JB153" t="s">
        <v>4331</v>
      </c>
      <c r="JC153" t="s">
        <v>4331</v>
      </c>
      <c r="JD153" t="s">
        <v>4331</v>
      </c>
      <c r="JE153" t="s">
        <v>4331</v>
      </c>
      <c r="JF153" t="s">
        <v>4331</v>
      </c>
      <c r="JG153" t="s">
        <v>4331</v>
      </c>
      <c r="JH153" t="s">
        <v>4331</v>
      </c>
      <c r="JI153" t="s">
        <v>4331</v>
      </c>
      <c r="JJ153" t="s">
        <v>4331</v>
      </c>
      <c r="JK153" t="s">
        <v>4331</v>
      </c>
      <c r="JL153" t="s">
        <v>4331</v>
      </c>
      <c r="JM153" t="s">
        <v>4331</v>
      </c>
      <c r="JN153" t="s">
        <v>4331</v>
      </c>
      <c r="JO153" t="s">
        <v>4331</v>
      </c>
      <c r="JP153" t="s">
        <v>4331</v>
      </c>
      <c r="JQ153" t="s">
        <v>4331</v>
      </c>
      <c r="JR153" t="s">
        <v>4331</v>
      </c>
      <c r="JS153" t="s">
        <v>4331</v>
      </c>
      <c r="JT153" t="s">
        <v>4331</v>
      </c>
      <c r="JU153" t="s">
        <v>4331</v>
      </c>
    </row>
    <row r="154" spans="43:281" x14ac:dyDescent="0.3">
      <c r="AX154" t="s">
        <v>4344</v>
      </c>
      <c r="AY154" t="s">
        <v>4344</v>
      </c>
      <c r="BK154" t="s">
        <v>1538</v>
      </c>
      <c r="BL154" t="s">
        <v>1538</v>
      </c>
      <c r="BM154" t="s">
        <v>1538</v>
      </c>
      <c r="BN154" t="s">
        <v>1538</v>
      </c>
      <c r="BO154" t="s">
        <v>1538</v>
      </c>
      <c r="BP154" t="s">
        <v>1538</v>
      </c>
      <c r="BQ154" t="s">
        <v>1538</v>
      </c>
      <c r="BR154" t="s">
        <v>1538</v>
      </c>
      <c r="BS154" t="s">
        <v>1538</v>
      </c>
      <c r="BT154" t="s">
        <v>1538</v>
      </c>
      <c r="BU154" t="s">
        <v>1538</v>
      </c>
      <c r="BV154" t="s">
        <v>1538</v>
      </c>
      <c r="BW154" t="s">
        <v>1538</v>
      </c>
      <c r="BX154" t="s">
        <v>1538</v>
      </c>
      <c r="BY154" t="s">
        <v>1538</v>
      </c>
      <c r="BZ154" t="s">
        <v>1472</v>
      </c>
      <c r="CA154" t="s">
        <v>1472</v>
      </c>
      <c r="CB154" t="s">
        <v>1472</v>
      </c>
      <c r="CC154" t="s">
        <v>1472</v>
      </c>
      <c r="CD154" t="s">
        <v>1472</v>
      </c>
      <c r="DQ154" t="s">
        <v>4345</v>
      </c>
      <c r="DR154" t="s">
        <v>4345</v>
      </c>
      <c r="DW154" t="s">
        <v>4345</v>
      </c>
      <c r="DX154" t="s">
        <v>4345</v>
      </c>
      <c r="DY154" t="s">
        <v>4345</v>
      </c>
      <c r="ED154" t="s">
        <v>4345</v>
      </c>
      <c r="EE154" t="s">
        <v>4338</v>
      </c>
      <c r="EF154" t="s">
        <v>4338</v>
      </c>
      <c r="EG154" t="s">
        <v>4338</v>
      </c>
      <c r="EH154" t="s">
        <v>4338</v>
      </c>
      <c r="EI154" t="s">
        <v>4338</v>
      </c>
      <c r="EJ154" t="s">
        <v>4338</v>
      </c>
      <c r="EK154" t="s">
        <v>4338</v>
      </c>
      <c r="EL154" t="s">
        <v>4338</v>
      </c>
      <c r="EM154" t="s">
        <v>4338</v>
      </c>
      <c r="EN154" t="s">
        <v>4338</v>
      </c>
      <c r="EO154" t="s">
        <v>2808</v>
      </c>
      <c r="EP154" t="s">
        <v>2808</v>
      </c>
      <c r="EQ154" t="s">
        <v>2808</v>
      </c>
      <c r="ER154" t="s">
        <v>2808</v>
      </c>
      <c r="ES154" t="s">
        <v>2808</v>
      </c>
      <c r="ET154" t="s">
        <v>2808</v>
      </c>
      <c r="EU154" t="s">
        <v>2808</v>
      </c>
      <c r="EV154" t="s">
        <v>2808</v>
      </c>
      <c r="EW154" t="s">
        <v>4334</v>
      </c>
      <c r="EX154" t="s">
        <v>4334</v>
      </c>
      <c r="EY154" t="s">
        <v>4334</v>
      </c>
      <c r="EZ154" t="s">
        <v>4334</v>
      </c>
      <c r="FA154" t="s">
        <v>4334</v>
      </c>
      <c r="FB154" t="s">
        <v>4334</v>
      </c>
      <c r="FC154" t="s">
        <v>4334</v>
      </c>
      <c r="FD154" t="s">
        <v>4334</v>
      </c>
      <c r="FE154" t="s">
        <v>4334</v>
      </c>
      <c r="FF154" t="s">
        <v>4334</v>
      </c>
      <c r="FG154" t="s">
        <v>4334</v>
      </c>
      <c r="FH154" t="s">
        <v>4334</v>
      </c>
      <c r="FI154" t="s">
        <v>4334</v>
      </c>
      <c r="FJ154" t="s">
        <v>4334</v>
      </c>
      <c r="FK154" t="s">
        <v>4334</v>
      </c>
      <c r="FL154" t="s">
        <v>4334</v>
      </c>
      <c r="FM154" t="s">
        <v>4334</v>
      </c>
      <c r="FN154" t="s">
        <v>4334</v>
      </c>
      <c r="FO154" t="s">
        <v>4334</v>
      </c>
      <c r="FP154" t="s">
        <v>4334</v>
      </c>
      <c r="FQ154" t="s">
        <v>4334</v>
      </c>
      <c r="FR154" t="s">
        <v>4334</v>
      </c>
      <c r="FS154" t="s">
        <v>4334</v>
      </c>
      <c r="FT154" t="s">
        <v>4334</v>
      </c>
      <c r="FU154" t="s">
        <v>4334</v>
      </c>
      <c r="FV154" t="s">
        <v>4334</v>
      </c>
      <c r="FW154" t="s">
        <v>4334</v>
      </c>
      <c r="FX154" t="s">
        <v>4334</v>
      </c>
      <c r="FY154" t="s">
        <v>4334</v>
      </c>
      <c r="FZ154" t="s">
        <v>4334</v>
      </c>
      <c r="GA154" t="s">
        <v>4334</v>
      </c>
      <c r="GB154" t="s">
        <v>4343</v>
      </c>
      <c r="GC154" t="s">
        <v>4343</v>
      </c>
      <c r="GD154" t="s">
        <v>4343</v>
      </c>
      <c r="GE154" t="s">
        <v>4343</v>
      </c>
      <c r="GF154" t="s">
        <v>4343</v>
      </c>
      <c r="GG154" t="s">
        <v>4343</v>
      </c>
      <c r="GH154" t="s">
        <v>4343</v>
      </c>
      <c r="GI154" t="s">
        <v>2814</v>
      </c>
      <c r="GJ154" t="s">
        <v>2814</v>
      </c>
      <c r="GK154" t="s">
        <v>2814</v>
      </c>
      <c r="GL154" t="s">
        <v>2814</v>
      </c>
      <c r="GM154" t="s">
        <v>2814</v>
      </c>
      <c r="GN154" t="s">
        <v>2814</v>
      </c>
      <c r="GO154" t="s">
        <v>2814</v>
      </c>
      <c r="GP154" t="s">
        <v>2814</v>
      </c>
      <c r="GQ154" t="s">
        <v>2814</v>
      </c>
      <c r="GR154" t="s">
        <v>2814</v>
      </c>
      <c r="GS154" t="s">
        <v>2814</v>
      </c>
      <c r="GT154" t="s">
        <v>2814</v>
      </c>
      <c r="GU154" t="s">
        <v>2814</v>
      </c>
      <c r="GV154" t="s">
        <v>2814</v>
      </c>
      <c r="GW154" t="s">
        <v>4333</v>
      </c>
      <c r="GX154" t="s">
        <v>4333</v>
      </c>
      <c r="GY154" t="s">
        <v>4333</v>
      </c>
      <c r="GZ154" t="s">
        <v>4333</v>
      </c>
      <c r="HA154" t="s">
        <v>4333</v>
      </c>
      <c r="HB154" t="s">
        <v>4333</v>
      </c>
      <c r="HC154" t="s">
        <v>4333</v>
      </c>
      <c r="HD154" t="s">
        <v>4333</v>
      </c>
      <c r="HE154" t="s">
        <v>4333</v>
      </c>
      <c r="HF154" t="s">
        <v>4331</v>
      </c>
      <c r="HG154" t="s">
        <v>4331</v>
      </c>
      <c r="HH154" t="s">
        <v>4331</v>
      </c>
      <c r="HI154" t="s">
        <v>4331</v>
      </c>
      <c r="HJ154" t="s">
        <v>4331</v>
      </c>
      <c r="HK154" t="s">
        <v>4331</v>
      </c>
      <c r="HL154" t="s">
        <v>4331</v>
      </c>
      <c r="HM154" t="s">
        <v>4331</v>
      </c>
      <c r="HN154" t="s">
        <v>4331</v>
      </c>
      <c r="HO154" t="s">
        <v>4331</v>
      </c>
      <c r="HP154" t="s">
        <v>4331</v>
      </c>
      <c r="HQ154" t="s">
        <v>4331</v>
      </c>
      <c r="HR154" t="s">
        <v>4331</v>
      </c>
      <c r="HS154" t="s">
        <v>4331</v>
      </c>
      <c r="HT154" t="s">
        <v>4331</v>
      </c>
      <c r="HU154" t="s">
        <v>4331</v>
      </c>
      <c r="HV154" t="s">
        <v>4331</v>
      </c>
      <c r="HW154" t="s">
        <v>4331</v>
      </c>
      <c r="HX154" t="s">
        <v>4331</v>
      </c>
      <c r="HY154" t="s">
        <v>4331</v>
      </c>
      <c r="HZ154" t="s">
        <v>4331</v>
      </c>
      <c r="IA154" t="s">
        <v>4331</v>
      </c>
      <c r="IB154" t="s">
        <v>4331</v>
      </c>
      <c r="IC154" t="s">
        <v>4331</v>
      </c>
      <c r="ID154" t="s">
        <v>4331</v>
      </c>
      <c r="IE154" t="s">
        <v>4331</v>
      </c>
      <c r="IF154" t="s">
        <v>4331</v>
      </c>
      <c r="IG154" t="s">
        <v>4331</v>
      </c>
      <c r="IH154" t="s">
        <v>4331</v>
      </c>
      <c r="II154" t="s">
        <v>4331</v>
      </c>
      <c r="IJ154" t="s">
        <v>4331</v>
      </c>
      <c r="IK154" t="s">
        <v>4331</v>
      </c>
      <c r="IL154" t="s">
        <v>4331</v>
      </c>
      <c r="IM154" t="s">
        <v>4331</v>
      </c>
      <c r="IN154" t="s">
        <v>4331</v>
      </c>
      <c r="IO154" t="s">
        <v>4331</v>
      </c>
      <c r="IP154" t="s">
        <v>4331</v>
      </c>
      <c r="IQ154" t="s">
        <v>4331</v>
      </c>
      <c r="IR154" t="s">
        <v>4331</v>
      </c>
      <c r="IS154" t="s">
        <v>4331</v>
      </c>
      <c r="IT154" t="s">
        <v>4331</v>
      </c>
      <c r="IU154" t="s">
        <v>4331</v>
      </c>
      <c r="IV154" t="s">
        <v>4331</v>
      </c>
      <c r="IW154" t="s">
        <v>4331</v>
      </c>
      <c r="IX154" t="s">
        <v>4331</v>
      </c>
      <c r="IY154" t="s">
        <v>4331</v>
      </c>
      <c r="IZ154" t="s">
        <v>4331</v>
      </c>
      <c r="JA154" t="s">
        <v>4331</v>
      </c>
      <c r="JB154" t="s">
        <v>4331</v>
      </c>
      <c r="JC154" t="s">
        <v>4331</v>
      </c>
      <c r="JD154" t="s">
        <v>4331</v>
      </c>
      <c r="JE154" t="s">
        <v>4331</v>
      </c>
      <c r="JF154" t="s">
        <v>4331</v>
      </c>
      <c r="JG154" t="s">
        <v>4331</v>
      </c>
      <c r="JH154" t="s">
        <v>4331</v>
      </c>
      <c r="JI154" t="s">
        <v>4331</v>
      </c>
      <c r="JJ154" t="s">
        <v>4331</v>
      </c>
      <c r="JK154" t="s">
        <v>4331</v>
      </c>
      <c r="JL154" t="s">
        <v>4331</v>
      </c>
      <c r="JM154" t="s">
        <v>4331</v>
      </c>
      <c r="JN154" t="s">
        <v>4331</v>
      </c>
      <c r="JO154" t="s">
        <v>4331</v>
      </c>
      <c r="JP154" t="s">
        <v>4331</v>
      </c>
      <c r="JQ154" t="s">
        <v>4331</v>
      </c>
      <c r="JR154" t="s">
        <v>4331</v>
      </c>
      <c r="JS154" t="s">
        <v>4331</v>
      </c>
      <c r="JT154" t="s">
        <v>4331</v>
      </c>
      <c r="JU154" t="s">
        <v>4331</v>
      </c>
    </row>
    <row r="155" spans="43:281" x14ac:dyDescent="0.3">
      <c r="AW155" t="s">
        <v>4344</v>
      </c>
      <c r="AX155" t="s">
        <v>4344</v>
      </c>
      <c r="AY155" t="s">
        <v>4344</v>
      </c>
      <c r="AZ155" t="s">
        <v>4344</v>
      </c>
      <c r="BA155" t="s">
        <v>4344</v>
      </c>
      <c r="BB155" t="s">
        <v>4344</v>
      </c>
      <c r="BC155" t="s">
        <v>4344</v>
      </c>
      <c r="BD155" t="s">
        <v>4344</v>
      </c>
      <c r="BE155" t="s">
        <v>4344</v>
      </c>
      <c r="BP155" t="s">
        <v>1538</v>
      </c>
      <c r="BQ155" t="s">
        <v>1538</v>
      </c>
      <c r="BR155" t="s">
        <v>1538</v>
      </c>
      <c r="BS155" t="s">
        <v>1538</v>
      </c>
      <c r="BU155" t="s">
        <v>1538</v>
      </c>
      <c r="BV155" t="s">
        <v>1538</v>
      </c>
      <c r="BW155" t="s">
        <v>1538</v>
      </c>
      <c r="BX155" t="s">
        <v>1538</v>
      </c>
      <c r="BY155" t="s">
        <v>1538</v>
      </c>
      <c r="BZ155" t="s">
        <v>1538</v>
      </c>
      <c r="CA155" t="s">
        <v>1472</v>
      </c>
      <c r="CB155" t="s">
        <v>1472</v>
      </c>
      <c r="CC155" t="s">
        <v>1472</v>
      </c>
      <c r="CD155" t="s">
        <v>1472</v>
      </c>
      <c r="CE155" t="s">
        <v>1472</v>
      </c>
      <c r="DB155" t="s">
        <v>4340</v>
      </c>
      <c r="DC155" t="s">
        <v>4340</v>
      </c>
      <c r="DM155" t="s">
        <v>4345</v>
      </c>
      <c r="DN155" t="s">
        <v>4345</v>
      </c>
      <c r="DO155" t="s">
        <v>4345</v>
      </c>
      <c r="DP155" t="s">
        <v>4345</v>
      </c>
      <c r="DQ155" t="s">
        <v>4345</v>
      </c>
      <c r="DR155" t="s">
        <v>4345</v>
      </c>
      <c r="DS155" t="s">
        <v>4345</v>
      </c>
      <c r="DT155" t="s">
        <v>4345</v>
      </c>
      <c r="DU155" t="s">
        <v>4345</v>
      </c>
      <c r="DV155" t="s">
        <v>4345</v>
      </c>
      <c r="DW155" t="s">
        <v>4345</v>
      </c>
      <c r="DX155" t="s">
        <v>4345</v>
      </c>
      <c r="DY155" t="s">
        <v>4345</v>
      </c>
      <c r="DZ155" t="s">
        <v>4345</v>
      </c>
      <c r="EB155" t="s">
        <v>4345</v>
      </c>
      <c r="EC155" t="s">
        <v>4345</v>
      </c>
      <c r="ED155" t="s">
        <v>4345</v>
      </c>
      <c r="EE155" t="s">
        <v>4338</v>
      </c>
      <c r="EF155" t="s">
        <v>4345</v>
      </c>
      <c r="EG155" t="s">
        <v>4338</v>
      </c>
      <c r="EH155" t="s">
        <v>4338</v>
      </c>
      <c r="EI155" t="s">
        <v>4345</v>
      </c>
      <c r="EJ155" t="s">
        <v>4345</v>
      </c>
      <c r="EK155" t="s">
        <v>4338</v>
      </c>
      <c r="EL155" t="s">
        <v>4338</v>
      </c>
      <c r="EM155" t="s">
        <v>4338</v>
      </c>
      <c r="EN155" t="s">
        <v>4338</v>
      </c>
      <c r="EO155" t="s">
        <v>4338</v>
      </c>
      <c r="EP155" t="s">
        <v>2808</v>
      </c>
      <c r="EQ155" t="s">
        <v>2808</v>
      </c>
      <c r="ER155" t="s">
        <v>2808</v>
      </c>
      <c r="ES155" t="s">
        <v>2808</v>
      </c>
      <c r="ET155" t="s">
        <v>2808</v>
      </c>
      <c r="EU155" t="s">
        <v>2808</v>
      </c>
      <c r="EV155" t="s">
        <v>4334</v>
      </c>
      <c r="EW155" t="s">
        <v>4334</v>
      </c>
      <c r="EX155" t="s">
        <v>4334</v>
      </c>
      <c r="EY155" t="s">
        <v>4334</v>
      </c>
      <c r="EZ155" t="s">
        <v>4334</v>
      </c>
      <c r="FA155" t="s">
        <v>4334</v>
      </c>
      <c r="FB155" t="s">
        <v>4334</v>
      </c>
      <c r="FC155" t="s">
        <v>4334</v>
      </c>
      <c r="FD155" t="s">
        <v>4334</v>
      </c>
      <c r="FE155" t="s">
        <v>4334</v>
      </c>
      <c r="FF155" t="s">
        <v>4334</v>
      </c>
      <c r="FG155" t="s">
        <v>4334</v>
      </c>
      <c r="FH155" t="s">
        <v>4334</v>
      </c>
      <c r="FI155" t="s">
        <v>4334</v>
      </c>
      <c r="FK155" t="s">
        <v>4334</v>
      </c>
      <c r="FL155" t="s">
        <v>4334</v>
      </c>
      <c r="FM155" t="s">
        <v>4334</v>
      </c>
      <c r="FN155" t="s">
        <v>4334</v>
      </c>
      <c r="FO155" t="s">
        <v>4334</v>
      </c>
      <c r="FP155" t="s">
        <v>4334</v>
      </c>
      <c r="FQ155" t="s">
        <v>4334</v>
      </c>
      <c r="FR155" t="s">
        <v>4334</v>
      </c>
      <c r="FS155" t="s">
        <v>4334</v>
      </c>
      <c r="FT155" t="s">
        <v>4334</v>
      </c>
      <c r="FU155" t="s">
        <v>4334</v>
      </c>
      <c r="FV155" t="s">
        <v>4334</v>
      </c>
      <c r="FW155" t="s">
        <v>4334</v>
      </c>
      <c r="FX155" t="s">
        <v>4334</v>
      </c>
      <c r="FY155" t="s">
        <v>4334</v>
      </c>
      <c r="FZ155" t="s">
        <v>4343</v>
      </c>
      <c r="GA155" t="s">
        <v>4343</v>
      </c>
      <c r="GB155" t="s">
        <v>4343</v>
      </c>
      <c r="GC155" t="s">
        <v>4343</v>
      </c>
      <c r="GD155" t="s">
        <v>4343</v>
      </c>
      <c r="GE155" t="s">
        <v>4343</v>
      </c>
      <c r="GF155" t="s">
        <v>4343</v>
      </c>
      <c r="GG155" t="s">
        <v>4343</v>
      </c>
      <c r="GH155" t="s">
        <v>4343</v>
      </c>
      <c r="GI155" t="s">
        <v>2814</v>
      </c>
      <c r="GJ155" t="s">
        <v>2814</v>
      </c>
      <c r="GK155" t="s">
        <v>2814</v>
      </c>
      <c r="GL155" t="s">
        <v>2814</v>
      </c>
      <c r="GM155" t="s">
        <v>2814</v>
      </c>
      <c r="GN155" t="s">
        <v>2814</v>
      </c>
      <c r="GO155" t="s">
        <v>2814</v>
      </c>
      <c r="GP155" t="s">
        <v>2814</v>
      </c>
      <c r="GQ155" t="s">
        <v>2814</v>
      </c>
      <c r="GR155" t="s">
        <v>2814</v>
      </c>
      <c r="GS155" t="s">
        <v>2814</v>
      </c>
      <c r="GT155" t="s">
        <v>2814</v>
      </c>
      <c r="GU155" t="s">
        <v>2814</v>
      </c>
      <c r="GV155" t="s">
        <v>2814</v>
      </c>
      <c r="GW155" t="s">
        <v>2814</v>
      </c>
      <c r="GX155" t="s">
        <v>2814</v>
      </c>
      <c r="GY155" t="s">
        <v>2814</v>
      </c>
      <c r="GZ155" t="s">
        <v>4333</v>
      </c>
      <c r="HA155" t="s">
        <v>4333</v>
      </c>
      <c r="HB155" t="s">
        <v>4333</v>
      </c>
      <c r="HC155" t="s">
        <v>4333</v>
      </c>
      <c r="HD155" t="s">
        <v>4333</v>
      </c>
      <c r="HE155" t="s">
        <v>4333</v>
      </c>
      <c r="HF155" t="s">
        <v>4331</v>
      </c>
      <c r="HG155" t="s">
        <v>4331</v>
      </c>
      <c r="HH155" t="s">
        <v>4331</v>
      </c>
      <c r="HI155" t="s">
        <v>4331</v>
      </c>
      <c r="HJ155" t="s">
        <v>4331</v>
      </c>
      <c r="HK155" t="s">
        <v>4331</v>
      </c>
      <c r="HL155" t="s">
        <v>4331</v>
      </c>
      <c r="HM155" t="s">
        <v>4331</v>
      </c>
      <c r="HN155" t="s">
        <v>4331</v>
      </c>
      <c r="HO155" t="s">
        <v>4331</v>
      </c>
      <c r="HP155" t="s">
        <v>4331</v>
      </c>
      <c r="HQ155" t="s">
        <v>4331</v>
      </c>
      <c r="HR155" t="s">
        <v>4331</v>
      </c>
      <c r="HS155" t="s">
        <v>4331</v>
      </c>
      <c r="HT155" t="s">
        <v>4331</v>
      </c>
      <c r="HU155" t="s">
        <v>4331</v>
      </c>
      <c r="HV155" t="s">
        <v>4331</v>
      </c>
      <c r="HW155" t="s">
        <v>4331</v>
      </c>
      <c r="HX155" t="s">
        <v>4331</v>
      </c>
      <c r="HY155" t="s">
        <v>4331</v>
      </c>
      <c r="HZ155" t="s">
        <v>4331</v>
      </c>
      <c r="IA155" t="s">
        <v>4331</v>
      </c>
      <c r="IB155" t="s">
        <v>4331</v>
      </c>
      <c r="IC155" t="s">
        <v>4331</v>
      </c>
      <c r="ID155" t="s">
        <v>4331</v>
      </c>
      <c r="IE155" t="s">
        <v>4331</v>
      </c>
      <c r="IF155" t="s">
        <v>4331</v>
      </c>
      <c r="IG155" t="s">
        <v>4331</v>
      </c>
      <c r="IH155" t="s">
        <v>4331</v>
      </c>
      <c r="II155" t="s">
        <v>4331</v>
      </c>
      <c r="IJ155" t="s">
        <v>4331</v>
      </c>
      <c r="IK155" t="s">
        <v>4331</v>
      </c>
      <c r="IL155" t="s">
        <v>4331</v>
      </c>
      <c r="IM155" t="s">
        <v>4331</v>
      </c>
      <c r="IN155" t="s">
        <v>4331</v>
      </c>
      <c r="IO155" t="s">
        <v>4331</v>
      </c>
      <c r="IP155" t="s">
        <v>4331</v>
      </c>
      <c r="IQ155" t="s">
        <v>4331</v>
      </c>
      <c r="IR155" t="s">
        <v>4331</v>
      </c>
      <c r="IS155" t="s">
        <v>4331</v>
      </c>
      <c r="IT155" t="s">
        <v>4331</v>
      </c>
      <c r="IU155" t="s">
        <v>4331</v>
      </c>
      <c r="IV155" t="s">
        <v>4331</v>
      </c>
      <c r="IW155" t="s">
        <v>4331</v>
      </c>
      <c r="IX155" t="s">
        <v>4331</v>
      </c>
      <c r="IY155" t="s">
        <v>4331</v>
      </c>
      <c r="IZ155" t="s">
        <v>4331</v>
      </c>
      <c r="JA155" t="s">
        <v>4331</v>
      </c>
      <c r="JB155" t="s">
        <v>4331</v>
      </c>
      <c r="JC155" t="s">
        <v>4331</v>
      </c>
      <c r="JD155" t="s">
        <v>4331</v>
      </c>
      <c r="JE155" t="s">
        <v>4331</v>
      </c>
      <c r="JF155" t="s">
        <v>4331</v>
      </c>
      <c r="JG155" t="s">
        <v>4331</v>
      </c>
      <c r="JH155" t="s">
        <v>4331</v>
      </c>
      <c r="JI155" t="s">
        <v>4331</v>
      </c>
      <c r="JJ155" t="s">
        <v>4331</v>
      </c>
      <c r="JK155" t="s">
        <v>4331</v>
      </c>
      <c r="JL155" t="s">
        <v>4331</v>
      </c>
      <c r="JM155" t="s">
        <v>4331</v>
      </c>
      <c r="JN155" t="s">
        <v>4331</v>
      </c>
      <c r="JO155" t="s">
        <v>4331</v>
      </c>
      <c r="JP155" t="s">
        <v>4331</v>
      </c>
      <c r="JQ155" t="s">
        <v>4331</v>
      </c>
      <c r="JR155" t="s">
        <v>4331</v>
      </c>
      <c r="JS155" t="s">
        <v>4331</v>
      </c>
      <c r="JT155" t="s">
        <v>4331</v>
      </c>
      <c r="JU155" t="s">
        <v>4331</v>
      </c>
    </row>
    <row r="156" spans="43:281" x14ac:dyDescent="0.3">
      <c r="AR156" t="s">
        <v>4346</v>
      </c>
      <c r="AS156" t="s">
        <v>4346</v>
      </c>
      <c r="AT156" t="s">
        <v>4346</v>
      </c>
      <c r="AU156" t="s">
        <v>4344</v>
      </c>
      <c r="AV156" t="s">
        <v>4344</v>
      </c>
      <c r="AW156" t="s">
        <v>4344</v>
      </c>
      <c r="AX156" t="s">
        <v>4344</v>
      </c>
      <c r="AY156" t="s">
        <v>4344</v>
      </c>
      <c r="AZ156" t="s">
        <v>4344</v>
      </c>
      <c r="BA156" t="s">
        <v>4344</v>
      </c>
      <c r="BB156" t="s">
        <v>4344</v>
      </c>
      <c r="BC156" t="s">
        <v>4344</v>
      </c>
      <c r="BD156" t="s">
        <v>4344</v>
      </c>
      <c r="BE156" t="s">
        <v>4344</v>
      </c>
      <c r="BF156" t="s">
        <v>4344</v>
      </c>
      <c r="CB156" t="s">
        <v>1472</v>
      </c>
      <c r="CC156" t="s">
        <v>1472</v>
      </c>
      <c r="CK156" t="s">
        <v>4347</v>
      </c>
      <c r="CL156" t="s">
        <v>4347</v>
      </c>
      <c r="CM156" t="s">
        <v>4347</v>
      </c>
      <c r="CN156" t="s">
        <v>4347</v>
      </c>
      <c r="DA156" t="s">
        <v>4340</v>
      </c>
      <c r="DB156" t="s">
        <v>4340</v>
      </c>
      <c r="DC156" t="s">
        <v>4340</v>
      </c>
      <c r="DM156" t="s">
        <v>4345</v>
      </c>
      <c r="DN156" t="s">
        <v>4345</v>
      </c>
      <c r="DO156" t="s">
        <v>4345</v>
      </c>
      <c r="DP156" t="s">
        <v>4345</v>
      </c>
      <c r="DQ156" t="s">
        <v>4345</v>
      </c>
      <c r="DR156" t="s">
        <v>4345</v>
      </c>
      <c r="DS156" t="s">
        <v>4345</v>
      </c>
      <c r="DT156" t="s">
        <v>4345</v>
      </c>
      <c r="DU156" t="s">
        <v>4345</v>
      </c>
      <c r="DV156" t="s">
        <v>4345</v>
      </c>
      <c r="DW156" t="s">
        <v>4345</v>
      </c>
      <c r="DX156" t="s">
        <v>4345</v>
      </c>
      <c r="DY156" t="s">
        <v>4345</v>
      </c>
      <c r="DZ156" t="s">
        <v>4345</v>
      </c>
      <c r="EA156" t="s">
        <v>4345</v>
      </c>
      <c r="EB156" t="s">
        <v>4345</v>
      </c>
      <c r="EC156" t="s">
        <v>4345</v>
      </c>
      <c r="ED156" t="s">
        <v>4345</v>
      </c>
      <c r="EE156" t="s">
        <v>4345</v>
      </c>
      <c r="EF156" t="s">
        <v>4345</v>
      </c>
      <c r="EG156" t="s">
        <v>4345</v>
      </c>
      <c r="EH156" t="s">
        <v>4345</v>
      </c>
      <c r="EI156" t="s">
        <v>4345</v>
      </c>
      <c r="EJ156" t="s">
        <v>4345</v>
      </c>
      <c r="EK156" t="s">
        <v>4345</v>
      </c>
      <c r="EL156" t="s">
        <v>4345</v>
      </c>
      <c r="EM156" t="s">
        <v>4345</v>
      </c>
      <c r="EN156" t="s">
        <v>4345</v>
      </c>
      <c r="EO156" t="s">
        <v>4345</v>
      </c>
      <c r="EP156" t="s">
        <v>4345</v>
      </c>
      <c r="EQ156" t="s">
        <v>2808</v>
      </c>
      <c r="ER156" t="s">
        <v>2808</v>
      </c>
      <c r="ES156" t="s">
        <v>2808</v>
      </c>
      <c r="ET156" t="s">
        <v>4345</v>
      </c>
      <c r="EU156" t="s">
        <v>4334</v>
      </c>
      <c r="EV156" t="s">
        <v>4334</v>
      </c>
      <c r="EW156" t="s">
        <v>4334</v>
      </c>
      <c r="EX156" t="s">
        <v>4334</v>
      </c>
      <c r="EY156" t="s">
        <v>4334</v>
      </c>
      <c r="EZ156" t="s">
        <v>4334</v>
      </c>
      <c r="FA156" t="s">
        <v>4334</v>
      </c>
      <c r="FB156" t="s">
        <v>4334</v>
      </c>
      <c r="FC156" t="s">
        <v>4334</v>
      </c>
      <c r="FD156" t="s">
        <v>4334</v>
      </c>
      <c r="FE156" t="s">
        <v>4334</v>
      </c>
      <c r="FF156" t="s">
        <v>4334</v>
      </c>
      <c r="FN156" t="s">
        <v>4334</v>
      </c>
      <c r="FO156" t="s">
        <v>4334</v>
      </c>
      <c r="FP156" t="s">
        <v>4334</v>
      </c>
      <c r="FQ156" t="s">
        <v>4334</v>
      </c>
      <c r="FR156" t="s">
        <v>4334</v>
      </c>
      <c r="FS156" t="s">
        <v>4334</v>
      </c>
      <c r="FT156" t="s">
        <v>4334</v>
      </c>
      <c r="FU156" t="s">
        <v>4334</v>
      </c>
      <c r="FV156" t="s">
        <v>4334</v>
      </c>
      <c r="FW156" t="s">
        <v>4334</v>
      </c>
      <c r="FX156" t="s">
        <v>4334</v>
      </c>
      <c r="FY156" t="s">
        <v>4343</v>
      </c>
      <c r="FZ156" t="s">
        <v>4343</v>
      </c>
      <c r="GA156" t="s">
        <v>4343</v>
      </c>
      <c r="GB156" t="s">
        <v>4343</v>
      </c>
      <c r="GC156" t="s">
        <v>4343</v>
      </c>
      <c r="GD156" t="s">
        <v>4343</v>
      </c>
      <c r="GE156" t="s">
        <v>4343</v>
      </c>
      <c r="GF156" t="s">
        <v>4343</v>
      </c>
      <c r="GG156" t="s">
        <v>4343</v>
      </c>
      <c r="GH156" t="s">
        <v>4343</v>
      </c>
      <c r="GI156" t="s">
        <v>4343</v>
      </c>
      <c r="GJ156" t="s">
        <v>4343</v>
      </c>
      <c r="GK156" t="s">
        <v>2814</v>
      </c>
      <c r="GL156" t="s">
        <v>2814</v>
      </c>
      <c r="GM156" t="s">
        <v>2814</v>
      </c>
      <c r="GN156" t="s">
        <v>2814</v>
      </c>
      <c r="GO156" t="s">
        <v>4348</v>
      </c>
      <c r="GP156" t="s">
        <v>4349</v>
      </c>
      <c r="GQ156" t="s">
        <v>2814</v>
      </c>
      <c r="GR156" t="s">
        <v>4349</v>
      </c>
      <c r="GS156" t="s">
        <v>2814</v>
      </c>
      <c r="GT156" t="s">
        <v>2814</v>
      </c>
      <c r="GU156" t="s">
        <v>2814</v>
      </c>
      <c r="GV156" t="s">
        <v>2814</v>
      </c>
      <c r="GW156" t="s">
        <v>4349</v>
      </c>
      <c r="GX156" t="s">
        <v>4349</v>
      </c>
      <c r="GY156" t="s">
        <v>4349</v>
      </c>
      <c r="GZ156" t="s">
        <v>2814</v>
      </c>
      <c r="HA156" t="s">
        <v>2814</v>
      </c>
      <c r="HB156" t="s">
        <v>2814</v>
      </c>
      <c r="HC156" t="s">
        <v>2814</v>
      </c>
      <c r="HD156" t="s">
        <v>4331</v>
      </c>
      <c r="HE156" t="s">
        <v>4331</v>
      </c>
      <c r="HF156" t="s">
        <v>4331</v>
      </c>
      <c r="HG156" t="s">
        <v>4331</v>
      </c>
      <c r="HH156" t="s">
        <v>4331</v>
      </c>
      <c r="HI156" t="s">
        <v>4331</v>
      </c>
      <c r="HJ156" t="s">
        <v>4331</v>
      </c>
      <c r="HK156" t="s">
        <v>4331</v>
      </c>
      <c r="HL156" t="s">
        <v>4331</v>
      </c>
      <c r="HM156" t="s">
        <v>4331</v>
      </c>
      <c r="HN156" t="s">
        <v>4331</v>
      </c>
      <c r="HO156" t="s">
        <v>4331</v>
      </c>
      <c r="HP156" t="s">
        <v>4331</v>
      </c>
      <c r="HQ156" t="s">
        <v>4331</v>
      </c>
      <c r="HR156" t="s">
        <v>4331</v>
      </c>
      <c r="HS156" t="s">
        <v>4331</v>
      </c>
      <c r="HT156" t="s">
        <v>4331</v>
      </c>
      <c r="HU156" t="s">
        <v>4331</v>
      </c>
      <c r="HV156" t="s">
        <v>4331</v>
      </c>
      <c r="HW156" t="s">
        <v>4331</v>
      </c>
      <c r="HX156" t="s">
        <v>4331</v>
      </c>
      <c r="HY156" t="s">
        <v>4331</v>
      </c>
      <c r="HZ156" t="s">
        <v>4331</v>
      </c>
      <c r="IA156" t="s">
        <v>4331</v>
      </c>
      <c r="IB156" t="s">
        <v>4331</v>
      </c>
      <c r="IC156" t="s">
        <v>4331</v>
      </c>
      <c r="ID156" t="s">
        <v>4331</v>
      </c>
      <c r="IE156" t="s">
        <v>4331</v>
      </c>
      <c r="IF156" t="s">
        <v>4331</v>
      </c>
      <c r="IG156" t="s">
        <v>4331</v>
      </c>
      <c r="IH156" t="s">
        <v>4331</v>
      </c>
      <c r="II156" t="s">
        <v>4331</v>
      </c>
      <c r="IJ156" t="s">
        <v>4331</v>
      </c>
      <c r="IK156" t="s">
        <v>4331</v>
      </c>
      <c r="IL156" t="s">
        <v>4331</v>
      </c>
      <c r="IM156" t="s">
        <v>4331</v>
      </c>
      <c r="IN156" t="s">
        <v>4331</v>
      </c>
      <c r="IO156" t="s">
        <v>4331</v>
      </c>
      <c r="IP156" t="s">
        <v>4331</v>
      </c>
      <c r="IQ156" t="s">
        <v>4331</v>
      </c>
      <c r="IR156" t="s">
        <v>4331</v>
      </c>
      <c r="IS156" t="s">
        <v>4331</v>
      </c>
      <c r="IT156" t="s">
        <v>4331</v>
      </c>
      <c r="IU156" t="s">
        <v>4331</v>
      </c>
      <c r="IV156" t="s">
        <v>4331</v>
      </c>
      <c r="IW156" t="s">
        <v>4331</v>
      </c>
      <c r="IX156" t="s">
        <v>4331</v>
      </c>
      <c r="IY156" t="s">
        <v>4331</v>
      </c>
      <c r="IZ156" t="s">
        <v>4331</v>
      </c>
      <c r="JA156" t="s">
        <v>4331</v>
      </c>
      <c r="JB156" t="s">
        <v>4331</v>
      </c>
      <c r="JC156" t="s">
        <v>4331</v>
      </c>
      <c r="JD156" t="s">
        <v>4331</v>
      </c>
      <c r="JE156" t="s">
        <v>4331</v>
      </c>
      <c r="JF156" t="s">
        <v>4331</v>
      </c>
      <c r="JG156" t="s">
        <v>4331</v>
      </c>
      <c r="JH156" t="s">
        <v>4331</v>
      </c>
      <c r="JI156" t="s">
        <v>4331</v>
      </c>
      <c r="JJ156" t="s">
        <v>4331</v>
      </c>
      <c r="JK156" t="s">
        <v>4331</v>
      </c>
      <c r="JL156" t="s">
        <v>4331</v>
      </c>
      <c r="JM156" t="s">
        <v>4331</v>
      </c>
      <c r="JN156" t="s">
        <v>4331</v>
      </c>
      <c r="JO156" t="s">
        <v>4331</v>
      </c>
      <c r="JP156" t="s">
        <v>4331</v>
      </c>
      <c r="JQ156" t="s">
        <v>4331</v>
      </c>
      <c r="JR156" t="s">
        <v>4331</v>
      </c>
      <c r="JS156" t="s">
        <v>4331</v>
      </c>
      <c r="JT156" t="s">
        <v>4331</v>
      </c>
      <c r="JU156" t="s">
        <v>4331</v>
      </c>
    </row>
    <row r="157" spans="43:281" x14ac:dyDescent="0.3">
      <c r="AR157" t="s">
        <v>4346</v>
      </c>
      <c r="AS157" t="s">
        <v>4346</v>
      </c>
      <c r="AT157" t="s">
        <v>4346</v>
      </c>
      <c r="AU157" t="s">
        <v>4346</v>
      </c>
      <c r="AV157" t="s">
        <v>4344</v>
      </c>
      <c r="AW157" t="s">
        <v>4344</v>
      </c>
      <c r="AX157" t="s">
        <v>4344</v>
      </c>
      <c r="AY157" t="s">
        <v>4344</v>
      </c>
      <c r="AZ157" t="s">
        <v>4344</v>
      </c>
      <c r="BA157" t="s">
        <v>4344</v>
      </c>
      <c r="BB157" t="s">
        <v>4344</v>
      </c>
      <c r="BC157" t="s">
        <v>4344</v>
      </c>
      <c r="BD157" t="s">
        <v>4344</v>
      </c>
      <c r="BE157" t="s">
        <v>4344</v>
      </c>
      <c r="BF157" t="s">
        <v>4344</v>
      </c>
      <c r="BG157" t="s">
        <v>4344</v>
      </c>
      <c r="BH157" t="s">
        <v>4344</v>
      </c>
      <c r="CI157" t="s">
        <v>4347</v>
      </c>
      <c r="CJ157" t="s">
        <v>4347</v>
      </c>
      <c r="CK157" t="s">
        <v>4347</v>
      </c>
      <c r="CL157" t="s">
        <v>4347</v>
      </c>
      <c r="CM157" t="s">
        <v>4347</v>
      </c>
      <c r="CN157" t="s">
        <v>4347</v>
      </c>
      <c r="DA157" t="s">
        <v>4340</v>
      </c>
      <c r="DB157" t="s">
        <v>4340</v>
      </c>
      <c r="DC157" t="s">
        <v>4340</v>
      </c>
      <c r="DE157" t="s">
        <v>4340</v>
      </c>
      <c r="DL157" t="s">
        <v>4345</v>
      </c>
      <c r="DM157" t="s">
        <v>4345</v>
      </c>
      <c r="DN157" t="s">
        <v>4345</v>
      </c>
      <c r="DO157" t="s">
        <v>4345</v>
      </c>
      <c r="DP157" t="s">
        <v>4345</v>
      </c>
      <c r="DQ157" t="s">
        <v>4345</v>
      </c>
      <c r="DR157" t="s">
        <v>4345</v>
      </c>
      <c r="DS157" t="s">
        <v>4345</v>
      </c>
      <c r="DT157" t="s">
        <v>4345</v>
      </c>
      <c r="DU157" t="s">
        <v>4345</v>
      </c>
      <c r="DV157" t="s">
        <v>4345</v>
      </c>
      <c r="DW157" t="s">
        <v>4345</v>
      </c>
      <c r="DX157" t="s">
        <v>4345</v>
      </c>
      <c r="DY157" t="s">
        <v>4345</v>
      </c>
      <c r="DZ157" t="s">
        <v>4345</v>
      </c>
      <c r="EA157" t="s">
        <v>4345</v>
      </c>
      <c r="EB157" t="s">
        <v>4345</v>
      </c>
      <c r="EC157" t="s">
        <v>4345</v>
      </c>
      <c r="ED157" t="s">
        <v>4345</v>
      </c>
      <c r="EE157" t="s">
        <v>4345</v>
      </c>
      <c r="EF157" t="s">
        <v>4345</v>
      </c>
      <c r="EG157" t="s">
        <v>4345</v>
      </c>
      <c r="EH157" t="s">
        <v>4345</v>
      </c>
      <c r="EI157" t="s">
        <v>4345</v>
      </c>
      <c r="EJ157" t="s">
        <v>4345</v>
      </c>
      <c r="EK157" t="s">
        <v>4345</v>
      </c>
      <c r="EL157" t="s">
        <v>4345</v>
      </c>
      <c r="EM157" t="s">
        <v>4345</v>
      </c>
      <c r="EN157" t="s">
        <v>4345</v>
      </c>
      <c r="EO157" t="s">
        <v>4345</v>
      </c>
      <c r="EP157" t="s">
        <v>4345</v>
      </c>
      <c r="EQ157" t="s">
        <v>4345</v>
      </c>
      <c r="ER157" t="s">
        <v>4345</v>
      </c>
      <c r="ES157" t="s">
        <v>4345</v>
      </c>
      <c r="ET157" t="s">
        <v>4345</v>
      </c>
      <c r="EU157" t="s">
        <v>4334</v>
      </c>
      <c r="EV157" t="s">
        <v>4334</v>
      </c>
      <c r="EW157" t="s">
        <v>4334</v>
      </c>
      <c r="EX157" t="s">
        <v>4334</v>
      </c>
      <c r="EY157" t="s">
        <v>4334</v>
      </c>
      <c r="EZ157" t="s">
        <v>4334</v>
      </c>
      <c r="FA157" t="s">
        <v>4334</v>
      </c>
      <c r="FB157" t="s">
        <v>4334</v>
      </c>
      <c r="FC157" t="s">
        <v>4334</v>
      </c>
      <c r="FN157" t="s">
        <v>4343</v>
      </c>
      <c r="FO157" t="s">
        <v>4343</v>
      </c>
      <c r="FP157" t="s">
        <v>4334</v>
      </c>
      <c r="FQ157" t="s">
        <v>4334</v>
      </c>
      <c r="FR157" t="s">
        <v>4334</v>
      </c>
      <c r="FS157" t="s">
        <v>4334</v>
      </c>
      <c r="FT157" t="s">
        <v>4334</v>
      </c>
      <c r="FU157" t="s">
        <v>4334</v>
      </c>
      <c r="FV157" t="s">
        <v>4343</v>
      </c>
      <c r="FW157" t="s">
        <v>4343</v>
      </c>
      <c r="FX157" t="s">
        <v>4343</v>
      </c>
      <c r="FY157" t="s">
        <v>4343</v>
      </c>
      <c r="FZ157" t="s">
        <v>4343</v>
      </c>
      <c r="GA157" t="s">
        <v>4343</v>
      </c>
      <c r="GB157" t="s">
        <v>4343</v>
      </c>
      <c r="GC157" t="s">
        <v>4343</v>
      </c>
      <c r="GD157" t="s">
        <v>4343</v>
      </c>
      <c r="GE157" t="s">
        <v>4343</v>
      </c>
      <c r="GF157" t="s">
        <v>4343</v>
      </c>
      <c r="GG157" t="s">
        <v>4343</v>
      </c>
      <c r="GH157" t="s">
        <v>4343</v>
      </c>
      <c r="GI157" t="s">
        <v>4343</v>
      </c>
      <c r="GJ157" t="s">
        <v>4343</v>
      </c>
      <c r="GK157" t="s">
        <v>4343</v>
      </c>
      <c r="GL157" t="s">
        <v>4343</v>
      </c>
      <c r="GM157" t="s">
        <v>4348</v>
      </c>
      <c r="GN157" t="s">
        <v>4348</v>
      </c>
      <c r="GO157" t="s">
        <v>4348</v>
      </c>
      <c r="GP157" t="s">
        <v>4349</v>
      </c>
      <c r="GQ157" t="s">
        <v>4349</v>
      </c>
      <c r="GR157" t="s">
        <v>4349</v>
      </c>
      <c r="GS157" t="s">
        <v>4349</v>
      </c>
      <c r="GT157" t="s">
        <v>4349</v>
      </c>
      <c r="GU157" t="s">
        <v>2814</v>
      </c>
      <c r="GV157" t="s">
        <v>2814</v>
      </c>
      <c r="GW157" t="s">
        <v>4349</v>
      </c>
      <c r="GX157" t="s">
        <v>4349</v>
      </c>
      <c r="GY157" t="s">
        <v>4349</v>
      </c>
      <c r="GZ157" t="s">
        <v>4349</v>
      </c>
      <c r="HA157" t="s">
        <v>4349</v>
      </c>
      <c r="HB157" t="s">
        <v>4349</v>
      </c>
      <c r="HC157" t="s">
        <v>4349</v>
      </c>
      <c r="HD157" t="s">
        <v>4331</v>
      </c>
      <c r="HE157" t="s">
        <v>4331</v>
      </c>
      <c r="HF157" t="s">
        <v>4331</v>
      </c>
      <c r="HG157" t="s">
        <v>4331</v>
      </c>
      <c r="HH157" t="s">
        <v>4331</v>
      </c>
      <c r="HI157" t="s">
        <v>4331</v>
      </c>
      <c r="HJ157" t="s">
        <v>4331</v>
      </c>
      <c r="HK157" t="s">
        <v>4331</v>
      </c>
      <c r="HL157" t="s">
        <v>4331</v>
      </c>
      <c r="HM157" t="s">
        <v>4331</v>
      </c>
      <c r="HN157" t="s">
        <v>4331</v>
      </c>
      <c r="HO157" t="s">
        <v>4331</v>
      </c>
      <c r="HP157" t="s">
        <v>4331</v>
      </c>
      <c r="HQ157" t="s">
        <v>4331</v>
      </c>
      <c r="HR157" t="s">
        <v>4331</v>
      </c>
      <c r="HS157" t="s">
        <v>4331</v>
      </c>
      <c r="HT157" t="s">
        <v>4331</v>
      </c>
      <c r="HU157" t="s">
        <v>4331</v>
      </c>
      <c r="HV157" t="s">
        <v>4331</v>
      </c>
      <c r="HW157" t="s">
        <v>4331</v>
      </c>
      <c r="HX157" t="s">
        <v>4331</v>
      </c>
      <c r="HY157" t="s">
        <v>4331</v>
      </c>
      <c r="HZ157" t="s">
        <v>4331</v>
      </c>
      <c r="IA157" t="s">
        <v>4331</v>
      </c>
      <c r="IB157" t="s">
        <v>4331</v>
      </c>
      <c r="IC157" t="s">
        <v>4331</v>
      </c>
      <c r="ID157" t="s">
        <v>4331</v>
      </c>
      <c r="IE157" t="s">
        <v>4331</v>
      </c>
      <c r="IF157" t="s">
        <v>4331</v>
      </c>
      <c r="IG157" t="s">
        <v>4331</v>
      </c>
      <c r="IH157" t="s">
        <v>4331</v>
      </c>
      <c r="II157" t="s">
        <v>4331</v>
      </c>
      <c r="IJ157" t="s">
        <v>4331</v>
      </c>
      <c r="IK157" t="s">
        <v>4331</v>
      </c>
      <c r="IL157" t="s">
        <v>4331</v>
      </c>
      <c r="IM157" t="s">
        <v>4331</v>
      </c>
      <c r="IN157" t="s">
        <v>4331</v>
      </c>
      <c r="IO157" t="s">
        <v>4331</v>
      </c>
      <c r="IP157" t="s">
        <v>4331</v>
      </c>
      <c r="IQ157" t="s">
        <v>4331</v>
      </c>
      <c r="IR157" t="s">
        <v>4331</v>
      </c>
      <c r="IS157" t="s">
        <v>4331</v>
      </c>
      <c r="IT157" t="s">
        <v>4331</v>
      </c>
      <c r="IU157" t="s">
        <v>4331</v>
      </c>
      <c r="IV157" t="s">
        <v>4331</v>
      </c>
      <c r="IW157" t="s">
        <v>4331</v>
      </c>
      <c r="IX157" t="s">
        <v>4331</v>
      </c>
      <c r="IY157" t="s">
        <v>4331</v>
      </c>
      <c r="IZ157" t="s">
        <v>4331</v>
      </c>
      <c r="JA157" t="s">
        <v>4331</v>
      </c>
      <c r="JB157" t="s">
        <v>4331</v>
      </c>
      <c r="JC157" t="s">
        <v>4331</v>
      </c>
      <c r="JD157" t="s">
        <v>4331</v>
      </c>
      <c r="JE157" t="s">
        <v>4331</v>
      </c>
      <c r="JF157" t="s">
        <v>4331</v>
      </c>
      <c r="JG157" t="s">
        <v>4331</v>
      </c>
      <c r="JH157" t="s">
        <v>4331</v>
      </c>
      <c r="JI157" t="s">
        <v>4331</v>
      </c>
      <c r="JJ157" t="s">
        <v>4331</v>
      </c>
      <c r="JK157" t="s">
        <v>4331</v>
      </c>
      <c r="JL157" t="s">
        <v>4331</v>
      </c>
      <c r="JM157" t="s">
        <v>4331</v>
      </c>
      <c r="JN157" t="s">
        <v>4331</v>
      </c>
      <c r="JO157" t="s">
        <v>4331</v>
      </c>
      <c r="JP157" t="s">
        <v>4331</v>
      </c>
      <c r="JQ157" t="s">
        <v>4331</v>
      </c>
      <c r="JR157" t="s">
        <v>4331</v>
      </c>
      <c r="JS157" t="s">
        <v>4331</v>
      </c>
      <c r="JT157" t="s">
        <v>4331</v>
      </c>
      <c r="JU157" t="s">
        <v>4331</v>
      </c>
    </row>
    <row r="158" spans="43:281" x14ac:dyDescent="0.3">
      <c r="AR158" t="s">
        <v>4346</v>
      </c>
      <c r="AS158" t="s">
        <v>4346</v>
      </c>
      <c r="AT158" t="s">
        <v>4346</v>
      </c>
      <c r="AU158" t="s">
        <v>4346</v>
      </c>
      <c r="AV158" t="s">
        <v>4344</v>
      </c>
      <c r="AW158" t="s">
        <v>4344</v>
      </c>
      <c r="AX158" t="s">
        <v>4344</v>
      </c>
      <c r="AY158" t="s">
        <v>4344</v>
      </c>
      <c r="AZ158" t="s">
        <v>4344</v>
      </c>
      <c r="BA158" t="s">
        <v>4344</v>
      </c>
      <c r="BB158" t="s">
        <v>4344</v>
      </c>
      <c r="BC158" t="s">
        <v>4344</v>
      </c>
      <c r="BD158" t="s">
        <v>4344</v>
      </c>
      <c r="BE158" t="s">
        <v>4344</v>
      </c>
      <c r="BF158" t="s">
        <v>4344</v>
      </c>
      <c r="BG158" t="s">
        <v>4344</v>
      </c>
      <c r="BH158" t="s">
        <v>4344</v>
      </c>
      <c r="CO158" t="s">
        <v>4347</v>
      </c>
      <c r="CP158" t="s">
        <v>4347</v>
      </c>
      <c r="CZ158" t="s">
        <v>4340</v>
      </c>
      <c r="DA158" t="s">
        <v>4340</v>
      </c>
      <c r="DB158" t="s">
        <v>4340</v>
      </c>
      <c r="DC158" t="s">
        <v>4340</v>
      </c>
      <c r="DD158" t="s">
        <v>4340</v>
      </c>
      <c r="DE158" t="s">
        <v>4340</v>
      </c>
      <c r="DK158" t="s">
        <v>4345</v>
      </c>
      <c r="DL158" t="s">
        <v>4345</v>
      </c>
      <c r="DM158" t="s">
        <v>4345</v>
      </c>
      <c r="DN158" t="s">
        <v>4345</v>
      </c>
      <c r="DO158" t="s">
        <v>4345</v>
      </c>
      <c r="DP158" t="s">
        <v>4345</v>
      </c>
      <c r="DQ158" t="s">
        <v>4345</v>
      </c>
      <c r="DR158" t="s">
        <v>4345</v>
      </c>
      <c r="DS158" t="s">
        <v>4345</v>
      </c>
      <c r="DT158" t="s">
        <v>4345</v>
      </c>
      <c r="DU158" t="s">
        <v>4345</v>
      </c>
      <c r="DV158" t="s">
        <v>4345</v>
      </c>
      <c r="DW158" t="s">
        <v>4345</v>
      </c>
      <c r="DX158" t="s">
        <v>4345</v>
      </c>
      <c r="DY158" t="s">
        <v>4345</v>
      </c>
      <c r="DZ158" t="s">
        <v>4345</v>
      </c>
      <c r="EA158" t="s">
        <v>4345</v>
      </c>
      <c r="EB158" t="s">
        <v>4345</v>
      </c>
      <c r="EC158" t="s">
        <v>4345</v>
      </c>
      <c r="ED158" t="s">
        <v>4345</v>
      </c>
      <c r="EE158" t="s">
        <v>4345</v>
      </c>
      <c r="EF158" t="s">
        <v>4345</v>
      </c>
      <c r="EG158" t="s">
        <v>4345</v>
      </c>
      <c r="EH158" t="s">
        <v>4345</v>
      </c>
      <c r="EI158" t="s">
        <v>4345</v>
      </c>
      <c r="EJ158" t="s">
        <v>4345</v>
      </c>
      <c r="EK158" t="s">
        <v>4345</v>
      </c>
      <c r="EL158" t="s">
        <v>4345</v>
      </c>
      <c r="EM158" t="s">
        <v>4345</v>
      </c>
      <c r="EN158" t="s">
        <v>4345</v>
      </c>
      <c r="EO158" t="s">
        <v>4345</v>
      </c>
      <c r="EP158" t="s">
        <v>4345</v>
      </c>
      <c r="EQ158" t="s">
        <v>4345</v>
      </c>
      <c r="ER158" t="s">
        <v>4345</v>
      </c>
      <c r="ES158" t="s">
        <v>4345</v>
      </c>
      <c r="ET158" t="s">
        <v>4345</v>
      </c>
      <c r="EU158" t="s">
        <v>4334</v>
      </c>
      <c r="EV158" t="s">
        <v>4334</v>
      </c>
      <c r="EW158" t="s">
        <v>4334</v>
      </c>
      <c r="EX158" t="s">
        <v>4334</v>
      </c>
      <c r="EY158" t="s">
        <v>4334</v>
      </c>
      <c r="EZ158" t="s">
        <v>4334</v>
      </c>
      <c r="FA158" t="s">
        <v>4334</v>
      </c>
      <c r="FB158" t="s">
        <v>4334</v>
      </c>
      <c r="FC158" t="s">
        <v>4334</v>
      </c>
      <c r="FN158" t="s">
        <v>4343</v>
      </c>
      <c r="FO158" t="s">
        <v>4343</v>
      </c>
      <c r="FP158" t="s">
        <v>4343</v>
      </c>
      <c r="FQ158" t="s">
        <v>4343</v>
      </c>
      <c r="FR158" t="s">
        <v>4343</v>
      </c>
      <c r="FS158" t="s">
        <v>4343</v>
      </c>
      <c r="FT158" t="s">
        <v>4343</v>
      </c>
      <c r="FU158" t="s">
        <v>4343</v>
      </c>
      <c r="FV158" t="s">
        <v>4343</v>
      </c>
      <c r="FW158" t="s">
        <v>4343</v>
      </c>
      <c r="FX158" t="s">
        <v>4343</v>
      </c>
      <c r="FY158" t="s">
        <v>4343</v>
      </c>
      <c r="FZ158" t="s">
        <v>4343</v>
      </c>
      <c r="GA158" t="s">
        <v>4343</v>
      </c>
      <c r="GB158" t="s">
        <v>4343</v>
      </c>
      <c r="GC158" t="s">
        <v>4343</v>
      </c>
      <c r="GD158" t="s">
        <v>4343</v>
      </c>
      <c r="GE158" t="s">
        <v>4343</v>
      </c>
      <c r="GF158" t="s">
        <v>4343</v>
      </c>
      <c r="GG158" t="s">
        <v>4343</v>
      </c>
      <c r="GH158" t="s">
        <v>4343</v>
      </c>
      <c r="GI158" t="s">
        <v>4343</v>
      </c>
      <c r="GJ158" t="s">
        <v>4343</v>
      </c>
      <c r="GK158" t="s">
        <v>4348</v>
      </c>
      <c r="GL158" t="s">
        <v>4348</v>
      </c>
      <c r="GM158" t="s">
        <v>4348</v>
      </c>
      <c r="GN158" t="s">
        <v>4348</v>
      </c>
      <c r="GO158" t="s">
        <v>4348</v>
      </c>
      <c r="GP158" t="s">
        <v>4348</v>
      </c>
      <c r="GQ158" t="s">
        <v>4349</v>
      </c>
      <c r="GR158" t="s">
        <v>4349</v>
      </c>
      <c r="GS158" t="s">
        <v>4349</v>
      </c>
      <c r="GT158" t="s">
        <v>4349</v>
      </c>
      <c r="GU158" t="s">
        <v>2814</v>
      </c>
      <c r="GV158" t="s">
        <v>2814</v>
      </c>
      <c r="GW158" t="s">
        <v>4349</v>
      </c>
      <c r="GX158" t="s">
        <v>4349</v>
      </c>
      <c r="GY158" t="s">
        <v>4349</v>
      </c>
      <c r="GZ158" t="s">
        <v>4349</v>
      </c>
      <c r="HA158" t="s">
        <v>4349</v>
      </c>
      <c r="HB158" t="s">
        <v>4349</v>
      </c>
      <c r="HC158" t="s">
        <v>4349</v>
      </c>
      <c r="HD158" t="s">
        <v>4331</v>
      </c>
      <c r="HE158" t="s">
        <v>4331</v>
      </c>
      <c r="HF158" t="s">
        <v>4331</v>
      </c>
      <c r="HG158" t="s">
        <v>4331</v>
      </c>
      <c r="HH158" t="s">
        <v>4331</v>
      </c>
      <c r="HI158" t="s">
        <v>4331</v>
      </c>
      <c r="HJ158" t="s">
        <v>4331</v>
      </c>
      <c r="HK158" t="s">
        <v>4331</v>
      </c>
      <c r="HL158" t="s">
        <v>4331</v>
      </c>
      <c r="HM158" t="s">
        <v>4331</v>
      </c>
      <c r="HN158" t="s">
        <v>4331</v>
      </c>
      <c r="HO158" t="s">
        <v>4331</v>
      </c>
      <c r="HP158" t="s">
        <v>4331</v>
      </c>
      <c r="HQ158" t="s">
        <v>4331</v>
      </c>
      <c r="HR158" t="s">
        <v>4331</v>
      </c>
      <c r="HS158" t="s">
        <v>4331</v>
      </c>
      <c r="HT158" t="s">
        <v>4331</v>
      </c>
      <c r="HU158" t="s">
        <v>4331</v>
      </c>
      <c r="HV158" t="s">
        <v>4331</v>
      </c>
      <c r="HW158" t="s">
        <v>4331</v>
      </c>
      <c r="HX158" t="s">
        <v>4331</v>
      </c>
      <c r="HY158" t="s">
        <v>4331</v>
      </c>
      <c r="HZ158" t="s">
        <v>4331</v>
      </c>
      <c r="IA158" t="s">
        <v>4331</v>
      </c>
      <c r="IB158" t="s">
        <v>4331</v>
      </c>
      <c r="IC158" t="s">
        <v>4331</v>
      </c>
      <c r="ID158" t="s">
        <v>4331</v>
      </c>
      <c r="IE158" t="s">
        <v>4331</v>
      </c>
      <c r="IF158" t="s">
        <v>4331</v>
      </c>
      <c r="IG158" t="s">
        <v>4331</v>
      </c>
      <c r="IH158" t="s">
        <v>4331</v>
      </c>
      <c r="II158" t="s">
        <v>4331</v>
      </c>
      <c r="IJ158" t="s">
        <v>4331</v>
      </c>
      <c r="IK158" t="s">
        <v>4331</v>
      </c>
      <c r="IL158" t="s">
        <v>4331</v>
      </c>
      <c r="IM158" t="s">
        <v>4331</v>
      </c>
      <c r="IN158" t="s">
        <v>4331</v>
      </c>
      <c r="IO158" t="s">
        <v>4331</v>
      </c>
      <c r="IP158" t="s">
        <v>4331</v>
      </c>
      <c r="IQ158" t="s">
        <v>4331</v>
      </c>
      <c r="IR158" t="s">
        <v>4331</v>
      </c>
      <c r="IS158" t="s">
        <v>4331</v>
      </c>
      <c r="IT158" t="s">
        <v>4331</v>
      </c>
      <c r="IU158" t="s">
        <v>4331</v>
      </c>
      <c r="IV158" t="s">
        <v>4331</v>
      </c>
      <c r="IW158" t="s">
        <v>4331</v>
      </c>
      <c r="IX158" t="s">
        <v>4331</v>
      </c>
      <c r="IY158" t="s">
        <v>4331</v>
      </c>
      <c r="IZ158" t="s">
        <v>4331</v>
      </c>
      <c r="JA158" t="s">
        <v>4331</v>
      </c>
      <c r="JB158" t="s">
        <v>4331</v>
      </c>
      <c r="JC158" t="s">
        <v>4331</v>
      </c>
      <c r="JD158" t="s">
        <v>4331</v>
      </c>
      <c r="JE158" t="s">
        <v>4331</v>
      </c>
      <c r="JF158" t="s">
        <v>4331</v>
      </c>
      <c r="JG158" t="s">
        <v>4331</v>
      </c>
      <c r="JH158" t="s">
        <v>4331</v>
      </c>
      <c r="JI158" t="s">
        <v>4331</v>
      </c>
      <c r="JJ158" t="s">
        <v>4331</v>
      </c>
      <c r="JK158" t="s">
        <v>4331</v>
      </c>
      <c r="JL158" t="s">
        <v>4331</v>
      </c>
      <c r="JM158" t="s">
        <v>4331</v>
      </c>
      <c r="JN158" t="s">
        <v>4331</v>
      </c>
      <c r="JO158" t="s">
        <v>4331</v>
      </c>
      <c r="JP158" t="s">
        <v>4331</v>
      </c>
      <c r="JQ158" t="s">
        <v>4331</v>
      </c>
      <c r="JR158" t="s">
        <v>4331</v>
      </c>
      <c r="JS158" t="s">
        <v>4331</v>
      </c>
      <c r="JT158" t="s">
        <v>4331</v>
      </c>
      <c r="JU158" t="s">
        <v>4331</v>
      </c>
    </row>
    <row r="159" spans="43:281" x14ac:dyDescent="0.3">
      <c r="AQ159" t="s">
        <v>4346</v>
      </c>
      <c r="AR159" t="s">
        <v>4346</v>
      </c>
      <c r="AS159" t="s">
        <v>4346</v>
      </c>
      <c r="AT159" t="s">
        <v>4346</v>
      </c>
      <c r="AU159" t="s">
        <v>4346</v>
      </c>
      <c r="AV159" t="s">
        <v>4344</v>
      </c>
      <c r="AW159" t="s">
        <v>4344</v>
      </c>
      <c r="AX159" t="s">
        <v>4344</v>
      </c>
      <c r="AY159" t="s">
        <v>4344</v>
      </c>
      <c r="AZ159" t="s">
        <v>4344</v>
      </c>
      <c r="BA159" t="s">
        <v>4344</v>
      </c>
      <c r="BB159" t="s">
        <v>4344</v>
      </c>
      <c r="BC159" t="s">
        <v>4344</v>
      </c>
      <c r="BD159" t="s">
        <v>4344</v>
      </c>
      <c r="BE159" t="s">
        <v>4344</v>
      </c>
      <c r="BF159" t="s">
        <v>4344</v>
      </c>
      <c r="BG159" t="s">
        <v>4344</v>
      </c>
      <c r="BH159" t="s">
        <v>4344</v>
      </c>
      <c r="BI159" t="s">
        <v>4344</v>
      </c>
      <c r="CP159" t="s">
        <v>4347</v>
      </c>
      <c r="CY159" t="s">
        <v>4340</v>
      </c>
      <c r="CZ159" t="s">
        <v>4340</v>
      </c>
      <c r="DA159" t="s">
        <v>4340</v>
      </c>
      <c r="DB159" t="s">
        <v>4340</v>
      </c>
      <c r="DC159" t="s">
        <v>4340</v>
      </c>
      <c r="DK159" t="s">
        <v>4345</v>
      </c>
      <c r="DL159" t="s">
        <v>4345</v>
      </c>
      <c r="DM159" t="s">
        <v>4345</v>
      </c>
      <c r="DN159" t="s">
        <v>4345</v>
      </c>
      <c r="DO159" t="s">
        <v>4345</v>
      </c>
      <c r="DP159" t="s">
        <v>4345</v>
      </c>
      <c r="DQ159" t="s">
        <v>4345</v>
      </c>
      <c r="DR159" t="s">
        <v>4345</v>
      </c>
      <c r="DS159" t="s">
        <v>4345</v>
      </c>
      <c r="DT159" t="s">
        <v>4345</v>
      </c>
      <c r="DU159" t="s">
        <v>4345</v>
      </c>
      <c r="DV159" t="s">
        <v>4345</v>
      </c>
      <c r="DW159" t="s">
        <v>4345</v>
      </c>
      <c r="DX159" t="s">
        <v>4345</v>
      </c>
      <c r="DY159" t="s">
        <v>4345</v>
      </c>
      <c r="DZ159" t="s">
        <v>4345</v>
      </c>
      <c r="EA159" t="s">
        <v>4345</v>
      </c>
      <c r="EB159" t="s">
        <v>4345</v>
      </c>
      <c r="EC159" t="s">
        <v>4345</v>
      </c>
      <c r="ED159" t="s">
        <v>4345</v>
      </c>
      <c r="EE159" t="s">
        <v>4345</v>
      </c>
      <c r="EF159" t="s">
        <v>4345</v>
      </c>
      <c r="EG159" t="s">
        <v>4345</v>
      </c>
      <c r="EH159" t="s">
        <v>4345</v>
      </c>
      <c r="EI159" t="s">
        <v>4345</v>
      </c>
      <c r="EJ159" t="s">
        <v>4345</v>
      </c>
      <c r="EK159" t="s">
        <v>4345</v>
      </c>
      <c r="EL159" t="s">
        <v>4345</v>
      </c>
      <c r="EM159" t="s">
        <v>4345</v>
      </c>
      <c r="EN159" t="s">
        <v>4345</v>
      </c>
      <c r="EO159" t="s">
        <v>4345</v>
      </c>
      <c r="EP159" t="s">
        <v>4345</v>
      </c>
      <c r="EQ159" t="s">
        <v>4345</v>
      </c>
      <c r="ER159" t="s">
        <v>4345</v>
      </c>
      <c r="ES159" t="s">
        <v>4345</v>
      </c>
      <c r="ET159" t="s">
        <v>4345</v>
      </c>
      <c r="EU159" t="s">
        <v>4334</v>
      </c>
      <c r="EV159" t="s">
        <v>4334</v>
      </c>
      <c r="EW159" t="s">
        <v>4334</v>
      </c>
      <c r="EX159" t="s">
        <v>4350</v>
      </c>
      <c r="EY159" t="s">
        <v>4334</v>
      </c>
      <c r="EZ159" t="s">
        <v>4334</v>
      </c>
      <c r="FA159" t="s">
        <v>4334</v>
      </c>
      <c r="FB159" t="s">
        <v>4351</v>
      </c>
      <c r="FC159" t="s">
        <v>4351</v>
      </c>
      <c r="FN159" t="s">
        <v>4343</v>
      </c>
      <c r="FO159" t="s">
        <v>4343</v>
      </c>
      <c r="FP159" t="s">
        <v>4343</v>
      </c>
      <c r="FQ159" t="s">
        <v>4343</v>
      </c>
      <c r="FR159" t="s">
        <v>4343</v>
      </c>
      <c r="FS159" t="s">
        <v>4343</v>
      </c>
      <c r="FT159" t="s">
        <v>4343</v>
      </c>
      <c r="FU159" t="s">
        <v>4343</v>
      </c>
      <c r="FV159" t="s">
        <v>4343</v>
      </c>
      <c r="FW159" t="s">
        <v>4343</v>
      </c>
      <c r="FX159" t="s">
        <v>4343</v>
      </c>
      <c r="FY159" t="s">
        <v>4343</v>
      </c>
      <c r="FZ159" t="s">
        <v>4343</v>
      </c>
      <c r="GA159" t="s">
        <v>4343</v>
      </c>
      <c r="GB159" t="s">
        <v>4343</v>
      </c>
      <c r="GC159" t="s">
        <v>4343</v>
      </c>
      <c r="GD159" t="s">
        <v>4343</v>
      </c>
      <c r="GE159" t="s">
        <v>4343</v>
      </c>
      <c r="GF159" t="s">
        <v>4343</v>
      </c>
      <c r="GG159" t="s">
        <v>4343</v>
      </c>
      <c r="GH159" t="s">
        <v>4343</v>
      </c>
      <c r="GI159" t="s">
        <v>4348</v>
      </c>
      <c r="GJ159" t="s">
        <v>4348</v>
      </c>
      <c r="GK159" t="s">
        <v>4348</v>
      </c>
      <c r="GL159" t="s">
        <v>4348</v>
      </c>
      <c r="GM159" t="s">
        <v>4348</v>
      </c>
      <c r="GN159" t="s">
        <v>4348</v>
      </c>
      <c r="GO159" t="s">
        <v>4348</v>
      </c>
      <c r="GP159" t="s">
        <v>4349</v>
      </c>
      <c r="GQ159" t="s">
        <v>4349</v>
      </c>
      <c r="GR159" t="s">
        <v>4349</v>
      </c>
      <c r="GS159" t="s">
        <v>4349</v>
      </c>
      <c r="GT159" t="s">
        <v>4349</v>
      </c>
      <c r="GU159" t="s">
        <v>4349</v>
      </c>
      <c r="GV159" t="s">
        <v>4349</v>
      </c>
      <c r="GW159" t="s">
        <v>4349</v>
      </c>
      <c r="GX159" t="s">
        <v>4349</v>
      </c>
      <c r="GY159" t="s">
        <v>4349</v>
      </c>
      <c r="GZ159" t="s">
        <v>4349</v>
      </c>
      <c r="HA159" t="s">
        <v>4349</v>
      </c>
      <c r="HB159" t="s">
        <v>4331</v>
      </c>
      <c r="HC159" t="s">
        <v>4331</v>
      </c>
      <c r="HD159" t="s">
        <v>4331</v>
      </c>
      <c r="HE159" t="s">
        <v>4331</v>
      </c>
      <c r="HF159" t="s">
        <v>4331</v>
      </c>
      <c r="HG159" t="s">
        <v>4331</v>
      </c>
      <c r="HH159" t="s">
        <v>4331</v>
      </c>
      <c r="HI159" t="s">
        <v>4331</v>
      </c>
      <c r="HJ159" t="s">
        <v>4331</v>
      </c>
      <c r="HK159" t="s">
        <v>4331</v>
      </c>
      <c r="HL159" t="s">
        <v>4331</v>
      </c>
      <c r="HM159" t="s">
        <v>4331</v>
      </c>
      <c r="HN159" t="s">
        <v>4331</v>
      </c>
      <c r="HO159" t="s">
        <v>4331</v>
      </c>
      <c r="HP159" t="s">
        <v>4331</v>
      </c>
      <c r="HQ159" t="s">
        <v>4331</v>
      </c>
      <c r="HR159" t="s">
        <v>4331</v>
      </c>
      <c r="HS159" t="s">
        <v>4331</v>
      </c>
      <c r="HT159" t="s">
        <v>4331</v>
      </c>
      <c r="HU159" t="s">
        <v>4331</v>
      </c>
      <c r="HV159" t="s">
        <v>4331</v>
      </c>
      <c r="HW159" t="s">
        <v>4331</v>
      </c>
      <c r="HX159" t="s">
        <v>4331</v>
      </c>
      <c r="HY159" t="s">
        <v>4331</v>
      </c>
      <c r="HZ159" t="s">
        <v>4331</v>
      </c>
      <c r="IA159" t="s">
        <v>4331</v>
      </c>
      <c r="IB159" t="s">
        <v>4331</v>
      </c>
      <c r="IC159" t="s">
        <v>4331</v>
      </c>
      <c r="ID159" t="s">
        <v>4331</v>
      </c>
      <c r="IE159" t="s">
        <v>4331</v>
      </c>
      <c r="IF159" t="s">
        <v>4331</v>
      </c>
      <c r="IG159" t="s">
        <v>4331</v>
      </c>
      <c r="IH159" t="s">
        <v>4331</v>
      </c>
      <c r="II159" t="s">
        <v>4331</v>
      </c>
      <c r="IJ159" t="s">
        <v>4331</v>
      </c>
      <c r="IK159" t="s">
        <v>4331</v>
      </c>
      <c r="IL159" t="s">
        <v>4331</v>
      </c>
      <c r="IM159" t="s">
        <v>4331</v>
      </c>
      <c r="IN159" t="s">
        <v>4331</v>
      </c>
      <c r="IO159" t="s">
        <v>4331</v>
      </c>
      <c r="IP159" t="s">
        <v>4331</v>
      </c>
      <c r="IQ159" t="s">
        <v>4331</v>
      </c>
      <c r="IR159" t="s">
        <v>4331</v>
      </c>
      <c r="IS159" t="s">
        <v>4331</v>
      </c>
      <c r="IT159" t="s">
        <v>4331</v>
      </c>
      <c r="IU159" t="s">
        <v>4331</v>
      </c>
      <c r="IV159" t="s">
        <v>4331</v>
      </c>
      <c r="IW159" t="s">
        <v>4331</v>
      </c>
      <c r="IX159" t="s">
        <v>4331</v>
      </c>
      <c r="IY159" t="s">
        <v>4331</v>
      </c>
      <c r="IZ159" t="s">
        <v>4331</v>
      </c>
      <c r="JA159" t="s">
        <v>4331</v>
      </c>
      <c r="JB159" t="s">
        <v>4331</v>
      </c>
      <c r="JC159" t="s">
        <v>4331</v>
      </c>
      <c r="JD159" t="s">
        <v>4331</v>
      </c>
      <c r="JE159" t="s">
        <v>4331</v>
      </c>
      <c r="JF159" t="s">
        <v>4331</v>
      </c>
      <c r="JG159" t="s">
        <v>4331</v>
      </c>
      <c r="JH159" t="s">
        <v>4331</v>
      </c>
      <c r="JI159" t="s">
        <v>4331</v>
      </c>
      <c r="JJ159" t="s">
        <v>4331</v>
      </c>
      <c r="JK159" t="s">
        <v>4331</v>
      </c>
      <c r="JL159" t="s">
        <v>4331</v>
      </c>
      <c r="JM159" t="s">
        <v>4331</v>
      </c>
      <c r="JN159" t="s">
        <v>4331</v>
      </c>
      <c r="JO159" t="s">
        <v>4331</v>
      </c>
      <c r="JP159" t="s">
        <v>4331</v>
      </c>
      <c r="JQ159" t="s">
        <v>4331</v>
      </c>
      <c r="JR159" t="s">
        <v>4331</v>
      </c>
      <c r="JS159" t="s">
        <v>4331</v>
      </c>
      <c r="JT159" t="s">
        <v>4331</v>
      </c>
      <c r="JU159" t="s">
        <v>4331</v>
      </c>
    </row>
    <row r="160" spans="43:281" x14ac:dyDescent="0.3">
      <c r="AQ160" t="s">
        <v>4346</v>
      </c>
      <c r="AR160" t="s">
        <v>4346</v>
      </c>
      <c r="AS160" t="s">
        <v>4346</v>
      </c>
      <c r="AT160" t="s">
        <v>4346</v>
      </c>
      <c r="AU160" t="s">
        <v>4346</v>
      </c>
      <c r="AV160" t="s">
        <v>4344</v>
      </c>
      <c r="AW160" t="s">
        <v>4344</v>
      </c>
      <c r="AX160" t="s">
        <v>4344</v>
      </c>
      <c r="AY160" t="s">
        <v>4344</v>
      </c>
      <c r="AZ160" t="s">
        <v>4344</v>
      </c>
      <c r="BA160" t="s">
        <v>4344</v>
      </c>
      <c r="BB160" t="s">
        <v>4344</v>
      </c>
      <c r="BC160" t="s">
        <v>4344</v>
      </c>
      <c r="BD160" t="s">
        <v>4344</v>
      </c>
      <c r="BE160" t="s">
        <v>4344</v>
      </c>
      <c r="BF160" t="s">
        <v>4344</v>
      </c>
      <c r="BG160" t="s">
        <v>4344</v>
      </c>
      <c r="BH160" t="s">
        <v>4344</v>
      </c>
      <c r="BI160" t="s">
        <v>4344</v>
      </c>
      <c r="CA160" t="s">
        <v>4347</v>
      </c>
      <c r="CB160" t="s">
        <v>4347</v>
      </c>
      <c r="CP160" t="s">
        <v>4347</v>
      </c>
      <c r="CQ160" t="s">
        <v>4347</v>
      </c>
      <c r="CY160" t="s">
        <v>4340</v>
      </c>
      <c r="CZ160" t="s">
        <v>4340</v>
      </c>
      <c r="DA160" t="s">
        <v>4340</v>
      </c>
      <c r="DB160" t="s">
        <v>4340</v>
      </c>
      <c r="DC160" t="s">
        <v>4340</v>
      </c>
      <c r="DD160" t="s">
        <v>4340</v>
      </c>
      <c r="DK160" t="s">
        <v>4345</v>
      </c>
      <c r="DL160" t="s">
        <v>4345</v>
      </c>
      <c r="DM160" t="s">
        <v>4345</v>
      </c>
      <c r="DN160" t="s">
        <v>4345</v>
      </c>
      <c r="DO160" t="s">
        <v>4345</v>
      </c>
      <c r="DP160" t="s">
        <v>4345</v>
      </c>
      <c r="DQ160" t="s">
        <v>4345</v>
      </c>
      <c r="DR160" t="s">
        <v>4345</v>
      </c>
      <c r="DS160" t="s">
        <v>4345</v>
      </c>
      <c r="DT160" t="s">
        <v>4345</v>
      </c>
      <c r="DU160" t="s">
        <v>4345</v>
      </c>
      <c r="DV160" t="s">
        <v>4345</v>
      </c>
      <c r="DW160" t="s">
        <v>4345</v>
      </c>
      <c r="DX160" t="s">
        <v>4345</v>
      </c>
      <c r="DY160" t="s">
        <v>4345</v>
      </c>
      <c r="DZ160" t="s">
        <v>4345</v>
      </c>
      <c r="EA160" t="s">
        <v>4345</v>
      </c>
      <c r="EB160" t="s">
        <v>4345</v>
      </c>
      <c r="EC160" t="s">
        <v>4345</v>
      </c>
      <c r="ED160" t="s">
        <v>4345</v>
      </c>
      <c r="EE160" t="s">
        <v>4345</v>
      </c>
      <c r="EF160" t="s">
        <v>4345</v>
      </c>
      <c r="EG160" t="s">
        <v>4345</v>
      </c>
      <c r="EH160" t="s">
        <v>4345</v>
      </c>
      <c r="EI160" t="s">
        <v>4345</v>
      </c>
      <c r="EJ160" t="s">
        <v>4345</v>
      </c>
      <c r="EK160" t="s">
        <v>4345</v>
      </c>
      <c r="EL160" t="s">
        <v>4345</v>
      </c>
      <c r="EM160" t="s">
        <v>4345</v>
      </c>
      <c r="EN160" t="s">
        <v>4345</v>
      </c>
      <c r="EO160" t="s">
        <v>4345</v>
      </c>
      <c r="EP160" t="s">
        <v>4345</v>
      </c>
      <c r="EQ160" t="s">
        <v>4345</v>
      </c>
      <c r="ER160" t="s">
        <v>4345</v>
      </c>
      <c r="ES160" t="s">
        <v>4345</v>
      </c>
      <c r="ET160" t="s">
        <v>4334</v>
      </c>
      <c r="EU160" t="s">
        <v>4334</v>
      </c>
      <c r="EV160" t="s">
        <v>4351</v>
      </c>
      <c r="EW160" t="s">
        <v>4351</v>
      </c>
      <c r="EX160" t="s">
        <v>4350</v>
      </c>
      <c r="EY160" t="s">
        <v>4351</v>
      </c>
      <c r="EZ160" t="s">
        <v>4351</v>
      </c>
      <c r="FA160" t="s">
        <v>4334</v>
      </c>
      <c r="FB160" t="s">
        <v>4334</v>
      </c>
      <c r="FC160" t="s">
        <v>4351</v>
      </c>
      <c r="FD160" t="s">
        <v>4351</v>
      </c>
      <c r="FL160" t="s">
        <v>4343</v>
      </c>
      <c r="FM160" t="s">
        <v>4343</v>
      </c>
      <c r="FN160" t="s">
        <v>4343</v>
      </c>
      <c r="FO160" t="s">
        <v>4343</v>
      </c>
      <c r="FP160" t="s">
        <v>4343</v>
      </c>
      <c r="FQ160" t="s">
        <v>4343</v>
      </c>
      <c r="FR160" t="s">
        <v>4343</v>
      </c>
      <c r="FS160" t="s">
        <v>4343</v>
      </c>
      <c r="FT160" t="s">
        <v>4343</v>
      </c>
      <c r="FU160" t="s">
        <v>4343</v>
      </c>
      <c r="FV160" t="s">
        <v>4343</v>
      </c>
      <c r="FW160" t="s">
        <v>4343</v>
      </c>
      <c r="FX160" t="s">
        <v>4343</v>
      </c>
      <c r="FY160" t="s">
        <v>4343</v>
      </c>
      <c r="FZ160" t="s">
        <v>4343</v>
      </c>
      <c r="GA160" t="s">
        <v>4343</v>
      </c>
      <c r="GB160" t="s">
        <v>4343</v>
      </c>
      <c r="GC160" t="s">
        <v>4343</v>
      </c>
      <c r="GD160" t="s">
        <v>4343</v>
      </c>
      <c r="GE160" t="s">
        <v>4343</v>
      </c>
      <c r="GF160" t="s">
        <v>4343</v>
      </c>
      <c r="GG160" t="s">
        <v>4348</v>
      </c>
      <c r="GH160" t="s">
        <v>4348</v>
      </c>
      <c r="GI160" t="s">
        <v>4348</v>
      </c>
      <c r="GJ160" t="s">
        <v>4348</v>
      </c>
      <c r="GK160" t="s">
        <v>4348</v>
      </c>
      <c r="GL160" t="s">
        <v>4348</v>
      </c>
      <c r="GM160" t="s">
        <v>4348</v>
      </c>
      <c r="GN160" t="s">
        <v>4348</v>
      </c>
      <c r="GO160" t="s">
        <v>4349</v>
      </c>
      <c r="GP160" t="s">
        <v>4349</v>
      </c>
      <c r="GQ160" t="s">
        <v>4349</v>
      </c>
      <c r="GR160" t="s">
        <v>4349</v>
      </c>
      <c r="GS160" t="s">
        <v>4349</v>
      </c>
      <c r="GT160" t="s">
        <v>4349</v>
      </c>
      <c r="GU160" t="s">
        <v>4349</v>
      </c>
      <c r="GV160" t="s">
        <v>4349</v>
      </c>
      <c r="GW160" t="s">
        <v>4349</v>
      </c>
      <c r="GX160" t="s">
        <v>4349</v>
      </c>
      <c r="GY160" t="s">
        <v>4349</v>
      </c>
      <c r="GZ160" t="s">
        <v>4349</v>
      </c>
      <c r="HA160" t="s">
        <v>4331</v>
      </c>
      <c r="HB160" t="s">
        <v>4331</v>
      </c>
      <c r="HC160" t="s">
        <v>4331</v>
      </c>
      <c r="HD160" t="s">
        <v>4331</v>
      </c>
      <c r="HE160" t="s">
        <v>4331</v>
      </c>
      <c r="HF160" t="s">
        <v>4331</v>
      </c>
      <c r="HG160" t="s">
        <v>4331</v>
      </c>
      <c r="HH160" t="s">
        <v>4331</v>
      </c>
      <c r="HI160" t="s">
        <v>4331</v>
      </c>
      <c r="HJ160" t="s">
        <v>4331</v>
      </c>
      <c r="HK160" t="s">
        <v>4331</v>
      </c>
      <c r="HL160" t="s">
        <v>4331</v>
      </c>
      <c r="HM160" t="s">
        <v>4331</v>
      </c>
      <c r="HN160" t="s">
        <v>4331</v>
      </c>
      <c r="HO160" t="s">
        <v>4331</v>
      </c>
      <c r="HP160" t="s">
        <v>4331</v>
      </c>
      <c r="HQ160" t="s">
        <v>4331</v>
      </c>
      <c r="HR160" t="s">
        <v>4331</v>
      </c>
      <c r="HS160" t="s">
        <v>4331</v>
      </c>
      <c r="HT160" t="s">
        <v>4331</v>
      </c>
      <c r="HU160" t="s">
        <v>4331</v>
      </c>
      <c r="HV160" t="s">
        <v>4331</v>
      </c>
      <c r="HW160" t="s">
        <v>4331</v>
      </c>
      <c r="HX160" t="s">
        <v>4331</v>
      </c>
      <c r="HY160" t="s">
        <v>4331</v>
      </c>
      <c r="HZ160" t="s">
        <v>4331</v>
      </c>
      <c r="IA160" t="s">
        <v>4331</v>
      </c>
      <c r="IB160" t="s">
        <v>4331</v>
      </c>
      <c r="IC160" t="s">
        <v>4331</v>
      </c>
      <c r="ID160" t="s">
        <v>4331</v>
      </c>
      <c r="IE160" t="s">
        <v>4331</v>
      </c>
      <c r="IF160" t="s">
        <v>4331</v>
      </c>
      <c r="IG160" t="s">
        <v>4331</v>
      </c>
      <c r="IH160" t="s">
        <v>4331</v>
      </c>
      <c r="II160" t="s">
        <v>4331</v>
      </c>
      <c r="IJ160" t="s">
        <v>4331</v>
      </c>
      <c r="IK160" t="s">
        <v>4331</v>
      </c>
      <c r="IL160" t="s">
        <v>4331</v>
      </c>
      <c r="IM160" t="s">
        <v>4331</v>
      </c>
      <c r="IN160" t="s">
        <v>4331</v>
      </c>
      <c r="IO160" t="s">
        <v>4331</v>
      </c>
      <c r="IP160" t="s">
        <v>4331</v>
      </c>
      <c r="IQ160" t="s">
        <v>4331</v>
      </c>
      <c r="IR160" t="s">
        <v>4331</v>
      </c>
      <c r="IS160" t="s">
        <v>4331</v>
      </c>
      <c r="IT160" t="s">
        <v>4331</v>
      </c>
      <c r="IU160" t="s">
        <v>4331</v>
      </c>
      <c r="IV160" t="s">
        <v>4331</v>
      </c>
      <c r="IW160" t="s">
        <v>4331</v>
      </c>
      <c r="IX160" t="s">
        <v>4331</v>
      </c>
      <c r="IY160" t="s">
        <v>4331</v>
      </c>
      <c r="IZ160" t="s">
        <v>4331</v>
      </c>
      <c r="JA160" t="s">
        <v>4331</v>
      </c>
      <c r="JB160" t="s">
        <v>4331</v>
      </c>
      <c r="JC160" t="s">
        <v>4331</v>
      </c>
      <c r="JD160" t="s">
        <v>4331</v>
      </c>
      <c r="JE160" t="s">
        <v>4331</v>
      </c>
      <c r="JF160" t="s">
        <v>4331</v>
      </c>
      <c r="JG160" t="s">
        <v>4331</v>
      </c>
      <c r="JH160" t="s">
        <v>4331</v>
      </c>
      <c r="JI160" t="s">
        <v>4331</v>
      </c>
      <c r="JJ160" t="s">
        <v>4331</v>
      </c>
      <c r="JK160" t="s">
        <v>4331</v>
      </c>
      <c r="JL160" t="s">
        <v>4331</v>
      </c>
      <c r="JM160" t="s">
        <v>4331</v>
      </c>
      <c r="JN160" t="s">
        <v>4331</v>
      </c>
      <c r="JO160" t="s">
        <v>4331</v>
      </c>
      <c r="JP160" t="s">
        <v>4331</v>
      </c>
      <c r="JQ160" t="s">
        <v>4331</v>
      </c>
      <c r="JR160" t="s">
        <v>4331</v>
      </c>
      <c r="JS160" t="s">
        <v>4331</v>
      </c>
      <c r="JT160" t="s">
        <v>4331</v>
      </c>
      <c r="JU160" t="s">
        <v>4331</v>
      </c>
    </row>
    <row r="161" spans="44:281" x14ac:dyDescent="0.3">
      <c r="AR161" t="s">
        <v>4346</v>
      </c>
      <c r="AS161" t="s">
        <v>4346</v>
      </c>
      <c r="AT161" t="s">
        <v>4346</v>
      </c>
      <c r="AU161" t="s">
        <v>4346</v>
      </c>
      <c r="AV161" t="s">
        <v>4344</v>
      </c>
      <c r="AW161" t="s">
        <v>4344</v>
      </c>
      <c r="AX161" t="s">
        <v>4344</v>
      </c>
      <c r="AY161" t="s">
        <v>4344</v>
      </c>
      <c r="AZ161" t="s">
        <v>4344</v>
      </c>
      <c r="BA161" t="s">
        <v>4344</v>
      </c>
      <c r="BB161" t="s">
        <v>4344</v>
      </c>
      <c r="BC161" t="s">
        <v>4344</v>
      </c>
      <c r="BD161" t="s">
        <v>4344</v>
      </c>
      <c r="BE161" t="s">
        <v>4344</v>
      </c>
      <c r="BF161" t="s">
        <v>4344</v>
      </c>
      <c r="BG161" t="s">
        <v>4344</v>
      </c>
      <c r="BH161" t="s">
        <v>4344</v>
      </c>
      <c r="BI161" t="s">
        <v>4344</v>
      </c>
      <c r="CA161" t="s">
        <v>4347</v>
      </c>
      <c r="CB161" t="s">
        <v>4347</v>
      </c>
      <c r="CO161" t="s">
        <v>4347</v>
      </c>
      <c r="CP161" t="s">
        <v>4347</v>
      </c>
      <c r="CX161" t="s">
        <v>1504</v>
      </c>
      <c r="CY161" t="s">
        <v>4340</v>
      </c>
      <c r="CZ161" t="s">
        <v>4340</v>
      </c>
      <c r="DA161" t="s">
        <v>4340</v>
      </c>
      <c r="DB161" t="s">
        <v>4340</v>
      </c>
      <c r="DC161" t="s">
        <v>4340</v>
      </c>
      <c r="DK161" t="s">
        <v>4345</v>
      </c>
      <c r="DL161" t="s">
        <v>4345</v>
      </c>
      <c r="DM161" t="s">
        <v>4345</v>
      </c>
      <c r="DN161" t="s">
        <v>4345</v>
      </c>
      <c r="DO161" t="s">
        <v>4345</v>
      </c>
      <c r="DP161" t="s">
        <v>4345</v>
      </c>
      <c r="DQ161" t="s">
        <v>4345</v>
      </c>
      <c r="DR161" t="s">
        <v>4345</v>
      </c>
      <c r="DS161" t="s">
        <v>4345</v>
      </c>
      <c r="DT161" t="s">
        <v>4345</v>
      </c>
      <c r="DU161" t="s">
        <v>4345</v>
      </c>
      <c r="DV161" t="s">
        <v>4345</v>
      </c>
      <c r="DW161" t="s">
        <v>4345</v>
      </c>
      <c r="DX161" t="s">
        <v>4345</v>
      </c>
      <c r="DY161" t="s">
        <v>4345</v>
      </c>
      <c r="DZ161" t="s">
        <v>4345</v>
      </c>
      <c r="EA161" t="s">
        <v>4345</v>
      </c>
      <c r="EB161" t="s">
        <v>4345</v>
      </c>
      <c r="EC161" t="s">
        <v>4345</v>
      </c>
      <c r="ED161" t="s">
        <v>4345</v>
      </c>
      <c r="EE161" t="s">
        <v>4345</v>
      </c>
      <c r="EF161" t="s">
        <v>4345</v>
      </c>
      <c r="EG161" t="s">
        <v>4345</v>
      </c>
      <c r="EH161" t="s">
        <v>4345</v>
      </c>
      <c r="EI161" t="s">
        <v>4345</v>
      </c>
      <c r="EJ161" t="s">
        <v>4345</v>
      </c>
      <c r="EK161" t="s">
        <v>4345</v>
      </c>
      <c r="EL161" t="s">
        <v>4345</v>
      </c>
      <c r="EM161" t="s">
        <v>4345</v>
      </c>
      <c r="EN161" t="s">
        <v>4345</v>
      </c>
      <c r="EO161" t="s">
        <v>4345</v>
      </c>
      <c r="EP161" t="s">
        <v>4345</v>
      </c>
      <c r="EQ161" t="s">
        <v>4345</v>
      </c>
      <c r="ER161" t="s">
        <v>4345</v>
      </c>
      <c r="ES161" t="s">
        <v>4345</v>
      </c>
      <c r="ET161" t="s">
        <v>4345</v>
      </c>
      <c r="EU161" t="s">
        <v>4350</v>
      </c>
      <c r="EV161" t="s">
        <v>4350</v>
      </c>
      <c r="EW161" t="s">
        <v>4350</v>
      </c>
      <c r="EX161" t="s">
        <v>4351</v>
      </c>
      <c r="EY161" t="s">
        <v>4351</v>
      </c>
      <c r="EZ161" t="s">
        <v>4351</v>
      </c>
      <c r="FA161" t="s">
        <v>4351</v>
      </c>
      <c r="FB161" t="s">
        <v>4351</v>
      </c>
      <c r="FC161" t="s">
        <v>4351</v>
      </c>
      <c r="FD161" t="s">
        <v>4351</v>
      </c>
      <c r="FM161" t="s">
        <v>4343</v>
      </c>
      <c r="FN161" t="s">
        <v>4343</v>
      </c>
      <c r="FO161" t="s">
        <v>4343</v>
      </c>
      <c r="FP161" t="s">
        <v>4343</v>
      </c>
      <c r="FQ161" t="s">
        <v>4343</v>
      </c>
      <c r="FR161" t="s">
        <v>4343</v>
      </c>
      <c r="FS161" t="s">
        <v>4343</v>
      </c>
      <c r="FT161" t="s">
        <v>4343</v>
      </c>
      <c r="FU161" t="s">
        <v>4343</v>
      </c>
      <c r="FV161" t="s">
        <v>4343</v>
      </c>
      <c r="FW161" t="s">
        <v>4343</v>
      </c>
      <c r="FX161" t="s">
        <v>4343</v>
      </c>
      <c r="FY161" t="s">
        <v>4343</v>
      </c>
      <c r="FZ161" t="s">
        <v>4343</v>
      </c>
      <c r="GA161" t="s">
        <v>4343</v>
      </c>
      <c r="GB161" t="s">
        <v>4343</v>
      </c>
      <c r="GC161" t="s">
        <v>4343</v>
      </c>
      <c r="GD161" t="s">
        <v>4343</v>
      </c>
      <c r="GE161" t="s">
        <v>4343</v>
      </c>
      <c r="GF161" t="s">
        <v>4348</v>
      </c>
      <c r="GG161" t="s">
        <v>4348</v>
      </c>
      <c r="GH161" t="s">
        <v>4348</v>
      </c>
      <c r="GI161" t="s">
        <v>4348</v>
      </c>
      <c r="GJ161" t="s">
        <v>4348</v>
      </c>
      <c r="GK161" t="s">
        <v>4348</v>
      </c>
      <c r="GL161" t="s">
        <v>4348</v>
      </c>
      <c r="GM161" t="s">
        <v>4348</v>
      </c>
      <c r="GN161" t="s">
        <v>4348</v>
      </c>
      <c r="GO161" t="s">
        <v>4348</v>
      </c>
      <c r="GP161" t="s">
        <v>4348</v>
      </c>
      <c r="GQ161" t="s">
        <v>4349</v>
      </c>
      <c r="GR161" t="s">
        <v>4349</v>
      </c>
      <c r="GS161" t="s">
        <v>4352</v>
      </c>
      <c r="GT161" t="s">
        <v>4352</v>
      </c>
      <c r="GU161" t="s">
        <v>4352</v>
      </c>
      <c r="GV161" t="s">
        <v>4352</v>
      </c>
      <c r="GW161" t="s">
        <v>4352</v>
      </c>
      <c r="GX161" t="s">
        <v>4352</v>
      </c>
      <c r="GY161" t="s">
        <v>4352</v>
      </c>
      <c r="GZ161" t="s">
        <v>4352</v>
      </c>
      <c r="HA161" t="s">
        <v>4352</v>
      </c>
      <c r="HB161" t="s">
        <v>4331</v>
      </c>
      <c r="HC161" t="s">
        <v>4331</v>
      </c>
      <c r="HD161" t="s">
        <v>4331</v>
      </c>
      <c r="HE161" t="s">
        <v>4331</v>
      </c>
      <c r="HF161" t="s">
        <v>4331</v>
      </c>
      <c r="HG161" t="s">
        <v>4331</v>
      </c>
      <c r="HH161" t="s">
        <v>4331</v>
      </c>
      <c r="HI161" t="s">
        <v>4331</v>
      </c>
      <c r="HJ161" t="s">
        <v>4331</v>
      </c>
      <c r="HK161" t="s">
        <v>4331</v>
      </c>
      <c r="HL161" t="s">
        <v>4331</v>
      </c>
      <c r="HM161" t="s">
        <v>4331</v>
      </c>
      <c r="HN161" t="s">
        <v>4331</v>
      </c>
      <c r="HO161" t="s">
        <v>4331</v>
      </c>
      <c r="HP161" t="s">
        <v>4331</v>
      </c>
      <c r="HQ161" t="s">
        <v>4331</v>
      </c>
      <c r="HR161" t="s">
        <v>4331</v>
      </c>
      <c r="HS161" t="s">
        <v>4331</v>
      </c>
      <c r="HT161" t="s">
        <v>4331</v>
      </c>
      <c r="HU161" t="s">
        <v>4331</v>
      </c>
      <c r="HV161" t="s">
        <v>4331</v>
      </c>
      <c r="HW161" t="s">
        <v>4331</v>
      </c>
      <c r="HX161" t="s">
        <v>4331</v>
      </c>
      <c r="HY161" t="s">
        <v>4331</v>
      </c>
      <c r="HZ161" t="s">
        <v>4331</v>
      </c>
      <c r="IA161" t="s">
        <v>4331</v>
      </c>
      <c r="IB161" t="s">
        <v>4331</v>
      </c>
      <c r="IC161" t="s">
        <v>4331</v>
      </c>
      <c r="ID161" t="s">
        <v>4331</v>
      </c>
      <c r="IE161" t="s">
        <v>4331</v>
      </c>
      <c r="IF161" t="s">
        <v>4331</v>
      </c>
      <c r="IG161" t="s">
        <v>4331</v>
      </c>
      <c r="IH161" t="s">
        <v>4331</v>
      </c>
      <c r="II161" t="s">
        <v>4331</v>
      </c>
      <c r="IJ161" t="s">
        <v>4331</v>
      </c>
      <c r="IK161" t="s">
        <v>4331</v>
      </c>
      <c r="IL161" t="s">
        <v>4331</v>
      </c>
      <c r="IM161" t="s">
        <v>4331</v>
      </c>
      <c r="IN161" t="s">
        <v>4331</v>
      </c>
      <c r="IO161" t="s">
        <v>4331</v>
      </c>
      <c r="IP161" t="s">
        <v>4331</v>
      </c>
      <c r="IQ161" t="s">
        <v>4331</v>
      </c>
      <c r="IR161" t="s">
        <v>4331</v>
      </c>
      <c r="IS161" t="s">
        <v>4331</v>
      </c>
      <c r="IT161" t="s">
        <v>4331</v>
      </c>
      <c r="IU161" t="s">
        <v>4331</v>
      </c>
      <c r="IV161" t="s">
        <v>4331</v>
      </c>
      <c r="IW161" t="s">
        <v>4331</v>
      </c>
      <c r="IX161" t="s">
        <v>4331</v>
      </c>
      <c r="IY161" t="s">
        <v>4331</v>
      </c>
      <c r="IZ161" t="s">
        <v>4331</v>
      </c>
      <c r="JA161" t="s">
        <v>4331</v>
      </c>
      <c r="JB161" t="s">
        <v>4331</v>
      </c>
      <c r="JC161" t="s">
        <v>4331</v>
      </c>
      <c r="JD161" t="s">
        <v>4331</v>
      </c>
      <c r="JE161" t="s">
        <v>4331</v>
      </c>
      <c r="JF161" t="s">
        <v>4331</v>
      </c>
      <c r="JG161" t="s">
        <v>4331</v>
      </c>
      <c r="JH161" t="s">
        <v>4331</v>
      </c>
      <c r="JI161" t="s">
        <v>4331</v>
      </c>
      <c r="JJ161" t="s">
        <v>4331</v>
      </c>
      <c r="JK161" t="s">
        <v>4331</v>
      </c>
      <c r="JL161" t="s">
        <v>4331</v>
      </c>
      <c r="JM161" t="s">
        <v>4331</v>
      </c>
      <c r="JN161" t="s">
        <v>4331</v>
      </c>
      <c r="JO161" t="s">
        <v>4331</v>
      </c>
      <c r="JP161" t="s">
        <v>4331</v>
      </c>
      <c r="JQ161" t="s">
        <v>4331</v>
      </c>
      <c r="JR161" t="s">
        <v>4331</v>
      </c>
      <c r="JS161" t="s">
        <v>4331</v>
      </c>
      <c r="JT161" t="s">
        <v>4331</v>
      </c>
      <c r="JU161" t="s">
        <v>4331</v>
      </c>
    </row>
    <row r="162" spans="44:281" x14ac:dyDescent="0.3">
      <c r="AR162" t="s">
        <v>4346</v>
      </c>
      <c r="AS162" t="s">
        <v>4346</v>
      </c>
      <c r="AT162" t="s">
        <v>4346</v>
      </c>
      <c r="AU162" t="s">
        <v>4346</v>
      </c>
      <c r="AV162" t="s">
        <v>4344</v>
      </c>
      <c r="AW162" t="s">
        <v>4344</v>
      </c>
      <c r="AX162" t="s">
        <v>4344</v>
      </c>
      <c r="AY162" t="s">
        <v>4344</v>
      </c>
      <c r="AZ162" t="s">
        <v>4344</v>
      </c>
      <c r="BA162" t="s">
        <v>4344</v>
      </c>
      <c r="BB162" t="s">
        <v>4344</v>
      </c>
      <c r="BC162" t="s">
        <v>4344</v>
      </c>
      <c r="BD162" t="s">
        <v>4344</v>
      </c>
      <c r="BE162" t="s">
        <v>4344</v>
      </c>
      <c r="BF162" t="s">
        <v>4344</v>
      </c>
      <c r="BG162" t="s">
        <v>4344</v>
      </c>
      <c r="BH162" t="s">
        <v>4344</v>
      </c>
      <c r="BI162" t="s">
        <v>4344</v>
      </c>
      <c r="CA162" t="s">
        <v>4347</v>
      </c>
      <c r="CB162" t="s">
        <v>4347</v>
      </c>
      <c r="CC162" t="s">
        <v>4347</v>
      </c>
      <c r="CN162" t="s">
        <v>4347</v>
      </c>
      <c r="CO162" t="s">
        <v>4347</v>
      </c>
      <c r="CP162" t="s">
        <v>4347</v>
      </c>
      <c r="CT162" t="s">
        <v>4347</v>
      </c>
      <c r="CW162" t="s">
        <v>1504</v>
      </c>
      <c r="CX162" t="s">
        <v>1504</v>
      </c>
      <c r="CY162" t="s">
        <v>4340</v>
      </c>
      <c r="CZ162" t="s">
        <v>4340</v>
      </c>
      <c r="DA162" t="s">
        <v>4340</v>
      </c>
      <c r="DB162" t="s">
        <v>4340</v>
      </c>
      <c r="DD162" t="s">
        <v>4340</v>
      </c>
      <c r="DE162" t="s">
        <v>4340</v>
      </c>
      <c r="DF162" t="s">
        <v>4340</v>
      </c>
      <c r="DL162" t="s">
        <v>4345</v>
      </c>
      <c r="DM162" t="s">
        <v>4345</v>
      </c>
      <c r="DN162" t="s">
        <v>4345</v>
      </c>
      <c r="DO162" t="s">
        <v>4345</v>
      </c>
      <c r="DP162" t="s">
        <v>4345</v>
      </c>
      <c r="DQ162" t="s">
        <v>4345</v>
      </c>
      <c r="DR162" t="s">
        <v>4345</v>
      </c>
      <c r="DS162" t="s">
        <v>4345</v>
      </c>
      <c r="DT162" t="s">
        <v>4345</v>
      </c>
      <c r="DU162" t="s">
        <v>4345</v>
      </c>
      <c r="DV162" t="s">
        <v>4345</v>
      </c>
      <c r="DW162" t="s">
        <v>4345</v>
      </c>
      <c r="DX162" t="s">
        <v>4345</v>
      </c>
      <c r="DY162" t="s">
        <v>4345</v>
      </c>
      <c r="DZ162" t="s">
        <v>4345</v>
      </c>
      <c r="EA162" t="s">
        <v>4345</v>
      </c>
      <c r="EB162" t="s">
        <v>4345</v>
      </c>
      <c r="EC162" t="s">
        <v>4345</v>
      </c>
      <c r="ED162" t="s">
        <v>4345</v>
      </c>
      <c r="EE162" t="s">
        <v>4345</v>
      </c>
      <c r="EF162" t="s">
        <v>4345</v>
      </c>
      <c r="EG162" t="s">
        <v>4345</v>
      </c>
      <c r="EH162" t="s">
        <v>4345</v>
      </c>
      <c r="EI162" t="s">
        <v>4345</v>
      </c>
      <c r="EJ162" t="s">
        <v>4345</v>
      </c>
      <c r="EK162" t="s">
        <v>4345</v>
      </c>
      <c r="EL162" t="s">
        <v>4345</v>
      </c>
      <c r="EM162" t="s">
        <v>4345</v>
      </c>
      <c r="EN162" t="s">
        <v>4345</v>
      </c>
      <c r="EO162" t="s">
        <v>4345</v>
      </c>
      <c r="EP162" t="s">
        <v>4345</v>
      </c>
      <c r="EQ162" t="s">
        <v>4345</v>
      </c>
      <c r="ER162" t="s">
        <v>4345</v>
      </c>
      <c r="ES162" t="s">
        <v>4350</v>
      </c>
      <c r="ET162" t="s">
        <v>4350</v>
      </c>
      <c r="EU162" t="s">
        <v>4350</v>
      </c>
      <c r="EV162" t="s">
        <v>4350</v>
      </c>
      <c r="EW162" t="s">
        <v>4350</v>
      </c>
      <c r="EX162" t="s">
        <v>4351</v>
      </c>
      <c r="EY162" t="s">
        <v>4351</v>
      </c>
      <c r="EZ162" t="s">
        <v>4351</v>
      </c>
      <c r="FA162" t="s">
        <v>4351</v>
      </c>
      <c r="FB162" t="s">
        <v>4351</v>
      </c>
      <c r="FC162" t="s">
        <v>4351</v>
      </c>
      <c r="FD162" t="s">
        <v>4351</v>
      </c>
      <c r="FE162" t="s">
        <v>4351</v>
      </c>
      <c r="FF162" t="s">
        <v>4351</v>
      </c>
      <c r="FL162" t="s">
        <v>4343</v>
      </c>
      <c r="FM162" t="s">
        <v>4343</v>
      </c>
      <c r="FN162" t="s">
        <v>4343</v>
      </c>
      <c r="FO162" t="s">
        <v>4343</v>
      </c>
      <c r="FP162" t="s">
        <v>4343</v>
      </c>
      <c r="FQ162" t="s">
        <v>4343</v>
      </c>
      <c r="FR162" t="s">
        <v>4343</v>
      </c>
      <c r="FS162" t="s">
        <v>4343</v>
      </c>
      <c r="FT162" t="s">
        <v>4343</v>
      </c>
      <c r="FU162" t="s">
        <v>4343</v>
      </c>
      <c r="FV162" t="s">
        <v>4343</v>
      </c>
      <c r="FW162" t="s">
        <v>4343</v>
      </c>
      <c r="FX162" t="s">
        <v>4343</v>
      </c>
      <c r="FY162" t="s">
        <v>4343</v>
      </c>
      <c r="FZ162" t="s">
        <v>4343</v>
      </c>
      <c r="GA162" t="s">
        <v>4343</v>
      </c>
      <c r="GB162" t="s">
        <v>4343</v>
      </c>
      <c r="GC162" t="s">
        <v>4343</v>
      </c>
      <c r="GD162" t="s">
        <v>4343</v>
      </c>
      <c r="GE162" t="s">
        <v>4348</v>
      </c>
      <c r="GF162" t="s">
        <v>4348</v>
      </c>
      <c r="GG162" t="s">
        <v>4348</v>
      </c>
      <c r="GH162" t="s">
        <v>4348</v>
      </c>
      <c r="GI162" t="s">
        <v>4348</v>
      </c>
      <c r="GJ162" t="s">
        <v>4348</v>
      </c>
      <c r="GK162" t="s">
        <v>4348</v>
      </c>
      <c r="GL162" t="s">
        <v>4348</v>
      </c>
      <c r="GM162" t="s">
        <v>4348</v>
      </c>
      <c r="GN162" t="s">
        <v>4348</v>
      </c>
      <c r="GO162" t="s">
        <v>4348</v>
      </c>
      <c r="GP162" t="s">
        <v>4348</v>
      </c>
      <c r="GQ162" t="s">
        <v>4348</v>
      </c>
      <c r="GR162" t="s">
        <v>4349</v>
      </c>
      <c r="GS162" t="s">
        <v>4349</v>
      </c>
      <c r="GT162" t="s">
        <v>4349</v>
      </c>
      <c r="GU162" t="s">
        <v>4348</v>
      </c>
      <c r="GV162" t="s">
        <v>4348</v>
      </c>
      <c r="GW162" t="s">
        <v>4348</v>
      </c>
      <c r="GX162" t="s">
        <v>4352</v>
      </c>
      <c r="GY162" t="s">
        <v>4352</v>
      </c>
      <c r="GZ162" t="s">
        <v>4352</v>
      </c>
      <c r="HA162" t="s">
        <v>4352</v>
      </c>
      <c r="HB162" t="s">
        <v>4352</v>
      </c>
      <c r="HC162" t="s">
        <v>4331</v>
      </c>
      <c r="HD162" t="s">
        <v>4331</v>
      </c>
      <c r="HE162" t="s">
        <v>4331</v>
      </c>
      <c r="HF162" t="s">
        <v>4331</v>
      </c>
      <c r="HG162" t="s">
        <v>4331</v>
      </c>
      <c r="HH162" t="s">
        <v>4331</v>
      </c>
      <c r="HI162" t="s">
        <v>4331</v>
      </c>
      <c r="HJ162" t="s">
        <v>4331</v>
      </c>
      <c r="HK162" t="s">
        <v>4331</v>
      </c>
      <c r="HL162" t="s">
        <v>4331</v>
      </c>
      <c r="HM162" t="s">
        <v>4331</v>
      </c>
      <c r="HN162" t="s">
        <v>4331</v>
      </c>
      <c r="HO162" t="s">
        <v>4331</v>
      </c>
      <c r="HP162" t="s">
        <v>4331</v>
      </c>
      <c r="HQ162" t="s">
        <v>4331</v>
      </c>
      <c r="HR162" t="s">
        <v>4331</v>
      </c>
      <c r="HS162" t="s">
        <v>4331</v>
      </c>
      <c r="HT162" t="s">
        <v>4331</v>
      </c>
      <c r="HU162" t="s">
        <v>4331</v>
      </c>
      <c r="HV162" t="s">
        <v>4331</v>
      </c>
      <c r="HW162" t="s">
        <v>4331</v>
      </c>
      <c r="HX162" t="s">
        <v>4331</v>
      </c>
      <c r="HY162" t="s">
        <v>4331</v>
      </c>
      <c r="HZ162" t="s">
        <v>4331</v>
      </c>
      <c r="IA162" t="s">
        <v>4331</v>
      </c>
      <c r="IB162" t="s">
        <v>4331</v>
      </c>
      <c r="IC162" t="s">
        <v>4331</v>
      </c>
      <c r="ID162" t="s">
        <v>4331</v>
      </c>
      <c r="IE162" t="s">
        <v>4331</v>
      </c>
      <c r="IF162" t="s">
        <v>4331</v>
      </c>
      <c r="IG162" t="s">
        <v>4331</v>
      </c>
      <c r="IH162" t="s">
        <v>4331</v>
      </c>
      <c r="II162" t="s">
        <v>4331</v>
      </c>
      <c r="IJ162" t="s">
        <v>4331</v>
      </c>
      <c r="IK162" t="s">
        <v>4331</v>
      </c>
      <c r="IL162" t="s">
        <v>4331</v>
      </c>
      <c r="IM162" t="s">
        <v>4331</v>
      </c>
      <c r="IN162" t="s">
        <v>4331</v>
      </c>
      <c r="IO162" t="s">
        <v>4331</v>
      </c>
      <c r="IP162" t="s">
        <v>4331</v>
      </c>
      <c r="IQ162" t="s">
        <v>4331</v>
      </c>
      <c r="IR162" t="s">
        <v>4331</v>
      </c>
      <c r="IS162" t="s">
        <v>4331</v>
      </c>
      <c r="IT162" t="s">
        <v>4331</v>
      </c>
      <c r="IU162" t="s">
        <v>4331</v>
      </c>
      <c r="IV162" t="s">
        <v>4331</v>
      </c>
      <c r="IW162" t="s">
        <v>4331</v>
      </c>
      <c r="IX162" t="s">
        <v>4331</v>
      </c>
      <c r="IY162" t="s">
        <v>4331</v>
      </c>
      <c r="IZ162" t="s">
        <v>4331</v>
      </c>
      <c r="JA162" t="s">
        <v>4331</v>
      </c>
      <c r="JB162" t="s">
        <v>4331</v>
      </c>
      <c r="JC162" t="s">
        <v>4331</v>
      </c>
      <c r="JD162" t="s">
        <v>4331</v>
      </c>
      <c r="JE162" t="s">
        <v>4331</v>
      </c>
      <c r="JF162" t="s">
        <v>4331</v>
      </c>
      <c r="JG162" t="s">
        <v>4331</v>
      </c>
      <c r="JH162" t="s">
        <v>4331</v>
      </c>
      <c r="JI162" t="s">
        <v>4331</v>
      </c>
      <c r="JJ162" t="s">
        <v>4331</v>
      </c>
      <c r="JK162" t="s">
        <v>4331</v>
      </c>
      <c r="JL162" t="s">
        <v>4331</v>
      </c>
      <c r="JM162" t="s">
        <v>4331</v>
      </c>
      <c r="JN162" t="s">
        <v>4331</v>
      </c>
      <c r="JO162" t="s">
        <v>4331</v>
      </c>
      <c r="JP162" t="s">
        <v>4331</v>
      </c>
      <c r="JQ162" t="s">
        <v>4331</v>
      </c>
      <c r="JR162" t="s">
        <v>4331</v>
      </c>
      <c r="JS162" t="s">
        <v>4331</v>
      </c>
      <c r="JT162" t="s">
        <v>4331</v>
      </c>
      <c r="JU162" t="s">
        <v>4331</v>
      </c>
    </row>
    <row r="163" spans="44:281" x14ac:dyDescent="0.3">
      <c r="AR163" t="s">
        <v>4346</v>
      </c>
      <c r="AS163" t="s">
        <v>4346</v>
      </c>
      <c r="AT163" t="s">
        <v>4346</v>
      </c>
      <c r="AU163" t="s">
        <v>4346</v>
      </c>
      <c r="AV163" t="s">
        <v>4344</v>
      </c>
      <c r="AW163" t="s">
        <v>4344</v>
      </c>
      <c r="AX163" t="s">
        <v>4344</v>
      </c>
      <c r="AY163" t="s">
        <v>4344</v>
      </c>
      <c r="AZ163" t="s">
        <v>4344</v>
      </c>
      <c r="BA163" t="s">
        <v>4344</v>
      </c>
      <c r="BB163" t="s">
        <v>4344</v>
      </c>
      <c r="BC163" t="s">
        <v>4344</v>
      </c>
      <c r="BD163" t="s">
        <v>4344</v>
      </c>
      <c r="BE163" t="s">
        <v>4344</v>
      </c>
      <c r="BF163" t="s">
        <v>4344</v>
      </c>
      <c r="BG163" t="s">
        <v>4344</v>
      </c>
      <c r="BH163" t="s">
        <v>4344</v>
      </c>
      <c r="BI163" t="s">
        <v>4344</v>
      </c>
      <c r="BJ163" t="s">
        <v>4344</v>
      </c>
      <c r="BZ163" t="s">
        <v>4347</v>
      </c>
      <c r="CA163" t="s">
        <v>4347</v>
      </c>
      <c r="CB163" t="s">
        <v>4347</v>
      </c>
      <c r="CL163" t="s">
        <v>4347</v>
      </c>
      <c r="CM163" t="s">
        <v>4347</v>
      </c>
      <c r="CN163" t="s">
        <v>4347</v>
      </c>
      <c r="CO163" t="s">
        <v>4347</v>
      </c>
      <c r="CP163" t="s">
        <v>4347</v>
      </c>
      <c r="CQ163" t="s">
        <v>4347</v>
      </c>
      <c r="CR163" t="s">
        <v>4347</v>
      </c>
      <c r="CW163" t="s">
        <v>1504</v>
      </c>
      <c r="CX163" t="s">
        <v>1504</v>
      </c>
      <c r="CY163" t="s">
        <v>1504</v>
      </c>
      <c r="CZ163" t="s">
        <v>4340</v>
      </c>
      <c r="DA163" t="s">
        <v>4340</v>
      </c>
      <c r="DB163" t="s">
        <v>4340</v>
      </c>
      <c r="DC163" t="s">
        <v>4340</v>
      </c>
      <c r="DD163" t="s">
        <v>4340</v>
      </c>
      <c r="DE163" t="s">
        <v>4340</v>
      </c>
      <c r="DJ163" t="s">
        <v>4345</v>
      </c>
      <c r="DK163" t="s">
        <v>4345</v>
      </c>
      <c r="DL163" t="s">
        <v>4345</v>
      </c>
      <c r="DP163" t="s">
        <v>4345</v>
      </c>
      <c r="DQ163" t="s">
        <v>4345</v>
      </c>
      <c r="DR163" t="s">
        <v>4345</v>
      </c>
      <c r="DS163" t="s">
        <v>4345</v>
      </c>
      <c r="DT163" t="s">
        <v>4345</v>
      </c>
      <c r="DU163" t="s">
        <v>4345</v>
      </c>
      <c r="DV163" t="s">
        <v>4345</v>
      </c>
      <c r="DW163" t="s">
        <v>4345</v>
      </c>
      <c r="DX163" t="s">
        <v>4345</v>
      </c>
      <c r="DY163" t="s">
        <v>4345</v>
      </c>
      <c r="DZ163" t="s">
        <v>4345</v>
      </c>
      <c r="EA163" t="s">
        <v>4345</v>
      </c>
      <c r="EB163" t="s">
        <v>4345</v>
      </c>
      <c r="EC163" t="s">
        <v>4345</v>
      </c>
      <c r="ED163" t="s">
        <v>4345</v>
      </c>
      <c r="EE163" t="s">
        <v>4345</v>
      </c>
      <c r="EF163" t="s">
        <v>4345</v>
      </c>
      <c r="EG163" t="s">
        <v>4345</v>
      </c>
      <c r="EH163" t="s">
        <v>4345</v>
      </c>
      <c r="EI163" t="s">
        <v>4345</v>
      </c>
      <c r="EJ163" t="s">
        <v>4345</v>
      </c>
      <c r="EK163" t="s">
        <v>4345</v>
      </c>
      <c r="EL163" t="s">
        <v>4345</v>
      </c>
      <c r="EM163" t="s">
        <v>4345</v>
      </c>
      <c r="EN163" t="s">
        <v>4345</v>
      </c>
      <c r="EO163" t="s">
        <v>4345</v>
      </c>
      <c r="EP163" t="s">
        <v>4345</v>
      </c>
      <c r="EQ163" t="s">
        <v>4345</v>
      </c>
      <c r="ER163" t="s">
        <v>4345</v>
      </c>
      <c r="ES163" t="s">
        <v>4350</v>
      </c>
      <c r="ET163" t="s">
        <v>4350</v>
      </c>
      <c r="EU163" t="s">
        <v>4350</v>
      </c>
      <c r="EV163" t="s">
        <v>4350</v>
      </c>
      <c r="EW163" t="s">
        <v>4351</v>
      </c>
      <c r="EX163" t="s">
        <v>4351</v>
      </c>
      <c r="EY163" t="s">
        <v>4351</v>
      </c>
      <c r="EZ163" t="s">
        <v>4351</v>
      </c>
      <c r="FA163" t="s">
        <v>4351</v>
      </c>
      <c r="FB163" t="s">
        <v>4351</v>
      </c>
      <c r="FC163" t="s">
        <v>4351</v>
      </c>
      <c r="FD163" t="s">
        <v>4351</v>
      </c>
      <c r="FL163" t="s">
        <v>4343</v>
      </c>
      <c r="FN163" t="s">
        <v>4343</v>
      </c>
      <c r="FO163" t="s">
        <v>4343</v>
      </c>
      <c r="FP163" t="s">
        <v>4343</v>
      </c>
      <c r="FQ163" t="s">
        <v>4343</v>
      </c>
      <c r="FR163" t="s">
        <v>4343</v>
      </c>
      <c r="FS163" t="s">
        <v>4343</v>
      </c>
      <c r="FT163" t="s">
        <v>4343</v>
      </c>
      <c r="FU163" t="s">
        <v>4343</v>
      </c>
      <c r="FV163" t="s">
        <v>4343</v>
      </c>
      <c r="FW163" t="s">
        <v>4343</v>
      </c>
      <c r="FX163" t="s">
        <v>4343</v>
      </c>
      <c r="FY163" t="s">
        <v>4343</v>
      </c>
      <c r="FZ163" t="s">
        <v>4343</v>
      </c>
      <c r="GA163" t="s">
        <v>4343</v>
      </c>
      <c r="GB163" t="s">
        <v>4343</v>
      </c>
      <c r="GC163" t="s">
        <v>4343</v>
      </c>
      <c r="GD163" t="s">
        <v>4348</v>
      </c>
      <c r="GE163" t="s">
        <v>4348</v>
      </c>
      <c r="GF163" t="s">
        <v>4348</v>
      </c>
      <c r="GG163" t="s">
        <v>4348</v>
      </c>
      <c r="GH163" t="s">
        <v>4348</v>
      </c>
      <c r="GI163" t="s">
        <v>4348</v>
      </c>
      <c r="GJ163" t="s">
        <v>4348</v>
      </c>
      <c r="GK163" t="s">
        <v>4348</v>
      </c>
      <c r="GL163" t="s">
        <v>4348</v>
      </c>
      <c r="GM163" t="s">
        <v>4348</v>
      </c>
      <c r="GN163" t="s">
        <v>4348</v>
      </c>
      <c r="GO163" t="s">
        <v>4348</v>
      </c>
      <c r="GP163" t="s">
        <v>4353</v>
      </c>
      <c r="GQ163" t="s">
        <v>4348</v>
      </c>
      <c r="GR163" t="s">
        <v>4348</v>
      </c>
      <c r="GS163" t="s">
        <v>4349</v>
      </c>
      <c r="GT163" t="s">
        <v>4349</v>
      </c>
      <c r="GU163" t="s">
        <v>4348</v>
      </c>
      <c r="GV163" t="s">
        <v>4348</v>
      </c>
      <c r="GW163" t="s">
        <v>4348</v>
      </c>
      <c r="GX163" t="s">
        <v>4348</v>
      </c>
      <c r="GY163" t="s">
        <v>4348</v>
      </c>
      <c r="GZ163" t="s">
        <v>4352</v>
      </c>
      <c r="HA163" t="s">
        <v>4352</v>
      </c>
      <c r="HB163" t="s">
        <v>4352</v>
      </c>
      <c r="HC163" t="s">
        <v>4352</v>
      </c>
      <c r="HD163" t="s">
        <v>4352</v>
      </c>
      <c r="HE163" t="s">
        <v>4352</v>
      </c>
      <c r="HF163" t="s">
        <v>4352</v>
      </c>
      <c r="HG163" t="s">
        <v>4331</v>
      </c>
      <c r="HH163" t="s">
        <v>4331</v>
      </c>
      <c r="HI163" t="s">
        <v>4331</v>
      </c>
      <c r="HJ163" t="s">
        <v>4331</v>
      </c>
      <c r="HK163" t="s">
        <v>4331</v>
      </c>
      <c r="HL163" t="s">
        <v>4331</v>
      </c>
      <c r="HM163" t="s">
        <v>4331</v>
      </c>
      <c r="HN163" t="s">
        <v>4331</v>
      </c>
      <c r="HO163" t="s">
        <v>4331</v>
      </c>
      <c r="HP163" t="s">
        <v>4331</v>
      </c>
      <c r="HQ163" t="s">
        <v>4331</v>
      </c>
      <c r="HR163" t="s">
        <v>4331</v>
      </c>
      <c r="HS163" t="s">
        <v>4331</v>
      </c>
      <c r="HT163" t="s">
        <v>4331</v>
      </c>
      <c r="HU163" t="s">
        <v>4331</v>
      </c>
      <c r="HV163" t="s">
        <v>4331</v>
      </c>
      <c r="HW163" t="s">
        <v>4331</v>
      </c>
      <c r="HX163" t="s">
        <v>4331</v>
      </c>
      <c r="HY163" t="s">
        <v>4331</v>
      </c>
      <c r="HZ163" t="s">
        <v>4331</v>
      </c>
      <c r="IA163" t="s">
        <v>4331</v>
      </c>
      <c r="IB163" t="s">
        <v>4331</v>
      </c>
      <c r="IC163" t="s">
        <v>4331</v>
      </c>
      <c r="ID163" t="s">
        <v>4331</v>
      </c>
      <c r="IE163" t="s">
        <v>4331</v>
      </c>
      <c r="IF163" t="s">
        <v>4331</v>
      </c>
      <c r="IG163" t="s">
        <v>4331</v>
      </c>
      <c r="IH163" t="s">
        <v>4331</v>
      </c>
      <c r="II163" t="s">
        <v>4331</v>
      </c>
      <c r="IJ163" t="s">
        <v>4331</v>
      </c>
      <c r="IK163" t="s">
        <v>4331</v>
      </c>
      <c r="IL163" t="s">
        <v>4331</v>
      </c>
      <c r="IM163" t="s">
        <v>4331</v>
      </c>
      <c r="IN163" t="s">
        <v>4331</v>
      </c>
      <c r="IO163" t="s">
        <v>4331</v>
      </c>
      <c r="IP163" t="s">
        <v>4331</v>
      </c>
      <c r="IQ163" t="s">
        <v>4331</v>
      </c>
      <c r="IR163" t="s">
        <v>4331</v>
      </c>
      <c r="IS163" t="s">
        <v>4331</v>
      </c>
      <c r="IT163" t="s">
        <v>4331</v>
      </c>
      <c r="IU163" t="s">
        <v>4331</v>
      </c>
      <c r="IV163" t="s">
        <v>4331</v>
      </c>
      <c r="IW163" t="s">
        <v>4331</v>
      </c>
      <c r="IX163" t="s">
        <v>4331</v>
      </c>
      <c r="IY163" t="s">
        <v>4331</v>
      </c>
      <c r="IZ163" t="s">
        <v>4331</v>
      </c>
      <c r="JA163" t="s">
        <v>4331</v>
      </c>
      <c r="JB163" t="s">
        <v>4331</v>
      </c>
      <c r="JC163" t="s">
        <v>4331</v>
      </c>
      <c r="JD163" t="s">
        <v>4331</v>
      </c>
      <c r="JE163" t="s">
        <v>4331</v>
      </c>
      <c r="JF163" t="s">
        <v>4331</v>
      </c>
      <c r="JG163" t="s">
        <v>4331</v>
      </c>
      <c r="JH163" t="s">
        <v>4331</v>
      </c>
      <c r="JI163" t="s">
        <v>4331</v>
      </c>
      <c r="JJ163" t="s">
        <v>4331</v>
      </c>
      <c r="JK163" t="s">
        <v>4331</v>
      </c>
      <c r="JL163" t="s">
        <v>4331</v>
      </c>
      <c r="JM163" t="s">
        <v>4331</v>
      </c>
      <c r="JN163" t="s">
        <v>4331</v>
      </c>
      <c r="JO163" t="s">
        <v>4331</v>
      </c>
      <c r="JP163" t="s">
        <v>4331</v>
      </c>
      <c r="JQ163" t="s">
        <v>4331</v>
      </c>
      <c r="JR163" t="s">
        <v>4331</v>
      </c>
      <c r="JS163" t="s">
        <v>4331</v>
      </c>
      <c r="JT163" t="s">
        <v>4331</v>
      </c>
      <c r="JU163" t="s">
        <v>4331</v>
      </c>
    </row>
    <row r="164" spans="44:281" x14ac:dyDescent="0.3">
      <c r="AR164" t="s">
        <v>4346</v>
      </c>
      <c r="AS164" t="s">
        <v>4346</v>
      </c>
      <c r="AT164" t="s">
        <v>4346</v>
      </c>
      <c r="AU164" t="s">
        <v>4346</v>
      </c>
      <c r="AV164" t="s">
        <v>4346</v>
      </c>
      <c r="AW164" t="s">
        <v>4344</v>
      </c>
      <c r="AX164" t="s">
        <v>4344</v>
      </c>
      <c r="AY164" t="s">
        <v>4344</v>
      </c>
      <c r="AZ164" t="s">
        <v>4344</v>
      </c>
      <c r="BA164" t="s">
        <v>4344</v>
      </c>
      <c r="BB164" t="s">
        <v>4344</v>
      </c>
      <c r="BC164" t="s">
        <v>4344</v>
      </c>
      <c r="BD164" t="s">
        <v>4344</v>
      </c>
      <c r="BE164" t="s">
        <v>4344</v>
      </c>
      <c r="BF164" t="s">
        <v>4344</v>
      </c>
      <c r="BG164" t="s">
        <v>4344</v>
      </c>
      <c r="BH164" t="s">
        <v>4344</v>
      </c>
      <c r="BI164" t="s">
        <v>4344</v>
      </c>
      <c r="BJ164" t="s">
        <v>4344</v>
      </c>
      <c r="BK164" t="s">
        <v>4344</v>
      </c>
      <c r="BL164" t="s">
        <v>4344</v>
      </c>
      <c r="BM164" t="s">
        <v>4344</v>
      </c>
      <c r="CJ164" t="s">
        <v>4347</v>
      </c>
      <c r="CK164" t="s">
        <v>4347</v>
      </c>
      <c r="CL164" t="s">
        <v>4347</v>
      </c>
      <c r="CM164" t="s">
        <v>4347</v>
      </c>
      <c r="CN164" t="s">
        <v>4347</v>
      </c>
      <c r="CO164" t="s">
        <v>4347</v>
      </c>
      <c r="CP164" t="s">
        <v>4347</v>
      </c>
      <c r="CW164" t="s">
        <v>1504</v>
      </c>
      <c r="CX164" t="s">
        <v>1504</v>
      </c>
      <c r="CY164" t="s">
        <v>4354</v>
      </c>
      <c r="CZ164" t="s">
        <v>4354</v>
      </c>
      <c r="DA164" t="s">
        <v>4354</v>
      </c>
      <c r="DB164" t="s">
        <v>4354</v>
      </c>
      <c r="DC164" t="s">
        <v>4340</v>
      </c>
      <c r="DD164" t="s">
        <v>4340</v>
      </c>
      <c r="DE164" t="s">
        <v>4340</v>
      </c>
      <c r="DF164" t="s">
        <v>4340</v>
      </c>
      <c r="DG164" t="s">
        <v>4340</v>
      </c>
      <c r="DH164" t="s">
        <v>4355</v>
      </c>
      <c r="DI164" t="s">
        <v>4340</v>
      </c>
      <c r="DJ164" t="s">
        <v>4340</v>
      </c>
      <c r="DK164" t="s">
        <v>4345</v>
      </c>
      <c r="DL164" t="s">
        <v>4345</v>
      </c>
      <c r="DM164" t="s">
        <v>4345</v>
      </c>
      <c r="DN164" t="s">
        <v>4345</v>
      </c>
      <c r="DO164" t="s">
        <v>4345</v>
      </c>
      <c r="DU164" t="s">
        <v>4345</v>
      </c>
      <c r="DV164" t="s">
        <v>4345</v>
      </c>
      <c r="DW164" t="s">
        <v>4345</v>
      </c>
      <c r="DX164" t="s">
        <v>4345</v>
      </c>
      <c r="DY164" t="s">
        <v>4345</v>
      </c>
      <c r="DZ164" t="s">
        <v>4345</v>
      </c>
      <c r="EA164" t="s">
        <v>4345</v>
      </c>
      <c r="EB164" t="s">
        <v>4345</v>
      </c>
      <c r="EC164" t="s">
        <v>4345</v>
      </c>
      <c r="ED164" t="s">
        <v>4345</v>
      </c>
      <c r="EE164" t="s">
        <v>4345</v>
      </c>
      <c r="EN164" t="s">
        <v>4345</v>
      </c>
      <c r="EO164" t="s">
        <v>4345</v>
      </c>
      <c r="EP164" t="s">
        <v>4345</v>
      </c>
      <c r="EQ164" t="s">
        <v>4345</v>
      </c>
      <c r="ER164" t="s">
        <v>4345</v>
      </c>
      <c r="ES164" t="s">
        <v>396</v>
      </c>
      <c r="ET164" t="s">
        <v>396</v>
      </c>
      <c r="EU164" t="s">
        <v>396</v>
      </c>
      <c r="EV164" t="s">
        <v>4351</v>
      </c>
      <c r="EW164" t="s">
        <v>396</v>
      </c>
      <c r="EX164" t="s">
        <v>396</v>
      </c>
      <c r="EY164" t="s">
        <v>4351</v>
      </c>
      <c r="EZ164" t="s">
        <v>4351</v>
      </c>
      <c r="FA164" t="s">
        <v>4356</v>
      </c>
      <c r="FB164" t="s">
        <v>4351</v>
      </c>
      <c r="FC164" t="s">
        <v>4351</v>
      </c>
      <c r="FO164" t="s">
        <v>4343</v>
      </c>
      <c r="FP164" t="s">
        <v>4343</v>
      </c>
      <c r="FQ164" t="s">
        <v>4343</v>
      </c>
      <c r="FR164" t="s">
        <v>4343</v>
      </c>
      <c r="FS164" t="s">
        <v>4343</v>
      </c>
      <c r="FT164" t="s">
        <v>4343</v>
      </c>
      <c r="FU164" t="s">
        <v>4343</v>
      </c>
      <c r="FV164" t="s">
        <v>4343</v>
      </c>
      <c r="FW164" t="s">
        <v>4343</v>
      </c>
      <c r="FX164" t="s">
        <v>4343</v>
      </c>
      <c r="FY164" t="s">
        <v>4343</v>
      </c>
      <c r="FZ164" t="s">
        <v>4343</v>
      </c>
      <c r="GA164" t="s">
        <v>4348</v>
      </c>
      <c r="GB164" t="s">
        <v>4343</v>
      </c>
      <c r="GC164" t="s">
        <v>4348</v>
      </c>
      <c r="GD164" t="s">
        <v>4348</v>
      </c>
      <c r="GE164" t="s">
        <v>4348</v>
      </c>
      <c r="GF164" t="s">
        <v>4348</v>
      </c>
      <c r="GG164" t="s">
        <v>4348</v>
      </c>
      <c r="GH164" t="s">
        <v>4348</v>
      </c>
      <c r="GI164" t="s">
        <v>4348</v>
      </c>
      <c r="GJ164" t="s">
        <v>4348</v>
      </c>
      <c r="GK164" t="s">
        <v>4348</v>
      </c>
      <c r="GL164" t="s">
        <v>4348</v>
      </c>
      <c r="GM164" t="s">
        <v>4353</v>
      </c>
      <c r="GN164" t="s">
        <v>4353</v>
      </c>
      <c r="GO164" t="s">
        <v>4353</v>
      </c>
      <c r="GP164" t="s">
        <v>4353</v>
      </c>
      <c r="GQ164" t="s">
        <v>4353</v>
      </c>
      <c r="GR164" t="s">
        <v>4348</v>
      </c>
      <c r="GS164" t="s">
        <v>4348</v>
      </c>
      <c r="GT164" t="s">
        <v>4348</v>
      </c>
      <c r="GU164" t="s">
        <v>4348</v>
      </c>
      <c r="GV164" t="s">
        <v>4352</v>
      </c>
      <c r="GW164" t="s">
        <v>4348</v>
      </c>
      <c r="GX164" t="s">
        <v>4352</v>
      </c>
      <c r="GY164" t="s">
        <v>4352</v>
      </c>
      <c r="GZ164" t="s">
        <v>4352</v>
      </c>
      <c r="HA164" t="s">
        <v>4352</v>
      </c>
      <c r="HB164" t="s">
        <v>4352</v>
      </c>
      <c r="HC164" t="s">
        <v>4352</v>
      </c>
      <c r="HD164" t="s">
        <v>4352</v>
      </c>
      <c r="HE164" t="s">
        <v>4352</v>
      </c>
      <c r="HF164" t="s">
        <v>4352</v>
      </c>
      <c r="HG164" t="s">
        <v>4352</v>
      </c>
      <c r="HH164" t="s">
        <v>4352</v>
      </c>
      <c r="HI164" t="s">
        <v>4352</v>
      </c>
      <c r="HJ164" t="s">
        <v>4331</v>
      </c>
      <c r="HK164" t="s">
        <v>4331</v>
      </c>
      <c r="HL164" t="s">
        <v>4331</v>
      </c>
      <c r="HM164" t="s">
        <v>4331</v>
      </c>
      <c r="HN164" t="s">
        <v>4331</v>
      </c>
      <c r="HO164" t="s">
        <v>4331</v>
      </c>
      <c r="HP164" t="s">
        <v>4331</v>
      </c>
      <c r="HQ164" t="s">
        <v>4331</v>
      </c>
      <c r="HR164" t="s">
        <v>4331</v>
      </c>
      <c r="HS164" t="s">
        <v>4331</v>
      </c>
      <c r="HT164" t="s">
        <v>4331</v>
      </c>
      <c r="HU164" t="s">
        <v>4331</v>
      </c>
      <c r="HV164" t="s">
        <v>4331</v>
      </c>
      <c r="HW164" t="s">
        <v>4331</v>
      </c>
      <c r="HX164" t="s">
        <v>4331</v>
      </c>
      <c r="HY164" t="s">
        <v>4331</v>
      </c>
      <c r="HZ164" t="s">
        <v>4331</v>
      </c>
      <c r="IA164" t="s">
        <v>4331</v>
      </c>
      <c r="IB164" t="s">
        <v>4331</v>
      </c>
      <c r="IC164" t="s">
        <v>4331</v>
      </c>
      <c r="ID164" t="s">
        <v>4331</v>
      </c>
      <c r="IE164" t="s">
        <v>4331</v>
      </c>
      <c r="IF164" t="s">
        <v>4331</v>
      </c>
      <c r="IG164" t="s">
        <v>4331</v>
      </c>
      <c r="IH164" t="s">
        <v>4331</v>
      </c>
      <c r="II164" t="s">
        <v>4331</v>
      </c>
      <c r="IJ164" t="s">
        <v>4331</v>
      </c>
      <c r="IK164" t="s">
        <v>4331</v>
      </c>
      <c r="IL164" t="s">
        <v>4331</v>
      </c>
      <c r="IM164" t="s">
        <v>4331</v>
      </c>
      <c r="IN164" t="s">
        <v>4331</v>
      </c>
      <c r="IO164" t="s">
        <v>4331</v>
      </c>
      <c r="IP164" t="s">
        <v>4331</v>
      </c>
      <c r="IQ164" t="s">
        <v>4331</v>
      </c>
      <c r="IR164" t="s">
        <v>4331</v>
      </c>
      <c r="IS164" t="s">
        <v>4331</v>
      </c>
      <c r="IT164" t="s">
        <v>4331</v>
      </c>
      <c r="IU164" t="s">
        <v>4331</v>
      </c>
      <c r="IV164" t="s">
        <v>4331</v>
      </c>
      <c r="IW164" t="s">
        <v>4331</v>
      </c>
      <c r="IX164" t="s">
        <v>4331</v>
      </c>
      <c r="IY164" t="s">
        <v>4331</v>
      </c>
      <c r="IZ164" t="s">
        <v>4331</v>
      </c>
      <c r="JA164" t="s">
        <v>4331</v>
      </c>
      <c r="JB164" t="s">
        <v>4331</v>
      </c>
      <c r="JC164" t="s">
        <v>4331</v>
      </c>
      <c r="JD164" t="s">
        <v>4331</v>
      </c>
      <c r="JE164" t="s">
        <v>4331</v>
      </c>
      <c r="JF164" t="s">
        <v>4331</v>
      </c>
      <c r="JG164" t="s">
        <v>4331</v>
      </c>
      <c r="JH164" t="s">
        <v>4331</v>
      </c>
      <c r="JI164" t="s">
        <v>4331</v>
      </c>
      <c r="JJ164" t="s">
        <v>4331</v>
      </c>
      <c r="JK164" t="s">
        <v>4331</v>
      </c>
      <c r="JL164" t="s">
        <v>4331</v>
      </c>
      <c r="JM164" t="s">
        <v>4331</v>
      </c>
      <c r="JN164" t="s">
        <v>4331</v>
      </c>
      <c r="JO164" t="s">
        <v>4331</v>
      </c>
      <c r="JP164" t="s">
        <v>4331</v>
      </c>
      <c r="JQ164" t="s">
        <v>4331</v>
      </c>
      <c r="JR164" t="s">
        <v>4331</v>
      </c>
      <c r="JS164" t="s">
        <v>4331</v>
      </c>
      <c r="JT164" t="s">
        <v>4331</v>
      </c>
      <c r="JU164" t="s">
        <v>4331</v>
      </c>
    </row>
    <row r="165" spans="44:281" x14ac:dyDescent="0.3">
      <c r="AR165" t="s">
        <v>4346</v>
      </c>
      <c r="AS165" t="s">
        <v>4346</v>
      </c>
      <c r="AT165" t="s">
        <v>4346</v>
      </c>
      <c r="AU165" t="s">
        <v>4346</v>
      </c>
      <c r="AV165" t="s">
        <v>4346</v>
      </c>
      <c r="AW165" t="s">
        <v>4344</v>
      </c>
      <c r="AX165" t="s">
        <v>4344</v>
      </c>
      <c r="AY165" t="s">
        <v>4344</v>
      </c>
      <c r="AZ165" t="s">
        <v>4344</v>
      </c>
      <c r="BA165" t="s">
        <v>4344</v>
      </c>
      <c r="BB165" t="s">
        <v>4344</v>
      </c>
      <c r="BC165" t="s">
        <v>4344</v>
      </c>
      <c r="BD165" t="s">
        <v>4344</v>
      </c>
      <c r="BE165" t="s">
        <v>4344</v>
      </c>
      <c r="BF165" t="s">
        <v>4344</v>
      </c>
      <c r="BG165" t="s">
        <v>4344</v>
      </c>
      <c r="BH165" t="s">
        <v>4344</v>
      </c>
      <c r="BI165" t="s">
        <v>4344</v>
      </c>
      <c r="BJ165" t="s">
        <v>4344</v>
      </c>
      <c r="BK165" t="s">
        <v>4344</v>
      </c>
      <c r="BL165" t="s">
        <v>4344</v>
      </c>
      <c r="BM165" t="s">
        <v>4344</v>
      </c>
      <c r="BN165" t="s">
        <v>4344</v>
      </c>
      <c r="BO165" t="s">
        <v>4344</v>
      </c>
      <c r="CA165" t="s">
        <v>4357</v>
      </c>
      <c r="CB165" t="s">
        <v>4357</v>
      </c>
      <c r="CH165" t="s">
        <v>4347</v>
      </c>
      <c r="CI165" t="s">
        <v>4347</v>
      </c>
      <c r="CJ165" t="s">
        <v>4347</v>
      </c>
      <c r="CK165" t="s">
        <v>4347</v>
      </c>
      <c r="CL165" t="s">
        <v>4347</v>
      </c>
      <c r="CM165" t="s">
        <v>4347</v>
      </c>
      <c r="CN165" t="s">
        <v>4347</v>
      </c>
      <c r="CO165" t="s">
        <v>4347</v>
      </c>
      <c r="CW165" t="s">
        <v>1504</v>
      </c>
      <c r="CX165" t="s">
        <v>1504</v>
      </c>
      <c r="CY165" t="s">
        <v>4354</v>
      </c>
      <c r="CZ165" t="s">
        <v>4354</v>
      </c>
      <c r="DA165" t="s">
        <v>4354</v>
      </c>
      <c r="DB165" t="s">
        <v>4354</v>
      </c>
      <c r="DC165" t="s">
        <v>4354</v>
      </c>
      <c r="DD165" t="s">
        <v>4355</v>
      </c>
      <c r="DE165" t="s">
        <v>4355</v>
      </c>
      <c r="DF165" t="s">
        <v>4355</v>
      </c>
      <c r="DG165" t="s">
        <v>4355</v>
      </c>
      <c r="DH165" t="s">
        <v>4355</v>
      </c>
      <c r="DI165" t="s">
        <v>4355</v>
      </c>
      <c r="DJ165" t="s">
        <v>4340</v>
      </c>
      <c r="DK165" t="s">
        <v>4345</v>
      </c>
      <c r="DL165" t="s">
        <v>4345</v>
      </c>
      <c r="DM165" t="s">
        <v>4345</v>
      </c>
      <c r="DW165" t="s">
        <v>4345</v>
      </c>
      <c r="DX165" t="s">
        <v>4345</v>
      </c>
      <c r="DY165" t="s">
        <v>4345</v>
      </c>
      <c r="DZ165" t="s">
        <v>4345</v>
      </c>
      <c r="EA165" t="s">
        <v>4345</v>
      </c>
      <c r="EB165" t="s">
        <v>4345</v>
      </c>
      <c r="EC165" t="s">
        <v>4345</v>
      </c>
      <c r="EO165" t="s">
        <v>396</v>
      </c>
      <c r="EP165" t="s">
        <v>396</v>
      </c>
      <c r="EQ165" t="s">
        <v>396</v>
      </c>
      <c r="ER165" t="s">
        <v>396</v>
      </c>
      <c r="ES165" t="s">
        <v>396</v>
      </c>
      <c r="ET165" t="s">
        <v>396</v>
      </c>
      <c r="EU165" t="s">
        <v>396</v>
      </c>
      <c r="EV165" t="s">
        <v>396</v>
      </c>
      <c r="EW165" t="s">
        <v>396</v>
      </c>
      <c r="EX165" t="s">
        <v>4351</v>
      </c>
      <c r="EY165" t="s">
        <v>4351</v>
      </c>
      <c r="EZ165" t="s">
        <v>4356</v>
      </c>
      <c r="FA165" t="s">
        <v>4356</v>
      </c>
      <c r="FB165" t="s">
        <v>4356</v>
      </c>
      <c r="FK165" t="s">
        <v>4343</v>
      </c>
      <c r="FN165" t="s">
        <v>4343</v>
      </c>
      <c r="FO165" t="s">
        <v>4343</v>
      </c>
      <c r="FP165" t="s">
        <v>4353</v>
      </c>
      <c r="FQ165" t="s">
        <v>4353</v>
      </c>
      <c r="FR165" t="s">
        <v>4348</v>
      </c>
      <c r="FS165" t="s">
        <v>4348</v>
      </c>
      <c r="FT165" t="s">
        <v>4343</v>
      </c>
      <c r="FU165" t="s">
        <v>4343</v>
      </c>
      <c r="FV165" t="s">
        <v>4343</v>
      </c>
      <c r="FW165" t="s">
        <v>4343</v>
      </c>
      <c r="FX165" t="s">
        <v>4343</v>
      </c>
      <c r="FY165" t="s">
        <v>4343</v>
      </c>
      <c r="FZ165" t="s">
        <v>4348</v>
      </c>
      <c r="GA165" t="s">
        <v>4348</v>
      </c>
      <c r="GB165" t="s">
        <v>4348</v>
      </c>
      <c r="GC165" t="s">
        <v>4348</v>
      </c>
      <c r="GD165" t="s">
        <v>4348</v>
      </c>
      <c r="GE165" t="s">
        <v>4348</v>
      </c>
      <c r="GF165" t="s">
        <v>4348</v>
      </c>
      <c r="GG165" t="s">
        <v>4348</v>
      </c>
      <c r="GH165" t="s">
        <v>4348</v>
      </c>
      <c r="GI165" t="s">
        <v>4348</v>
      </c>
      <c r="GJ165" t="s">
        <v>4348</v>
      </c>
      <c r="GK165" t="s">
        <v>4348</v>
      </c>
      <c r="GL165" t="s">
        <v>4348</v>
      </c>
      <c r="GM165" t="s">
        <v>4353</v>
      </c>
      <c r="GN165" t="s">
        <v>4353</v>
      </c>
      <c r="GO165" t="s">
        <v>4353</v>
      </c>
      <c r="GP165" t="s">
        <v>4353</v>
      </c>
      <c r="GQ165" t="s">
        <v>4353</v>
      </c>
      <c r="GR165" t="s">
        <v>4353</v>
      </c>
      <c r="GS165" t="s">
        <v>4353</v>
      </c>
      <c r="GT165" t="s">
        <v>4348</v>
      </c>
      <c r="GU165" t="s">
        <v>4352</v>
      </c>
      <c r="GV165" t="s">
        <v>4352</v>
      </c>
      <c r="GW165" t="s">
        <v>4352</v>
      </c>
      <c r="GX165" t="s">
        <v>4352</v>
      </c>
      <c r="GY165" t="s">
        <v>4352</v>
      </c>
      <c r="GZ165" t="s">
        <v>4352</v>
      </c>
      <c r="HA165" t="s">
        <v>4352</v>
      </c>
      <c r="HB165" t="s">
        <v>4352</v>
      </c>
      <c r="HC165" t="s">
        <v>4352</v>
      </c>
      <c r="HD165" t="s">
        <v>4352</v>
      </c>
      <c r="HE165" t="s">
        <v>4352</v>
      </c>
      <c r="HF165" t="s">
        <v>4352</v>
      </c>
      <c r="HG165" t="s">
        <v>4352</v>
      </c>
      <c r="HH165" t="s">
        <v>4352</v>
      </c>
      <c r="HI165" t="s">
        <v>4352</v>
      </c>
      <c r="HJ165" t="s">
        <v>4352</v>
      </c>
      <c r="HK165" t="s">
        <v>4352</v>
      </c>
      <c r="HL165" t="s">
        <v>4331</v>
      </c>
      <c r="HM165" t="s">
        <v>4331</v>
      </c>
      <c r="HN165" t="s">
        <v>4331</v>
      </c>
      <c r="HO165" t="s">
        <v>4331</v>
      </c>
      <c r="HP165" t="s">
        <v>4331</v>
      </c>
      <c r="HQ165" t="s">
        <v>4331</v>
      </c>
      <c r="HR165" t="s">
        <v>4331</v>
      </c>
      <c r="HS165" t="s">
        <v>4331</v>
      </c>
      <c r="HT165" t="s">
        <v>4331</v>
      </c>
      <c r="HU165" t="s">
        <v>4331</v>
      </c>
      <c r="HV165" t="s">
        <v>4331</v>
      </c>
      <c r="HW165" t="s">
        <v>4331</v>
      </c>
      <c r="HX165" t="s">
        <v>4331</v>
      </c>
      <c r="HY165" t="s">
        <v>4331</v>
      </c>
      <c r="HZ165" t="s">
        <v>4331</v>
      </c>
      <c r="IA165" t="s">
        <v>4331</v>
      </c>
      <c r="IB165" t="s">
        <v>4331</v>
      </c>
      <c r="IC165" t="s">
        <v>4331</v>
      </c>
      <c r="ID165" t="s">
        <v>4331</v>
      </c>
      <c r="IE165" t="s">
        <v>4331</v>
      </c>
      <c r="IF165" t="s">
        <v>4331</v>
      </c>
      <c r="IG165" t="s">
        <v>4331</v>
      </c>
      <c r="IH165" t="s">
        <v>4331</v>
      </c>
      <c r="II165" t="s">
        <v>4331</v>
      </c>
      <c r="IJ165" t="s">
        <v>4331</v>
      </c>
      <c r="IK165" t="s">
        <v>4331</v>
      </c>
      <c r="IL165" t="s">
        <v>4331</v>
      </c>
      <c r="IM165" t="s">
        <v>4331</v>
      </c>
      <c r="IN165" t="s">
        <v>4331</v>
      </c>
      <c r="IO165" t="s">
        <v>4331</v>
      </c>
      <c r="IP165" t="s">
        <v>4331</v>
      </c>
      <c r="IQ165" t="s">
        <v>4331</v>
      </c>
      <c r="IR165" t="s">
        <v>4331</v>
      </c>
      <c r="IS165" t="s">
        <v>4331</v>
      </c>
      <c r="IT165" t="s">
        <v>4331</v>
      </c>
      <c r="IU165" t="s">
        <v>4331</v>
      </c>
      <c r="IV165" t="s">
        <v>4331</v>
      </c>
      <c r="IW165" t="s">
        <v>4331</v>
      </c>
      <c r="IX165" t="s">
        <v>4331</v>
      </c>
      <c r="IY165" t="s">
        <v>4331</v>
      </c>
      <c r="IZ165" t="s">
        <v>4331</v>
      </c>
      <c r="JA165" t="s">
        <v>4331</v>
      </c>
      <c r="JB165" t="s">
        <v>4331</v>
      </c>
      <c r="JC165" t="s">
        <v>4331</v>
      </c>
      <c r="JD165" t="s">
        <v>4331</v>
      </c>
      <c r="JE165" t="s">
        <v>4331</v>
      </c>
      <c r="JF165" t="s">
        <v>4331</v>
      </c>
      <c r="JG165" t="s">
        <v>4331</v>
      </c>
      <c r="JH165" t="s">
        <v>4331</v>
      </c>
      <c r="JI165" t="s">
        <v>4331</v>
      </c>
      <c r="JJ165" t="s">
        <v>4331</v>
      </c>
      <c r="JK165" t="s">
        <v>4358</v>
      </c>
      <c r="JL165" t="s">
        <v>4358</v>
      </c>
      <c r="JM165" t="s">
        <v>4331</v>
      </c>
      <c r="JN165" t="s">
        <v>4331</v>
      </c>
      <c r="JO165" t="s">
        <v>4331</v>
      </c>
      <c r="JP165" t="s">
        <v>4331</v>
      </c>
      <c r="JQ165" t="s">
        <v>4331</v>
      </c>
      <c r="JR165" t="s">
        <v>4331</v>
      </c>
      <c r="JS165" t="s">
        <v>4331</v>
      </c>
      <c r="JT165" t="s">
        <v>4331</v>
      </c>
      <c r="JU165" t="s">
        <v>4331</v>
      </c>
    </row>
    <row r="166" spans="44:281" x14ac:dyDescent="0.3">
      <c r="AR166" t="s">
        <v>4344</v>
      </c>
      <c r="AS166" t="s">
        <v>4346</v>
      </c>
      <c r="AT166" t="s">
        <v>4344</v>
      </c>
      <c r="AU166" t="s">
        <v>4344</v>
      </c>
      <c r="AV166" t="s">
        <v>4344</v>
      </c>
      <c r="AW166" t="s">
        <v>4344</v>
      </c>
      <c r="AX166" t="s">
        <v>4344</v>
      </c>
      <c r="AY166" t="s">
        <v>4344</v>
      </c>
      <c r="AZ166" t="s">
        <v>4344</v>
      </c>
      <c r="BA166" t="s">
        <v>4344</v>
      </c>
      <c r="BB166" t="s">
        <v>4344</v>
      </c>
      <c r="BC166" t="s">
        <v>4344</v>
      </c>
      <c r="BD166" t="s">
        <v>4344</v>
      </c>
      <c r="BE166" t="s">
        <v>4344</v>
      </c>
      <c r="BF166" t="s">
        <v>4344</v>
      </c>
      <c r="BG166" t="s">
        <v>4344</v>
      </c>
      <c r="BH166" t="s">
        <v>4344</v>
      </c>
      <c r="BI166" t="s">
        <v>4344</v>
      </c>
      <c r="BJ166" t="s">
        <v>4344</v>
      </c>
      <c r="BK166" t="s">
        <v>4344</v>
      </c>
      <c r="BL166" t="s">
        <v>4344</v>
      </c>
      <c r="BM166" t="s">
        <v>4344</v>
      </c>
      <c r="BN166" t="s">
        <v>4344</v>
      </c>
      <c r="BO166" t="s">
        <v>4344</v>
      </c>
      <c r="CA166" t="s">
        <v>4357</v>
      </c>
      <c r="CB166" t="s">
        <v>4357</v>
      </c>
      <c r="CG166" t="s">
        <v>4347</v>
      </c>
      <c r="CH166" t="s">
        <v>4347</v>
      </c>
      <c r="CI166" t="s">
        <v>4347</v>
      </c>
      <c r="CJ166" t="s">
        <v>4347</v>
      </c>
      <c r="CK166" t="s">
        <v>4347</v>
      </c>
      <c r="CL166" t="s">
        <v>4347</v>
      </c>
      <c r="CV166" t="s">
        <v>4359</v>
      </c>
      <c r="CW166" t="s">
        <v>1504</v>
      </c>
      <c r="CX166" t="s">
        <v>1504</v>
      </c>
      <c r="CY166" t="s">
        <v>4360</v>
      </c>
      <c r="CZ166" t="s">
        <v>4360</v>
      </c>
      <c r="DA166" t="s">
        <v>4354</v>
      </c>
      <c r="DB166" t="s">
        <v>4354</v>
      </c>
      <c r="DC166" t="s">
        <v>4355</v>
      </c>
      <c r="DD166" t="s">
        <v>4355</v>
      </c>
      <c r="DE166" t="s">
        <v>4355</v>
      </c>
      <c r="DF166" t="s">
        <v>4355</v>
      </c>
      <c r="DG166" t="s">
        <v>4355</v>
      </c>
      <c r="DH166" t="s">
        <v>4355</v>
      </c>
      <c r="DI166" t="s">
        <v>4355</v>
      </c>
      <c r="DJ166" t="s">
        <v>4355</v>
      </c>
      <c r="DK166" t="s">
        <v>4355</v>
      </c>
      <c r="DL166" t="s">
        <v>4355</v>
      </c>
      <c r="DM166" t="s">
        <v>4355</v>
      </c>
      <c r="EO166" t="s">
        <v>396</v>
      </c>
      <c r="EP166" t="s">
        <v>396</v>
      </c>
      <c r="EQ166" t="s">
        <v>396</v>
      </c>
      <c r="ER166" t="s">
        <v>396</v>
      </c>
      <c r="ES166" t="s">
        <v>396</v>
      </c>
      <c r="ET166" t="s">
        <v>396</v>
      </c>
      <c r="EU166" t="s">
        <v>396</v>
      </c>
      <c r="EV166" t="s">
        <v>396</v>
      </c>
      <c r="EW166" t="s">
        <v>4356</v>
      </c>
      <c r="EX166" t="s">
        <v>4356</v>
      </c>
      <c r="EY166" t="s">
        <v>4356</v>
      </c>
      <c r="EZ166" t="s">
        <v>4356</v>
      </c>
      <c r="FA166" t="s">
        <v>4356</v>
      </c>
      <c r="FK166" t="s">
        <v>4353</v>
      </c>
      <c r="FL166" t="s">
        <v>4353</v>
      </c>
      <c r="FM166" t="s">
        <v>4343</v>
      </c>
      <c r="FN166" t="s">
        <v>4343</v>
      </c>
      <c r="FO166" t="s">
        <v>4353</v>
      </c>
      <c r="FP166" t="s">
        <v>4353</v>
      </c>
      <c r="FQ166" t="s">
        <v>4353</v>
      </c>
      <c r="FR166" t="s">
        <v>4348</v>
      </c>
      <c r="FS166" t="s">
        <v>4348</v>
      </c>
      <c r="FT166" t="s">
        <v>4348</v>
      </c>
      <c r="FU166" t="s">
        <v>4348</v>
      </c>
      <c r="FV166" t="s">
        <v>4343</v>
      </c>
      <c r="FW166" t="s">
        <v>4343</v>
      </c>
      <c r="FX166" t="s">
        <v>4343</v>
      </c>
      <c r="FY166" t="s">
        <v>4343</v>
      </c>
      <c r="FZ166" t="s">
        <v>4348</v>
      </c>
      <c r="GA166" t="s">
        <v>4348</v>
      </c>
      <c r="GB166" t="s">
        <v>4348</v>
      </c>
      <c r="GC166" t="s">
        <v>4348</v>
      </c>
      <c r="GD166" t="s">
        <v>4348</v>
      </c>
      <c r="GE166" t="s">
        <v>4348</v>
      </c>
      <c r="GF166" t="s">
        <v>4348</v>
      </c>
      <c r="GG166" t="s">
        <v>4348</v>
      </c>
      <c r="GH166" t="s">
        <v>4348</v>
      </c>
      <c r="GI166" t="s">
        <v>4348</v>
      </c>
      <c r="GJ166" t="s">
        <v>4348</v>
      </c>
      <c r="GK166" t="s">
        <v>4348</v>
      </c>
      <c r="GL166" t="s">
        <v>4353</v>
      </c>
      <c r="GM166" t="s">
        <v>4353</v>
      </c>
      <c r="GN166" t="s">
        <v>4353</v>
      </c>
      <c r="GO166" t="s">
        <v>4353</v>
      </c>
      <c r="GP166" t="s">
        <v>4353</v>
      </c>
      <c r="GQ166" t="s">
        <v>4353</v>
      </c>
      <c r="GR166" t="s">
        <v>4353</v>
      </c>
      <c r="GS166" t="s">
        <v>4353</v>
      </c>
      <c r="GT166" t="s">
        <v>4353</v>
      </c>
      <c r="GU166" t="s">
        <v>4353</v>
      </c>
      <c r="GV166" t="s">
        <v>4352</v>
      </c>
      <c r="GW166" t="s">
        <v>4352</v>
      </c>
      <c r="GX166" t="s">
        <v>4352</v>
      </c>
      <c r="GY166" t="s">
        <v>4352</v>
      </c>
      <c r="GZ166" t="s">
        <v>4352</v>
      </c>
      <c r="HA166" t="s">
        <v>4352</v>
      </c>
      <c r="HB166" t="s">
        <v>4352</v>
      </c>
      <c r="HC166" t="s">
        <v>4352</v>
      </c>
      <c r="HD166" t="s">
        <v>4352</v>
      </c>
      <c r="HE166" t="s">
        <v>4352</v>
      </c>
      <c r="HF166" t="s">
        <v>4352</v>
      </c>
      <c r="HG166" t="s">
        <v>4352</v>
      </c>
      <c r="HH166" t="s">
        <v>4352</v>
      </c>
      <c r="HI166" t="s">
        <v>4352</v>
      </c>
      <c r="HJ166" t="s">
        <v>4352</v>
      </c>
      <c r="HK166" t="s">
        <v>4352</v>
      </c>
      <c r="HL166" t="s">
        <v>4352</v>
      </c>
      <c r="HM166" t="s">
        <v>4352</v>
      </c>
      <c r="HN166" t="s">
        <v>4331</v>
      </c>
      <c r="HO166" t="s">
        <v>4331</v>
      </c>
      <c r="HP166" t="s">
        <v>4331</v>
      </c>
      <c r="HQ166" t="s">
        <v>4331</v>
      </c>
      <c r="HR166" t="s">
        <v>4331</v>
      </c>
      <c r="HS166" t="s">
        <v>4331</v>
      </c>
      <c r="HT166" t="s">
        <v>4331</v>
      </c>
      <c r="HU166" t="s">
        <v>4331</v>
      </c>
      <c r="HV166" t="s">
        <v>4331</v>
      </c>
      <c r="HW166" t="s">
        <v>4331</v>
      </c>
      <c r="HX166" t="s">
        <v>4331</v>
      </c>
      <c r="HY166" t="s">
        <v>4331</v>
      </c>
      <c r="HZ166" t="s">
        <v>4331</v>
      </c>
      <c r="IA166" t="s">
        <v>4331</v>
      </c>
      <c r="IB166" t="s">
        <v>4331</v>
      </c>
      <c r="IC166" t="s">
        <v>4331</v>
      </c>
      <c r="ID166" t="s">
        <v>4331</v>
      </c>
      <c r="IE166" t="s">
        <v>4331</v>
      </c>
      <c r="IF166" t="s">
        <v>4331</v>
      </c>
      <c r="IG166" t="s">
        <v>4331</v>
      </c>
      <c r="IH166" t="s">
        <v>4331</v>
      </c>
      <c r="II166" t="s">
        <v>4331</v>
      </c>
      <c r="IJ166" t="s">
        <v>4331</v>
      </c>
      <c r="IK166" t="s">
        <v>4331</v>
      </c>
      <c r="IL166" t="s">
        <v>4331</v>
      </c>
      <c r="IM166" t="s">
        <v>4331</v>
      </c>
      <c r="IN166" t="s">
        <v>4331</v>
      </c>
      <c r="IO166" t="s">
        <v>4331</v>
      </c>
      <c r="IP166" t="s">
        <v>4331</v>
      </c>
      <c r="IQ166" t="s">
        <v>4331</v>
      </c>
      <c r="IR166" t="s">
        <v>4331</v>
      </c>
      <c r="IS166" t="s">
        <v>4331</v>
      </c>
      <c r="IT166" t="s">
        <v>4331</v>
      </c>
      <c r="IU166" t="s">
        <v>4331</v>
      </c>
      <c r="IV166" t="s">
        <v>4331</v>
      </c>
      <c r="IW166" t="s">
        <v>4331</v>
      </c>
      <c r="IX166" t="s">
        <v>4331</v>
      </c>
      <c r="IY166" t="s">
        <v>4331</v>
      </c>
      <c r="IZ166" t="s">
        <v>4331</v>
      </c>
      <c r="JA166" t="s">
        <v>4331</v>
      </c>
      <c r="JB166" t="s">
        <v>4331</v>
      </c>
      <c r="JC166" t="s">
        <v>4331</v>
      </c>
      <c r="JD166" t="s">
        <v>4331</v>
      </c>
      <c r="JE166" t="s">
        <v>4331</v>
      </c>
      <c r="JF166" t="s">
        <v>4331</v>
      </c>
      <c r="JG166" t="s">
        <v>4358</v>
      </c>
      <c r="JH166" t="s">
        <v>4358</v>
      </c>
      <c r="JI166" t="s">
        <v>4358</v>
      </c>
      <c r="JJ166" t="s">
        <v>4358</v>
      </c>
      <c r="JK166" t="s">
        <v>4358</v>
      </c>
      <c r="JL166" t="s">
        <v>4358</v>
      </c>
      <c r="JM166" t="s">
        <v>4358</v>
      </c>
      <c r="JN166" t="s">
        <v>4358</v>
      </c>
      <c r="JO166" t="s">
        <v>4331</v>
      </c>
      <c r="JP166" t="s">
        <v>4331</v>
      </c>
      <c r="JQ166" t="s">
        <v>4331</v>
      </c>
      <c r="JR166" t="s">
        <v>4331</v>
      </c>
      <c r="JS166" t="s">
        <v>4331</v>
      </c>
      <c r="JT166" t="s">
        <v>4331</v>
      </c>
      <c r="JU166" t="s">
        <v>4331</v>
      </c>
    </row>
    <row r="167" spans="44:281" x14ac:dyDescent="0.3">
      <c r="AR167" t="s">
        <v>4344</v>
      </c>
      <c r="AS167" t="s">
        <v>4344</v>
      </c>
      <c r="AT167" t="s">
        <v>4344</v>
      </c>
      <c r="AU167" t="s">
        <v>4344</v>
      </c>
      <c r="AV167" t="s">
        <v>4344</v>
      </c>
      <c r="AW167" t="s">
        <v>4344</v>
      </c>
      <c r="AX167" t="s">
        <v>4344</v>
      </c>
      <c r="AY167" t="s">
        <v>4344</v>
      </c>
      <c r="AZ167" t="s">
        <v>4344</v>
      </c>
      <c r="BA167" t="s">
        <v>4344</v>
      </c>
      <c r="BB167" t="s">
        <v>4344</v>
      </c>
      <c r="BC167" t="s">
        <v>4344</v>
      </c>
      <c r="BD167" t="s">
        <v>4344</v>
      </c>
      <c r="BE167" t="s">
        <v>4344</v>
      </c>
      <c r="BF167" t="s">
        <v>4344</v>
      </c>
      <c r="BG167" t="s">
        <v>4344</v>
      </c>
      <c r="BH167" t="s">
        <v>4344</v>
      </c>
      <c r="BI167" t="s">
        <v>4357</v>
      </c>
      <c r="BJ167" t="s">
        <v>4357</v>
      </c>
      <c r="BK167" t="s">
        <v>4344</v>
      </c>
      <c r="BL167" t="s">
        <v>4357</v>
      </c>
      <c r="BM167" t="s">
        <v>4357</v>
      </c>
      <c r="BN167" t="s">
        <v>4357</v>
      </c>
      <c r="BO167" t="s">
        <v>4357</v>
      </c>
      <c r="CB167" t="s">
        <v>4357</v>
      </c>
      <c r="CE167" t="s">
        <v>4347</v>
      </c>
      <c r="CF167" t="s">
        <v>4347</v>
      </c>
      <c r="CG167" t="s">
        <v>4347</v>
      </c>
      <c r="CH167" t="s">
        <v>4347</v>
      </c>
      <c r="CI167" t="s">
        <v>4347</v>
      </c>
      <c r="CJ167" t="s">
        <v>4347</v>
      </c>
      <c r="CK167" t="s">
        <v>4347</v>
      </c>
      <c r="CT167" t="s">
        <v>4361</v>
      </c>
      <c r="CU167" t="s">
        <v>4359</v>
      </c>
      <c r="CV167" t="s">
        <v>4359</v>
      </c>
      <c r="CW167" t="s">
        <v>4359</v>
      </c>
      <c r="CX167" t="s">
        <v>4360</v>
      </c>
      <c r="CY167" t="s">
        <v>4360</v>
      </c>
      <c r="CZ167" t="s">
        <v>4360</v>
      </c>
      <c r="DA167" t="s">
        <v>4362</v>
      </c>
      <c r="DB167" t="s">
        <v>4362</v>
      </c>
      <c r="DC167" t="s">
        <v>4355</v>
      </c>
      <c r="DD167" t="s">
        <v>4355</v>
      </c>
      <c r="DE167" t="s">
        <v>4355</v>
      </c>
      <c r="DF167" t="s">
        <v>4355</v>
      </c>
      <c r="DG167" t="s">
        <v>4355</v>
      </c>
      <c r="DH167" t="s">
        <v>4355</v>
      </c>
      <c r="DI167" t="s">
        <v>4355</v>
      </c>
      <c r="DJ167" t="s">
        <v>4355</v>
      </c>
      <c r="DK167" t="s">
        <v>4355</v>
      </c>
      <c r="DL167" t="s">
        <v>4355</v>
      </c>
      <c r="DM167" t="s">
        <v>4355</v>
      </c>
      <c r="EO167" t="s">
        <v>396</v>
      </c>
      <c r="EP167" t="s">
        <v>396</v>
      </c>
      <c r="EQ167" t="s">
        <v>396</v>
      </c>
      <c r="ER167" t="s">
        <v>396</v>
      </c>
      <c r="ES167" t="s">
        <v>4356</v>
      </c>
      <c r="ET167" t="s">
        <v>4356</v>
      </c>
      <c r="EU167" t="s">
        <v>4356</v>
      </c>
      <c r="EV167" t="s">
        <v>4356</v>
      </c>
      <c r="EW167" t="s">
        <v>4356</v>
      </c>
      <c r="EX167" t="s">
        <v>4356</v>
      </c>
      <c r="EY167" t="s">
        <v>4356</v>
      </c>
      <c r="EZ167" t="s">
        <v>4356</v>
      </c>
      <c r="FK167" t="s">
        <v>4353</v>
      </c>
      <c r="FL167" t="s">
        <v>4353</v>
      </c>
      <c r="FM167" t="s">
        <v>4353</v>
      </c>
      <c r="FN167" t="s">
        <v>4353</v>
      </c>
      <c r="FO167" t="s">
        <v>4353</v>
      </c>
      <c r="FP167" t="s">
        <v>4353</v>
      </c>
      <c r="FQ167" t="s">
        <v>4353</v>
      </c>
      <c r="FR167" t="s">
        <v>4348</v>
      </c>
      <c r="FS167" t="s">
        <v>4348</v>
      </c>
      <c r="FT167" t="s">
        <v>4348</v>
      </c>
      <c r="FU167" t="s">
        <v>4348</v>
      </c>
      <c r="FV167" t="s">
        <v>4348</v>
      </c>
      <c r="FW167" t="s">
        <v>4348</v>
      </c>
      <c r="FX167" t="s">
        <v>4348</v>
      </c>
      <c r="FY167" t="s">
        <v>4348</v>
      </c>
      <c r="FZ167" t="s">
        <v>4348</v>
      </c>
      <c r="GA167" t="s">
        <v>4348</v>
      </c>
      <c r="GB167" t="s">
        <v>4348</v>
      </c>
      <c r="GC167" t="s">
        <v>4348</v>
      </c>
      <c r="GD167" t="s">
        <v>4348</v>
      </c>
      <c r="GE167" t="s">
        <v>4348</v>
      </c>
      <c r="GF167" t="s">
        <v>4348</v>
      </c>
      <c r="GG167" t="s">
        <v>4348</v>
      </c>
      <c r="GH167" t="s">
        <v>4348</v>
      </c>
      <c r="GI167" t="s">
        <v>4348</v>
      </c>
      <c r="GJ167" t="s">
        <v>4348</v>
      </c>
      <c r="GK167" t="s">
        <v>4348</v>
      </c>
      <c r="GL167" t="s">
        <v>4353</v>
      </c>
      <c r="GM167" t="s">
        <v>4353</v>
      </c>
      <c r="GN167" t="s">
        <v>4353</v>
      </c>
      <c r="GO167" t="s">
        <v>4353</v>
      </c>
      <c r="GP167" t="s">
        <v>4353</v>
      </c>
      <c r="GQ167" t="s">
        <v>4353</v>
      </c>
      <c r="GR167" t="s">
        <v>4353</v>
      </c>
      <c r="GS167" t="s">
        <v>4353</v>
      </c>
      <c r="GT167" t="s">
        <v>4353</v>
      </c>
      <c r="GU167" t="s">
        <v>4353</v>
      </c>
      <c r="GV167" t="s">
        <v>4353</v>
      </c>
      <c r="GW167" t="s">
        <v>4352</v>
      </c>
      <c r="GX167" t="s">
        <v>4352</v>
      </c>
      <c r="GY167" t="s">
        <v>4353</v>
      </c>
      <c r="GZ167" t="s">
        <v>4353</v>
      </c>
      <c r="HA167" t="s">
        <v>4352</v>
      </c>
      <c r="HB167" t="s">
        <v>4352</v>
      </c>
      <c r="HC167" t="s">
        <v>4352</v>
      </c>
      <c r="HD167" t="s">
        <v>4352</v>
      </c>
      <c r="HE167" t="s">
        <v>4352</v>
      </c>
      <c r="HF167" t="s">
        <v>4352</v>
      </c>
      <c r="HG167" t="s">
        <v>4352</v>
      </c>
      <c r="HH167" t="s">
        <v>4352</v>
      </c>
      <c r="HI167" t="s">
        <v>4352</v>
      </c>
      <c r="HJ167" t="s">
        <v>4352</v>
      </c>
      <c r="HK167" t="s">
        <v>4352</v>
      </c>
      <c r="HL167" t="s">
        <v>4352</v>
      </c>
      <c r="HM167" t="s">
        <v>4353</v>
      </c>
      <c r="HN167" t="s">
        <v>4331</v>
      </c>
      <c r="HO167" t="s">
        <v>4331</v>
      </c>
      <c r="HP167" t="s">
        <v>4331</v>
      </c>
      <c r="HQ167" t="s">
        <v>4331</v>
      </c>
      <c r="HR167" t="s">
        <v>4331</v>
      </c>
      <c r="HS167" t="s">
        <v>4331</v>
      </c>
      <c r="HT167" t="s">
        <v>4331</v>
      </c>
      <c r="HU167" t="s">
        <v>4331</v>
      </c>
      <c r="HV167" t="s">
        <v>4331</v>
      </c>
      <c r="HW167" t="s">
        <v>4331</v>
      </c>
      <c r="HX167" t="s">
        <v>4331</v>
      </c>
      <c r="HY167" t="s">
        <v>4331</v>
      </c>
      <c r="HZ167" t="s">
        <v>4331</v>
      </c>
      <c r="IA167" t="s">
        <v>4331</v>
      </c>
      <c r="IB167" t="s">
        <v>4331</v>
      </c>
      <c r="IC167" t="s">
        <v>4331</v>
      </c>
      <c r="ID167" t="s">
        <v>4331</v>
      </c>
      <c r="IE167" t="s">
        <v>4331</v>
      </c>
      <c r="IF167" t="s">
        <v>4331</v>
      </c>
      <c r="IG167" t="s">
        <v>4331</v>
      </c>
      <c r="IH167" t="s">
        <v>4331</v>
      </c>
      <c r="II167" t="s">
        <v>4331</v>
      </c>
      <c r="IJ167" t="s">
        <v>4331</v>
      </c>
      <c r="IK167" t="s">
        <v>4331</v>
      </c>
      <c r="IL167" t="s">
        <v>4331</v>
      </c>
      <c r="IM167" t="s">
        <v>4331</v>
      </c>
      <c r="IN167" t="s">
        <v>4331</v>
      </c>
      <c r="IO167" t="s">
        <v>4331</v>
      </c>
      <c r="IP167" t="s">
        <v>4331</v>
      </c>
      <c r="IQ167" t="s">
        <v>4331</v>
      </c>
      <c r="IR167" t="s">
        <v>4331</v>
      </c>
      <c r="IS167" t="s">
        <v>4331</v>
      </c>
      <c r="IT167" t="s">
        <v>4331</v>
      </c>
      <c r="IU167" t="s">
        <v>4358</v>
      </c>
      <c r="IV167" t="s">
        <v>4358</v>
      </c>
      <c r="IW167" t="s">
        <v>4358</v>
      </c>
      <c r="IX167" t="s">
        <v>4358</v>
      </c>
      <c r="IY167" t="s">
        <v>4358</v>
      </c>
      <c r="IZ167" t="s">
        <v>4358</v>
      </c>
      <c r="JA167" t="s">
        <v>4358</v>
      </c>
      <c r="JB167" t="s">
        <v>4358</v>
      </c>
      <c r="JC167" t="s">
        <v>4358</v>
      </c>
      <c r="JD167" t="s">
        <v>4358</v>
      </c>
      <c r="JE167" t="s">
        <v>4358</v>
      </c>
      <c r="JF167" t="s">
        <v>4358</v>
      </c>
      <c r="JG167" t="s">
        <v>4358</v>
      </c>
      <c r="JH167" t="s">
        <v>4358</v>
      </c>
      <c r="JI167" t="s">
        <v>4358</v>
      </c>
      <c r="JJ167" t="s">
        <v>4358</v>
      </c>
      <c r="JK167" t="s">
        <v>4358</v>
      </c>
      <c r="JL167" t="s">
        <v>4358</v>
      </c>
      <c r="JM167" t="s">
        <v>4358</v>
      </c>
      <c r="JN167" t="s">
        <v>4358</v>
      </c>
      <c r="JO167" t="s">
        <v>4358</v>
      </c>
      <c r="JP167" t="s">
        <v>4358</v>
      </c>
      <c r="JQ167" t="s">
        <v>4358</v>
      </c>
      <c r="JR167" t="s">
        <v>4358</v>
      </c>
      <c r="JS167" t="s">
        <v>4358</v>
      </c>
      <c r="JT167" t="s">
        <v>4358</v>
      </c>
      <c r="JU167" t="s">
        <v>4358</v>
      </c>
    </row>
    <row r="168" spans="44:281" x14ac:dyDescent="0.3">
      <c r="AR168" t="s">
        <v>4344</v>
      </c>
      <c r="AS168" t="s">
        <v>4344</v>
      </c>
      <c r="AT168" t="s">
        <v>4344</v>
      </c>
      <c r="AU168" t="s">
        <v>4344</v>
      </c>
      <c r="AV168" t="s">
        <v>4344</v>
      </c>
      <c r="AW168" t="s">
        <v>4344</v>
      </c>
      <c r="AX168" t="s">
        <v>4344</v>
      </c>
      <c r="AY168" t="s">
        <v>4344</v>
      </c>
      <c r="AZ168" t="s">
        <v>4344</v>
      </c>
      <c r="BA168" t="s">
        <v>4344</v>
      </c>
      <c r="BB168" t="s">
        <v>4344</v>
      </c>
      <c r="BC168" t="s">
        <v>4344</v>
      </c>
      <c r="BD168" t="s">
        <v>4344</v>
      </c>
      <c r="BE168" t="s">
        <v>4344</v>
      </c>
      <c r="BF168" t="s">
        <v>4344</v>
      </c>
      <c r="BG168" t="s">
        <v>4357</v>
      </c>
      <c r="BH168" t="s">
        <v>4357</v>
      </c>
      <c r="BI168" t="s">
        <v>4357</v>
      </c>
      <c r="BJ168" t="s">
        <v>4357</v>
      </c>
      <c r="BK168" t="s">
        <v>4357</v>
      </c>
      <c r="BL168" t="s">
        <v>4357</v>
      </c>
      <c r="BM168" t="s">
        <v>4357</v>
      </c>
      <c r="BN168" t="s">
        <v>4357</v>
      </c>
      <c r="BO168" t="s">
        <v>4357</v>
      </c>
      <c r="BP168" t="s">
        <v>4357</v>
      </c>
      <c r="BQ168" t="s">
        <v>4357</v>
      </c>
      <c r="BU168" t="s">
        <v>4357</v>
      </c>
      <c r="BV168" t="s">
        <v>4357</v>
      </c>
      <c r="CE168" t="s">
        <v>4347</v>
      </c>
      <c r="CF168" t="s">
        <v>4347</v>
      </c>
      <c r="CG168" t="s">
        <v>4347</v>
      </c>
      <c r="CH168" t="s">
        <v>4347</v>
      </c>
      <c r="CI168" t="s">
        <v>4347</v>
      </c>
      <c r="CJ168" t="s">
        <v>4347</v>
      </c>
      <c r="CR168" t="s">
        <v>4361</v>
      </c>
      <c r="CS168" t="s">
        <v>4363</v>
      </c>
      <c r="CT168" t="s">
        <v>4363</v>
      </c>
      <c r="CU168" t="s">
        <v>4363</v>
      </c>
      <c r="CV168" t="s">
        <v>4359</v>
      </c>
      <c r="CW168" t="s">
        <v>4362</v>
      </c>
      <c r="CX168" t="s">
        <v>4362</v>
      </c>
      <c r="CY168" t="s">
        <v>4360</v>
      </c>
      <c r="CZ168" t="s">
        <v>4362</v>
      </c>
      <c r="DA168" t="s">
        <v>4362</v>
      </c>
      <c r="DB168" t="s">
        <v>4362</v>
      </c>
      <c r="DC168" t="s">
        <v>4362</v>
      </c>
      <c r="DD168" t="s">
        <v>4355</v>
      </c>
      <c r="DE168" t="s">
        <v>4355</v>
      </c>
      <c r="DF168" t="s">
        <v>4355</v>
      </c>
      <c r="DG168" t="s">
        <v>4355</v>
      </c>
      <c r="DH168" t="s">
        <v>4355</v>
      </c>
      <c r="DI168" t="s">
        <v>4355</v>
      </c>
      <c r="DJ168" t="s">
        <v>4355</v>
      </c>
      <c r="DK168" t="s">
        <v>4355</v>
      </c>
      <c r="DL168" t="s">
        <v>4355</v>
      </c>
      <c r="DM168" t="s">
        <v>4355</v>
      </c>
      <c r="EL168" t="s">
        <v>396</v>
      </c>
      <c r="EM168" t="s">
        <v>396</v>
      </c>
      <c r="EN168" t="s">
        <v>396</v>
      </c>
      <c r="EO168" t="s">
        <v>396</v>
      </c>
      <c r="EP168" t="s">
        <v>4356</v>
      </c>
      <c r="EQ168" t="s">
        <v>4356</v>
      </c>
      <c r="ER168" t="s">
        <v>4356</v>
      </c>
      <c r="ES168" t="s">
        <v>4356</v>
      </c>
      <c r="ET168" t="s">
        <v>4356</v>
      </c>
      <c r="EU168" t="s">
        <v>4356</v>
      </c>
      <c r="EV168" t="s">
        <v>4356</v>
      </c>
      <c r="EW168" t="s">
        <v>4356</v>
      </c>
      <c r="EX168" t="s">
        <v>4356</v>
      </c>
      <c r="EY168" t="s">
        <v>4356</v>
      </c>
      <c r="EZ168" t="s">
        <v>4356</v>
      </c>
      <c r="FI168" t="s">
        <v>4353</v>
      </c>
      <c r="FJ168" t="s">
        <v>4353</v>
      </c>
      <c r="FK168" t="s">
        <v>4353</v>
      </c>
      <c r="FL168" t="s">
        <v>4353</v>
      </c>
      <c r="FM168" t="s">
        <v>4353</v>
      </c>
      <c r="FN168" t="s">
        <v>4353</v>
      </c>
      <c r="FO168" t="s">
        <v>4353</v>
      </c>
      <c r="FP168" t="s">
        <v>4353</v>
      </c>
      <c r="FQ168" t="s">
        <v>4353</v>
      </c>
      <c r="FR168" t="s">
        <v>4348</v>
      </c>
      <c r="FS168" t="s">
        <v>4348</v>
      </c>
      <c r="FT168" t="s">
        <v>4348</v>
      </c>
      <c r="FU168" t="s">
        <v>4348</v>
      </c>
      <c r="FV168" t="s">
        <v>4348</v>
      </c>
      <c r="FW168" t="s">
        <v>4348</v>
      </c>
      <c r="FX168" t="s">
        <v>4348</v>
      </c>
      <c r="FY168" t="s">
        <v>4348</v>
      </c>
      <c r="FZ168" t="s">
        <v>4348</v>
      </c>
      <c r="GA168" t="s">
        <v>4348</v>
      </c>
      <c r="GB168" t="s">
        <v>4348</v>
      </c>
      <c r="GC168" t="s">
        <v>4348</v>
      </c>
      <c r="GD168" t="s">
        <v>4348</v>
      </c>
      <c r="GE168" t="s">
        <v>4348</v>
      </c>
      <c r="GF168" t="s">
        <v>4348</v>
      </c>
      <c r="GG168" t="s">
        <v>4348</v>
      </c>
      <c r="GH168" t="s">
        <v>4348</v>
      </c>
      <c r="GI168" t="s">
        <v>4348</v>
      </c>
      <c r="GJ168" t="s">
        <v>4348</v>
      </c>
      <c r="GK168" t="s">
        <v>4353</v>
      </c>
      <c r="GL168" t="s">
        <v>4353</v>
      </c>
      <c r="GM168" t="s">
        <v>4353</v>
      </c>
      <c r="GN168" t="s">
        <v>4353</v>
      </c>
      <c r="GO168" t="s">
        <v>4353</v>
      </c>
      <c r="GP168" t="s">
        <v>4353</v>
      </c>
      <c r="GQ168" t="s">
        <v>4353</v>
      </c>
      <c r="GR168" t="s">
        <v>4353</v>
      </c>
      <c r="GS168" t="s">
        <v>4353</v>
      </c>
      <c r="GT168" t="s">
        <v>4353</v>
      </c>
      <c r="GU168" t="s">
        <v>4353</v>
      </c>
      <c r="GV168" t="s">
        <v>4353</v>
      </c>
      <c r="GW168" t="s">
        <v>4353</v>
      </c>
      <c r="GX168" t="s">
        <v>4353</v>
      </c>
      <c r="GY168" t="s">
        <v>4353</v>
      </c>
      <c r="GZ168" t="s">
        <v>4353</v>
      </c>
      <c r="HA168" t="s">
        <v>4353</v>
      </c>
      <c r="HB168" t="s">
        <v>4352</v>
      </c>
      <c r="HC168" t="s">
        <v>4353</v>
      </c>
      <c r="HD168" t="s">
        <v>4353</v>
      </c>
      <c r="HE168" t="s">
        <v>4353</v>
      </c>
      <c r="HF168" t="s">
        <v>4353</v>
      </c>
      <c r="HG168" t="s">
        <v>4353</v>
      </c>
      <c r="HH168" t="s">
        <v>4353</v>
      </c>
      <c r="HI168" t="s">
        <v>4353</v>
      </c>
      <c r="HJ168" t="s">
        <v>4353</v>
      </c>
      <c r="HK168" t="s">
        <v>4353</v>
      </c>
      <c r="HL168" t="s">
        <v>4353</v>
      </c>
      <c r="HM168" t="s">
        <v>4353</v>
      </c>
      <c r="HN168" t="s">
        <v>4353</v>
      </c>
      <c r="HO168" t="s">
        <v>4353</v>
      </c>
      <c r="HP168" t="s">
        <v>4331</v>
      </c>
      <c r="HQ168" t="s">
        <v>4331</v>
      </c>
      <c r="HR168" t="s">
        <v>4331</v>
      </c>
      <c r="HS168" t="s">
        <v>4331</v>
      </c>
      <c r="HT168" t="s">
        <v>4331</v>
      </c>
      <c r="HU168" t="s">
        <v>4331</v>
      </c>
      <c r="HV168" t="s">
        <v>4331</v>
      </c>
      <c r="HW168" t="s">
        <v>4331</v>
      </c>
      <c r="HX168" t="s">
        <v>4331</v>
      </c>
      <c r="HY168" t="s">
        <v>4331</v>
      </c>
      <c r="HZ168" t="s">
        <v>4331</v>
      </c>
      <c r="IA168" t="s">
        <v>4331</v>
      </c>
      <c r="IB168" t="s">
        <v>4331</v>
      </c>
      <c r="IC168" t="s">
        <v>4331</v>
      </c>
      <c r="ID168" t="s">
        <v>4331</v>
      </c>
      <c r="IE168" t="s">
        <v>4331</v>
      </c>
      <c r="IF168" t="s">
        <v>4331</v>
      </c>
      <c r="IG168" t="s">
        <v>4331</v>
      </c>
      <c r="IH168" t="s">
        <v>4331</v>
      </c>
      <c r="II168" t="s">
        <v>4331</v>
      </c>
      <c r="IJ168" t="s">
        <v>4331</v>
      </c>
      <c r="IK168" t="s">
        <v>4331</v>
      </c>
      <c r="IL168" t="s">
        <v>4331</v>
      </c>
      <c r="IM168" t="s">
        <v>4331</v>
      </c>
      <c r="IN168" t="s">
        <v>4331</v>
      </c>
      <c r="IO168" t="s">
        <v>4331</v>
      </c>
      <c r="IP168" t="s">
        <v>4331</v>
      </c>
      <c r="IQ168" t="s">
        <v>4331</v>
      </c>
      <c r="IR168" t="s">
        <v>4331</v>
      </c>
      <c r="IS168" t="s">
        <v>4331</v>
      </c>
      <c r="IT168" t="s">
        <v>4358</v>
      </c>
      <c r="IU168" t="s">
        <v>4358</v>
      </c>
      <c r="IV168" t="s">
        <v>4358</v>
      </c>
      <c r="IW168" t="s">
        <v>4358</v>
      </c>
      <c r="IX168" t="s">
        <v>4358</v>
      </c>
      <c r="IY168" t="s">
        <v>4358</v>
      </c>
      <c r="IZ168" t="s">
        <v>4358</v>
      </c>
      <c r="JA168" t="s">
        <v>4358</v>
      </c>
      <c r="JB168" t="s">
        <v>4358</v>
      </c>
      <c r="JC168" t="s">
        <v>4358</v>
      </c>
      <c r="JD168" t="s">
        <v>4358</v>
      </c>
      <c r="JE168" t="s">
        <v>4358</v>
      </c>
      <c r="JF168" t="s">
        <v>4358</v>
      </c>
      <c r="JG168" t="s">
        <v>4358</v>
      </c>
      <c r="JH168" t="s">
        <v>4358</v>
      </c>
      <c r="JI168" t="s">
        <v>4358</v>
      </c>
      <c r="JJ168" t="s">
        <v>4358</v>
      </c>
      <c r="JK168" t="s">
        <v>4358</v>
      </c>
      <c r="JL168" t="s">
        <v>4358</v>
      </c>
      <c r="JM168" t="s">
        <v>4358</v>
      </c>
      <c r="JN168" t="s">
        <v>4358</v>
      </c>
      <c r="JO168" t="s">
        <v>4358</v>
      </c>
      <c r="JP168" t="s">
        <v>4358</v>
      </c>
      <c r="JQ168" t="s">
        <v>4358</v>
      </c>
      <c r="JR168" t="s">
        <v>4358</v>
      </c>
      <c r="JS168" t="s">
        <v>4358</v>
      </c>
      <c r="JT168" t="s">
        <v>4358</v>
      </c>
      <c r="JU168" t="s">
        <v>4358</v>
      </c>
    </row>
    <row r="169" spans="44:281" x14ac:dyDescent="0.3">
      <c r="BG169" t="s">
        <v>4357</v>
      </c>
      <c r="BH169" t="s">
        <v>4357</v>
      </c>
      <c r="BI169" t="s">
        <v>4357</v>
      </c>
      <c r="BJ169" t="s">
        <v>4357</v>
      </c>
      <c r="BK169" t="s">
        <v>4357</v>
      </c>
      <c r="BL169" t="s">
        <v>4357</v>
      </c>
      <c r="BM169" t="s">
        <v>4357</v>
      </c>
      <c r="BN169" t="s">
        <v>4357</v>
      </c>
      <c r="BO169" t="s">
        <v>4357</v>
      </c>
      <c r="BP169" t="s">
        <v>4357</v>
      </c>
      <c r="BQ169" t="s">
        <v>4357</v>
      </c>
      <c r="BR169" t="s">
        <v>4357</v>
      </c>
      <c r="BS169" t="s">
        <v>4357</v>
      </c>
      <c r="BT169" t="s">
        <v>4357</v>
      </c>
      <c r="BU169" t="s">
        <v>4357</v>
      </c>
      <c r="BV169" t="s">
        <v>4357</v>
      </c>
      <c r="BW169" t="s">
        <v>4357</v>
      </c>
      <c r="BX169" t="s">
        <v>4357</v>
      </c>
      <c r="BY169" t="s">
        <v>4347</v>
      </c>
      <c r="CE169" t="s">
        <v>4347</v>
      </c>
      <c r="CF169" t="s">
        <v>4347</v>
      </c>
      <c r="CG169" t="s">
        <v>4347</v>
      </c>
      <c r="CH169" t="s">
        <v>4347</v>
      </c>
      <c r="CI169" t="s">
        <v>4347</v>
      </c>
      <c r="CO169" t="s">
        <v>4361</v>
      </c>
      <c r="CP169" t="s">
        <v>4361</v>
      </c>
      <c r="CQ169" t="s">
        <v>4361</v>
      </c>
      <c r="CR169" t="s">
        <v>4363</v>
      </c>
      <c r="CS169" t="s">
        <v>4363</v>
      </c>
      <c r="CT169" t="s">
        <v>4363</v>
      </c>
      <c r="CU169" t="s">
        <v>4363</v>
      </c>
      <c r="CV169" t="s">
        <v>4363</v>
      </c>
      <c r="CW169" t="s">
        <v>4362</v>
      </c>
      <c r="CX169" t="s">
        <v>4362</v>
      </c>
      <c r="CY169" t="s">
        <v>4362</v>
      </c>
      <c r="CZ169" t="s">
        <v>4362</v>
      </c>
      <c r="DA169" t="s">
        <v>4362</v>
      </c>
      <c r="DB169" t="s">
        <v>4362</v>
      </c>
      <c r="DC169" t="s">
        <v>4355</v>
      </c>
      <c r="DD169" t="s">
        <v>4355</v>
      </c>
      <c r="DE169" t="s">
        <v>4355</v>
      </c>
      <c r="DF169" t="s">
        <v>4364</v>
      </c>
      <c r="DG169" t="s">
        <v>4364</v>
      </c>
      <c r="DH169" t="s">
        <v>4364</v>
      </c>
      <c r="DI169" t="s">
        <v>4355</v>
      </c>
      <c r="DJ169" t="s">
        <v>4355</v>
      </c>
      <c r="DK169" t="s">
        <v>4355</v>
      </c>
      <c r="DL169" t="s">
        <v>4355</v>
      </c>
      <c r="DM169" t="s">
        <v>4355</v>
      </c>
      <c r="DN169" t="s">
        <v>4355</v>
      </c>
      <c r="EK169" t="s">
        <v>4356</v>
      </c>
      <c r="EL169" t="s">
        <v>4356</v>
      </c>
      <c r="EM169" t="s">
        <v>4356</v>
      </c>
      <c r="EN169" t="s">
        <v>4356</v>
      </c>
      <c r="EO169" t="s">
        <v>4356</v>
      </c>
      <c r="EP169" t="s">
        <v>4356</v>
      </c>
      <c r="EQ169" t="s">
        <v>4356</v>
      </c>
      <c r="ER169" t="s">
        <v>4356</v>
      </c>
      <c r="ES169" t="s">
        <v>4356</v>
      </c>
      <c r="ET169" t="s">
        <v>4356</v>
      </c>
      <c r="EU169" t="s">
        <v>4356</v>
      </c>
      <c r="EV169" t="s">
        <v>4356</v>
      </c>
      <c r="EW169" t="s">
        <v>4356</v>
      </c>
      <c r="EX169" t="s">
        <v>4356</v>
      </c>
      <c r="EY169" t="s">
        <v>4356</v>
      </c>
      <c r="EZ169" t="s">
        <v>4356</v>
      </c>
      <c r="FH169" t="s">
        <v>4353</v>
      </c>
      <c r="FI169" t="s">
        <v>4353</v>
      </c>
      <c r="FJ169" t="s">
        <v>4353</v>
      </c>
      <c r="FK169" t="s">
        <v>4353</v>
      </c>
      <c r="FL169" t="s">
        <v>4353</v>
      </c>
      <c r="FM169" t="s">
        <v>4353</v>
      </c>
      <c r="FN169" t="s">
        <v>4353</v>
      </c>
      <c r="FO169" t="s">
        <v>4353</v>
      </c>
      <c r="FP169" t="s">
        <v>4353</v>
      </c>
      <c r="FQ169" t="s">
        <v>4353</v>
      </c>
      <c r="FR169" t="s">
        <v>4348</v>
      </c>
      <c r="FS169" t="s">
        <v>4348</v>
      </c>
      <c r="FT169" t="s">
        <v>4348</v>
      </c>
      <c r="FU169" t="s">
        <v>4348</v>
      </c>
      <c r="FV169" t="s">
        <v>4348</v>
      </c>
      <c r="FW169" t="s">
        <v>4348</v>
      </c>
      <c r="FX169" t="s">
        <v>4348</v>
      </c>
      <c r="FY169" t="s">
        <v>4348</v>
      </c>
      <c r="FZ169" t="s">
        <v>4348</v>
      </c>
      <c r="GA169" t="s">
        <v>4348</v>
      </c>
      <c r="GB169" t="s">
        <v>4348</v>
      </c>
      <c r="GC169" t="s">
        <v>4348</v>
      </c>
      <c r="GD169" t="s">
        <v>4353</v>
      </c>
      <c r="GE169" t="s">
        <v>4353</v>
      </c>
      <c r="GF169" t="s">
        <v>4353</v>
      </c>
      <c r="GG169" t="s">
        <v>4353</v>
      </c>
      <c r="GH169" t="s">
        <v>4353</v>
      </c>
      <c r="GI169" t="s">
        <v>4353</v>
      </c>
      <c r="GJ169" t="s">
        <v>4353</v>
      </c>
      <c r="GK169" t="s">
        <v>4353</v>
      </c>
      <c r="GL169" t="s">
        <v>4353</v>
      </c>
      <c r="GM169" t="s">
        <v>4353</v>
      </c>
      <c r="GN169" t="s">
        <v>4353</v>
      </c>
      <c r="GO169" t="s">
        <v>4353</v>
      </c>
      <c r="GP169" t="s">
        <v>4353</v>
      </c>
      <c r="GQ169" t="s">
        <v>4353</v>
      </c>
      <c r="GR169" t="s">
        <v>4353</v>
      </c>
      <c r="GS169" t="s">
        <v>4353</v>
      </c>
      <c r="GT169" t="s">
        <v>4353</v>
      </c>
      <c r="GU169" t="s">
        <v>4353</v>
      </c>
      <c r="GV169" t="s">
        <v>4353</v>
      </c>
      <c r="GW169" t="s">
        <v>4353</v>
      </c>
      <c r="GX169" t="s">
        <v>4353</v>
      </c>
      <c r="GY169" t="s">
        <v>4353</v>
      </c>
      <c r="GZ169" t="s">
        <v>4353</v>
      </c>
      <c r="HA169" t="s">
        <v>4353</v>
      </c>
      <c r="HB169" t="s">
        <v>4353</v>
      </c>
      <c r="HC169" t="s">
        <v>4353</v>
      </c>
      <c r="HD169" t="s">
        <v>4353</v>
      </c>
      <c r="HE169" t="s">
        <v>4353</v>
      </c>
      <c r="HF169" t="s">
        <v>4353</v>
      </c>
      <c r="HG169" t="s">
        <v>4353</v>
      </c>
      <c r="HH169" t="s">
        <v>4353</v>
      </c>
      <c r="HI169" t="s">
        <v>4353</v>
      </c>
      <c r="HJ169" t="s">
        <v>4353</v>
      </c>
      <c r="HK169" t="s">
        <v>4353</v>
      </c>
      <c r="HL169" t="s">
        <v>4353</v>
      </c>
      <c r="HM169" t="s">
        <v>4353</v>
      </c>
      <c r="HN169" t="s">
        <v>4353</v>
      </c>
      <c r="HO169" t="s">
        <v>4331</v>
      </c>
      <c r="HP169" t="s">
        <v>4331</v>
      </c>
      <c r="HQ169" t="s">
        <v>4331</v>
      </c>
      <c r="HR169" t="s">
        <v>4331</v>
      </c>
      <c r="HS169" t="s">
        <v>4331</v>
      </c>
      <c r="HT169" t="s">
        <v>4331</v>
      </c>
      <c r="HU169" t="s">
        <v>4331</v>
      </c>
      <c r="HV169" t="s">
        <v>4331</v>
      </c>
      <c r="HW169" t="s">
        <v>4331</v>
      </c>
      <c r="HX169" t="s">
        <v>4331</v>
      </c>
      <c r="HY169" t="s">
        <v>4331</v>
      </c>
      <c r="HZ169" t="s">
        <v>4331</v>
      </c>
      <c r="IA169" t="s">
        <v>4331</v>
      </c>
      <c r="IB169" t="s">
        <v>4331</v>
      </c>
      <c r="IC169" t="s">
        <v>4331</v>
      </c>
      <c r="ID169" t="s">
        <v>4331</v>
      </c>
      <c r="IE169" t="s">
        <v>4331</v>
      </c>
      <c r="IF169" t="s">
        <v>4331</v>
      </c>
      <c r="IG169" t="s">
        <v>4331</v>
      </c>
      <c r="IH169" t="s">
        <v>4331</v>
      </c>
      <c r="II169" t="s">
        <v>4331</v>
      </c>
      <c r="IJ169" t="s">
        <v>4331</v>
      </c>
      <c r="IK169" t="s">
        <v>4331</v>
      </c>
      <c r="IL169" t="s">
        <v>4331</v>
      </c>
      <c r="IM169" t="s">
        <v>4331</v>
      </c>
      <c r="IN169" t="s">
        <v>4331</v>
      </c>
      <c r="IO169" t="s">
        <v>4331</v>
      </c>
      <c r="IP169" t="s">
        <v>4331</v>
      </c>
      <c r="IQ169" t="s">
        <v>4331</v>
      </c>
      <c r="IR169" t="s">
        <v>4331</v>
      </c>
      <c r="IS169" t="s">
        <v>4358</v>
      </c>
      <c r="IT169" t="s">
        <v>4358</v>
      </c>
      <c r="IU169" t="s">
        <v>4358</v>
      </c>
      <c r="IV169" t="s">
        <v>4358</v>
      </c>
      <c r="IW169" t="s">
        <v>4358</v>
      </c>
      <c r="IX169" t="s">
        <v>4358</v>
      </c>
      <c r="IY169" t="s">
        <v>4358</v>
      </c>
      <c r="IZ169" t="s">
        <v>4358</v>
      </c>
      <c r="JA169" t="s">
        <v>4358</v>
      </c>
      <c r="JB169" t="s">
        <v>4358</v>
      </c>
      <c r="JC169" t="s">
        <v>4358</v>
      </c>
      <c r="JD169" t="s">
        <v>4358</v>
      </c>
      <c r="JE169" t="s">
        <v>4358</v>
      </c>
      <c r="JF169" t="s">
        <v>4358</v>
      </c>
      <c r="JG169" t="s">
        <v>4358</v>
      </c>
      <c r="JH169" t="s">
        <v>4358</v>
      </c>
      <c r="JI169" t="s">
        <v>4358</v>
      </c>
      <c r="JJ169" t="s">
        <v>4358</v>
      </c>
      <c r="JK169" t="s">
        <v>4358</v>
      </c>
      <c r="JL169" t="s">
        <v>4358</v>
      </c>
      <c r="JM169" t="s">
        <v>4358</v>
      </c>
      <c r="JN169" t="s">
        <v>4358</v>
      </c>
      <c r="JO169" t="s">
        <v>4358</v>
      </c>
      <c r="JP169" t="s">
        <v>4358</v>
      </c>
      <c r="JQ169" t="s">
        <v>4358</v>
      </c>
      <c r="JR169" t="s">
        <v>4358</v>
      </c>
      <c r="JS169" t="s">
        <v>4358</v>
      </c>
      <c r="JT169" t="s">
        <v>4358</v>
      </c>
      <c r="JU169" t="s">
        <v>4358</v>
      </c>
    </row>
    <row r="170" spans="44:281" x14ac:dyDescent="0.3">
      <c r="BG170" t="s">
        <v>4357</v>
      </c>
      <c r="BH170" t="s">
        <v>4357</v>
      </c>
      <c r="BI170" t="s">
        <v>4357</v>
      </c>
      <c r="BJ170" t="s">
        <v>4357</v>
      </c>
      <c r="BK170" t="s">
        <v>4357</v>
      </c>
      <c r="BL170" t="s">
        <v>4357</v>
      </c>
      <c r="BM170" t="s">
        <v>4357</v>
      </c>
      <c r="BN170" t="s">
        <v>4357</v>
      </c>
      <c r="BO170" t="s">
        <v>4357</v>
      </c>
      <c r="BP170" t="s">
        <v>4357</v>
      </c>
      <c r="BQ170" t="s">
        <v>4357</v>
      </c>
      <c r="BR170" t="s">
        <v>4357</v>
      </c>
      <c r="BS170" t="s">
        <v>4357</v>
      </c>
      <c r="BT170" t="s">
        <v>4357</v>
      </c>
      <c r="BU170" t="s">
        <v>4357</v>
      </c>
      <c r="BV170" t="s">
        <v>4357</v>
      </c>
      <c r="BW170" t="s">
        <v>4357</v>
      </c>
      <c r="BX170" t="s">
        <v>4347</v>
      </c>
      <c r="BY170" t="s">
        <v>4347</v>
      </c>
      <c r="BZ170" t="s">
        <v>4347</v>
      </c>
      <c r="CB170" t="s">
        <v>4347</v>
      </c>
      <c r="CC170" t="s">
        <v>4347</v>
      </c>
      <c r="CD170" t="s">
        <v>4347</v>
      </c>
      <c r="CE170" t="s">
        <v>4347</v>
      </c>
      <c r="CF170" t="s">
        <v>4347</v>
      </c>
      <c r="CG170" t="s">
        <v>4347</v>
      </c>
      <c r="CH170" t="s">
        <v>4347</v>
      </c>
      <c r="CN170" t="s">
        <v>4361</v>
      </c>
      <c r="CO170" t="s">
        <v>4361</v>
      </c>
      <c r="CP170" t="s">
        <v>4361</v>
      </c>
      <c r="CQ170" t="s">
        <v>4363</v>
      </c>
      <c r="CR170" t="s">
        <v>4363</v>
      </c>
      <c r="CS170" t="s">
        <v>4363</v>
      </c>
      <c r="CT170" t="s">
        <v>4363</v>
      </c>
      <c r="CU170" t="s">
        <v>4363</v>
      </c>
      <c r="CV170" t="s">
        <v>4363</v>
      </c>
      <c r="CW170" t="s">
        <v>4362</v>
      </c>
      <c r="CX170" t="s">
        <v>4362</v>
      </c>
      <c r="CY170" t="s">
        <v>4362</v>
      </c>
      <c r="CZ170" t="s">
        <v>4362</v>
      </c>
      <c r="DA170" t="s">
        <v>4362</v>
      </c>
      <c r="DB170" t="s">
        <v>4362</v>
      </c>
      <c r="DC170" t="s">
        <v>4364</v>
      </c>
      <c r="DD170" t="s">
        <v>4364</v>
      </c>
      <c r="DE170" t="s">
        <v>4364</v>
      </c>
      <c r="DF170" t="s">
        <v>4364</v>
      </c>
      <c r="DG170" t="s">
        <v>4364</v>
      </c>
      <c r="DH170" t="s">
        <v>4364</v>
      </c>
      <c r="DI170" t="s">
        <v>4364</v>
      </c>
      <c r="DJ170" t="s">
        <v>4364</v>
      </c>
      <c r="DK170" t="s">
        <v>4364</v>
      </c>
      <c r="DL170" t="s">
        <v>4364</v>
      </c>
      <c r="DM170" t="s">
        <v>4364</v>
      </c>
      <c r="DN170" t="s">
        <v>4364</v>
      </c>
      <c r="EI170" t="s">
        <v>4356</v>
      </c>
      <c r="EJ170" t="s">
        <v>4356</v>
      </c>
      <c r="EK170" t="s">
        <v>4356</v>
      </c>
      <c r="EL170" t="s">
        <v>4356</v>
      </c>
      <c r="EM170" t="s">
        <v>4356</v>
      </c>
      <c r="EN170" t="s">
        <v>4356</v>
      </c>
      <c r="EO170" t="s">
        <v>4356</v>
      </c>
      <c r="EP170" t="s">
        <v>4356</v>
      </c>
      <c r="EQ170" t="s">
        <v>4356</v>
      </c>
      <c r="ER170" t="s">
        <v>4356</v>
      </c>
      <c r="ES170" t="s">
        <v>4356</v>
      </c>
      <c r="ET170" t="s">
        <v>4356</v>
      </c>
      <c r="EU170" t="s">
        <v>4356</v>
      </c>
      <c r="EV170" t="s">
        <v>4356</v>
      </c>
      <c r="EW170" t="s">
        <v>4356</v>
      </c>
      <c r="EX170" t="s">
        <v>4356</v>
      </c>
      <c r="EY170" t="s">
        <v>4356</v>
      </c>
      <c r="FG170" t="s">
        <v>4353</v>
      </c>
      <c r="FH170" t="s">
        <v>4353</v>
      </c>
      <c r="FI170" t="s">
        <v>4353</v>
      </c>
      <c r="FJ170" t="s">
        <v>4353</v>
      </c>
      <c r="FK170" t="s">
        <v>4353</v>
      </c>
      <c r="FL170" t="s">
        <v>4353</v>
      </c>
      <c r="FM170" t="s">
        <v>4353</v>
      </c>
      <c r="FN170" t="s">
        <v>4353</v>
      </c>
      <c r="FO170" t="s">
        <v>4353</v>
      </c>
      <c r="FP170" t="s">
        <v>4353</v>
      </c>
      <c r="FQ170" t="s">
        <v>4353</v>
      </c>
      <c r="FR170" t="s">
        <v>4348</v>
      </c>
      <c r="FS170" t="s">
        <v>4348</v>
      </c>
      <c r="FT170" t="s">
        <v>4348</v>
      </c>
      <c r="FU170" t="s">
        <v>4348</v>
      </c>
      <c r="FV170" t="s">
        <v>4348</v>
      </c>
      <c r="FW170" t="s">
        <v>4348</v>
      </c>
      <c r="FX170" t="s">
        <v>4348</v>
      </c>
      <c r="FY170" t="s">
        <v>4348</v>
      </c>
      <c r="FZ170" t="s">
        <v>4348</v>
      </c>
      <c r="GA170" t="s">
        <v>4348</v>
      </c>
      <c r="GB170" t="s">
        <v>4353</v>
      </c>
      <c r="GC170" t="s">
        <v>4353</v>
      </c>
      <c r="GD170" t="s">
        <v>4353</v>
      </c>
      <c r="GE170" t="s">
        <v>4353</v>
      </c>
      <c r="GF170" t="s">
        <v>4353</v>
      </c>
      <c r="GG170" t="s">
        <v>4353</v>
      </c>
      <c r="GH170" t="s">
        <v>4353</v>
      </c>
      <c r="GI170" t="s">
        <v>4353</v>
      </c>
      <c r="GJ170" t="s">
        <v>4353</v>
      </c>
      <c r="GK170" t="s">
        <v>4353</v>
      </c>
      <c r="GL170" t="s">
        <v>4353</v>
      </c>
      <c r="GM170" t="s">
        <v>4353</v>
      </c>
      <c r="GN170" t="s">
        <v>4353</v>
      </c>
      <c r="GO170" t="s">
        <v>4353</v>
      </c>
      <c r="GP170" t="s">
        <v>4353</v>
      </c>
      <c r="GQ170" t="s">
        <v>4353</v>
      </c>
      <c r="GR170" t="s">
        <v>4353</v>
      </c>
      <c r="GS170" t="s">
        <v>4353</v>
      </c>
      <c r="GT170" t="s">
        <v>4353</v>
      </c>
      <c r="GU170" t="s">
        <v>4353</v>
      </c>
      <c r="GV170" t="s">
        <v>4353</v>
      </c>
      <c r="GW170" t="s">
        <v>4353</v>
      </c>
      <c r="GX170" t="s">
        <v>4353</v>
      </c>
      <c r="GY170" t="s">
        <v>4353</v>
      </c>
      <c r="GZ170" t="s">
        <v>4353</v>
      </c>
      <c r="HA170" t="s">
        <v>4353</v>
      </c>
      <c r="HB170" t="s">
        <v>4353</v>
      </c>
      <c r="HC170" t="s">
        <v>4353</v>
      </c>
      <c r="HD170" t="s">
        <v>4353</v>
      </c>
      <c r="HE170" t="s">
        <v>4353</v>
      </c>
      <c r="HF170" t="s">
        <v>4353</v>
      </c>
      <c r="HG170" t="s">
        <v>4353</v>
      </c>
      <c r="HH170" t="s">
        <v>4353</v>
      </c>
      <c r="HI170" t="s">
        <v>4353</v>
      </c>
      <c r="HJ170" t="s">
        <v>4353</v>
      </c>
      <c r="HK170" t="s">
        <v>4353</v>
      </c>
      <c r="HL170" t="s">
        <v>4353</v>
      </c>
      <c r="HM170" t="s">
        <v>4353</v>
      </c>
      <c r="HN170" t="s">
        <v>4353</v>
      </c>
      <c r="HO170" t="s">
        <v>4331</v>
      </c>
      <c r="HP170" t="s">
        <v>4331</v>
      </c>
      <c r="HQ170" t="s">
        <v>4331</v>
      </c>
      <c r="HR170" t="s">
        <v>4331</v>
      </c>
      <c r="HS170" t="s">
        <v>4331</v>
      </c>
      <c r="HT170" t="s">
        <v>4331</v>
      </c>
      <c r="HU170" t="s">
        <v>4331</v>
      </c>
      <c r="HV170" t="s">
        <v>4331</v>
      </c>
      <c r="HW170" t="s">
        <v>4331</v>
      </c>
      <c r="HX170" t="s">
        <v>4331</v>
      </c>
      <c r="HY170" t="s">
        <v>4331</v>
      </c>
      <c r="HZ170" t="s">
        <v>4331</v>
      </c>
      <c r="IA170" t="s">
        <v>4331</v>
      </c>
      <c r="IB170" t="s">
        <v>4331</v>
      </c>
      <c r="IC170" t="s">
        <v>4331</v>
      </c>
      <c r="ID170" t="s">
        <v>4331</v>
      </c>
      <c r="IE170" t="s">
        <v>4331</v>
      </c>
      <c r="IF170" t="s">
        <v>4331</v>
      </c>
      <c r="IG170" t="s">
        <v>4331</v>
      </c>
      <c r="IH170" t="s">
        <v>4331</v>
      </c>
      <c r="II170" t="s">
        <v>4331</v>
      </c>
      <c r="IJ170" t="s">
        <v>4331</v>
      </c>
      <c r="IK170" t="s">
        <v>4331</v>
      </c>
      <c r="IL170" t="s">
        <v>4331</v>
      </c>
      <c r="IM170" t="s">
        <v>4331</v>
      </c>
      <c r="IN170" t="s">
        <v>4331</v>
      </c>
      <c r="IO170" t="s">
        <v>4331</v>
      </c>
      <c r="IP170" t="s">
        <v>4331</v>
      </c>
      <c r="IQ170" t="s">
        <v>4331</v>
      </c>
      <c r="IR170" t="s">
        <v>4331</v>
      </c>
      <c r="IS170" t="s">
        <v>4358</v>
      </c>
      <c r="IT170" t="s">
        <v>4358</v>
      </c>
      <c r="IU170" t="s">
        <v>4358</v>
      </c>
      <c r="IV170" t="s">
        <v>4358</v>
      </c>
      <c r="IW170" t="s">
        <v>4358</v>
      </c>
      <c r="IX170" t="s">
        <v>4358</v>
      </c>
      <c r="IY170" t="s">
        <v>4358</v>
      </c>
      <c r="IZ170" t="s">
        <v>4358</v>
      </c>
      <c r="JA170" t="s">
        <v>4358</v>
      </c>
      <c r="JB170" t="s">
        <v>4358</v>
      </c>
      <c r="JC170" t="s">
        <v>4358</v>
      </c>
      <c r="JD170" t="s">
        <v>4358</v>
      </c>
      <c r="JE170" t="s">
        <v>4358</v>
      </c>
      <c r="JF170" t="s">
        <v>4358</v>
      </c>
      <c r="JG170" t="s">
        <v>4358</v>
      </c>
      <c r="JH170" t="s">
        <v>4358</v>
      </c>
      <c r="JI170" t="s">
        <v>4358</v>
      </c>
      <c r="JJ170" t="s">
        <v>4358</v>
      </c>
      <c r="JK170" t="s">
        <v>4358</v>
      </c>
      <c r="JL170" t="s">
        <v>4358</v>
      </c>
      <c r="JM170" t="s">
        <v>4358</v>
      </c>
      <c r="JN170" t="s">
        <v>4358</v>
      </c>
      <c r="JO170" t="s">
        <v>4358</v>
      </c>
      <c r="JP170" t="s">
        <v>4358</v>
      </c>
      <c r="JQ170" t="s">
        <v>4358</v>
      </c>
      <c r="JR170" t="s">
        <v>4358</v>
      </c>
      <c r="JS170" t="s">
        <v>4358</v>
      </c>
      <c r="JT170" t="s">
        <v>4358</v>
      </c>
      <c r="JU170" t="s">
        <v>4358</v>
      </c>
    </row>
    <row r="171" spans="44:281" x14ac:dyDescent="0.3">
      <c r="BG171" t="s">
        <v>4357</v>
      </c>
      <c r="BH171" t="s">
        <v>4357</v>
      </c>
      <c r="BI171" t="s">
        <v>4357</v>
      </c>
      <c r="BJ171" t="s">
        <v>4357</v>
      </c>
      <c r="BK171" t="s">
        <v>4357</v>
      </c>
      <c r="BL171" t="s">
        <v>4357</v>
      </c>
      <c r="BM171" t="s">
        <v>4357</v>
      </c>
      <c r="BN171" t="s">
        <v>4357</v>
      </c>
      <c r="BO171" t="s">
        <v>4357</v>
      </c>
      <c r="BP171" t="s">
        <v>4357</v>
      </c>
      <c r="BQ171" t="s">
        <v>4357</v>
      </c>
      <c r="BR171" t="s">
        <v>4357</v>
      </c>
      <c r="BS171" t="s">
        <v>4357</v>
      </c>
      <c r="BT171" t="s">
        <v>4357</v>
      </c>
      <c r="BU171" t="s">
        <v>4357</v>
      </c>
      <c r="BV171" t="s">
        <v>4357</v>
      </c>
      <c r="BW171" t="s">
        <v>4357</v>
      </c>
      <c r="BX171" t="s">
        <v>4347</v>
      </c>
      <c r="BY171" t="s">
        <v>4347</v>
      </c>
      <c r="BZ171" t="s">
        <v>4347</v>
      </c>
      <c r="CA171" t="s">
        <v>4347</v>
      </c>
      <c r="CB171" t="s">
        <v>4347</v>
      </c>
      <c r="CC171" t="s">
        <v>4347</v>
      </c>
      <c r="CD171" t="s">
        <v>4347</v>
      </c>
      <c r="CE171" t="s">
        <v>4347</v>
      </c>
      <c r="CF171" t="s">
        <v>4347</v>
      </c>
      <c r="CG171" t="s">
        <v>4347</v>
      </c>
      <c r="CH171" t="s">
        <v>4347</v>
      </c>
      <c r="CN171" t="s">
        <v>4361</v>
      </c>
      <c r="CO171" t="s">
        <v>4361</v>
      </c>
      <c r="CP171" t="s">
        <v>4363</v>
      </c>
      <c r="CQ171" t="s">
        <v>4363</v>
      </c>
      <c r="CR171" t="s">
        <v>4363</v>
      </c>
      <c r="CS171" t="s">
        <v>4363</v>
      </c>
      <c r="CT171" t="s">
        <v>4363</v>
      </c>
      <c r="CU171" t="s">
        <v>4363</v>
      </c>
      <c r="CV171" t="s">
        <v>4363</v>
      </c>
      <c r="CW171" t="s">
        <v>4362</v>
      </c>
      <c r="CX171" t="s">
        <v>4362</v>
      </c>
      <c r="CY171" t="s">
        <v>4362</v>
      </c>
      <c r="CZ171" t="s">
        <v>4362</v>
      </c>
      <c r="DA171" t="s">
        <v>4364</v>
      </c>
      <c r="DB171" t="s">
        <v>4364</v>
      </c>
      <c r="DC171" t="s">
        <v>4364</v>
      </c>
      <c r="DD171" t="s">
        <v>4364</v>
      </c>
      <c r="DE171" t="s">
        <v>4364</v>
      </c>
      <c r="DF171" t="s">
        <v>4364</v>
      </c>
      <c r="DG171" t="s">
        <v>4364</v>
      </c>
      <c r="DH171" t="s">
        <v>4364</v>
      </c>
      <c r="DI171" t="s">
        <v>4364</v>
      </c>
      <c r="DJ171" t="s">
        <v>4364</v>
      </c>
      <c r="DK171" t="s">
        <v>4364</v>
      </c>
      <c r="DL171" t="s">
        <v>4364</v>
      </c>
      <c r="DM171" t="s">
        <v>4364</v>
      </c>
      <c r="DN171" t="s">
        <v>4364</v>
      </c>
      <c r="DO171" t="s">
        <v>4364</v>
      </c>
      <c r="DY171" t="s">
        <v>4365</v>
      </c>
      <c r="DZ171" t="s">
        <v>4365</v>
      </c>
      <c r="EA171" t="s">
        <v>4365</v>
      </c>
      <c r="EG171" t="s">
        <v>4356</v>
      </c>
      <c r="EH171" t="s">
        <v>4356</v>
      </c>
      <c r="EI171" t="s">
        <v>4356</v>
      </c>
      <c r="EJ171" t="s">
        <v>4356</v>
      </c>
      <c r="EK171" t="s">
        <v>4356</v>
      </c>
      <c r="EL171" t="s">
        <v>4356</v>
      </c>
      <c r="EM171" t="s">
        <v>4356</v>
      </c>
      <c r="EN171" t="s">
        <v>4356</v>
      </c>
      <c r="EO171" t="s">
        <v>4356</v>
      </c>
      <c r="EP171" t="s">
        <v>4356</v>
      </c>
      <c r="EQ171" t="s">
        <v>4356</v>
      </c>
      <c r="ER171" t="s">
        <v>4356</v>
      </c>
      <c r="ES171" t="s">
        <v>4356</v>
      </c>
      <c r="ET171" t="s">
        <v>4356</v>
      </c>
      <c r="EU171" t="s">
        <v>4356</v>
      </c>
      <c r="EV171" t="s">
        <v>4356</v>
      </c>
      <c r="EW171" t="s">
        <v>4356</v>
      </c>
      <c r="EX171" t="s">
        <v>4356</v>
      </c>
      <c r="EY171" t="s">
        <v>4356</v>
      </c>
      <c r="FI171" t="s">
        <v>4353</v>
      </c>
      <c r="FJ171" t="s">
        <v>4353</v>
      </c>
      <c r="FK171" t="s">
        <v>4353</v>
      </c>
      <c r="FL171" t="s">
        <v>4353</v>
      </c>
      <c r="FM171" t="s">
        <v>4353</v>
      </c>
      <c r="FN171" t="s">
        <v>4353</v>
      </c>
      <c r="FO171" t="s">
        <v>4353</v>
      </c>
      <c r="FP171" t="s">
        <v>4353</v>
      </c>
      <c r="FQ171" t="s">
        <v>4353</v>
      </c>
      <c r="FR171" t="s">
        <v>4348</v>
      </c>
      <c r="FS171" t="s">
        <v>4348</v>
      </c>
      <c r="FT171" t="s">
        <v>4348</v>
      </c>
      <c r="FU171" t="s">
        <v>4348</v>
      </c>
      <c r="FV171" t="s">
        <v>4348</v>
      </c>
      <c r="FW171" t="s">
        <v>4348</v>
      </c>
      <c r="FX171" t="s">
        <v>4348</v>
      </c>
      <c r="FY171" t="s">
        <v>4348</v>
      </c>
      <c r="FZ171" t="s">
        <v>4348</v>
      </c>
      <c r="GA171" t="s">
        <v>4353</v>
      </c>
      <c r="GB171" t="s">
        <v>4353</v>
      </c>
      <c r="GC171" t="s">
        <v>4353</v>
      </c>
      <c r="GD171" t="s">
        <v>4353</v>
      </c>
      <c r="GE171" t="s">
        <v>4353</v>
      </c>
      <c r="GF171" t="s">
        <v>4353</v>
      </c>
      <c r="GG171" t="s">
        <v>4353</v>
      </c>
      <c r="GH171" t="s">
        <v>4353</v>
      </c>
      <c r="GI171" t="s">
        <v>4353</v>
      </c>
      <c r="GJ171" t="s">
        <v>4353</v>
      </c>
      <c r="GK171" t="s">
        <v>4353</v>
      </c>
      <c r="GL171" t="s">
        <v>4353</v>
      </c>
      <c r="GM171" t="s">
        <v>4353</v>
      </c>
      <c r="GN171" t="s">
        <v>4353</v>
      </c>
      <c r="GO171" t="s">
        <v>4353</v>
      </c>
      <c r="GP171" t="s">
        <v>4353</v>
      </c>
      <c r="GQ171" t="s">
        <v>4353</v>
      </c>
      <c r="GR171" t="s">
        <v>4353</v>
      </c>
      <c r="GS171" t="s">
        <v>4353</v>
      </c>
      <c r="GT171" t="s">
        <v>4353</v>
      </c>
      <c r="GU171" t="s">
        <v>4353</v>
      </c>
      <c r="GV171" t="s">
        <v>4353</v>
      </c>
      <c r="GW171" t="s">
        <v>4353</v>
      </c>
      <c r="GX171" t="s">
        <v>4353</v>
      </c>
      <c r="GY171" t="s">
        <v>4353</v>
      </c>
      <c r="GZ171" t="s">
        <v>4353</v>
      </c>
      <c r="HA171" t="s">
        <v>4353</v>
      </c>
      <c r="HB171" t="s">
        <v>4353</v>
      </c>
      <c r="HC171" t="s">
        <v>4353</v>
      </c>
      <c r="HD171" t="s">
        <v>4353</v>
      </c>
      <c r="HE171" t="s">
        <v>4353</v>
      </c>
      <c r="HF171" t="s">
        <v>4353</v>
      </c>
      <c r="HG171" t="s">
        <v>4353</v>
      </c>
      <c r="HH171" t="s">
        <v>4353</v>
      </c>
      <c r="HI171" t="s">
        <v>4353</v>
      </c>
      <c r="HJ171" t="s">
        <v>4353</v>
      </c>
      <c r="HK171" t="s">
        <v>4353</v>
      </c>
      <c r="HL171" t="s">
        <v>4353</v>
      </c>
      <c r="HM171" t="s">
        <v>4353</v>
      </c>
      <c r="HN171" t="s">
        <v>4331</v>
      </c>
      <c r="HO171" t="s">
        <v>4331</v>
      </c>
      <c r="HP171" t="s">
        <v>4331</v>
      </c>
      <c r="HQ171" t="s">
        <v>4331</v>
      </c>
      <c r="HR171" t="s">
        <v>4331</v>
      </c>
      <c r="HS171" t="s">
        <v>4331</v>
      </c>
      <c r="HT171" t="s">
        <v>4331</v>
      </c>
      <c r="HU171" t="s">
        <v>4331</v>
      </c>
      <c r="HV171" t="s">
        <v>4331</v>
      </c>
      <c r="HW171" t="s">
        <v>4331</v>
      </c>
      <c r="HX171" t="s">
        <v>4331</v>
      </c>
      <c r="HY171" t="s">
        <v>4331</v>
      </c>
      <c r="HZ171" t="s">
        <v>4331</v>
      </c>
      <c r="IA171" t="s">
        <v>4331</v>
      </c>
      <c r="IB171" t="s">
        <v>4331</v>
      </c>
      <c r="IC171" t="s">
        <v>4331</v>
      </c>
      <c r="ID171" t="s">
        <v>4331</v>
      </c>
      <c r="IE171" t="s">
        <v>4331</v>
      </c>
      <c r="IF171" t="s">
        <v>4331</v>
      </c>
      <c r="IG171" t="s">
        <v>4331</v>
      </c>
      <c r="IH171" t="s">
        <v>4331</v>
      </c>
      <c r="II171" t="s">
        <v>4331</v>
      </c>
      <c r="IJ171" t="s">
        <v>4331</v>
      </c>
      <c r="IK171" t="s">
        <v>4331</v>
      </c>
      <c r="IL171" t="s">
        <v>4331</v>
      </c>
      <c r="IM171" t="s">
        <v>4331</v>
      </c>
      <c r="IN171" t="s">
        <v>4331</v>
      </c>
      <c r="IO171" t="s">
        <v>4331</v>
      </c>
      <c r="IP171" t="s">
        <v>4358</v>
      </c>
      <c r="IQ171" t="s">
        <v>4358</v>
      </c>
      <c r="IR171" t="s">
        <v>4358</v>
      </c>
      <c r="IS171" t="s">
        <v>4358</v>
      </c>
      <c r="IT171" t="s">
        <v>4358</v>
      </c>
      <c r="IU171" t="s">
        <v>4358</v>
      </c>
      <c r="IV171" t="s">
        <v>4358</v>
      </c>
      <c r="IW171" t="s">
        <v>4358</v>
      </c>
      <c r="IX171" t="s">
        <v>4358</v>
      </c>
      <c r="IY171" t="s">
        <v>4358</v>
      </c>
      <c r="IZ171" t="s">
        <v>4358</v>
      </c>
      <c r="JA171" t="s">
        <v>4358</v>
      </c>
      <c r="JB171" t="s">
        <v>4358</v>
      </c>
      <c r="JC171" t="s">
        <v>4358</v>
      </c>
      <c r="JD171" t="s">
        <v>4358</v>
      </c>
      <c r="JE171" t="s">
        <v>4358</v>
      </c>
      <c r="JF171" t="s">
        <v>4358</v>
      </c>
      <c r="JG171" t="s">
        <v>4358</v>
      </c>
      <c r="JH171" t="s">
        <v>4358</v>
      </c>
      <c r="JI171" t="s">
        <v>4358</v>
      </c>
      <c r="JJ171" t="s">
        <v>4358</v>
      </c>
      <c r="JK171" t="s">
        <v>4358</v>
      </c>
      <c r="JL171" t="s">
        <v>4358</v>
      </c>
      <c r="JM171" t="s">
        <v>4358</v>
      </c>
      <c r="JN171" t="s">
        <v>4358</v>
      </c>
      <c r="JO171" t="s">
        <v>4358</v>
      </c>
      <c r="JP171" t="s">
        <v>4358</v>
      </c>
      <c r="JQ171" t="s">
        <v>4358</v>
      </c>
      <c r="JR171" t="s">
        <v>4358</v>
      </c>
      <c r="JS171" t="s">
        <v>4358</v>
      </c>
      <c r="JT171" t="s">
        <v>4358</v>
      </c>
      <c r="JU171" t="s">
        <v>4358</v>
      </c>
    </row>
    <row r="172" spans="44:281" x14ac:dyDescent="0.3">
      <c r="BG172" t="s">
        <v>4357</v>
      </c>
      <c r="BH172" t="s">
        <v>4357</v>
      </c>
      <c r="BI172" t="s">
        <v>4357</v>
      </c>
      <c r="BJ172" t="s">
        <v>4357</v>
      </c>
      <c r="BK172" t="s">
        <v>4357</v>
      </c>
      <c r="BL172" t="s">
        <v>4357</v>
      </c>
      <c r="BM172" t="s">
        <v>4357</v>
      </c>
      <c r="BN172" t="s">
        <v>4357</v>
      </c>
      <c r="BO172" t="s">
        <v>4357</v>
      </c>
      <c r="BP172" t="s">
        <v>4357</v>
      </c>
      <c r="BQ172" t="s">
        <v>4357</v>
      </c>
      <c r="BR172" t="s">
        <v>4357</v>
      </c>
      <c r="BS172" t="s">
        <v>4357</v>
      </c>
      <c r="BT172" t="s">
        <v>4357</v>
      </c>
      <c r="BU172" t="s">
        <v>4357</v>
      </c>
      <c r="BV172" t="s">
        <v>4357</v>
      </c>
      <c r="BW172" t="s">
        <v>4357</v>
      </c>
      <c r="BX172" t="s">
        <v>4347</v>
      </c>
      <c r="BY172" t="s">
        <v>4347</v>
      </c>
      <c r="BZ172" t="s">
        <v>4347</v>
      </c>
      <c r="CA172" t="s">
        <v>4347</v>
      </c>
      <c r="CB172" t="s">
        <v>4347</v>
      </c>
      <c r="CC172" t="s">
        <v>4347</v>
      </c>
      <c r="CD172" t="s">
        <v>4347</v>
      </c>
      <c r="CE172" t="s">
        <v>4347</v>
      </c>
      <c r="CF172" t="s">
        <v>4347</v>
      </c>
      <c r="CG172" t="s">
        <v>4347</v>
      </c>
      <c r="CH172" t="s">
        <v>4347</v>
      </c>
      <c r="CK172" t="s">
        <v>4361</v>
      </c>
      <c r="CL172" t="s">
        <v>4361</v>
      </c>
      <c r="CM172" t="s">
        <v>4361</v>
      </c>
      <c r="CN172" t="s">
        <v>4361</v>
      </c>
      <c r="CO172" t="s">
        <v>4361</v>
      </c>
      <c r="CP172" t="s">
        <v>4361</v>
      </c>
      <c r="CQ172" t="s">
        <v>4361</v>
      </c>
      <c r="CR172" t="s">
        <v>4361</v>
      </c>
      <c r="CS172" t="s">
        <v>4361</v>
      </c>
      <c r="CT172" t="s">
        <v>4361</v>
      </c>
      <c r="CU172" t="s">
        <v>4361</v>
      </c>
      <c r="CV172" t="s">
        <v>4361</v>
      </c>
      <c r="CW172" t="s">
        <v>4362</v>
      </c>
      <c r="CX172" t="s">
        <v>4362</v>
      </c>
      <c r="CY172" t="s">
        <v>4362</v>
      </c>
      <c r="CZ172" t="s">
        <v>4362</v>
      </c>
      <c r="DA172" t="s">
        <v>4364</v>
      </c>
      <c r="DB172" t="s">
        <v>4364</v>
      </c>
      <c r="DC172" t="s">
        <v>4364</v>
      </c>
      <c r="DD172" t="s">
        <v>4364</v>
      </c>
      <c r="DE172" t="s">
        <v>4364</v>
      </c>
      <c r="DF172" t="s">
        <v>4364</v>
      </c>
      <c r="DG172" t="s">
        <v>4364</v>
      </c>
      <c r="DH172" t="s">
        <v>4364</v>
      </c>
      <c r="DI172" t="s">
        <v>4364</v>
      </c>
      <c r="DJ172" t="s">
        <v>4364</v>
      </c>
      <c r="DK172" t="s">
        <v>4364</v>
      </c>
      <c r="DL172" t="s">
        <v>4364</v>
      </c>
      <c r="DM172" t="s">
        <v>4364</v>
      </c>
      <c r="DN172" t="s">
        <v>4364</v>
      </c>
      <c r="DO172" t="s">
        <v>4364</v>
      </c>
      <c r="DP172" t="s">
        <v>4364</v>
      </c>
      <c r="DW172" t="s">
        <v>4365</v>
      </c>
      <c r="DX172" t="s">
        <v>4365</v>
      </c>
      <c r="DY172" t="s">
        <v>4365</v>
      </c>
      <c r="DZ172" t="s">
        <v>4365</v>
      </c>
      <c r="EA172" t="s">
        <v>4365</v>
      </c>
      <c r="EB172" t="s">
        <v>4365</v>
      </c>
      <c r="EC172" t="s">
        <v>4365</v>
      </c>
      <c r="ED172" t="s">
        <v>4365</v>
      </c>
      <c r="EE172" t="s">
        <v>4356</v>
      </c>
      <c r="EF172" t="s">
        <v>4356</v>
      </c>
      <c r="EG172" t="s">
        <v>4356</v>
      </c>
      <c r="EH172" t="s">
        <v>4356</v>
      </c>
      <c r="EI172" t="s">
        <v>4356</v>
      </c>
      <c r="EJ172" t="s">
        <v>4356</v>
      </c>
      <c r="EK172" t="s">
        <v>4356</v>
      </c>
      <c r="EL172" t="s">
        <v>4356</v>
      </c>
      <c r="EM172" t="s">
        <v>4356</v>
      </c>
      <c r="EN172" t="s">
        <v>4356</v>
      </c>
      <c r="EO172" t="s">
        <v>4356</v>
      </c>
      <c r="EP172" t="s">
        <v>4356</v>
      </c>
      <c r="EQ172" t="s">
        <v>4356</v>
      </c>
      <c r="ER172" t="s">
        <v>4356</v>
      </c>
      <c r="ES172" t="s">
        <v>4356</v>
      </c>
      <c r="ET172" t="s">
        <v>4356</v>
      </c>
      <c r="EU172" t="s">
        <v>4356</v>
      </c>
      <c r="EV172" t="s">
        <v>4356</v>
      </c>
      <c r="EW172" t="s">
        <v>4356</v>
      </c>
      <c r="EX172" t="s">
        <v>4356</v>
      </c>
      <c r="EY172" t="s">
        <v>4356</v>
      </c>
      <c r="EZ172" t="s">
        <v>4356</v>
      </c>
      <c r="FI172" t="s">
        <v>4353</v>
      </c>
      <c r="FJ172" t="s">
        <v>4353</v>
      </c>
      <c r="FK172" t="s">
        <v>4353</v>
      </c>
      <c r="FL172" t="s">
        <v>4353</v>
      </c>
      <c r="FM172" t="s">
        <v>4353</v>
      </c>
      <c r="FN172" t="s">
        <v>4353</v>
      </c>
      <c r="FO172" t="s">
        <v>4353</v>
      </c>
      <c r="FP172" t="s">
        <v>4353</v>
      </c>
      <c r="FQ172" t="s">
        <v>4353</v>
      </c>
      <c r="FR172" t="s">
        <v>4353</v>
      </c>
      <c r="FS172" t="s">
        <v>4353</v>
      </c>
      <c r="FT172" t="s">
        <v>4348</v>
      </c>
      <c r="FU172" t="s">
        <v>4348</v>
      </c>
      <c r="FV172" t="s">
        <v>4348</v>
      </c>
      <c r="FW172" t="s">
        <v>4348</v>
      </c>
      <c r="FX172" t="s">
        <v>4353</v>
      </c>
      <c r="FY172" t="s">
        <v>4353</v>
      </c>
      <c r="FZ172" t="s">
        <v>4353</v>
      </c>
      <c r="GA172" t="s">
        <v>4353</v>
      </c>
      <c r="GB172" t="s">
        <v>4353</v>
      </c>
      <c r="GC172" t="s">
        <v>4353</v>
      </c>
      <c r="GD172" t="s">
        <v>4353</v>
      </c>
      <c r="GE172" t="s">
        <v>4353</v>
      </c>
      <c r="GF172" t="s">
        <v>4353</v>
      </c>
      <c r="GG172" t="s">
        <v>4353</v>
      </c>
      <c r="GH172" t="s">
        <v>4353</v>
      </c>
      <c r="GI172" t="s">
        <v>4353</v>
      </c>
      <c r="GJ172" t="s">
        <v>4353</v>
      </c>
      <c r="GK172" t="s">
        <v>4353</v>
      </c>
      <c r="GL172" t="s">
        <v>4353</v>
      </c>
      <c r="GM172" t="s">
        <v>4353</v>
      </c>
      <c r="GN172" t="s">
        <v>4353</v>
      </c>
      <c r="GO172" t="s">
        <v>4353</v>
      </c>
      <c r="GP172" t="s">
        <v>4353</v>
      </c>
      <c r="GQ172" t="s">
        <v>4353</v>
      </c>
      <c r="GR172" t="s">
        <v>4353</v>
      </c>
      <c r="GS172" t="s">
        <v>4353</v>
      </c>
      <c r="GT172" t="s">
        <v>4353</v>
      </c>
      <c r="GU172" t="s">
        <v>4353</v>
      </c>
      <c r="GV172" t="s">
        <v>4353</v>
      </c>
      <c r="GW172" t="s">
        <v>4353</v>
      </c>
      <c r="GX172" t="s">
        <v>4353</v>
      </c>
      <c r="GY172" t="s">
        <v>4353</v>
      </c>
      <c r="GZ172" t="s">
        <v>4353</v>
      </c>
      <c r="HA172" t="s">
        <v>4353</v>
      </c>
      <c r="HB172" t="s">
        <v>4353</v>
      </c>
      <c r="HC172" t="s">
        <v>4353</v>
      </c>
      <c r="HD172" t="s">
        <v>4353</v>
      </c>
      <c r="HE172" t="s">
        <v>4353</v>
      </c>
      <c r="HF172" t="s">
        <v>4353</v>
      </c>
      <c r="HG172" t="s">
        <v>4353</v>
      </c>
      <c r="HH172" t="s">
        <v>4353</v>
      </c>
      <c r="HI172" t="s">
        <v>4353</v>
      </c>
      <c r="HJ172" t="s">
        <v>4353</v>
      </c>
      <c r="HK172" t="s">
        <v>4353</v>
      </c>
      <c r="HL172" t="s">
        <v>4353</v>
      </c>
      <c r="HM172" t="s">
        <v>4353</v>
      </c>
      <c r="HN172" t="s">
        <v>4353</v>
      </c>
      <c r="HO172" t="s">
        <v>4353</v>
      </c>
      <c r="HP172" t="s">
        <v>4353</v>
      </c>
      <c r="HQ172" t="s">
        <v>4331</v>
      </c>
      <c r="HR172" t="s">
        <v>4331</v>
      </c>
      <c r="HS172" t="s">
        <v>4331</v>
      </c>
      <c r="HT172" t="s">
        <v>4331</v>
      </c>
      <c r="HU172" t="s">
        <v>4331</v>
      </c>
      <c r="HV172" t="s">
        <v>4331</v>
      </c>
      <c r="HW172" t="s">
        <v>4331</v>
      </c>
      <c r="HX172" t="s">
        <v>4331</v>
      </c>
      <c r="HY172" t="s">
        <v>4331</v>
      </c>
      <c r="HZ172" t="s">
        <v>4331</v>
      </c>
      <c r="IA172" t="s">
        <v>4331</v>
      </c>
      <c r="IB172" t="s">
        <v>4331</v>
      </c>
      <c r="IC172" t="s">
        <v>4331</v>
      </c>
      <c r="ID172" t="s">
        <v>4331</v>
      </c>
      <c r="IE172" t="s">
        <v>4331</v>
      </c>
      <c r="IF172" t="s">
        <v>4331</v>
      </c>
      <c r="IG172" t="s">
        <v>4331</v>
      </c>
      <c r="IH172" t="s">
        <v>4331</v>
      </c>
      <c r="II172" t="s">
        <v>4331</v>
      </c>
      <c r="IJ172" t="s">
        <v>4358</v>
      </c>
      <c r="IK172" t="s">
        <v>4358</v>
      </c>
      <c r="IL172" t="s">
        <v>4358</v>
      </c>
      <c r="IM172" t="s">
        <v>4358</v>
      </c>
      <c r="IN172" t="s">
        <v>4358</v>
      </c>
      <c r="IO172" t="s">
        <v>4358</v>
      </c>
      <c r="IP172" t="s">
        <v>4358</v>
      </c>
      <c r="IQ172" t="s">
        <v>4358</v>
      </c>
      <c r="IR172" t="s">
        <v>4358</v>
      </c>
      <c r="IS172" t="s">
        <v>4358</v>
      </c>
      <c r="IT172" t="s">
        <v>4358</v>
      </c>
      <c r="IU172" t="s">
        <v>4358</v>
      </c>
      <c r="IV172" t="s">
        <v>4358</v>
      </c>
      <c r="IW172" t="s">
        <v>4358</v>
      </c>
      <c r="IX172" t="s">
        <v>4358</v>
      </c>
      <c r="IY172" t="s">
        <v>4358</v>
      </c>
      <c r="IZ172" t="s">
        <v>4358</v>
      </c>
      <c r="JA172" t="s">
        <v>4358</v>
      </c>
      <c r="JB172" t="s">
        <v>4358</v>
      </c>
      <c r="JC172" t="s">
        <v>4358</v>
      </c>
      <c r="JD172" t="s">
        <v>4358</v>
      </c>
      <c r="JE172" t="s">
        <v>4358</v>
      </c>
      <c r="JF172" t="s">
        <v>4358</v>
      </c>
      <c r="JG172" t="s">
        <v>4358</v>
      </c>
      <c r="JH172" t="s">
        <v>4358</v>
      </c>
      <c r="JI172" t="s">
        <v>4358</v>
      </c>
      <c r="JJ172" t="s">
        <v>4358</v>
      </c>
      <c r="JK172" t="s">
        <v>4358</v>
      </c>
      <c r="JL172" t="s">
        <v>4358</v>
      </c>
      <c r="JM172" t="s">
        <v>4358</v>
      </c>
      <c r="JN172" t="s">
        <v>4358</v>
      </c>
      <c r="JO172" t="s">
        <v>4358</v>
      </c>
      <c r="JP172" t="s">
        <v>4358</v>
      </c>
      <c r="JQ172" t="s">
        <v>4358</v>
      </c>
      <c r="JR172" t="s">
        <v>4358</v>
      </c>
      <c r="JS172" t="s">
        <v>4358</v>
      </c>
      <c r="JT172" t="s">
        <v>4358</v>
      </c>
      <c r="JU172" t="s">
        <v>4358</v>
      </c>
    </row>
    <row r="173" spans="44:281" x14ac:dyDescent="0.3">
      <c r="BH173" t="s">
        <v>4357</v>
      </c>
      <c r="BI173" t="s">
        <v>4357</v>
      </c>
      <c r="BJ173" t="s">
        <v>4357</v>
      </c>
      <c r="BK173" t="s">
        <v>4357</v>
      </c>
      <c r="BL173" t="s">
        <v>4357</v>
      </c>
      <c r="BM173" t="s">
        <v>4357</v>
      </c>
      <c r="BN173" t="s">
        <v>4357</v>
      </c>
      <c r="BO173" t="s">
        <v>4357</v>
      </c>
      <c r="BP173" t="s">
        <v>4357</v>
      </c>
      <c r="BQ173" t="s">
        <v>4357</v>
      </c>
      <c r="BR173" t="s">
        <v>4357</v>
      </c>
      <c r="BS173" t="s">
        <v>4357</v>
      </c>
      <c r="BT173" t="s">
        <v>4357</v>
      </c>
      <c r="BU173" t="s">
        <v>4357</v>
      </c>
      <c r="BV173" t="s">
        <v>4357</v>
      </c>
      <c r="BW173" t="s">
        <v>4357</v>
      </c>
      <c r="BX173" t="s">
        <v>4347</v>
      </c>
      <c r="BY173" t="s">
        <v>4347</v>
      </c>
      <c r="BZ173" t="s">
        <v>4347</v>
      </c>
      <c r="CA173" t="s">
        <v>4347</v>
      </c>
      <c r="CB173" t="s">
        <v>4347</v>
      </c>
      <c r="CC173" t="s">
        <v>4347</v>
      </c>
      <c r="CD173" t="s">
        <v>4347</v>
      </c>
      <c r="CE173" t="s">
        <v>4347</v>
      </c>
      <c r="CF173" t="s">
        <v>4347</v>
      </c>
      <c r="CG173" t="s">
        <v>4347</v>
      </c>
      <c r="CH173" t="s">
        <v>4347</v>
      </c>
      <c r="CI173" t="s">
        <v>4347</v>
      </c>
      <c r="CJ173" t="s">
        <v>4347</v>
      </c>
      <c r="CK173" t="s">
        <v>4347</v>
      </c>
      <c r="CL173" t="s">
        <v>4366</v>
      </c>
      <c r="CM173" t="s">
        <v>4366</v>
      </c>
      <c r="CN173" t="s">
        <v>4366</v>
      </c>
      <c r="CO173" t="s">
        <v>4361</v>
      </c>
      <c r="CP173" t="s">
        <v>4361</v>
      </c>
      <c r="CQ173" t="s">
        <v>4361</v>
      </c>
      <c r="CR173" t="s">
        <v>4361</v>
      </c>
      <c r="CS173" t="s">
        <v>4361</v>
      </c>
      <c r="CT173" t="s">
        <v>4361</v>
      </c>
      <c r="CU173" t="s">
        <v>4361</v>
      </c>
      <c r="CV173" t="s">
        <v>4362</v>
      </c>
      <c r="CW173" t="s">
        <v>4362</v>
      </c>
      <c r="CX173" t="s">
        <v>4362</v>
      </c>
      <c r="CY173" t="s">
        <v>4364</v>
      </c>
      <c r="CZ173" t="s">
        <v>4364</v>
      </c>
      <c r="DA173" t="s">
        <v>4364</v>
      </c>
      <c r="DB173" t="s">
        <v>4364</v>
      </c>
      <c r="DC173" t="s">
        <v>4364</v>
      </c>
      <c r="DD173" t="s">
        <v>4364</v>
      </c>
      <c r="DE173" t="s">
        <v>4364</v>
      </c>
      <c r="DF173" t="s">
        <v>4364</v>
      </c>
      <c r="DG173" t="s">
        <v>4364</v>
      </c>
      <c r="DH173" t="s">
        <v>4364</v>
      </c>
      <c r="DI173" t="s">
        <v>4364</v>
      </c>
      <c r="DJ173" t="s">
        <v>4364</v>
      </c>
      <c r="DK173" t="s">
        <v>4364</v>
      </c>
      <c r="DL173" t="s">
        <v>4364</v>
      </c>
      <c r="DM173" t="s">
        <v>4364</v>
      </c>
      <c r="DN173" t="s">
        <v>4367</v>
      </c>
      <c r="DO173" t="s">
        <v>4365</v>
      </c>
      <c r="DP173" t="s">
        <v>4365</v>
      </c>
      <c r="DQ173" t="s">
        <v>4365</v>
      </c>
      <c r="DY173" t="s">
        <v>4365</v>
      </c>
      <c r="DZ173" t="s">
        <v>4365</v>
      </c>
      <c r="EA173" t="s">
        <v>4365</v>
      </c>
      <c r="EG173" t="s">
        <v>4356</v>
      </c>
      <c r="EH173" t="s">
        <v>4356</v>
      </c>
      <c r="EI173" t="s">
        <v>4356</v>
      </c>
      <c r="EJ173" t="s">
        <v>4356</v>
      </c>
      <c r="EK173" t="s">
        <v>4356</v>
      </c>
      <c r="EL173" t="s">
        <v>4356</v>
      </c>
      <c r="EM173" t="s">
        <v>4356</v>
      </c>
      <c r="EN173" t="s">
        <v>4356</v>
      </c>
      <c r="EO173" t="s">
        <v>4356</v>
      </c>
      <c r="EP173" t="s">
        <v>4356</v>
      </c>
      <c r="EQ173" t="s">
        <v>4356</v>
      </c>
      <c r="ER173" t="s">
        <v>4356</v>
      </c>
      <c r="ES173" t="s">
        <v>4356</v>
      </c>
      <c r="ET173" t="s">
        <v>4356</v>
      </c>
      <c r="EU173" t="s">
        <v>4356</v>
      </c>
      <c r="EV173" t="s">
        <v>4356</v>
      </c>
      <c r="EW173" t="s">
        <v>4356</v>
      </c>
      <c r="EX173" t="s">
        <v>4356</v>
      </c>
      <c r="EY173" t="s">
        <v>4356</v>
      </c>
      <c r="EZ173" t="s">
        <v>4356</v>
      </c>
      <c r="FA173" t="s">
        <v>4356</v>
      </c>
      <c r="FB173" t="s">
        <v>4356</v>
      </c>
      <c r="FL173" t="s">
        <v>4353</v>
      </c>
      <c r="FM173" t="s">
        <v>4353</v>
      </c>
      <c r="FN173" t="s">
        <v>4353</v>
      </c>
      <c r="FO173" t="s">
        <v>4353</v>
      </c>
      <c r="FP173" t="s">
        <v>4353</v>
      </c>
      <c r="FQ173" t="s">
        <v>4353</v>
      </c>
      <c r="FR173" t="s">
        <v>4353</v>
      </c>
      <c r="FS173" t="s">
        <v>4353</v>
      </c>
      <c r="FT173" t="s">
        <v>4353</v>
      </c>
      <c r="FU173" t="s">
        <v>4353</v>
      </c>
      <c r="FV173" t="s">
        <v>4353</v>
      </c>
      <c r="FW173" t="s">
        <v>4353</v>
      </c>
      <c r="FX173" t="s">
        <v>4353</v>
      </c>
      <c r="FY173" t="s">
        <v>4353</v>
      </c>
      <c r="FZ173" t="s">
        <v>4353</v>
      </c>
      <c r="GA173" t="s">
        <v>4353</v>
      </c>
      <c r="GB173" t="s">
        <v>4353</v>
      </c>
      <c r="GC173" t="s">
        <v>4353</v>
      </c>
      <c r="GD173" t="s">
        <v>4353</v>
      </c>
      <c r="GE173" t="s">
        <v>4353</v>
      </c>
      <c r="GF173" t="s">
        <v>4353</v>
      </c>
      <c r="GG173" t="s">
        <v>4353</v>
      </c>
      <c r="GH173" t="s">
        <v>4353</v>
      </c>
      <c r="GI173" t="s">
        <v>4353</v>
      </c>
      <c r="GJ173" t="s">
        <v>4353</v>
      </c>
      <c r="GK173" t="s">
        <v>4353</v>
      </c>
      <c r="GL173" t="s">
        <v>4353</v>
      </c>
      <c r="GM173" t="s">
        <v>4353</v>
      </c>
      <c r="GN173" t="s">
        <v>4353</v>
      </c>
      <c r="GO173" t="s">
        <v>4353</v>
      </c>
      <c r="GP173" t="s">
        <v>4353</v>
      </c>
      <c r="GQ173" t="s">
        <v>4353</v>
      </c>
      <c r="GR173" t="s">
        <v>4353</v>
      </c>
      <c r="GS173" t="s">
        <v>4353</v>
      </c>
      <c r="GT173" t="s">
        <v>4353</v>
      </c>
      <c r="GU173" t="s">
        <v>4353</v>
      </c>
      <c r="GV173" t="s">
        <v>4353</v>
      </c>
      <c r="GW173" t="s">
        <v>4353</v>
      </c>
      <c r="GX173" t="s">
        <v>4353</v>
      </c>
      <c r="GY173" t="s">
        <v>4353</v>
      </c>
      <c r="GZ173" t="s">
        <v>4353</v>
      </c>
      <c r="HA173" t="s">
        <v>4353</v>
      </c>
      <c r="HB173" t="s">
        <v>4353</v>
      </c>
      <c r="HC173" t="s">
        <v>4353</v>
      </c>
      <c r="HD173" t="s">
        <v>4353</v>
      </c>
      <c r="HE173" t="s">
        <v>4353</v>
      </c>
      <c r="HF173" t="s">
        <v>4353</v>
      </c>
      <c r="HG173" t="s">
        <v>4353</v>
      </c>
      <c r="HH173" t="s">
        <v>4353</v>
      </c>
      <c r="HI173" t="s">
        <v>4353</v>
      </c>
      <c r="HJ173" t="s">
        <v>4353</v>
      </c>
      <c r="HK173" t="s">
        <v>4353</v>
      </c>
      <c r="HL173" t="s">
        <v>4353</v>
      </c>
      <c r="HM173" t="s">
        <v>4353</v>
      </c>
      <c r="HN173" t="s">
        <v>4353</v>
      </c>
      <c r="HO173" t="s">
        <v>4353</v>
      </c>
      <c r="HP173" t="s">
        <v>4353</v>
      </c>
      <c r="HQ173" t="s">
        <v>4353</v>
      </c>
      <c r="HR173" t="s">
        <v>4353</v>
      </c>
      <c r="HS173" t="s">
        <v>4331</v>
      </c>
      <c r="HT173" t="s">
        <v>4331</v>
      </c>
      <c r="HU173" t="s">
        <v>4331</v>
      </c>
      <c r="HV173" t="s">
        <v>4331</v>
      </c>
      <c r="HW173" t="s">
        <v>4331</v>
      </c>
      <c r="HX173" t="s">
        <v>4331</v>
      </c>
      <c r="HY173" t="s">
        <v>4331</v>
      </c>
      <c r="HZ173" t="s">
        <v>4331</v>
      </c>
      <c r="IA173" t="s">
        <v>4331</v>
      </c>
      <c r="IB173" t="s">
        <v>4331</v>
      </c>
      <c r="IC173" t="s">
        <v>4331</v>
      </c>
      <c r="ID173" t="s">
        <v>4331</v>
      </c>
      <c r="IE173" t="s">
        <v>4331</v>
      </c>
      <c r="IF173" t="s">
        <v>4331</v>
      </c>
      <c r="IG173" t="s">
        <v>4331</v>
      </c>
      <c r="IH173" t="s">
        <v>4331</v>
      </c>
      <c r="II173" t="s">
        <v>4358</v>
      </c>
      <c r="IJ173" t="s">
        <v>4358</v>
      </c>
      <c r="IK173" t="s">
        <v>4358</v>
      </c>
      <c r="IL173" t="s">
        <v>4358</v>
      </c>
      <c r="IM173" t="s">
        <v>4358</v>
      </c>
      <c r="IN173" t="s">
        <v>4358</v>
      </c>
      <c r="IO173" t="s">
        <v>4358</v>
      </c>
      <c r="IP173" t="s">
        <v>4358</v>
      </c>
      <c r="IQ173" t="s">
        <v>4358</v>
      </c>
      <c r="IR173" t="s">
        <v>4358</v>
      </c>
      <c r="IS173" t="s">
        <v>4358</v>
      </c>
      <c r="IT173" t="s">
        <v>4358</v>
      </c>
      <c r="IU173" t="s">
        <v>4358</v>
      </c>
      <c r="IV173" t="s">
        <v>4358</v>
      </c>
      <c r="IW173" t="s">
        <v>4358</v>
      </c>
      <c r="IX173" t="s">
        <v>4358</v>
      </c>
      <c r="IY173" t="s">
        <v>4358</v>
      </c>
      <c r="IZ173" t="s">
        <v>4358</v>
      </c>
      <c r="JA173" t="s">
        <v>4358</v>
      </c>
      <c r="JB173" t="s">
        <v>4358</v>
      </c>
      <c r="JC173" t="s">
        <v>4358</v>
      </c>
      <c r="JD173" t="s">
        <v>4358</v>
      </c>
      <c r="JE173" t="s">
        <v>4358</v>
      </c>
      <c r="JF173" t="s">
        <v>4358</v>
      </c>
      <c r="JG173" t="s">
        <v>4358</v>
      </c>
      <c r="JH173" t="s">
        <v>4358</v>
      </c>
      <c r="JI173" t="s">
        <v>4358</v>
      </c>
      <c r="JJ173" t="s">
        <v>4358</v>
      </c>
      <c r="JK173" t="s">
        <v>4358</v>
      </c>
      <c r="JL173" t="s">
        <v>4358</v>
      </c>
      <c r="JM173" t="s">
        <v>4358</v>
      </c>
      <c r="JN173" t="s">
        <v>4358</v>
      </c>
      <c r="JO173" t="s">
        <v>4358</v>
      </c>
      <c r="JP173" t="s">
        <v>4358</v>
      </c>
      <c r="JQ173" t="s">
        <v>4358</v>
      </c>
      <c r="JR173" t="s">
        <v>4358</v>
      </c>
      <c r="JS173" t="s">
        <v>4358</v>
      </c>
      <c r="JT173" t="s">
        <v>4358</v>
      </c>
      <c r="JU173" t="s">
        <v>4358</v>
      </c>
    </row>
    <row r="174" spans="44:281" x14ac:dyDescent="0.3">
      <c r="BG174" t="s">
        <v>4357</v>
      </c>
      <c r="BH174" t="s">
        <v>4357</v>
      </c>
      <c r="BI174" t="s">
        <v>4357</v>
      </c>
      <c r="BJ174" t="s">
        <v>4357</v>
      </c>
      <c r="BK174" t="s">
        <v>4357</v>
      </c>
      <c r="BL174" t="s">
        <v>4357</v>
      </c>
      <c r="BM174" t="s">
        <v>4357</v>
      </c>
      <c r="BN174" t="s">
        <v>4357</v>
      </c>
      <c r="BO174" t="s">
        <v>4357</v>
      </c>
      <c r="BP174" t="s">
        <v>4357</v>
      </c>
      <c r="BQ174" t="s">
        <v>4357</v>
      </c>
      <c r="BR174" t="s">
        <v>4357</v>
      </c>
      <c r="BS174" t="s">
        <v>4357</v>
      </c>
      <c r="BT174" t="s">
        <v>4357</v>
      </c>
      <c r="BU174" t="s">
        <v>4357</v>
      </c>
      <c r="BV174" t="s">
        <v>4357</v>
      </c>
      <c r="BW174" t="s">
        <v>4368</v>
      </c>
      <c r="BX174" t="s">
        <v>4368</v>
      </c>
      <c r="BY174" t="s">
        <v>4368</v>
      </c>
      <c r="BZ174" t="s">
        <v>4368</v>
      </c>
      <c r="CA174" t="s">
        <v>4368</v>
      </c>
      <c r="CB174" t="s">
        <v>4347</v>
      </c>
      <c r="CC174" t="s">
        <v>4347</v>
      </c>
      <c r="CD174" t="s">
        <v>4347</v>
      </c>
      <c r="CE174" t="s">
        <v>4347</v>
      </c>
      <c r="CF174" t="s">
        <v>4347</v>
      </c>
      <c r="CG174" t="s">
        <v>4347</v>
      </c>
      <c r="CH174" t="s">
        <v>4347</v>
      </c>
      <c r="CI174" t="s">
        <v>4347</v>
      </c>
      <c r="CJ174" t="s">
        <v>4347</v>
      </c>
      <c r="CK174" t="s">
        <v>4366</v>
      </c>
      <c r="CL174" t="s">
        <v>4366</v>
      </c>
      <c r="CM174" t="s">
        <v>4366</v>
      </c>
      <c r="CN174" t="s">
        <v>4366</v>
      </c>
      <c r="CO174" t="s">
        <v>4366</v>
      </c>
      <c r="CP174" t="s">
        <v>4361</v>
      </c>
      <c r="CQ174" t="s">
        <v>4361</v>
      </c>
      <c r="CR174" t="s">
        <v>4369</v>
      </c>
      <c r="CS174" t="s">
        <v>4369</v>
      </c>
      <c r="CT174" t="s">
        <v>4369</v>
      </c>
      <c r="CU174" t="s">
        <v>4369</v>
      </c>
      <c r="CV174" t="s">
        <v>4369</v>
      </c>
      <c r="CW174" t="s">
        <v>4369</v>
      </c>
      <c r="CX174" t="s">
        <v>4369</v>
      </c>
      <c r="CY174" t="s">
        <v>4364</v>
      </c>
      <c r="CZ174" t="s">
        <v>4364</v>
      </c>
      <c r="DA174" t="s">
        <v>4364</v>
      </c>
      <c r="DB174" t="s">
        <v>4364</v>
      </c>
      <c r="DC174" t="s">
        <v>4364</v>
      </c>
      <c r="DD174" t="s">
        <v>4364</v>
      </c>
      <c r="DE174" t="s">
        <v>4364</v>
      </c>
      <c r="DF174" t="s">
        <v>4364</v>
      </c>
      <c r="DG174" t="s">
        <v>4364</v>
      </c>
      <c r="DH174" t="s">
        <v>4364</v>
      </c>
      <c r="DI174" t="s">
        <v>4364</v>
      </c>
      <c r="DJ174" t="s">
        <v>4364</v>
      </c>
      <c r="DK174" t="s">
        <v>4364</v>
      </c>
      <c r="DL174" t="s">
        <v>4364</v>
      </c>
      <c r="DM174" t="s">
        <v>4364</v>
      </c>
      <c r="DN174" t="s">
        <v>4367</v>
      </c>
      <c r="DO174" t="s">
        <v>4367</v>
      </c>
      <c r="DP174" t="s">
        <v>4365</v>
      </c>
      <c r="DQ174" t="s">
        <v>4365</v>
      </c>
      <c r="DR174" t="s">
        <v>4365</v>
      </c>
      <c r="DW174" t="s">
        <v>4365</v>
      </c>
      <c r="DX174" t="s">
        <v>4365</v>
      </c>
      <c r="DY174" t="s">
        <v>4365</v>
      </c>
      <c r="DZ174" t="s">
        <v>4365</v>
      </c>
      <c r="EA174" t="s">
        <v>4365</v>
      </c>
      <c r="EH174" t="s">
        <v>4356</v>
      </c>
      <c r="EI174" t="s">
        <v>4356</v>
      </c>
      <c r="EJ174" t="s">
        <v>4356</v>
      </c>
      <c r="EK174" t="s">
        <v>4356</v>
      </c>
      <c r="EL174" t="s">
        <v>4356</v>
      </c>
      <c r="EM174" t="s">
        <v>4356</v>
      </c>
      <c r="EN174" t="s">
        <v>4356</v>
      </c>
      <c r="EO174" t="s">
        <v>4356</v>
      </c>
      <c r="EP174" t="s">
        <v>4356</v>
      </c>
      <c r="EQ174" t="s">
        <v>4356</v>
      </c>
      <c r="ER174" t="s">
        <v>4356</v>
      </c>
      <c r="ES174" t="s">
        <v>4356</v>
      </c>
      <c r="ET174" t="s">
        <v>4356</v>
      </c>
      <c r="EU174" t="s">
        <v>4356</v>
      </c>
      <c r="EV174" t="s">
        <v>4356</v>
      </c>
      <c r="EW174" t="s">
        <v>4356</v>
      </c>
      <c r="EX174" t="s">
        <v>4356</v>
      </c>
      <c r="EY174" t="s">
        <v>4356</v>
      </c>
      <c r="EZ174" t="s">
        <v>4356</v>
      </c>
      <c r="FA174" t="s">
        <v>4356</v>
      </c>
      <c r="FB174" t="s">
        <v>4356</v>
      </c>
      <c r="FC174" t="s">
        <v>4356</v>
      </c>
      <c r="FL174" t="s">
        <v>4353</v>
      </c>
      <c r="FM174" t="s">
        <v>4353</v>
      </c>
      <c r="FN174" t="s">
        <v>4353</v>
      </c>
      <c r="FO174" t="s">
        <v>4353</v>
      </c>
      <c r="FP174" t="s">
        <v>4353</v>
      </c>
      <c r="FQ174" t="s">
        <v>4353</v>
      </c>
      <c r="FR174" t="s">
        <v>4353</v>
      </c>
      <c r="FS174" t="s">
        <v>4353</v>
      </c>
      <c r="FT174" t="s">
        <v>4353</v>
      </c>
      <c r="FU174" t="s">
        <v>4353</v>
      </c>
      <c r="FV174" t="s">
        <v>4353</v>
      </c>
      <c r="FW174" t="s">
        <v>4353</v>
      </c>
      <c r="FX174" t="s">
        <v>4353</v>
      </c>
      <c r="FY174" t="s">
        <v>4353</v>
      </c>
      <c r="FZ174" t="s">
        <v>4353</v>
      </c>
      <c r="GA174" t="s">
        <v>4353</v>
      </c>
      <c r="GB174" t="s">
        <v>4353</v>
      </c>
      <c r="GC174" t="s">
        <v>4353</v>
      </c>
      <c r="GD174" t="s">
        <v>4353</v>
      </c>
      <c r="GE174" t="s">
        <v>4353</v>
      </c>
      <c r="GF174" t="s">
        <v>4353</v>
      </c>
      <c r="GG174" t="s">
        <v>4353</v>
      </c>
      <c r="GH174" t="s">
        <v>4353</v>
      </c>
      <c r="GI174" t="s">
        <v>4353</v>
      </c>
      <c r="GJ174" t="s">
        <v>4353</v>
      </c>
      <c r="GK174" t="s">
        <v>4353</v>
      </c>
      <c r="GL174" t="s">
        <v>4353</v>
      </c>
      <c r="GM174" t="s">
        <v>4353</v>
      </c>
      <c r="GN174" t="s">
        <v>4353</v>
      </c>
      <c r="GO174" t="s">
        <v>4353</v>
      </c>
      <c r="GP174" t="s">
        <v>4353</v>
      </c>
      <c r="GQ174" t="s">
        <v>4353</v>
      </c>
      <c r="GR174" t="s">
        <v>4353</v>
      </c>
      <c r="GS174" t="s">
        <v>4353</v>
      </c>
      <c r="GT174" t="s">
        <v>4353</v>
      </c>
      <c r="GU174" t="s">
        <v>4353</v>
      </c>
      <c r="GV174" t="s">
        <v>4353</v>
      </c>
      <c r="GW174" t="s">
        <v>4353</v>
      </c>
      <c r="GX174" t="s">
        <v>4353</v>
      </c>
      <c r="GY174" t="s">
        <v>4353</v>
      </c>
      <c r="GZ174" t="s">
        <v>4353</v>
      </c>
      <c r="HA174" t="s">
        <v>4353</v>
      </c>
      <c r="HB174" t="s">
        <v>4353</v>
      </c>
      <c r="HC174" t="s">
        <v>4353</v>
      </c>
      <c r="HD174" t="s">
        <v>4353</v>
      </c>
      <c r="HE174" t="s">
        <v>4353</v>
      </c>
      <c r="HF174" t="s">
        <v>4353</v>
      </c>
      <c r="HG174" t="s">
        <v>4353</v>
      </c>
      <c r="HH174" t="s">
        <v>4353</v>
      </c>
      <c r="HI174" t="s">
        <v>4353</v>
      </c>
      <c r="HJ174" t="s">
        <v>4353</v>
      </c>
      <c r="HK174" t="s">
        <v>4353</v>
      </c>
      <c r="HL174" t="s">
        <v>4353</v>
      </c>
      <c r="HM174" t="s">
        <v>4353</v>
      </c>
      <c r="HN174" t="s">
        <v>4353</v>
      </c>
      <c r="HO174" t="s">
        <v>4353</v>
      </c>
      <c r="HP174" t="s">
        <v>4353</v>
      </c>
      <c r="HQ174" t="s">
        <v>4353</v>
      </c>
      <c r="HR174" t="s">
        <v>4353</v>
      </c>
      <c r="HS174" t="s">
        <v>4331</v>
      </c>
      <c r="HT174" t="s">
        <v>4331</v>
      </c>
      <c r="HU174" t="s">
        <v>4331</v>
      </c>
      <c r="HV174" t="s">
        <v>4331</v>
      </c>
      <c r="HW174" t="s">
        <v>4331</v>
      </c>
      <c r="HX174" t="s">
        <v>4331</v>
      </c>
      <c r="HY174" t="s">
        <v>4331</v>
      </c>
      <c r="HZ174" t="s">
        <v>4331</v>
      </c>
      <c r="IA174" t="s">
        <v>4331</v>
      </c>
      <c r="IB174" t="s">
        <v>4331</v>
      </c>
      <c r="IC174" t="s">
        <v>4331</v>
      </c>
      <c r="ID174" t="s">
        <v>4331</v>
      </c>
      <c r="IE174" t="s">
        <v>4331</v>
      </c>
      <c r="IF174" t="s">
        <v>4331</v>
      </c>
      <c r="IG174" t="s">
        <v>4331</v>
      </c>
      <c r="IH174" t="s">
        <v>4331</v>
      </c>
      <c r="II174" t="s">
        <v>4331</v>
      </c>
      <c r="IJ174" t="s">
        <v>4358</v>
      </c>
      <c r="IK174" t="s">
        <v>4358</v>
      </c>
      <c r="IL174" t="s">
        <v>4358</v>
      </c>
      <c r="IM174" t="s">
        <v>4358</v>
      </c>
      <c r="IN174" t="s">
        <v>4358</v>
      </c>
      <c r="IO174" t="s">
        <v>4358</v>
      </c>
      <c r="IP174" t="s">
        <v>4358</v>
      </c>
      <c r="IQ174" t="s">
        <v>4358</v>
      </c>
      <c r="IR174" t="s">
        <v>4358</v>
      </c>
      <c r="IS174" t="s">
        <v>4358</v>
      </c>
      <c r="IT174" t="s">
        <v>4358</v>
      </c>
      <c r="IU174" t="s">
        <v>4358</v>
      </c>
      <c r="IV174" t="s">
        <v>4358</v>
      </c>
      <c r="IW174" t="s">
        <v>4358</v>
      </c>
      <c r="IX174" t="s">
        <v>4358</v>
      </c>
      <c r="IY174" t="s">
        <v>4358</v>
      </c>
      <c r="IZ174" t="s">
        <v>4358</v>
      </c>
      <c r="JA174" t="s">
        <v>4358</v>
      </c>
      <c r="JB174" t="s">
        <v>4358</v>
      </c>
      <c r="JC174" t="s">
        <v>4358</v>
      </c>
      <c r="JD174" t="s">
        <v>4358</v>
      </c>
      <c r="JE174" t="s">
        <v>4358</v>
      </c>
      <c r="JF174" t="s">
        <v>4358</v>
      </c>
      <c r="JG174" t="s">
        <v>4358</v>
      </c>
      <c r="JH174" t="s">
        <v>4358</v>
      </c>
      <c r="JI174" t="s">
        <v>4358</v>
      </c>
      <c r="JJ174" t="s">
        <v>4358</v>
      </c>
      <c r="JK174" t="s">
        <v>4358</v>
      </c>
      <c r="JL174" t="s">
        <v>4358</v>
      </c>
      <c r="JM174" t="s">
        <v>4358</v>
      </c>
      <c r="JN174" t="s">
        <v>4358</v>
      </c>
      <c r="JO174" t="s">
        <v>4358</v>
      </c>
      <c r="JP174" t="s">
        <v>4358</v>
      </c>
      <c r="JQ174" t="s">
        <v>4358</v>
      </c>
      <c r="JR174" t="s">
        <v>4358</v>
      </c>
      <c r="JS174" t="s">
        <v>4358</v>
      </c>
      <c r="JT174" t="s">
        <v>4358</v>
      </c>
      <c r="JU174" t="s">
        <v>4358</v>
      </c>
    </row>
    <row r="175" spans="44:281" x14ac:dyDescent="0.3">
      <c r="BF175" t="s">
        <v>4357</v>
      </c>
      <c r="BG175" t="s">
        <v>4357</v>
      </c>
      <c r="BH175" t="s">
        <v>4357</v>
      </c>
      <c r="BI175" t="s">
        <v>4357</v>
      </c>
      <c r="BJ175" t="s">
        <v>4357</v>
      </c>
      <c r="BK175" t="s">
        <v>4357</v>
      </c>
      <c r="BL175" t="s">
        <v>4357</v>
      </c>
      <c r="BM175" t="s">
        <v>4357</v>
      </c>
      <c r="BN175" t="s">
        <v>4357</v>
      </c>
      <c r="BO175" t="s">
        <v>4357</v>
      </c>
      <c r="BP175" t="s">
        <v>4357</v>
      </c>
      <c r="BQ175" t="s">
        <v>4357</v>
      </c>
      <c r="BR175" t="s">
        <v>4357</v>
      </c>
      <c r="BS175" t="s">
        <v>4357</v>
      </c>
      <c r="BT175" t="s">
        <v>4357</v>
      </c>
      <c r="BU175" t="s">
        <v>4357</v>
      </c>
      <c r="BV175" t="s">
        <v>4368</v>
      </c>
      <c r="BW175" t="s">
        <v>4368</v>
      </c>
      <c r="BX175" t="s">
        <v>4368</v>
      </c>
      <c r="BY175" t="s">
        <v>4368</v>
      </c>
      <c r="BZ175" t="s">
        <v>4368</v>
      </c>
      <c r="CA175" t="s">
        <v>4368</v>
      </c>
      <c r="CB175" t="s">
        <v>4368</v>
      </c>
      <c r="CC175" t="s">
        <v>4368</v>
      </c>
      <c r="CD175" t="s">
        <v>4368</v>
      </c>
      <c r="CE175" t="s">
        <v>4347</v>
      </c>
      <c r="CF175" t="s">
        <v>4347</v>
      </c>
      <c r="CG175" t="s">
        <v>4347</v>
      </c>
      <c r="CH175" t="s">
        <v>4347</v>
      </c>
      <c r="CI175" t="s">
        <v>4370</v>
      </c>
      <c r="CJ175" t="s">
        <v>4370</v>
      </c>
      <c r="CK175" t="s">
        <v>4370</v>
      </c>
      <c r="CL175" t="s">
        <v>4370</v>
      </c>
      <c r="CM175" t="s">
        <v>4370</v>
      </c>
      <c r="CN175" t="s">
        <v>4370</v>
      </c>
      <c r="CO175" t="s">
        <v>4370</v>
      </c>
      <c r="CP175" t="s">
        <v>4366</v>
      </c>
      <c r="CQ175" t="s">
        <v>4369</v>
      </c>
      <c r="CR175" t="s">
        <v>4369</v>
      </c>
      <c r="CS175" t="s">
        <v>4369</v>
      </c>
      <c r="CT175" t="s">
        <v>4369</v>
      </c>
      <c r="CU175" t="s">
        <v>4369</v>
      </c>
      <c r="CV175" t="s">
        <v>4369</v>
      </c>
      <c r="CW175" t="s">
        <v>4369</v>
      </c>
      <c r="CX175" t="s">
        <v>4369</v>
      </c>
      <c r="CY175" t="s">
        <v>4369</v>
      </c>
      <c r="CZ175" t="s">
        <v>4369</v>
      </c>
      <c r="DA175" t="s">
        <v>4364</v>
      </c>
      <c r="DB175" t="s">
        <v>4364</v>
      </c>
      <c r="DC175" t="s">
        <v>4364</v>
      </c>
      <c r="DD175" t="s">
        <v>4364</v>
      </c>
      <c r="DE175" t="s">
        <v>4364</v>
      </c>
      <c r="DF175" t="s">
        <v>4364</v>
      </c>
      <c r="DG175" t="s">
        <v>4364</v>
      </c>
      <c r="DH175" t="s">
        <v>4364</v>
      </c>
      <c r="DI175" t="s">
        <v>4364</v>
      </c>
      <c r="DJ175" t="s">
        <v>4364</v>
      </c>
      <c r="DK175" t="s">
        <v>4364</v>
      </c>
      <c r="DL175" t="s">
        <v>4364</v>
      </c>
      <c r="DM175" t="s">
        <v>4364</v>
      </c>
      <c r="DN175" t="s">
        <v>4367</v>
      </c>
      <c r="DO175" t="s">
        <v>4367</v>
      </c>
      <c r="DP175" t="s">
        <v>4367</v>
      </c>
      <c r="DQ175" t="s">
        <v>4367</v>
      </c>
      <c r="DR175" t="s">
        <v>4365</v>
      </c>
      <c r="DS175" t="s">
        <v>4365</v>
      </c>
      <c r="DT175" t="s">
        <v>4365</v>
      </c>
      <c r="DU175" t="s">
        <v>4365</v>
      </c>
      <c r="DV175" t="s">
        <v>4365</v>
      </c>
      <c r="DW175" t="s">
        <v>4365</v>
      </c>
      <c r="DX175" t="s">
        <v>4365</v>
      </c>
      <c r="DY175" t="s">
        <v>4365</v>
      </c>
      <c r="DZ175" t="s">
        <v>4365</v>
      </c>
      <c r="EA175" t="s">
        <v>4365</v>
      </c>
      <c r="EB175" t="s">
        <v>4365</v>
      </c>
      <c r="EC175" t="s">
        <v>4365</v>
      </c>
      <c r="ED175" t="s">
        <v>4365</v>
      </c>
      <c r="EE175" t="s">
        <v>4365</v>
      </c>
      <c r="EH175" t="s">
        <v>4356</v>
      </c>
      <c r="EI175" t="s">
        <v>4356</v>
      </c>
      <c r="EJ175" t="s">
        <v>4356</v>
      </c>
      <c r="EK175" t="s">
        <v>4356</v>
      </c>
      <c r="EL175" t="s">
        <v>4356</v>
      </c>
      <c r="EM175" t="s">
        <v>4356</v>
      </c>
      <c r="EN175" t="s">
        <v>4356</v>
      </c>
      <c r="EO175" t="s">
        <v>4356</v>
      </c>
      <c r="EP175" t="s">
        <v>4356</v>
      </c>
      <c r="EQ175" t="s">
        <v>4356</v>
      </c>
      <c r="ER175" t="s">
        <v>4356</v>
      </c>
      <c r="ES175" t="s">
        <v>4356</v>
      </c>
      <c r="ET175" t="s">
        <v>4356</v>
      </c>
      <c r="EU175" t="s">
        <v>4356</v>
      </c>
      <c r="EV175" t="s">
        <v>4356</v>
      </c>
      <c r="EW175" t="s">
        <v>4356</v>
      </c>
      <c r="EX175" t="s">
        <v>4356</v>
      </c>
      <c r="EY175" t="s">
        <v>4356</v>
      </c>
      <c r="EZ175" t="s">
        <v>4356</v>
      </c>
      <c r="FA175" t="s">
        <v>4356</v>
      </c>
      <c r="FB175" t="s">
        <v>4356</v>
      </c>
      <c r="FC175" t="s">
        <v>4353</v>
      </c>
      <c r="FD175" t="s">
        <v>4353</v>
      </c>
      <c r="FE175" t="s">
        <v>4353</v>
      </c>
      <c r="FF175" t="s">
        <v>4353</v>
      </c>
      <c r="FL175" t="s">
        <v>4353</v>
      </c>
      <c r="FM175" t="s">
        <v>4353</v>
      </c>
      <c r="FN175" t="s">
        <v>4353</v>
      </c>
      <c r="FO175" t="s">
        <v>4353</v>
      </c>
      <c r="FP175" t="s">
        <v>4353</v>
      </c>
      <c r="FQ175" t="s">
        <v>4353</v>
      </c>
      <c r="FR175" t="s">
        <v>4353</v>
      </c>
      <c r="FS175" t="s">
        <v>4353</v>
      </c>
      <c r="FT175" t="s">
        <v>4353</v>
      </c>
      <c r="FU175" t="s">
        <v>4353</v>
      </c>
      <c r="FV175" t="s">
        <v>4353</v>
      </c>
      <c r="FW175" t="s">
        <v>4353</v>
      </c>
      <c r="FX175" t="s">
        <v>4353</v>
      </c>
      <c r="FY175" t="s">
        <v>4353</v>
      </c>
      <c r="FZ175" t="s">
        <v>4353</v>
      </c>
      <c r="GA175" t="s">
        <v>4353</v>
      </c>
      <c r="GB175" t="s">
        <v>4353</v>
      </c>
      <c r="GC175" t="s">
        <v>4353</v>
      </c>
      <c r="GD175" t="s">
        <v>4353</v>
      </c>
      <c r="GE175" t="s">
        <v>4353</v>
      </c>
      <c r="GF175" t="s">
        <v>4353</v>
      </c>
      <c r="GG175" t="s">
        <v>4353</v>
      </c>
      <c r="GH175" t="s">
        <v>4353</v>
      </c>
      <c r="GI175" t="s">
        <v>4353</v>
      </c>
      <c r="GJ175" t="s">
        <v>4353</v>
      </c>
      <c r="GK175" t="s">
        <v>4353</v>
      </c>
      <c r="GL175" t="s">
        <v>4353</v>
      </c>
      <c r="GM175" t="s">
        <v>4353</v>
      </c>
      <c r="GN175" t="s">
        <v>4353</v>
      </c>
      <c r="GO175" t="s">
        <v>4353</v>
      </c>
      <c r="GP175" t="s">
        <v>4353</v>
      </c>
      <c r="GQ175" t="s">
        <v>4353</v>
      </c>
      <c r="GR175" t="s">
        <v>4353</v>
      </c>
      <c r="GS175" t="s">
        <v>4353</v>
      </c>
      <c r="GT175" t="s">
        <v>4353</v>
      </c>
      <c r="GU175" t="s">
        <v>4353</v>
      </c>
      <c r="GV175" t="s">
        <v>4353</v>
      </c>
      <c r="GW175" t="s">
        <v>4353</v>
      </c>
      <c r="GX175" t="s">
        <v>4353</v>
      </c>
      <c r="GY175" t="s">
        <v>4353</v>
      </c>
      <c r="GZ175" t="s">
        <v>4353</v>
      </c>
      <c r="HA175" t="s">
        <v>4353</v>
      </c>
      <c r="HB175" t="s">
        <v>4353</v>
      </c>
      <c r="HC175" t="s">
        <v>4353</v>
      </c>
      <c r="HD175" t="s">
        <v>4353</v>
      </c>
      <c r="HE175" t="s">
        <v>4353</v>
      </c>
      <c r="HF175" t="s">
        <v>4353</v>
      </c>
      <c r="HG175" t="s">
        <v>4353</v>
      </c>
      <c r="HH175" t="s">
        <v>4353</v>
      </c>
      <c r="HI175" t="s">
        <v>4353</v>
      </c>
      <c r="HJ175" t="s">
        <v>4353</v>
      </c>
      <c r="HK175" t="s">
        <v>4353</v>
      </c>
      <c r="HL175" t="s">
        <v>4353</v>
      </c>
      <c r="HM175" t="s">
        <v>4353</v>
      </c>
      <c r="HN175" t="s">
        <v>4353</v>
      </c>
      <c r="HO175" t="s">
        <v>4353</v>
      </c>
      <c r="HP175" t="s">
        <v>4353</v>
      </c>
      <c r="HQ175" t="s">
        <v>4353</v>
      </c>
      <c r="HR175" t="s">
        <v>4353</v>
      </c>
      <c r="HS175" t="s">
        <v>4353</v>
      </c>
      <c r="HT175" t="s">
        <v>4331</v>
      </c>
      <c r="HU175" t="s">
        <v>4331</v>
      </c>
      <c r="HV175" t="s">
        <v>4331</v>
      </c>
      <c r="HW175" t="s">
        <v>4331</v>
      </c>
      <c r="HX175" t="s">
        <v>4331</v>
      </c>
      <c r="HY175" t="s">
        <v>4331</v>
      </c>
      <c r="HZ175" t="s">
        <v>4331</v>
      </c>
      <c r="IA175" t="s">
        <v>4331</v>
      </c>
      <c r="IB175" t="s">
        <v>4331</v>
      </c>
      <c r="IC175" t="s">
        <v>4331</v>
      </c>
      <c r="ID175" t="s">
        <v>4331</v>
      </c>
      <c r="IE175" t="s">
        <v>4331</v>
      </c>
      <c r="IF175" t="s">
        <v>4331</v>
      </c>
      <c r="IG175" t="s">
        <v>4331</v>
      </c>
      <c r="IH175" t="s">
        <v>4331</v>
      </c>
      <c r="II175" t="s">
        <v>4331</v>
      </c>
      <c r="IJ175" t="s">
        <v>4358</v>
      </c>
      <c r="IK175" t="s">
        <v>4358</v>
      </c>
      <c r="IL175" t="s">
        <v>4358</v>
      </c>
      <c r="IM175" t="s">
        <v>4358</v>
      </c>
      <c r="IN175" t="s">
        <v>4358</v>
      </c>
      <c r="IO175" t="s">
        <v>4358</v>
      </c>
      <c r="IP175" t="s">
        <v>4358</v>
      </c>
      <c r="IQ175" t="s">
        <v>4358</v>
      </c>
      <c r="IR175" t="s">
        <v>4358</v>
      </c>
      <c r="IS175" t="s">
        <v>4358</v>
      </c>
      <c r="IT175" t="s">
        <v>4358</v>
      </c>
      <c r="IU175" t="s">
        <v>4358</v>
      </c>
      <c r="IV175" t="s">
        <v>4358</v>
      </c>
      <c r="IW175" t="s">
        <v>4358</v>
      </c>
      <c r="IX175" t="s">
        <v>4358</v>
      </c>
      <c r="IY175" t="s">
        <v>4358</v>
      </c>
      <c r="IZ175" t="s">
        <v>4358</v>
      </c>
      <c r="JA175" t="s">
        <v>4358</v>
      </c>
      <c r="JB175" t="s">
        <v>4358</v>
      </c>
      <c r="JC175" t="s">
        <v>4358</v>
      </c>
      <c r="JD175" t="s">
        <v>4358</v>
      </c>
      <c r="JE175" t="s">
        <v>4358</v>
      </c>
      <c r="JF175" t="s">
        <v>4358</v>
      </c>
      <c r="JG175" t="s">
        <v>4358</v>
      </c>
      <c r="JH175" t="s">
        <v>4358</v>
      </c>
      <c r="JI175" t="s">
        <v>4358</v>
      </c>
      <c r="JJ175" t="s">
        <v>4358</v>
      </c>
      <c r="JK175" t="s">
        <v>4358</v>
      </c>
      <c r="JL175" t="s">
        <v>4358</v>
      </c>
      <c r="JM175" t="s">
        <v>4358</v>
      </c>
      <c r="JN175" t="s">
        <v>4358</v>
      </c>
      <c r="JO175" t="s">
        <v>4358</v>
      </c>
      <c r="JP175" t="s">
        <v>4358</v>
      </c>
      <c r="JQ175" t="s">
        <v>4358</v>
      </c>
      <c r="JR175" t="s">
        <v>4358</v>
      </c>
      <c r="JS175" t="s">
        <v>4358</v>
      </c>
      <c r="JT175" t="s">
        <v>4358</v>
      </c>
      <c r="JU175" t="s">
        <v>4358</v>
      </c>
    </row>
    <row r="176" spans="44:281" x14ac:dyDescent="0.3">
      <c r="BE176" t="s">
        <v>4357</v>
      </c>
      <c r="BF176" t="s">
        <v>4357</v>
      </c>
      <c r="BG176" t="s">
        <v>4357</v>
      </c>
      <c r="BH176" t="s">
        <v>4357</v>
      </c>
      <c r="BI176" t="s">
        <v>4357</v>
      </c>
      <c r="BJ176" t="s">
        <v>4357</v>
      </c>
      <c r="BK176" t="s">
        <v>4357</v>
      </c>
      <c r="BL176" t="s">
        <v>4357</v>
      </c>
      <c r="BM176" t="s">
        <v>4357</v>
      </c>
      <c r="BN176" t="s">
        <v>4357</v>
      </c>
      <c r="BO176" t="s">
        <v>4357</v>
      </c>
      <c r="BP176" t="s">
        <v>4357</v>
      </c>
      <c r="BQ176" t="s">
        <v>4357</v>
      </c>
      <c r="BR176" t="s">
        <v>4357</v>
      </c>
      <c r="BS176" t="s">
        <v>4357</v>
      </c>
      <c r="BT176" t="s">
        <v>4357</v>
      </c>
      <c r="BU176" t="s">
        <v>4357</v>
      </c>
      <c r="BV176" t="s">
        <v>4357</v>
      </c>
      <c r="BW176" t="s">
        <v>4368</v>
      </c>
      <c r="BX176" t="s">
        <v>4368</v>
      </c>
      <c r="BY176" t="s">
        <v>4368</v>
      </c>
      <c r="BZ176" t="s">
        <v>4368</v>
      </c>
      <c r="CA176" t="s">
        <v>4368</v>
      </c>
      <c r="CB176" t="s">
        <v>4368</v>
      </c>
      <c r="CC176" t="s">
        <v>4370</v>
      </c>
      <c r="CD176" t="s">
        <v>4370</v>
      </c>
      <c r="CE176" t="s">
        <v>4370</v>
      </c>
      <c r="CF176" t="s">
        <v>4370</v>
      </c>
      <c r="CG176" t="s">
        <v>4370</v>
      </c>
      <c r="CH176" t="s">
        <v>4370</v>
      </c>
      <c r="CI176" t="s">
        <v>4370</v>
      </c>
      <c r="CJ176" t="s">
        <v>4370</v>
      </c>
      <c r="CK176" t="s">
        <v>4370</v>
      </c>
      <c r="CL176" t="s">
        <v>4370</v>
      </c>
      <c r="CM176" t="s">
        <v>4370</v>
      </c>
      <c r="CN176" t="s">
        <v>4370</v>
      </c>
      <c r="CO176" t="s">
        <v>4370</v>
      </c>
      <c r="CP176" t="s">
        <v>4370</v>
      </c>
      <c r="CQ176" t="s">
        <v>4369</v>
      </c>
      <c r="CR176" t="s">
        <v>4369</v>
      </c>
      <c r="CS176" t="s">
        <v>4369</v>
      </c>
      <c r="CT176" t="s">
        <v>4369</v>
      </c>
      <c r="CU176" t="s">
        <v>4369</v>
      </c>
      <c r="CV176" t="s">
        <v>4369</v>
      </c>
      <c r="CW176" t="s">
        <v>4369</v>
      </c>
      <c r="CX176" t="s">
        <v>4369</v>
      </c>
      <c r="CY176" t="s">
        <v>4369</v>
      </c>
      <c r="CZ176" t="s">
        <v>4369</v>
      </c>
      <c r="DA176" t="s">
        <v>4369</v>
      </c>
      <c r="DB176" t="s">
        <v>4364</v>
      </c>
      <c r="DC176" t="s">
        <v>4364</v>
      </c>
      <c r="DD176" t="s">
        <v>4364</v>
      </c>
      <c r="DE176" t="s">
        <v>4364</v>
      </c>
      <c r="DF176" t="s">
        <v>4364</v>
      </c>
      <c r="DG176" t="s">
        <v>4364</v>
      </c>
      <c r="DH176" t="s">
        <v>4364</v>
      </c>
      <c r="DI176" t="s">
        <v>4364</v>
      </c>
      <c r="DJ176" t="s">
        <v>4364</v>
      </c>
      <c r="DK176" t="s">
        <v>4364</v>
      </c>
      <c r="DL176" t="s">
        <v>4364</v>
      </c>
      <c r="DM176" t="s">
        <v>4367</v>
      </c>
      <c r="DN176" t="s">
        <v>4367</v>
      </c>
      <c r="DO176" t="s">
        <v>4367</v>
      </c>
      <c r="DP176" t="s">
        <v>4367</v>
      </c>
      <c r="DQ176" t="s">
        <v>4365</v>
      </c>
      <c r="DR176" t="s">
        <v>4365</v>
      </c>
      <c r="DS176" t="s">
        <v>4365</v>
      </c>
      <c r="DT176" t="s">
        <v>4365</v>
      </c>
      <c r="DU176" t="s">
        <v>4365</v>
      </c>
      <c r="DV176" t="s">
        <v>4365</v>
      </c>
      <c r="DW176" t="s">
        <v>4365</v>
      </c>
      <c r="DX176" t="s">
        <v>4365</v>
      </c>
      <c r="DY176" t="s">
        <v>4365</v>
      </c>
      <c r="DZ176" t="s">
        <v>4365</v>
      </c>
      <c r="EA176" t="s">
        <v>4365</v>
      </c>
      <c r="EB176" t="s">
        <v>4365</v>
      </c>
      <c r="EC176" t="s">
        <v>4365</v>
      </c>
      <c r="ED176" t="s">
        <v>4365</v>
      </c>
      <c r="EE176" t="s">
        <v>4365</v>
      </c>
      <c r="EF176" t="s">
        <v>4365</v>
      </c>
      <c r="EG176" t="s">
        <v>4365</v>
      </c>
      <c r="EH176" t="s">
        <v>4356</v>
      </c>
      <c r="EI176" t="s">
        <v>4356</v>
      </c>
      <c r="EJ176" t="s">
        <v>4356</v>
      </c>
      <c r="EK176" t="s">
        <v>4356</v>
      </c>
      <c r="EL176" t="s">
        <v>4356</v>
      </c>
      <c r="EM176" t="s">
        <v>4356</v>
      </c>
      <c r="EN176" t="s">
        <v>4356</v>
      </c>
      <c r="EO176" t="s">
        <v>4356</v>
      </c>
      <c r="EP176" t="s">
        <v>4356</v>
      </c>
      <c r="EQ176" t="s">
        <v>4356</v>
      </c>
      <c r="ER176" t="s">
        <v>4356</v>
      </c>
      <c r="ES176" t="s">
        <v>4356</v>
      </c>
      <c r="ET176" t="s">
        <v>4356</v>
      </c>
      <c r="EU176" t="s">
        <v>4356</v>
      </c>
      <c r="EV176" t="s">
        <v>4356</v>
      </c>
      <c r="EW176" t="s">
        <v>4356</v>
      </c>
      <c r="EX176" t="s">
        <v>4356</v>
      </c>
      <c r="EY176" t="s">
        <v>4356</v>
      </c>
      <c r="EZ176" t="s">
        <v>4356</v>
      </c>
      <c r="FA176" t="s">
        <v>4356</v>
      </c>
      <c r="FB176" t="s">
        <v>4356</v>
      </c>
      <c r="FC176" t="s">
        <v>4353</v>
      </c>
      <c r="FD176" t="s">
        <v>4353</v>
      </c>
      <c r="FE176" t="s">
        <v>4353</v>
      </c>
      <c r="FF176" t="s">
        <v>4353</v>
      </c>
      <c r="FG176" t="s">
        <v>4353</v>
      </c>
      <c r="FH176" t="s">
        <v>4353</v>
      </c>
      <c r="FI176" t="s">
        <v>4353</v>
      </c>
      <c r="FJ176" t="s">
        <v>4353</v>
      </c>
      <c r="FK176" t="s">
        <v>4353</v>
      </c>
      <c r="FL176" t="s">
        <v>4353</v>
      </c>
      <c r="FM176" t="s">
        <v>4353</v>
      </c>
      <c r="FN176" t="s">
        <v>4353</v>
      </c>
      <c r="FO176" t="s">
        <v>4353</v>
      </c>
      <c r="FP176" t="s">
        <v>4353</v>
      </c>
      <c r="FQ176" t="s">
        <v>4353</v>
      </c>
      <c r="FR176" t="s">
        <v>4353</v>
      </c>
      <c r="FS176" t="s">
        <v>4353</v>
      </c>
      <c r="FT176" t="s">
        <v>4353</v>
      </c>
      <c r="FU176" t="s">
        <v>4353</v>
      </c>
      <c r="FV176" t="s">
        <v>4353</v>
      </c>
      <c r="FW176" t="s">
        <v>4353</v>
      </c>
      <c r="FX176" t="s">
        <v>4353</v>
      </c>
      <c r="FY176" t="s">
        <v>4353</v>
      </c>
      <c r="FZ176" t="s">
        <v>4353</v>
      </c>
      <c r="GA176" t="s">
        <v>4353</v>
      </c>
      <c r="GB176" t="s">
        <v>4353</v>
      </c>
      <c r="GC176" t="s">
        <v>4353</v>
      </c>
      <c r="GD176" t="s">
        <v>4353</v>
      </c>
      <c r="GE176" t="s">
        <v>4353</v>
      </c>
      <c r="GF176" t="s">
        <v>4353</v>
      </c>
      <c r="GG176" t="s">
        <v>4353</v>
      </c>
      <c r="GH176" t="s">
        <v>4353</v>
      </c>
      <c r="GI176" t="s">
        <v>4353</v>
      </c>
      <c r="GJ176" t="s">
        <v>4353</v>
      </c>
      <c r="GK176" t="s">
        <v>4353</v>
      </c>
      <c r="GL176" t="s">
        <v>4353</v>
      </c>
      <c r="GM176" t="s">
        <v>4353</v>
      </c>
      <c r="GN176" t="s">
        <v>4353</v>
      </c>
      <c r="GO176" t="s">
        <v>4353</v>
      </c>
      <c r="GP176" t="s">
        <v>4353</v>
      </c>
      <c r="GQ176" t="s">
        <v>4353</v>
      </c>
      <c r="GR176" t="s">
        <v>4353</v>
      </c>
      <c r="GS176" t="s">
        <v>4353</v>
      </c>
      <c r="GT176" t="s">
        <v>4353</v>
      </c>
      <c r="GU176" t="s">
        <v>4353</v>
      </c>
      <c r="GV176" t="s">
        <v>4353</v>
      </c>
      <c r="GW176" t="s">
        <v>4353</v>
      </c>
      <c r="GX176" t="s">
        <v>4353</v>
      </c>
      <c r="GY176" t="s">
        <v>4353</v>
      </c>
      <c r="GZ176" t="s">
        <v>4353</v>
      </c>
      <c r="HA176" t="s">
        <v>4353</v>
      </c>
      <c r="HB176" t="s">
        <v>4353</v>
      </c>
      <c r="HC176" t="s">
        <v>4353</v>
      </c>
      <c r="HD176" t="s">
        <v>4353</v>
      </c>
      <c r="HE176" t="s">
        <v>4353</v>
      </c>
      <c r="HF176" t="s">
        <v>4353</v>
      </c>
      <c r="HG176" t="s">
        <v>4353</v>
      </c>
      <c r="HH176" t="s">
        <v>4353</v>
      </c>
      <c r="HI176" t="s">
        <v>4353</v>
      </c>
      <c r="HJ176" t="s">
        <v>4353</v>
      </c>
      <c r="HK176" t="s">
        <v>4353</v>
      </c>
      <c r="HL176" t="s">
        <v>4353</v>
      </c>
      <c r="HM176" t="s">
        <v>4353</v>
      </c>
      <c r="HN176" t="s">
        <v>4353</v>
      </c>
      <c r="HO176" t="s">
        <v>4353</v>
      </c>
      <c r="HP176" t="s">
        <v>4353</v>
      </c>
      <c r="HQ176" t="s">
        <v>4353</v>
      </c>
      <c r="HR176" t="s">
        <v>4353</v>
      </c>
      <c r="HS176" t="s">
        <v>4353</v>
      </c>
      <c r="HT176" t="s">
        <v>4331</v>
      </c>
      <c r="HU176" t="s">
        <v>4353</v>
      </c>
      <c r="HV176" t="s">
        <v>4353</v>
      </c>
      <c r="HW176" t="s">
        <v>4353</v>
      </c>
      <c r="HX176" t="s">
        <v>4353</v>
      </c>
      <c r="HY176" t="s">
        <v>4331</v>
      </c>
      <c r="HZ176" t="s">
        <v>4331</v>
      </c>
      <c r="IA176" t="s">
        <v>4331</v>
      </c>
      <c r="IB176" t="s">
        <v>4331</v>
      </c>
      <c r="IC176" t="s">
        <v>4331</v>
      </c>
      <c r="ID176" t="s">
        <v>4331</v>
      </c>
      <c r="IE176" t="s">
        <v>4331</v>
      </c>
      <c r="IF176" t="s">
        <v>4331</v>
      </c>
      <c r="IG176" t="s">
        <v>4331</v>
      </c>
      <c r="IH176" t="s">
        <v>4331</v>
      </c>
      <c r="II176" t="s">
        <v>4358</v>
      </c>
      <c r="IJ176" t="s">
        <v>4358</v>
      </c>
      <c r="IK176" t="s">
        <v>4358</v>
      </c>
      <c r="IL176" t="s">
        <v>4358</v>
      </c>
      <c r="IM176" t="s">
        <v>4358</v>
      </c>
      <c r="IN176" t="s">
        <v>4358</v>
      </c>
      <c r="IO176" t="s">
        <v>4358</v>
      </c>
      <c r="IP176" t="s">
        <v>4358</v>
      </c>
      <c r="IQ176" t="s">
        <v>4358</v>
      </c>
      <c r="IR176" t="s">
        <v>4358</v>
      </c>
      <c r="IS176" t="s">
        <v>4358</v>
      </c>
      <c r="IT176" t="s">
        <v>4358</v>
      </c>
      <c r="IU176" t="s">
        <v>4358</v>
      </c>
      <c r="IV176" t="s">
        <v>4358</v>
      </c>
      <c r="IW176" t="s">
        <v>4358</v>
      </c>
      <c r="IX176" t="s">
        <v>4358</v>
      </c>
      <c r="IY176" t="s">
        <v>4358</v>
      </c>
      <c r="IZ176" t="s">
        <v>4358</v>
      </c>
      <c r="JA176" t="s">
        <v>4358</v>
      </c>
      <c r="JB176" t="s">
        <v>4358</v>
      </c>
      <c r="JC176" t="s">
        <v>4358</v>
      </c>
      <c r="JD176" t="s">
        <v>4358</v>
      </c>
      <c r="JE176" t="s">
        <v>4358</v>
      </c>
      <c r="JF176" t="s">
        <v>4358</v>
      </c>
      <c r="JG176" t="s">
        <v>4358</v>
      </c>
      <c r="JH176" t="s">
        <v>4358</v>
      </c>
      <c r="JI176" t="s">
        <v>4358</v>
      </c>
      <c r="JJ176" t="s">
        <v>4358</v>
      </c>
      <c r="JK176" t="s">
        <v>4358</v>
      </c>
      <c r="JL176" t="s">
        <v>4358</v>
      </c>
      <c r="JM176" t="s">
        <v>4358</v>
      </c>
      <c r="JN176" t="s">
        <v>4358</v>
      </c>
      <c r="JO176" t="s">
        <v>4358</v>
      </c>
      <c r="JP176" t="s">
        <v>4358</v>
      </c>
      <c r="JQ176" t="s">
        <v>4358</v>
      </c>
      <c r="JR176" t="s">
        <v>4358</v>
      </c>
      <c r="JS176" t="s">
        <v>4358</v>
      </c>
      <c r="JT176" t="s">
        <v>4358</v>
      </c>
      <c r="JU176" t="s">
        <v>4358</v>
      </c>
    </row>
    <row r="177" spans="43:281" x14ac:dyDescent="0.3">
      <c r="BC177" t="s">
        <v>4357</v>
      </c>
      <c r="BD177" t="s">
        <v>4357</v>
      </c>
      <c r="BE177" t="s">
        <v>4357</v>
      </c>
      <c r="BF177" t="s">
        <v>4357</v>
      </c>
      <c r="BG177" t="s">
        <v>4357</v>
      </c>
      <c r="BH177" t="s">
        <v>4357</v>
      </c>
      <c r="BI177" t="s">
        <v>4357</v>
      </c>
      <c r="BJ177" t="s">
        <v>4357</v>
      </c>
      <c r="BK177" t="s">
        <v>4357</v>
      </c>
      <c r="BL177" t="s">
        <v>4357</v>
      </c>
      <c r="BM177" t="s">
        <v>4357</v>
      </c>
      <c r="BN177" t="s">
        <v>4357</v>
      </c>
      <c r="BO177" t="s">
        <v>4357</v>
      </c>
      <c r="BP177" t="s">
        <v>4357</v>
      </c>
      <c r="BQ177" t="s">
        <v>4357</v>
      </c>
      <c r="BR177" t="s">
        <v>4357</v>
      </c>
      <c r="BS177" t="s">
        <v>4357</v>
      </c>
      <c r="BT177" t="s">
        <v>4357</v>
      </c>
      <c r="BU177" t="s">
        <v>4357</v>
      </c>
      <c r="BV177" t="s">
        <v>4357</v>
      </c>
      <c r="BW177" t="s">
        <v>4357</v>
      </c>
      <c r="BX177" t="s">
        <v>4357</v>
      </c>
      <c r="BY177" t="s">
        <v>4371</v>
      </c>
      <c r="BZ177" t="s">
        <v>4371</v>
      </c>
      <c r="CA177" t="s">
        <v>4368</v>
      </c>
      <c r="CB177" t="s">
        <v>4371</v>
      </c>
      <c r="CC177" t="s">
        <v>4371</v>
      </c>
      <c r="CD177" t="s">
        <v>4371</v>
      </c>
      <c r="CE177" t="s">
        <v>4371</v>
      </c>
      <c r="CF177" t="s">
        <v>4371</v>
      </c>
      <c r="CG177" t="s">
        <v>4371</v>
      </c>
      <c r="CH177" t="s">
        <v>4371</v>
      </c>
      <c r="CI177" t="s">
        <v>4371</v>
      </c>
      <c r="CJ177" t="s">
        <v>4370</v>
      </c>
      <c r="CK177" t="s">
        <v>4370</v>
      </c>
      <c r="CL177" t="s">
        <v>4370</v>
      </c>
      <c r="CM177" t="s">
        <v>4370</v>
      </c>
      <c r="CN177" t="s">
        <v>4370</v>
      </c>
      <c r="CO177" t="s">
        <v>4370</v>
      </c>
      <c r="CP177" t="s">
        <v>4370</v>
      </c>
      <c r="CQ177" t="s">
        <v>4370</v>
      </c>
      <c r="CR177" t="s">
        <v>4369</v>
      </c>
      <c r="CS177" t="s">
        <v>4369</v>
      </c>
      <c r="CT177" t="s">
        <v>4369</v>
      </c>
      <c r="CU177" t="s">
        <v>4369</v>
      </c>
      <c r="CV177" t="s">
        <v>4369</v>
      </c>
      <c r="CW177" t="s">
        <v>4369</v>
      </c>
      <c r="CX177" t="s">
        <v>4369</v>
      </c>
      <c r="CY177" t="s">
        <v>4369</v>
      </c>
      <c r="CZ177" t="s">
        <v>4369</v>
      </c>
      <c r="DA177" t="s">
        <v>4369</v>
      </c>
      <c r="DB177" t="s">
        <v>4369</v>
      </c>
      <c r="DC177" t="s">
        <v>4364</v>
      </c>
      <c r="DD177" t="s">
        <v>4364</v>
      </c>
      <c r="DE177" t="s">
        <v>4364</v>
      </c>
      <c r="DF177" t="s">
        <v>4364</v>
      </c>
      <c r="DG177" t="s">
        <v>4364</v>
      </c>
      <c r="DH177" t="s">
        <v>4364</v>
      </c>
      <c r="DI177" t="s">
        <v>4364</v>
      </c>
      <c r="DJ177" t="s">
        <v>4364</v>
      </c>
      <c r="DK177" t="s">
        <v>4364</v>
      </c>
      <c r="DL177" t="s">
        <v>4364</v>
      </c>
      <c r="DM177" t="s">
        <v>4367</v>
      </c>
      <c r="DN177" t="s">
        <v>4367</v>
      </c>
      <c r="DO177" t="s">
        <v>4367</v>
      </c>
      <c r="DP177" t="s">
        <v>4365</v>
      </c>
      <c r="DQ177" t="s">
        <v>4365</v>
      </c>
      <c r="DR177" t="s">
        <v>4365</v>
      </c>
      <c r="DS177" t="s">
        <v>4365</v>
      </c>
      <c r="DT177" t="s">
        <v>4365</v>
      </c>
      <c r="DU177" t="s">
        <v>4365</v>
      </c>
      <c r="DV177" t="s">
        <v>4365</v>
      </c>
      <c r="DW177" t="s">
        <v>4365</v>
      </c>
      <c r="DX177" t="s">
        <v>4365</v>
      </c>
      <c r="DY177" t="s">
        <v>4365</v>
      </c>
      <c r="DZ177" t="s">
        <v>4365</v>
      </c>
      <c r="EA177" t="s">
        <v>4365</v>
      </c>
      <c r="EB177" t="s">
        <v>4365</v>
      </c>
      <c r="EC177" t="s">
        <v>4365</v>
      </c>
      <c r="ED177" t="s">
        <v>4365</v>
      </c>
      <c r="EE177" t="s">
        <v>4365</v>
      </c>
      <c r="EF177" t="s">
        <v>4365</v>
      </c>
      <c r="EG177" t="s">
        <v>4365</v>
      </c>
      <c r="EH177" t="s">
        <v>4365</v>
      </c>
      <c r="EI177" t="s">
        <v>4356</v>
      </c>
      <c r="EJ177" t="s">
        <v>4356</v>
      </c>
      <c r="EK177" t="s">
        <v>4356</v>
      </c>
      <c r="EL177" t="s">
        <v>4356</v>
      </c>
      <c r="EM177" t="s">
        <v>4356</v>
      </c>
      <c r="EN177" t="s">
        <v>4356</v>
      </c>
      <c r="EO177" t="s">
        <v>4356</v>
      </c>
      <c r="EP177" t="s">
        <v>4356</v>
      </c>
      <c r="EQ177" t="s">
        <v>4356</v>
      </c>
      <c r="ER177" t="s">
        <v>4356</v>
      </c>
      <c r="ES177" t="s">
        <v>4356</v>
      </c>
      <c r="ET177" t="s">
        <v>4356</v>
      </c>
      <c r="EU177" t="s">
        <v>4356</v>
      </c>
      <c r="EV177" t="s">
        <v>4356</v>
      </c>
      <c r="EW177" t="s">
        <v>4356</v>
      </c>
      <c r="EX177" t="s">
        <v>4356</v>
      </c>
      <c r="EY177" t="s">
        <v>4356</v>
      </c>
      <c r="EZ177" t="s">
        <v>4356</v>
      </c>
      <c r="FA177" t="s">
        <v>4353</v>
      </c>
      <c r="FB177" t="s">
        <v>4353</v>
      </c>
      <c r="FC177" t="s">
        <v>4353</v>
      </c>
      <c r="FD177" t="s">
        <v>4353</v>
      </c>
      <c r="FE177" t="s">
        <v>4353</v>
      </c>
      <c r="FF177" t="s">
        <v>4353</v>
      </c>
      <c r="FG177" t="s">
        <v>4353</v>
      </c>
      <c r="FH177" t="s">
        <v>4353</v>
      </c>
      <c r="FI177" t="s">
        <v>4353</v>
      </c>
      <c r="FJ177" t="s">
        <v>4353</v>
      </c>
      <c r="FK177" t="s">
        <v>4353</v>
      </c>
      <c r="FL177" t="s">
        <v>4353</v>
      </c>
      <c r="FM177" t="s">
        <v>4353</v>
      </c>
      <c r="FN177" t="s">
        <v>4353</v>
      </c>
      <c r="FO177" t="s">
        <v>4353</v>
      </c>
      <c r="FP177" t="s">
        <v>4353</v>
      </c>
      <c r="FQ177" t="s">
        <v>4353</v>
      </c>
      <c r="FR177" t="s">
        <v>4353</v>
      </c>
      <c r="FS177" t="s">
        <v>4353</v>
      </c>
      <c r="FT177" t="s">
        <v>4353</v>
      </c>
      <c r="FU177" t="s">
        <v>4353</v>
      </c>
      <c r="FV177" t="s">
        <v>4353</v>
      </c>
      <c r="FW177" t="s">
        <v>4353</v>
      </c>
      <c r="FX177" t="s">
        <v>4353</v>
      </c>
      <c r="FY177" t="s">
        <v>4353</v>
      </c>
      <c r="FZ177" t="s">
        <v>4353</v>
      </c>
      <c r="GA177" t="s">
        <v>4353</v>
      </c>
      <c r="GB177" t="s">
        <v>4353</v>
      </c>
      <c r="GC177" t="s">
        <v>4353</v>
      </c>
      <c r="GD177" t="s">
        <v>4353</v>
      </c>
      <c r="GE177" t="s">
        <v>4353</v>
      </c>
      <c r="GF177" t="s">
        <v>4353</v>
      </c>
      <c r="GG177" t="s">
        <v>4353</v>
      </c>
      <c r="GH177" t="s">
        <v>4353</v>
      </c>
      <c r="GI177" t="s">
        <v>4353</v>
      </c>
      <c r="GJ177" t="s">
        <v>4353</v>
      </c>
      <c r="GK177" t="s">
        <v>4353</v>
      </c>
      <c r="GL177" t="s">
        <v>4353</v>
      </c>
      <c r="GM177" t="s">
        <v>4353</v>
      </c>
      <c r="GN177" t="s">
        <v>4353</v>
      </c>
      <c r="GO177" t="s">
        <v>4353</v>
      </c>
      <c r="GP177" t="s">
        <v>4353</v>
      </c>
      <c r="GQ177" t="s">
        <v>4353</v>
      </c>
      <c r="GR177" t="s">
        <v>4353</v>
      </c>
      <c r="GS177" t="s">
        <v>4353</v>
      </c>
      <c r="GT177" t="s">
        <v>4353</v>
      </c>
      <c r="GU177" t="s">
        <v>4353</v>
      </c>
      <c r="GV177" t="s">
        <v>4353</v>
      </c>
      <c r="GW177" t="s">
        <v>4353</v>
      </c>
      <c r="GX177" t="s">
        <v>4353</v>
      </c>
      <c r="GY177" t="s">
        <v>4353</v>
      </c>
      <c r="GZ177" t="s">
        <v>4353</v>
      </c>
      <c r="HA177" t="s">
        <v>4353</v>
      </c>
      <c r="HB177" t="s">
        <v>4353</v>
      </c>
      <c r="HC177" t="s">
        <v>4353</v>
      </c>
      <c r="HD177" t="s">
        <v>4353</v>
      </c>
      <c r="HE177" t="s">
        <v>4353</v>
      </c>
      <c r="HF177" t="s">
        <v>4353</v>
      </c>
      <c r="HG177" t="s">
        <v>4353</v>
      </c>
      <c r="HH177" t="s">
        <v>4353</v>
      </c>
      <c r="HI177" t="s">
        <v>4353</v>
      </c>
      <c r="HJ177" t="s">
        <v>4353</v>
      </c>
      <c r="HK177" t="s">
        <v>4353</v>
      </c>
      <c r="HL177" t="s">
        <v>4353</v>
      </c>
      <c r="HM177" t="s">
        <v>4353</v>
      </c>
      <c r="HN177" t="s">
        <v>4353</v>
      </c>
      <c r="HO177" t="s">
        <v>4353</v>
      </c>
      <c r="HP177" t="s">
        <v>4353</v>
      </c>
      <c r="HQ177" t="s">
        <v>4353</v>
      </c>
      <c r="HR177" t="s">
        <v>4353</v>
      </c>
      <c r="HS177" t="s">
        <v>4353</v>
      </c>
      <c r="HT177" t="s">
        <v>4353</v>
      </c>
      <c r="HU177" t="s">
        <v>4353</v>
      </c>
      <c r="HV177" t="s">
        <v>4353</v>
      </c>
      <c r="HW177" t="s">
        <v>4353</v>
      </c>
      <c r="HX177" t="s">
        <v>4353</v>
      </c>
      <c r="HY177" t="s">
        <v>4331</v>
      </c>
      <c r="HZ177" t="s">
        <v>4331</v>
      </c>
      <c r="IA177" t="s">
        <v>4331</v>
      </c>
      <c r="IB177" t="s">
        <v>4331</v>
      </c>
      <c r="IC177" t="s">
        <v>4331</v>
      </c>
      <c r="ID177" t="s">
        <v>4331</v>
      </c>
      <c r="IE177" t="s">
        <v>4331</v>
      </c>
      <c r="IF177" t="s">
        <v>4331</v>
      </c>
      <c r="IG177" t="s">
        <v>4331</v>
      </c>
      <c r="IH177" t="s">
        <v>4358</v>
      </c>
      <c r="II177" t="s">
        <v>4358</v>
      </c>
      <c r="IJ177" t="s">
        <v>4358</v>
      </c>
      <c r="IK177" t="s">
        <v>4358</v>
      </c>
      <c r="IL177" t="s">
        <v>4358</v>
      </c>
      <c r="IM177" t="s">
        <v>4358</v>
      </c>
      <c r="IN177" t="s">
        <v>4358</v>
      </c>
      <c r="IO177" t="s">
        <v>4358</v>
      </c>
      <c r="IP177" t="s">
        <v>4358</v>
      </c>
      <c r="IQ177" t="s">
        <v>4358</v>
      </c>
      <c r="IR177" t="s">
        <v>4358</v>
      </c>
      <c r="IS177" t="s">
        <v>4358</v>
      </c>
      <c r="IT177" t="s">
        <v>4358</v>
      </c>
      <c r="IU177" t="s">
        <v>4358</v>
      </c>
      <c r="IV177" t="s">
        <v>4358</v>
      </c>
      <c r="IW177" t="s">
        <v>4358</v>
      </c>
      <c r="IX177" t="s">
        <v>4358</v>
      </c>
      <c r="IY177" t="s">
        <v>4358</v>
      </c>
      <c r="IZ177" t="s">
        <v>4358</v>
      </c>
      <c r="JA177" t="s">
        <v>4358</v>
      </c>
      <c r="JB177" t="s">
        <v>4358</v>
      </c>
      <c r="JC177" t="s">
        <v>4358</v>
      </c>
      <c r="JD177" t="s">
        <v>4358</v>
      </c>
      <c r="JE177" t="s">
        <v>4358</v>
      </c>
      <c r="JF177" t="s">
        <v>4358</v>
      </c>
      <c r="JG177" t="s">
        <v>4358</v>
      </c>
      <c r="JH177" t="s">
        <v>4358</v>
      </c>
      <c r="JI177" t="s">
        <v>4358</v>
      </c>
      <c r="JJ177" t="s">
        <v>4358</v>
      </c>
      <c r="JK177" t="s">
        <v>4358</v>
      </c>
      <c r="JL177" t="s">
        <v>4358</v>
      </c>
      <c r="JM177" t="s">
        <v>4358</v>
      </c>
      <c r="JN177" t="s">
        <v>4358</v>
      </c>
      <c r="JO177" t="s">
        <v>4358</v>
      </c>
      <c r="JP177" t="s">
        <v>4358</v>
      </c>
      <c r="JQ177" t="s">
        <v>4358</v>
      </c>
      <c r="JR177" t="s">
        <v>4358</v>
      </c>
      <c r="JS177" t="s">
        <v>4358</v>
      </c>
      <c r="JT177" t="s">
        <v>4358</v>
      </c>
      <c r="JU177" t="s">
        <v>4358</v>
      </c>
    </row>
    <row r="178" spans="43:281" x14ac:dyDescent="0.3">
      <c r="BA178" t="s">
        <v>4357</v>
      </c>
      <c r="BB178" t="s">
        <v>4357</v>
      </c>
      <c r="BC178" t="s">
        <v>4357</v>
      </c>
      <c r="BD178" t="s">
        <v>4357</v>
      </c>
      <c r="BE178" t="s">
        <v>4357</v>
      </c>
      <c r="BF178" t="s">
        <v>4357</v>
      </c>
      <c r="BG178" t="s">
        <v>4357</v>
      </c>
      <c r="BH178" t="s">
        <v>4357</v>
      </c>
      <c r="BI178" t="s">
        <v>4357</v>
      </c>
      <c r="BJ178" t="s">
        <v>4357</v>
      </c>
      <c r="BK178" t="s">
        <v>4357</v>
      </c>
      <c r="BL178" t="s">
        <v>4357</v>
      </c>
      <c r="BM178" t="s">
        <v>4357</v>
      </c>
      <c r="BN178" t="s">
        <v>4357</v>
      </c>
      <c r="BO178" t="s">
        <v>4357</v>
      </c>
      <c r="BP178" t="s">
        <v>4357</v>
      </c>
      <c r="BQ178" t="s">
        <v>4357</v>
      </c>
      <c r="BR178" t="s">
        <v>4357</v>
      </c>
      <c r="BS178" t="s">
        <v>4357</v>
      </c>
      <c r="BT178" t="s">
        <v>4357</v>
      </c>
      <c r="BU178" t="s">
        <v>4357</v>
      </c>
      <c r="BV178" t="s">
        <v>4357</v>
      </c>
      <c r="BW178" t="s">
        <v>4357</v>
      </c>
      <c r="BX178" t="s">
        <v>4357</v>
      </c>
      <c r="BY178" t="s">
        <v>4371</v>
      </c>
      <c r="BZ178" t="s">
        <v>4371</v>
      </c>
      <c r="CA178" t="s">
        <v>4371</v>
      </c>
      <c r="CB178" t="s">
        <v>4371</v>
      </c>
      <c r="CC178" t="s">
        <v>4371</v>
      </c>
      <c r="CD178" t="s">
        <v>4371</v>
      </c>
      <c r="CE178" t="s">
        <v>4371</v>
      </c>
      <c r="CF178" t="s">
        <v>4371</v>
      </c>
      <c r="CG178" t="s">
        <v>4371</v>
      </c>
      <c r="CH178" t="s">
        <v>4371</v>
      </c>
      <c r="CI178" t="s">
        <v>4371</v>
      </c>
      <c r="CJ178" t="s">
        <v>4370</v>
      </c>
      <c r="CK178" t="s">
        <v>4370</v>
      </c>
      <c r="CL178" t="s">
        <v>4370</v>
      </c>
      <c r="CM178" t="s">
        <v>4370</v>
      </c>
      <c r="CN178" t="s">
        <v>4370</v>
      </c>
      <c r="CO178" t="s">
        <v>4370</v>
      </c>
      <c r="CP178" t="s">
        <v>4370</v>
      </c>
      <c r="CQ178" t="s">
        <v>4370</v>
      </c>
      <c r="CR178" t="s">
        <v>4372</v>
      </c>
      <c r="CS178" t="s">
        <v>4372</v>
      </c>
      <c r="CT178" t="s">
        <v>4372</v>
      </c>
      <c r="CU178" t="s">
        <v>4372</v>
      </c>
      <c r="CV178" t="s">
        <v>4372</v>
      </c>
      <c r="CW178" t="s">
        <v>4372</v>
      </c>
      <c r="CX178" t="s">
        <v>4369</v>
      </c>
      <c r="CY178" t="s">
        <v>4369</v>
      </c>
      <c r="CZ178" t="s">
        <v>4369</v>
      </c>
      <c r="DA178" t="s">
        <v>4369</v>
      </c>
      <c r="DB178" t="s">
        <v>4369</v>
      </c>
      <c r="DC178" t="s">
        <v>4365</v>
      </c>
      <c r="DD178" t="s">
        <v>4365</v>
      </c>
      <c r="DE178" t="s">
        <v>4365</v>
      </c>
      <c r="DF178" t="s">
        <v>4365</v>
      </c>
      <c r="DG178" t="s">
        <v>4365</v>
      </c>
      <c r="DH178" t="s">
        <v>4365</v>
      </c>
      <c r="DI178" t="s">
        <v>4365</v>
      </c>
      <c r="DJ178" t="s">
        <v>4365</v>
      </c>
      <c r="DK178" t="s">
        <v>4367</v>
      </c>
      <c r="DL178" t="s">
        <v>4367</v>
      </c>
      <c r="DM178" t="s">
        <v>4367</v>
      </c>
      <c r="DN178" t="s">
        <v>4365</v>
      </c>
      <c r="DO178" t="s">
        <v>4365</v>
      </c>
      <c r="DP178" t="s">
        <v>4365</v>
      </c>
      <c r="DQ178" t="s">
        <v>4365</v>
      </c>
      <c r="DR178" t="s">
        <v>4365</v>
      </c>
      <c r="DS178" t="s">
        <v>4365</v>
      </c>
      <c r="DT178" t="s">
        <v>4365</v>
      </c>
      <c r="DU178" t="s">
        <v>4365</v>
      </c>
      <c r="DV178" t="s">
        <v>4365</v>
      </c>
      <c r="DW178" t="s">
        <v>4365</v>
      </c>
      <c r="DX178" t="s">
        <v>4365</v>
      </c>
      <c r="DY178" t="s">
        <v>4365</v>
      </c>
      <c r="DZ178" t="s">
        <v>4365</v>
      </c>
      <c r="EA178" t="s">
        <v>4365</v>
      </c>
      <c r="EB178" t="s">
        <v>4365</v>
      </c>
      <c r="EC178" t="s">
        <v>4365</v>
      </c>
      <c r="ED178" t="s">
        <v>4365</v>
      </c>
      <c r="EE178" t="s">
        <v>4365</v>
      </c>
      <c r="EF178" t="s">
        <v>4365</v>
      </c>
      <c r="EG178" t="s">
        <v>4365</v>
      </c>
      <c r="EH178" t="s">
        <v>4365</v>
      </c>
      <c r="EI178" t="s">
        <v>4365</v>
      </c>
      <c r="EJ178" t="s">
        <v>4365</v>
      </c>
      <c r="EK178" t="s">
        <v>4365</v>
      </c>
      <c r="EL178" t="s">
        <v>4356</v>
      </c>
      <c r="EM178" t="s">
        <v>4356</v>
      </c>
      <c r="EN178" t="s">
        <v>4356</v>
      </c>
      <c r="EO178" t="s">
        <v>4356</v>
      </c>
      <c r="EP178" t="s">
        <v>4356</v>
      </c>
      <c r="EQ178" t="s">
        <v>4356</v>
      </c>
      <c r="ER178" t="s">
        <v>4356</v>
      </c>
      <c r="ES178" t="s">
        <v>4356</v>
      </c>
      <c r="ET178" t="s">
        <v>4356</v>
      </c>
      <c r="EU178" t="s">
        <v>4356</v>
      </c>
      <c r="EV178" t="s">
        <v>4356</v>
      </c>
      <c r="EW178" t="s">
        <v>4356</v>
      </c>
      <c r="EX178" t="s">
        <v>4356</v>
      </c>
      <c r="EY178" t="s">
        <v>4353</v>
      </c>
      <c r="EZ178" t="s">
        <v>4353</v>
      </c>
      <c r="FA178" t="s">
        <v>4353</v>
      </c>
      <c r="FB178" t="s">
        <v>4353</v>
      </c>
      <c r="FC178" t="s">
        <v>4353</v>
      </c>
      <c r="FD178" t="s">
        <v>4353</v>
      </c>
      <c r="FE178" t="s">
        <v>4353</v>
      </c>
      <c r="FF178" t="s">
        <v>4353</v>
      </c>
      <c r="FG178" t="s">
        <v>4353</v>
      </c>
      <c r="FH178" t="s">
        <v>4353</v>
      </c>
      <c r="FI178" t="s">
        <v>4353</v>
      </c>
      <c r="FJ178" t="s">
        <v>4353</v>
      </c>
      <c r="FK178" t="s">
        <v>4353</v>
      </c>
      <c r="FL178" t="s">
        <v>4353</v>
      </c>
      <c r="FM178" t="s">
        <v>4353</v>
      </c>
      <c r="FN178" t="s">
        <v>4353</v>
      </c>
      <c r="FO178" t="s">
        <v>4353</v>
      </c>
      <c r="FP178" t="s">
        <v>4353</v>
      </c>
      <c r="FQ178" t="s">
        <v>4353</v>
      </c>
      <c r="FR178" t="s">
        <v>4353</v>
      </c>
      <c r="FS178" t="s">
        <v>4353</v>
      </c>
      <c r="FT178" t="s">
        <v>4353</v>
      </c>
      <c r="FU178" t="s">
        <v>4353</v>
      </c>
      <c r="FV178" t="s">
        <v>4353</v>
      </c>
      <c r="FW178" t="s">
        <v>4353</v>
      </c>
      <c r="FX178" t="s">
        <v>4353</v>
      </c>
      <c r="FY178" t="s">
        <v>4353</v>
      </c>
      <c r="FZ178" t="s">
        <v>4353</v>
      </c>
      <c r="GA178" t="s">
        <v>4353</v>
      </c>
      <c r="GB178" t="s">
        <v>4353</v>
      </c>
      <c r="GC178" t="s">
        <v>4353</v>
      </c>
      <c r="GD178" t="s">
        <v>4353</v>
      </c>
      <c r="GE178" t="s">
        <v>4353</v>
      </c>
      <c r="GF178" t="s">
        <v>4353</v>
      </c>
      <c r="GG178" t="s">
        <v>4353</v>
      </c>
      <c r="GH178" t="s">
        <v>4353</v>
      </c>
      <c r="GI178" t="s">
        <v>4353</v>
      </c>
      <c r="GJ178" t="s">
        <v>4353</v>
      </c>
      <c r="GK178" t="s">
        <v>4353</v>
      </c>
      <c r="GL178" t="s">
        <v>4353</v>
      </c>
      <c r="GM178" t="s">
        <v>4353</v>
      </c>
      <c r="GN178" t="s">
        <v>4353</v>
      </c>
      <c r="GO178" t="s">
        <v>4353</v>
      </c>
      <c r="GP178" t="s">
        <v>4353</v>
      </c>
      <c r="GQ178" t="s">
        <v>4353</v>
      </c>
      <c r="GR178" t="s">
        <v>4353</v>
      </c>
      <c r="GS178" t="s">
        <v>4353</v>
      </c>
      <c r="GT178" t="s">
        <v>4353</v>
      </c>
      <c r="GU178" t="s">
        <v>4353</v>
      </c>
      <c r="GV178" t="s">
        <v>4353</v>
      </c>
      <c r="GW178" t="s">
        <v>4353</v>
      </c>
      <c r="GX178" t="s">
        <v>4353</v>
      </c>
      <c r="GY178" t="s">
        <v>4353</v>
      </c>
      <c r="GZ178" t="s">
        <v>4353</v>
      </c>
      <c r="HA178" t="s">
        <v>4353</v>
      </c>
      <c r="HB178" t="s">
        <v>4353</v>
      </c>
      <c r="HC178" t="s">
        <v>4353</v>
      </c>
      <c r="HD178" t="s">
        <v>4353</v>
      </c>
      <c r="HE178" t="s">
        <v>4353</v>
      </c>
      <c r="HF178" t="s">
        <v>4353</v>
      </c>
      <c r="HG178" t="s">
        <v>4353</v>
      </c>
      <c r="HH178" t="s">
        <v>4353</v>
      </c>
      <c r="HI178" t="s">
        <v>4353</v>
      </c>
      <c r="HJ178" t="s">
        <v>4353</v>
      </c>
      <c r="HK178" t="s">
        <v>4353</v>
      </c>
      <c r="HL178" t="s">
        <v>4353</v>
      </c>
      <c r="HM178" t="s">
        <v>4353</v>
      </c>
      <c r="HN178" t="s">
        <v>4353</v>
      </c>
      <c r="HO178" t="s">
        <v>4353</v>
      </c>
      <c r="HP178" t="s">
        <v>4353</v>
      </c>
      <c r="HQ178" t="s">
        <v>4353</v>
      </c>
      <c r="HR178" t="s">
        <v>4353</v>
      </c>
      <c r="HS178" t="s">
        <v>4353</v>
      </c>
      <c r="HT178" t="s">
        <v>4353</v>
      </c>
      <c r="HU178" t="s">
        <v>4353</v>
      </c>
      <c r="HV178" t="s">
        <v>4353</v>
      </c>
      <c r="HW178" t="s">
        <v>4353</v>
      </c>
      <c r="HX178" t="s">
        <v>4353</v>
      </c>
      <c r="HY178" t="s">
        <v>4353</v>
      </c>
      <c r="HZ178" t="s">
        <v>4331</v>
      </c>
      <c r="IA178" t="s">
        <v>4331</v>
      </c>
      <c r="IB178" t="s">
        <v>4331</v>
      </c>
      <c r="IC178" t="s">
        <v>4331</v>
      </c>
      <c r="ID178" t="s">
        <v>4331</v>
      </c>
      <c r="IE178" t="s">
        <v>4358</v>
      </c>
      <c r="IF178" t="s">
        <v>4358</v>
      </c>
      <c r="IG178" t="s">
        <v>4358</v>
      </c>
      <c r="IH178" t="s">
        <v>4358</v>
      </c>
      <c r="II178" t="s">
        <v>4358</v>
      </c>
      <c r="IJ178" t="s">
        <v>4358</v>
      </c>
      <c r="IK178" t="s">
        <v>4358</v>
      </c>
      <c r="IL178" t="s">
        <v>4358</v>
      </c>
      <c r="IM178" t="s">
        <v>4358</v>
      </c>
      <c r="IN178" t="s">
        <v>4358</v>
      </c>
      <c r="IO178" t="s">
        <v>4358</v>
      </c>
      <c r="IP178" t="s">
        <v>4358</v>
      </c>
      <c r="IQ178" t="s">
        <v>4358</v>
      </c>
      <c r="IR178" t="s">
        <v>4358</v>
      </c>
      <c r="IS178" t="s">
        <v>4358</v>
      </c>
      <c r="IT178" t="s">
        <v>4358</v>
      </c>
      <c r="IU178" t="s">
        <v>4358</v>
      </c>
      <c r="IV178" t="s">
        <v>4358</v>
      </c>
      <c r="IW178" t="s">
        <v>4358</v>
      </c>
      <c r="IX178" t="s">
        <v>4358</v>
      </c>
      <c r="IY178" t="s">
        <v>4358</v>
      </c>
      <c r="IZ178" t="s">
        <v>4358</v>
      </c>
      <c r="JA178" t="s">
        <v>4358</v>
      </c>
      <c r="JB178" t="s">
        <v>4358</v>
      </c>
      <c r="JC178" t="s">
        <v>4358</v>
      </c>
      <c r="JD178" t="s">
        <v>4358</v>
      </c>
      <c r="JE178" t="s">
        <v>4358</v>
      </c>
      <c r="JF178" t="s">
        <v>4358</v>
      </c>
      <c r="JG178" t="s">
        <v>4358</v>
      </c>
      <c r="JH178" t="s">
        <v>4358</v>
      </c>
      <c r="JI178" t="s">
        <v>4358</v>
      </c>
      <c r="JJ178" t="s">
        <v>4358</v>
      </c>
      <c r="JK178" t="s">
        <v>4358</v>
      </c>
      <c r="JL178" t="s">
        <v>4358</v>
      </c>
      <c r="JM178" t="s">
        <v>4358</v>
      </c>
      <c r="JN178" t="s">
        <v>4358</v>
      </c>
      <c r="JO178" t="s">
        <v>4358</v>
      </c>
      <c r="JP178" t="s">
        <v>4358</v>
      </c>
      <c r="JQ178" t="s">
        <v>4358</v>
      </c>
      <c r="JR178" t="s">
        <v>4358</v>
      </c>
      <c r="JS178" t="s">
        <v>4358</v>
      </c>
      <c r="JT178" t="s">
        <v>4358</v>
      </c>
      <c r="JU178" t="s">
        <v>4358</v>
      </c>
    </row>
    <row r="179" spans="43:281" x14ac:dyDescent="0.3">
      <c r="BB179" t="s">
        <v>4357</v>
      </c>
      <c r="BC179" t="s">
        <v>4357</v>
      </c>
      <c r="BD179" t="s">
        <v>4357</v>
      </c>
      <c r="BG179" t="s">
        <v>4357</v>
      </c>
      <c r="BH179" t="s">
        <v>4357</v>
      </c>
      <c r="BI179" t="s">
        <v>4357</v>
      </c>
      <c r="BJ179" t="s">
        <v>4357</v>
      </c>
      <c r="BK179" t="s">
        <v>4357</v>
      </c>
      <c r="BL179" t="s">
        <v>4357</v>
      </c>
      <c r="BM179" t="s">
        <v>4357</v>
      </c>
      <c r="BN179" t="s">
        <v>4357</v>
      </c>
      <c r="BO179" t="s">
        <v>4357</v>
      </c>
      <c r="BP179" t="s">
        <v>4357</v>
      </c>
      <c r="BQ179" t="s">
        <v>4357</v>
      </c>
      <c r="BR179" t="s">
        <v>4357</v>
      </c>
      <c r="BS179" t="s">
        <v>4357</v>
      </c>
      <c r="BT179" t="s">
        <v>4357</v>
      </c>
      <c r="BU179" t="s">
        <v>4357</v>
      </c>
      <c r="BV179" t="s">
        <v>4357</v>
      </c>
      <c r="BW179" t="s">
        <v>4357</v>
      </c>
      <c r="BX179" t="s">
        <v>4357</v>
      </c>
      <c r="BY179" t="s">
        <v>4357</v>
      </c>
      <c r="BZ179" t="s">
        <v>4371</v>
      </c>
      <c r="CA179" t="s">
        <v>4371</v>
      </c>
      <c r="CB179" t="s">
        <v>4371</v>
      </c>
      <c r="CC179" t="s">
        <v>4371</v>
      </c>
      <c r="CD179" t="s">
        <v>4371</v>
      </c>
      <c r="CE179" t="s">
        <v>4371</v>
      </c>
      <c r="CF179" t="s">
        <v>4371</v>
      </c>
      <c r="CG179" t="s">
        <v>4371</v>
      </c>
      <c r="CH179" t="s">
        <v>4371</v>
      </c>
      <c r="CI179" t="s">
        <v>4371</v>
      </c>
      <c r="CJ179" t="s">
        <v>4371</v>
      </c>
      <c r="CK179" t="s">
        <v>4370</v>
      </c>
      <c r="CL179" t="s">
        <v>4373</v>
      </c>
      <c r="CM179" t="s">
        <v>4370</v>
      </c>
      <c r="CN179" t="s">
        <v>4370</v>
      </c>
      <c r="CO179" t="s">
        <v>4370</v>
      </c>
      <c r="CP179" t="s">
        <v>4370</v>
      </c>
      <c r="CQ179" t="s">
        <v>4373</v>
      </c>
      <c r="CR179" t="s">
        <v>4372</v>
      </c>
      <c r="CS179" t="s">
        <v>4372</v>
      </c>
      <c r="CT179" t="s">
        <v>4372</v>
      </c>
      <c r="CU179" t="s">
        <v>4372</v>
      </c>
      <c r="CV179" t="s">
        <v>4372</v>
      </c>
      <c r="CW179" t="s">
        <v>4372</v>
      </c>
      <c r="CX179" t="s">
        <v>4372</v>
      </c>
      <c r="CY179" t="s">
        <v>4372</v>
      </c>
      <c r="CZ179" t="s">
        <v>4372</v>
      </c>
      <c r="DA179" t="s">
        <v>4372</v>
      </c>
      <c r="DB179" t="s">
        <v>4365</v>
      </c>
      <c r="DC179" t="s">
        <v>4365</v>
      </c>
      <c r="DD179" t="s">
        <v>4365</v>
      </c>
      <c r="DE179" t="s">
        <v>4365</v>
      </c>
      <c r="DF179" t="s">
        <v>4365</v>
      </c>
      <c r="DG179" t="s">
        <v>4365</v>
      </c>
      <c r="DH179" t="s">
        <v>4365</v>
      </c>
      <c r="DI179" t="s">
        <v>4365</v>
      </c>
      <c r="DJ179" t="s">
        <v>4365</v>
      </c>
      <c r="DK179" t="s">
        <v>4365</v>
      </c>
      <c r="DL179" t="s">
        <v>4365</v>
      </c>
      <c r="DM179" t="s">
        <v>4365</v>
      </c>
      <c r="DN179" t="s">
        <v>4365</v>
      </c>
      <c r="DO179" t="s">
        <v>4365</v>
      </c>
      <c r="DP179" t="s">
        <v>4365</v>
      </c>
      <c r="DQ179" t="s">
        <v>4365</v>
      </c>
      <c r="DR179" t="s">
        <v>4365</v>
      </c>
      <c r="DS179" t="s">
        <v>4365</v>
      </c>
      <c r="DT179" t="s">
        <v>4365</v>
      </c>
      <c r="DU179" t="s">
        <v>4365</v>
      </c>
      <c r="DV179" t="s">
        <v>4365</v>
      </c>
      <c r="DW179" t="s">
        <v>4365</v>
      </c>
      <c r="DX179" t="s">
        <v>4365</v>
      </c>
      <c r="DY179" t="s">
        <v>4365</v>
      </c>
      <c r="DZ179" t="s">
        <v>4365</v>
      </c>
      <c r="EA179" t="s">
        <v>4365</v>
      </c>
      <c r="EB179" t="s">
        <v>4365</v>
      </c>
      <c r="EC179" t="s">
        <v>4365</v>
      </c>
      <c r="ED179" t="s">
        <v>4365</v>
      </c>
      <c r="EE179" t="s">
        <v>4365</v>
      </c>
      <c r="EF179" t="s">
        <v>4365</v>
      </c>
      <c r="EG179" t="s">
        <v>4365</v>
      </c>
      <c r="EH179" t="s">
        <v>4365</v>
      </c>
      <c r="EI179" t="s">
        <v>4365</v>
      </c>
      <c r="EJ179" t="s">
        <v>4365</v>
      </c>
      <c r="EK179" t="s">
        <v>4356</v>
      </c>
      <c r="EL179" t="s">
        <v>4356</v>
      </c>
      <c r="EM179" t="s">
        <v>4356</v>
      </c>
      <c r="EN179" t="s">
        <v>4356</v>
      </c>
      <c r="EO179" t="s">
        <v>4356</v>
      </c>
      <c r="EP179" t="s">
        <v>4356</v>
      </c>
      <c r="EQ179" t="s">
        <v>4356</v>
      </c>
      <c r="ER179" t="s">
        <v>4356</v>
      </c>
      <c r="ES179" t="s">
        <v>4356</v>
      </c>
      <c r="ET179" t="s">
        <v>4356</v>
      </c>
      <c r="EU179" t="s">
        <v>4356</v>
      </c>
      <c r="EV179" t="s">
        <v>4356</v>
      </c>
      <c r="EW179" t="s">
        <v>4356</v>
      </c>
      <c r="EX179" t="s">
        <v>4356</v>
      </c>
      <c r="EY179" t="s">
        <v>4353</v>
      </c>
      <c r="EZ179" t="s">
        <v>4353</v>
      </c>
      <c r="FA179" t="s">
        <v>4353</v>
      </c>
      <c r="FB179" t="s">
        <v>4353</v>
      </c>
      <c r="FC179" t="s">
        <v>4353</v>
      </c>
      <c r="FD179" t="s">
        <v>4353</v>
      </c>
      <c r="FE179" t="s">
        <v>4353</v>
      </c>
      <c r="FF179" t="s">
        <v>4353</v>
      </c>
      <c r="FG179" t="s">
        <v>4353</v>
      </c>
      <c r="FH179" t="s">
        <v>4353</v>
      </c>
      <c r="FI179" t="s">
        <v>4353</v>
      </c>
      <c r="FJ179" t="s">
        <v>4353</v>
      </c>
      <c r="FK179" t="s">
        <v>4353</v>
      </c>
      <c r="FL179" t="s">
        <v>4353</v>
      </c>
      <c r="FM179" t="s">
        <v>4353</v>
      </c>
      <c r="FN179" t="s">
        <v>4353</v>
      </c>
      <c r="FO179" t="s">
        <v>4353</v>
      </c>
      <c r="FP179" t="s">
        <v>4353</v>
      </c>
      <c r="FQ179" t="s">
        <v>4353</v>
      </c>
      <c r="FR179" t="s">
        <v>4353</v>
      </c>
      <c r="FS179" t="s">
        <v>4353</v>
      </c>
      <c r="FT179" t="s">
        <v>4353</v>
      </c>
      <c r="FU179" t="s">
        <v>4353</v>
      </c>
      <c r="FV179" t="s">
        <v>4353</v>
      </c>
      <c r="FW179" t="s">
        <v>4353</v>
      </c>
      <c r="FX179" t="s">
        <v>4353</v>
      </c>
      <c r="FY179" t="s">
        <v>4353</v>
      </c>
      <c r="FZ179" t="s">
        <v>4353</v>
      </c>
      <c r="GA179" t="s">
        <v>4353</v>
      </c>
      <c r="GB179" t="s">
        <v>4353</v>
      </c>
      <c r="GC179" t="s">
        <v>4353</v>
      </c>
      <c r="GD179" t="s">
        <v>4353</v>
      </c>
      <c r="GE179" t="s">
        <v>4353</v>
      </c>
      <c r="GF179" t="s">
        <v>4353</v>
      </c>
      <c r="GG179" t="s">
        <v>4353</v>
      </c>
      <c r="GH179" t="s">
        <v>4353</v>
      </c>
      <c r="GI179" t="s">
        <v>4353</v>
      </c>
      <c r="GJ179" t="s">
        <v>4353</v>
      </c>
      <c r="GK179" t="s">
        <v>4353</v>
      </c>
      <c r="GL179" t="s">
        <v>4353</v>
      </c>
      <c r="GM179" t="s">
        <v>4353</v>
      </c>
      <c r="GN179" t="s">
        <v>4353</v>
      </c>
      <c r="GO179" t="s">
        <v>4353</v>
      </c>
      <c r="GP179" t="s">
        <v>4353</v>
      </c>
      <c r="GQ179" t="s">
        <v>4353</v>
      </c>
      <c r="GR179" t="s">
        <v>4353</v>
      </c>
      <c r="GS179" t="s">
        <v>4353</v>
      </c>
      <c r="GT179" t="s">
        <v>4353</v>
      </c>
      <c r="GU179" t="s">
        <v>4353</v>
      </c>
      <c r="GV179" t="s">
        <v>4353</v>
      </c>
      <c r="GW179" t="s">
        <v>4353</v>
      </c>
      <c r="GX179" t="s">
        <v>4353</v>
      </c>
      <c r="GY179" t="s">
        <v>4353</v>
      </c>
      <c r="GZ179" t="s">
        <v>4353</v>
      </c>
      <c r="HA179" t="s">
        <v>4353</v>
      </c>
      <c r="HB179" t="s">
        <v>4353</v>
      </c>
      <c r="HC179" t="s">
        <v>4353</v>
      </c>
      <c r="HD179" t="s">
        <v>4353</v>
      </c>
      <c r="HE179" t="s">
        <v>4353</v>
      </c>
      <c r="HF179" t="s">
        <v>4353</v>
      </c>
      <c r="HG179" t="s">
        <v>4353</v>
      </c>
      <c r="HH179" t="s">
        <v>4353</v>
      </c>
      <c r="HI179" t="s">
        <v>4353</v>
      </c>
      <c r="HJ179" t="s">
        <v>4353</v>
      </c>
      <c r="HK179" t="s">
        <v>4353</v>
      </c>
      <c r="HL179" t="s">
        <v>4353</v>
      </c>
      <c r="HM179" t="s">
        <v>4353</v>
      </c>
      <c r="HN179" t="s">
        <v>4353</v>
      </c>
      <c r="HO179" t="s">
        <v>4353</v>
      </c>
      <c r="HP179" t="s">
        <v>4353</v>
      </c>
      <c r="HQ179" t="s">
        <v>4353</v>
      </c>
      <c r="HR179" t="s">
        <v>4353</v>
      </c>
      <c r="HS179" t="s">
        <v>4353</v>
      </c>
      <c r="HT179" t="s">
        <v>4353</v>
      </c>
      <c r="HU179" t="s">
        <v>4353</v>
      </c>
      <c r="HV179" t="s">
        <v>4353</v>
      </c>
      <c r="HW179" t="s">
        <v>4353</v>
      </c>
      <c r="HX179" t="s">
        <v>4353</v>
      </c>
      <c r="HY179" t="s">
        <v>4353</v>
      </c>
      <c r="HZ179" t="s">
        <v>4353</v>
      </c>
      <c r="IA179" t="s">
        <v>4353</v>
      </c>
      <c r="IB179" t="s">
        <v>4331</v>
      </c>
      <c r="IC179" t="s">
        <v>4331</v>
      </c>
      <c r="ID179" t="s">
        <v>4358</v>
      </c>
      <c r="IE179" t="s">
        <v>4358</v>
      </c>
      <c r="IF179" t="s">
        <v>4358</v>
      </c>
      <c r="IG179" t="s">
        <v>4358</v>
      </c>
      <c r="IH179" t="s">
        <v>4358</v>
      </c>
      <c r="II179" t="s">
        <v>4358</v>
      </c>
      <c r="IJ179" t="s">
        <v>4358</v>
      </c>
      <c r="IK179" t="s">
        <v>4358</v>
      </c>
      <c r="IL179" t="s">
        <v>4358</v>
      </c>
      <c r="IM179" t="s">
        <v>4358</v>
      </c>
      <c r="IN179" t="s">
        <v>4358</v>
      </c>
      <c r="IO179" t="s">
        <v>4358</v>
      </c>
      <c r="IP179" t="s">
        <v>4358</v>
      </c>
      <c r="IQ179" t="s">
        <v>4358</v>
      </c>
      <c r="IR179" t="s">
        <v>4358</v>
      </c>
      <c r="IS179" t="s">
        <v>4358</v>
      </c>
      <c r="IT179" t="s">
        <v>4358</v>
      </c>
      <c r="IU179" t="s">
        <v>4358</v>
      </c>
      <c r="IV179" t="s">
        <v>4358</v>
      </c>
      <c r="IW179" t="s">
        <v>4358</v>
      </c>
      <c r="IX179" t="s">
        <v>4358</v>
      </c>
      <c r="IY179" t="s">
        <v>4358</v>
      </c>
      <c r="IZ179" t="s">
        <v>4358</v>
      </c>
      <c r="JA179" t="s">
        <v>4358</v>
      </c>
      <c r="JB179" t="s">
        <v>4358</v>
      </c>
      <c r="JC179" t="s">
        <v>4358</v>
      </c>
      <c r="JD179" t="s">
        <v>4358</v>
      </c>
      <c r="JE179" t="s">
        <v>4358</v>
      </c>
      <c r="JF179" t="s">
        <v>4358</v>
      </c>
      <c r="JG179" t="s">
        <v>4358</v>
      </c>
      <c r="JH179" t="s">
        <v>4358</v>
      </c>
      <c r="JI179" t="s">
        <v>4358</v>
      </c>
      <c r="JJ179" t="s">
        <v>4358</v>
      </c>
      <c r="JK179" t="s">
        <v>4358</v>
      </c>
      <c r="JL179" t="s">
        <v>4358</v>
      </c>
      <c r="JM179" t="s">
        <v>4358</v>
      </c>
      <c r="JN179" t="s">
        <v>4358</v>
      </c>
      <c r="JO179" t="s">
        <v>4358</v>
      </c>
      <c r="JP179" t="s">
        <v>4358</v>
      </c>
      <c r="JQ179" t="s">
        <v>4358</v>
      </c>
      <c r="JR179" t="s">
        <v>4358</v>
      </c>
      <c r="JS179" t="s">
        <v>4358</v>
      </c>
      <c r="JT179" t="s">
        <v>4358</v>
      </c>
      <c r="JU179" t="s">
        <v>4358</v>
      </c>
    </row>
    <row r="180" spans="43:281" x14ac:dyDescent="0.3">
      <c r="BF180" t="s">
        <v>4357</v>
      </c>
      <c r="BG180" t="s">
        <v>4357</v>
      </c>
      <c r="BH180" t="s">
        <v>4357</v>
      </c>
      <c r="BI180" t="s">
        <v>4357</v>
      </c>
      <c r="BJ180" t="s">
        <v>4357</v>
      </c>
      <c r="BK180" t="s">
        <v>4357</v>
      </c>
      <c r="BL180" t="s">
        <v>4357</v>
      </c>
      <c r="BM180" t="s">
        <v>4357</v>
      </c>
      <c r="BN180" t="s">
        <v>4357</v>
      </c>
      <c r="BO180" t="s">
        <v>4357</v>
      </c>
      <c r="BP180" t="s">
        <v>4357</v>
      </c>
      <c r="BQ180" t="s">
        <v>4357</v>
      </c>
      <c r="BR180" t="s">
        <v>4357</v>
      </c>
      <c r="BS180" t="s">
        <v>4357</v>
      </c>
      <c r="BT180" t="s">
        <v>4357</v>
      </c>
      <c r="BU180" t="s">
        <v>4357</v>
      </c>
      <c r="BV180" t="s">
        <v>4357</v>
      </c>
      <c r="BW180" t="s">
        <v>4371</v>
      </c>
      <c r="BX180" t="s">
        <v>4371</v>
      </c>
      <c r="BY180" t="s">
        <v>4371</v>
      </c>
      <c r="BZ180" t="s">
        <v>4371</v>
      </c>
      <c r="CA180" t="s">
        <v>4371</v>
      </c>
      <c r="CB180" t="s">
        <v>4371</v>
      </c>
      <c r="CC180" t="s">
        <v>4371</v>
      </c>
      <c r="CD180" t="s">
        <v>4371</v>
      </c>
      <c r="CE180" t="s">
        <v>4371</v>
      </c>
      <c r="CF180" t="s">
        <v>4371</v>
      </c>
      <c r="CG180" t="s">
        <v>4371</v>
      </c>
      <c r="CH180" t="s">
        <v>4371</v>
      </c>
      <c r="CI180" t="s">
        <v>4371</v>
      </c>
      <c r="CJ180" t="s">
        <v>4373</v>
      </c>
      <c r="CK180" t="s">
        <v>4373</v>
      </c>
      <c r="CL180" t="s">
        <v>4373</v>
      </c>
      <c r="CM180" t="s">
        <v>4373</v>
      </c>
      <c r="CN180" t="s">
        <v>4373</v>
      </c>
      <c r="CO180" t="s">
        <v>4373</v>
      </c>
      <c r="CP180" t="s">
        <v>4373</v>
      </c>
      <c r="CQ180" t="s">
        <v>4373</v>
      </c>
      <c r="CR180" t="s">
        <v>4373</v>
      </c>
      <c r="CS180" t="s">
        <v>4373</v>
      </c>
      <c r="CT180" t="s">
        <v>4372</v>
      </c>
      <c r="CU180" t="s">
        <v>4372</v>
      </c>
      <c r="CV180" t="s">
        <v>4372</v>
      </c>
      <c r="CW180" t="s">
        <v>4372</v>
      </c>
      <c r="CX180" t="s">
        <v>4372</v>
      </c>
      <c r="CY180" t="s">
        <v>4372</v>
      </c>
      <c r="CZ180" t="s">
        <v>4372</v>
      </c>
      <c r="DA180" t="s">
        <v>4372</v>
      </c>
      <c r="DB180" t="s">
        <v>4374</v>
      </c>
      <c r="DC180" t="s">
        <v>4365</v>
      </c>
      <c r="DD180" t="s">
        <v>4365</v>
      </c>
      <c r="DE180" t="s">
        <v>4365</v>
      </c>
      <c r="DF180" t="s">
        <v>4365</v>
      </c>
      <c r="DG180" t="s">
        <v>4365</v>
      </c>
      <c r="DH180" t="s">
        <v>4365</v>
      </c>
      <c r="DI180" t="s">
        <v>4365</v>
      </c>
      <c r="DJ180" t="s">
        <v>4365</v>
      </c>
      <c r="DK180" t="s">
        <v>4365</v>
      </c>
      <c r="DL180" t="s">
        <v>4365</v>
      </c>
      <c r="DM180" t="s">
        <v>4365</v>
      </c>
      <c r="DN180" t="s">
        <v>4365</v>
      </c>
      <c r="DO180" t="s">
        <v>4365</v>
      </c>
      <c r="DP180" t="s">
        <v>4365</v>
      </c>
      <c r="DQ180" t="s">
        <v>4365</v>
      </c>
      <c r="DR180" t="s">
        <v>4365</v>
      </c>
      <c r="DS180" t="s">
        <v>4365</v>
      </c>
      <c r="DT180" t="s">
        <v>4365</v>
      </c>
      <c r="DU180" t="s">
        <v>4365</v>
      </c>
      <c r="DV180" t="s">
        <v>4365</v>
      </c>
      <c r="DW180" t="s">
        <v>4365</v>
      </c>
      <c r="DX180" t="s">
        <v>4365</v>
      </c>
      <c r="DY180" t="s">
        <v>4365</v>
      </c>
      <c r="DZ180" t="s">
        <v>4365</v>
      </c>
      <c r="EA180" t="s">
        <v>4365</v>
      </c>
      <c r="EB180" t="s">
        <v>4365</v>
      </c>
      <c r="EC180" t="s">
        <v>4365</v>
      </c>
      <c r="ED180" t="s">
        <v>4365</v>
      </c>
      <c r="EE180" t="s">
        <v>4365</v>
      </c>
      <c r="EF180" t="s">
        <v>4365</v>
      </c>
      <c r="EG180" t="s">
        <v>4365</v>
      </c>
      <c r="EH180" t="s">
        <v>4365</v>
      </c>
      <c r="EI180" t="s">
        <v>4365</v>
      </c>
      <c r="EJ180" t="s">
        <v>4365</v>
      </c>
      <c r="EK180" t="s">
        <v>4365</v>
      </c>
      <c r="EL180" t="s">
        <v>4356</v>
      </c>
      <c r="EM180" t="s">
        <v>4356</v>
      </c>
      <c r="EN180" t="s">
        <v>4356</v>
      </c>
      <c r="EO180" t="s">
        <v>4356</v>
      </c>
      <c r="EP180" t="s">
        <v>4356</v>
      </c>
      <c r="EQ180" t="s">
        <v>4356</v>
      </c>
      <c r="ER180" t="s">
        <v>4356</v>
      </c>
      <c r="ES180" t="s">
        <v>4356</v>
      </c>
      <c r="ET180" t="s">
        <v>4356</v>
      </c>
      <c r="EU180" t="s">
        <v>4356</v>
      </c>
      <c r="EV180" t="s">
        <v>4356</v>
      </c>
      <c r="EW180" t="s">
        <v>4356</v>
      </c>
      <c r="EX180" t="s">
        <v>4356</v>
      </c>
      <c r="EY180" t="s">
        <v>4356</v>
      </c>
      <c r="EZ180" t="s">
        <v>4353</v>
      </c>
      <c r="FA180" t="s">
        <v>4353</v>
      </c>
      <c r="FB180" t="s">
        <v>4353</v>
      </c>
      <c r="FC180" t="s">
        <v>4353</v>
      </c>
      <c r="FD180" t="s">
        <v>4353</v>
      </c>
      <c r="FE180" t="s">
        <v>4353</v>
      </c>
      <c r="FF180" t="s">
        <v>4353</v>
      </c>
      <c r="FG180" t="s">
        <v>4353</v>
      </c>
      <c r="FH180" t="s">
        <v>4353</v>
      </c>
      <c r="FI180" t="s">
        <v>4353</v>
      </c>
      <c r="FJ180" t="s">
        <v>4353</v>
      </c>
      <c r="FK180" t="s">
        <v>4353</v>
      </c>
      <c r="FL180" t="s">
        <v>4353</v>
      </c>
      <c r="FM180" t="s">
        <v>4353</v>
      </c>
      <c r="FN180" t="s">
        <v>4353</v>
      </c>
      <c r="FO180" t="s">
        <v>4353</v>
      </c>
      <c r="FP180" t="s">
        <v>4353</v>
      </c>
      <c r="FQ180" t="s">
        <v>4353</v>
      </c>
      <c r="FR180" t="s">
        <v>4353</v>
      </c>
      <c r="FS180" t="s">
        <v>4353</v>
      </c>
      <c r="FT180" t="s">
        <v>4353</v>
      </c>
      <c r="FU180" t="s">
        <v>4353</v>
      </c>
      <c r="FV180" t="s">
        <v>4353</v>
      </c>
      <c r="FW180" t="s">
        <v>4353</v>
      </c>
      <c r="FX180" t="s">
        <v>4353</v>
      </c>
      <c r="FY180" t="s">
        <v>4353</v>
      </c>
      <c r="FZ180" t="s">
        <v>4353</v>
      </c>
      <c r="GA180" t="s">
        <v>4353</v>
      </c>
      <c r="GB180" t="s">
        <v>4353</v>
      </c>
      <c r="GC180" t="s">
        <v>4353</v>
      </c>
      <c r="GD180" t="s">
        <v>4353</v>
      </c>
      <c r="GE180" t="s">
        <v>4353</v>
      </c>
      <c r="GF180" t="s">
        <v>4353</v>
      </c>
      <c r="GG180" t="s">
        <v>4353</v>
      </c>
      <c r="GH180" t="s">
        <v>4353</v>
      </c>
      <c r="GI180" t="s">
        <v>4353</v>
      </c>
      <c r="GJ180" t="s">
        <v>4353</v>
      </c>
      <c r="GK180" t="s">
        <v>4353</v>
      </c>
      <c r="GL180" t="s">
        <v>4353</v>
      </c>
      <c r="GM180" t="s">
        <v>4353</v>
      </c>
      <c r="GN180" t="s">
        <v>4353</v>
      </c>
      <c r="GO180" t="s">
        <v>4353</v>
      </c>
      <c r="GP180" t="s">
        <v>4353</v>
      </c>
      <c r="GQ180" t="s">
        <v>4353</v>
      </c>
      <c r="GR180" t="s">
        <v>4353</v>
      </c>
      <c r="GS180" t="s">
        <v>4353</v>
      </c>
      <c r="GT180" t="s">
        <v>4353</v>
      </c>
      <c r="GU180" t="s">
        <v>4353</v>
      </c>
      <c r="GV180" t="s">
        <v>4353</v>
      </c>
      <c r="GW180" t="s">
        <v>4353</v>
      </c>
      <c r="GX180" t="s">
        <v>4353</v>
      </c>
      <c r="GY180" t="s">
        <v>4353</v>
      </c>
      <c r="GZ180" t="s">
        <v>4353</v>
      </c>
      <c r="HA180" t="s">
        <v>4353</v>
      </c>
      <c r="HB180" t="s">
        <v>4353</v>
      </c>
      <c r="HC180" t="s">
        <v>4353</v>
      </c>
      <c r="HD180" t="s">
        <v>4353</v>
      </c>
      <c r="HE180" t="s">
        <v>4353</v>
      </c>
      <c r="HF180" t="s">
        <v>4353</v>
      </c>
      <c r="HG180" t="s">
        <v>4353</v>
      </c>
      <c r="HH180" t="s">
        <v>4353</v>
      </c>
      <c r="HI180" t="s">
        <v>4353</v>
      </c>
      <c r="HJ180" t="s">
        <v>4353</v>
      </c>
      <c r="HK180" t="s">
        <v>4353</v>
      </c>
      <c r="HL180" t="s">
        <v>4353</v>
      </c>
      <c r="HM180" t="s">
        <v>4353</v>
      </c>
      <c r="HN180" t="s">
        <v>4353</v>
      </c>
      <c r="HO180" t="s">
        <v>4353</v>
      </c>
      <c r="HP180" t="s">
        <v>4353</v>
      </c>
      <c r="HQ180" t="s">
        <v>4353</v>
      </c>
      <c r="HR180" t="s">
        <v>4353</v>
      </c>
      <c r="HS180" t="s">
        <v>4353</v>
      </c>
      <c r="HT180" t="s">
        <v>4353</v>
      </c>
      <c r="HU180" t="s">
        <v>4353</v>
      </c>
      <c r="HV180" t="s">
        <v>4353</v>
      </c>
      <c r="HW180" t="s">
        <v>4353</v>
      </c>
      <c r="HX180" t="s">
        <v>4353</v>
      </c>
      <c r="HY180" t="s">
        <v>4353</v>
      </c>
      <c r="HZ180" t="s">
        <v>4353</v>
      </c>
      <c r="IA180" t="s">
        <v>4353</v>
      </c>
      <c r="IB180" t="s">
        <v>4353</v>
      </c>
      <c r="IC180" t="s">
        <v>4331</v>
      </c>
      <c r="ID180" t="s">
        <v>4358</v>
      </c>
      <c r="IE180" t="s">
        <v>4358</v>
      </c>
      <c r="IF180" t="s">
        <v>4358</v>
      </c>
      <c r="IG180" t="s">
        <v>4358</v>
      </c>
      <c r="IH180" t="s">
        <v>4358</v>
      </c>
      <c r="II180" t="s">
        <v>4358</v>
      </c>
      <c r="IJ180" t="s">
        <v>4358</v>
      </c>
      <c r="IK180" t="s">
        <v>4358</v>
      </c>
      <c r="IL180" t="s">
        <v>4358</v>
      </c>
      <c r="IM180" t="s">
        <v>4358</v>
      </c>
      <c r="IN180" t="s">
        <v>4358</v>
      </c>
      <c r="IO180" t="s">
        <v>4358</v>
      </c>
      <c r="IP180" t="s">
        <v>4358</v>
      </c>
      <c r="IQ180" t="s">
        <v>4358</v>
      </c>
      <c r="IR180" t="s">
        <v>4358</v>
      </c>
      <c r="IS180" t="s">
        <v>4358</v>
      </c>
      <c r="IT180" t="s">
        <v>4358</v>
      </c>
      <c r="IU180" t="s">
        <v>4358</v>
      </c>
      <c r="IV180" t="s">
        <v>4358</v>
      </c>
      <c r="IW180" t="s">
        <v>4358</v>
      </c>
      <c r="IX180" t="s">
        <v>4358</v>
      </c>
      <c r="IY180" t="s">
        <v>4358</v>
      </c>
      <c r="IZ180" t="s">
        <v>4358</v>
      </c>
      <c r="JA180" t="s">
        <v>4358</v>
      </c>
      <c r="JB180" t="s">
        <v>4358</v>
      </c>
      <c r="JC180" t="s">
        <v>4358</v>
      </c>
      <c r="JD180" t="s">
        <v>4358</v>
      </c>
      <c r="JE180" t="s">
        <v>4358</v>
      </c>
      <c r="JF180" t="s">
        <v>4358</v>
      </c>
      <c r="JG180" t="s">
        <v>4358</v>
      </c>
      <c r="JH180" t="s">
        <v>4358</v>
      </c>
      <c r="JI180" t="s">
        <v>4358</v>
      </c>
      <c r="JJ180" t="s">
        <v>4358</v>
      </c>
      <c r="JK180" t="s">
        <v>4358</v>
      </c>
      <c r="JL180" t="s">
        <v>4358</v>
      </c>
      <c r="JM180" t="s">
        <v>4358</v>
      </c>
      <c r="JN180" t="s">
        <v>4358</v>
      </c>
      <c r="JO180" t="s">
        <v>4358</v>
      </c>
      <c r="JP180" t="s">
        <v>4358</v>
      </c>
      <c r="JQ180" t="s">
        <v>4358</v>
      </c>
      <c r="JR180" t="s">
        <v>4358</v>
      </c>
      <c r="JS180" t="s">
        <v>4358</v>
      </c>
      <c r="JT180" t="s">
        <v>4358</v>
      </c>
      <c r="JU180" t="s">
        <v>4356</v>
      </c>
    </row>
    <row r="181" spans="43:281" x14ac:dyDescent="0.3">
      <c r="BJ181" t="s">
        <v>4357</v>
      </c>
      <c r="BK181" t="s">
        <v>4357</v>
      </c>
      <c r="BL181" t="s">
        <v>4357</v>
      </c>
      <c r="BM181" t="s">
        <v>4357</v>
      </c>
      <c r="BN181" t="s">
        <v>4357</v>
      </c>
      <c r="BO181" t="s">
        <v>4357</v>
      </c>
      <c r="BP181" t="s">
        <v>4357</v>
      </c>
      <c r="BQ181" t="s">
        <v>4357</v>
      </c>
      <c r="BR181" t="s">
        <v>4357</v>
      </c>
      <c r="BS181" t="s">
        <v>4357</v>
      </c>
      <c r="BT181" t="s">
        <v>4357</v>
      </c>
      <c r="BU181" t="s">
        <v>1236</v>
      </c>
      <c r="BV181" t="s">
        <v>4371</v>
      </c>
      <c r="BW181" t="s">
        <v>4371</v>
      </c>
      <c r="BX181" t="s">
        <v>4371</v>
      </c>
      <c r="BY181" t="s">
        <v>4371</v>
      </c>
      <c r="BZ181" t="s">
        <v>4371</v>
      </c>
      <c r="CA181" t="s">
        <v>4371</v>
      </c>
      <c r="CB181" t="s">
        <v>4371</v>
      </c>
      <c r="CC181" t="s">
        <v>4371</v>
      </c>
      <c r="CD181" t="s">
        <v>4371</v>
      </c>
      <c r="CE181" t="s">
        <v>4371</v>
      </c>
      <c r="CF181" t="s">
        <v>4371</v>
      </c>
      <c r="CG181" t="s">
        <v>4371</v>
      </c>
      <c r="CH181" t="s">
        <v>4371</v>
      </c>
      <c r="CI181" t="s">
        <v>4373</v>
      </c>
      <c r="CJ181" t="s">
        <v>4373</v>
      </c>
      <c r="CK181" t="s">
        <v>4373</v>
      </c>
      <c r="CL181" t="s">
        <v>4373</v>
      </c>
      <c r="CM181" t="s">
        <v>4373</v>
      </c>
      <c r="CN181" t="s">
        <v>4373</v>
      </c>
      <c r="CO181" t="s">
        <v>4373</v>
      </c>
      <c r="CP181" t="s">
        <v>4373</v>
      </c>
      <c r="CQ181" t="s">
        <v>4373</v>
      </c>
      <c r="CR181" t="s">
        <v>4373</v>
      </c>
      <c r="CS181" t="s">
        <v>4373</v>
      </c>
      <c r="CT181" t="s">
        <v>4373</v>
      </c>
      <c r="CU181" t="s">
        <v>4374</v>
      </c>
      <c r="CV181" t="s">
        <v>4374</v>
      </c>
      <c r="CW181" t="s">
        <v>4374</v>
      </c>
      <c r="CX181" t="s">
        <v>4374</v>
      </c>
      <c r="CY181" t="s">
        <v>4374</v>
      </c>
      <c r="CZ181" t="s">
        <v>4374</v>
      </c>
      <c r="DA181" t="s">
        <v>4374</v>
      </c>
      <c r="DB181" t="s">
        <v>4374</v>
      </c>
      <c r="DC181" t="s">
        <v>4374</v>
      </c>
      <c r="DD181" t="s">
        <v>4365</v>
      </c>
      <c r="DE181" t="s">
        <v>4365</v>
      </c>
      <c r="DF181" t="s">
        <v>4365</v>
      </c>
      <c r="DG181" t="s">
        <v>4365</v>
      </c>
      <c r="DH181" t="s">
        <v>4365</v>
      </c>
      <c r="DI181" t="s">
        <v>4365</v>
      </c>
      <c r="DJ181" t="s">
        <v>4365</v>
      </c>
      <c r="DK181" t="s">
        <v>4365</v>
      </c>
      <c r="DL181" t="s">
        <v>4365</v>
      </c>
      <c r="DM181" t="s">
        <v>4365</v>
      </c>
      <c r="DN181" t="s">
        <v>4365</v>
      </c>
      <c r="DO181" t="s">
        <v>4365</v>
      </c>
      <c r="DP181" t="s">
        <v>4365</v>
      </c>
      <c r="DQ181" t="s">
        <v>4365</v>
      </c>
      <c r="DR181" t="s">
        <v>4365</v>
      </c>
      <c r="DS181" t="s">
        <v>4365</v>
      </c>
      <c r="DT181" t="s">
        <v>4365</v>
      </c>
      <c r="DU181" t="s">
        <v>4365</v>
      </c>
      <c r="DV181" t="s">
        <v>4365</v>
      </c>
      <c r="DW181" t="s">
        <v>4365</v>
      </c>
      <c r="DX181" t="s">
        <v>4365</v>
      </c>
      <c r="DY181" t="s">
        <v>4365</v>
      </c>
      <c r="DZ181" t="s">
        <v>4365</v>
      </c>
      <c r="EA181" t="s">
        <v>4365</v>
      </c>
      <c r="EB181" t="s">
        <v>4365</v>
      </c>
      <c r="EC181" t="s">
        <v>4365</v>
      </c>
      <c r="ED181" t="s">
        <v>4365</v>
      </c>
      <c r="EE181" t="s">
        <v>4365</v>
      </c>
      <c r="EF181" t="s">
        <v>4365</v>
      </c>
      <c r="EG181" t="s">
        <v>4365</v>
      </c>
      <c r="EH181" t="s">
        <v>4365</v>
      </c>
      <c r="EI181" t="s">
        <v>4365</v>
      </c>
      <c r="EJ181" t="s">
        <v>4365</v>
      </c>
      <c r="EK181" t="s">
        <v>4356</v>
      </c>
      <c r="EL181" t="s">
        <v>4356</v>
      </c>
      <c r="EM181" t="s">
        <v>4356</v>
      </c>
      <c r="EN181" t="s">
        <v>4356</v>
      </c>
      <c r="EO181" t="s">
        <v>4356</v>
      </c>
      <c r="EP181" t="s">
        <v>4356</v>
      </c>
      <c r="EQ181" t="s">
        <v>4356</v>
      </c>
      <c r="ER181" t="s">
        <v>4356</v>
      </c>
      <c r="ES181" t="s">
        <v>4356</v>
      </c>
      <c r="ET181" t="s">
        <v>4356</v>
      </c>
      <c r="EU181" t="s">
        <v>4356</v>
      </c>
      <c r="EV181" t="s">
        <v>4356</v>
      </c>
      <c r="EW181" t="s">
        <v>4356</v>
      </c>
      <c r="EX181" t="s">
        <v>4356</v>
      </c>
      <c r="EY181" t="s">
        <v>4356</v>
      </c>
      <c r="EZ181" t="s">
        <v>4353</v>
      </c>
      <c r="FA181" t="s">
        <v>4353</v>
      </c>
      <c r="FB181" t="s">
        <v>4353</v>
      </c>
      <c r="FC181" t="s">
        <v>4353</v>
      </c>
      <c r="FD181" t="s">
        <v>4353</v>
      </c>
      <c r="FE181" t="s">
        <v>4353</v>
      </c>
      <c r="FF181" t="s">
        <v>4353</v>
      </c>
      <c r="FG181" t="s">
        <v>4353</v>
      </c>
      <c r="FH181" t="s">
        <v>4353</v>
      </c>
      <c r="FI181" t="s">
        <v>4353</v>
      </c>
      <c r="FJ181" t="s">
        <v>4353</v>
      </c>
      <c r="FK181" t="s">
        <v>4353</v>
      </c>
      <c r="FL181" t="s">
        <v>4353</v>
      </c>
      <c r="FM181" t="s">
        <v>4353</v>
      </c>
      <c r="FN181" t="s">
        <v>4353</v>
      </c>
      <c r="FO181" t="s">
        <v>4353</v>
      </c>
      <c r="FP181" t="s">
        <v>4353</v>
      </c>
      <c r="FQ181" t="s">
        <v>4353</v>
      </c>
      <c r="FR181" t="s">
        <v>4353</v>
      </c>
      <c r="FS181" t="s">
        <v>4353</v>
      </c>
      <c r="FT181" t="s">
        <v>4353</v>
      </c>
      <c r="FU181" t="s">
        <v>4353</v>
      </c>
      <c r="FV181" t="s">
        <v>4353</v>
      </c>
      <c r="FW181" t="s">
        <v>4353</v>
      </c>
      <c r="FX181" t="s">
        <v>4353</v>
      </c>
      <c r="FY181" t="s">
        <v>4353</v>
      </c>
      <c r="FZ181" t="s">
        <v>4353</v>
      </c>
      <c r="GA181" t="s">
        <v>4353</v>
      </c>
      <c r="GB181" t="s">
        <v>4353</v>
      </c>
      <c r="GC181" t="s">
        <v>4353</v>
      </c>
      <c r="GD181" t="s">
        <v>4353</v>
      </c>
      <c r="GE181" t="s">
        <v>4353</v>
      </c>
      <c r="GF181" t="s">
        <v>4353</v>
      </c>
      <c r="GG181" t="s">
        <v>4353</v>
      </c>
      <c r="GH181" t="s">
        <v>4353</v>
      </c>
      <c r="GI181" t="s">
        <v>4353</v>
      </c>
      <c r="GJ181" t="s">
        <v>4353</v>
      </c>
      <c r="GK181" t="s">
        <v>4353</v>
      </c>
      <c r="GL181" t="s">
        <v>4353</v>
      </c>
      <c r="GM181" t="s">
        <v>4353</v>
      </c>
      <c r="GN181" t="s">
        <v>4353</v>
      </c>
      <c r="GO181" t="s">
        <v>4353</v>
      </c>
      <c r="GP181" t="s">
        <v>4353</v>
      </c>
      <c r="GQ181" t="s">
        <v>4353</v>
      </c>
      <c r="GR181" t="s">
        <v>4353</v>
      </c>
      <c r="GS181" t="s">
        <v>4353</v>
      </c>
      <c r="GT181" t="s">
        <v>4353</v>
      </c>
      <c r="GU181" t="s">
        <v>4353</v>
      </c>
      <c r="GV181" t="s">
        <v>4353</v>
      </c>
      <c r="GW181" t="s">
        <v>4353</v>
      </c>
      <c r="GX181" t="s">
        <v>4353</v>
      </c>
      <c r="GY181" t="s">
        <v>4353</v>
      </c>
      <c r="GZ181" t="s">
        <v>4353</v>
      </c>
      <c r="HA181" t="s">
        <v>4353</v>
      </c>
      <c r="HB181" t="s">
        <v>4353</v>
      </c>
      <c r="HC181" t="s">
        <v>4353</v>
      </c>
      <c r="HD181" t="s">
        <v>4353</v>
      </c>
      <c r="HE181" t="s">
        <v>4353</v>
      </c>
      <c r="HF181" t="s">
        <v>4353</v>
      </c>
      <c r="HG181" t="s">
        <v>4353</v>
      </c>
      <c r="HH181" t="s">
        <v>4353</v>
      </c>
      <c r="HI181" t="s">
        <v>4353</v>
      </c>
      <c r="HJ181" t="s">
        <v>4353</v>
      </c>
      <c r="HK181" t="s">
        <v>4353</v>
      </c>
      <c r="HL181" t="s">
        <v>4353</v>
      </c>
      <c r="HM181" t="s">
        <v>4353</v>
      </c>
      <c r="HN181" t="s">
        <v>4353</v>
      </c>
      <c r="HO181" t="s">
        <v>4353</v>
      </c>
      <c r="HP181" t="s">
        <v>4353</v>
      </c>
      <c r="HQ181" t="s">
        <v>4353</v>
      </c>
      <c r="HR181" t="s">
        <v>4353</v>
      </c>
      <c r="HS181" t="s">
        <v>4353</v>
      </c>
      <c r="HT181" t="s">
        <v>4353</v>
      </c>
      <c r="HU181" t="s">
        <v>4353</v>
      </c>
      <c r="HV181" t="s">
        <v>4353</v>
      </c>
      <c r="HW181" t="s">
        <v>4353</v>
      </c>
      <c r="HX181" t="s">
        <v>4353</v>
      </c>
      <c r="HY181" t="s">
        <v>4356</v>
      </c>
      <c r="HZ181" t="s">
        <v>4353</v>
      </c>
      <c r="IA181" t="s">
        <v>4353</v>
      </c>
      <c r="IB181" t="s">
        <v>4356</v>
      </c>
      <c r="IC181" t="s">
        <v>4356</v>
      </c>
      <c r="ID181" t="s">
        <v>4356</v>
      </c>
      <c r="IE181" t="s">
        <v>4356</v>
      </c>
      <c r="IF181" t="s">
        <v>4356</v>
      </c>
      <c r="IG181" t="s">
        <v>4358</v>
      </c>
      <c r="IH181" t="s">
        <v>4358</v>
      </c>
      <c r="II181" t="s">
        <v>4358</v>
      </c>
      <c r="IJ181" t="s">
        <v>4358</v>
      </c>
      <c r="IK181" t="s">
        <v>4358</v>
      </c>
      <c r="IL181" t="s">
        <v>4358</v>
      </c>
      <c r="IM181" t="s">
        <v>4358</v>
      </c>
      <c r="IN181" t="s">
        <v>4358</v>
      </c>
      <c r="IO181" t="s">
        <v>4358</v>
      </c>
      <c r="IP181" t="s">
        <v>4358</v>
      </c>
      <c r="IQ181" t="s">
        <v>4358</v>
      </c>
      <c r="IR181" t="s">
        <v>4358</v>
      </c>
      <c r="IS181" t="s">
        <v>4358</v>
      </c>
      <c r="IT181" t="s">
        <v>4358</v>
      </c>
      <c r="IU181" t="s">
        <v>4358</v>
      </c>
      <c r="IV181" t="s">
        <v>4356</v>
      </c>
      <c r="IW181" t="s">
        <v>4358</v>
      </c>
      <c r="IX181" t="s">
        <v>4358</v>
      </c>
      <c r="IY181" t="s">
        <v>4358</v>
      </c>
      <c r="IZ181" t="s">
        <v>4358</v>
      </c>
      <c r="JA181" t="s">
        <v>4358</v>
      </c>
      <c r="JB181" t="s">
        <v>4358</v>
      </c>
      <c r="JC181" t="s">
        <v>4358</v>
      </c>
      <c r="JD181" t="s">
        <v>4358</v>
      </c>
      <c r="JE181" t="s">
        <v>4358</v>
      </c>
      <c r="JF181" t="s">
        <v>4358</v>
      </c>
      <c r="JG181" t="s">
        <v>4358</v>
      </c>
      <c r="JH181" t="s">
        <v>4358</v>
      </c>
      <c r="JI181" t="s">
        <v>4358</v>
      </c>
      <c r="JJ181" t="s">
        <v>4358</v>
      </c>
      <c r="JK181" t="s">
        <v>4358</v>
      </c>
      <c r="JL181" t="s">
        <v>4358</v>
      </c>
      <c r="JM181" t="s">
        <v>4358</v>
      </c>
      <c r="JN181" t="s">
        <v>4358</v>
      </c>
      <c r="JO181" t="s">
        <v>4358</v>
      </c>
      <c r="JP181" t="s">
        <v>4358</v>
      </c>
      <c r="JQ181" t="s">
        <v>4358</v>
      </c>
      <c r="JR181" t="s">
        <v>4356</v>
      </c>
      <c r="JS181" t="s">
        <v>4356</v>
      </c>
      <c r="JT181" t="s">
        <v>4356</v>
      </c>
      <c r="JU181" t="s">
        <v>4356</v>
      </c>
    </row>
    <row r="182" spans="43:281" x14ac:dyDescent="0.3">
      <c r="AY182" t="s">
        <v>4375</v>
      </c>
      <c r="AZ182" t="s">
        <v>4375</v>
      </c>
      <c r="BB182" t="s">
        <v>4375</v>
      </c>
      <c r="BM182" t="s">
        <v>4357</v>
      </c>
      <c r="BN182" t="s">
        <v>4357</v>
      </c>
      <c r="BO182" t="s">
        <v>4357</v>
      </c>
      <c r="BP182" t="s">
        <v>4357</v>
      </c>
      <c r="BQ182" t="s">
        <v>4357</v>
      </c>
      <c r="BR182" t="s">
        <v>208</v>
      </c>
      <c r="BS182" t="s">
        <v>208</v>
      </c>
      <c r="BT182" t="s">
        <v>208</v>
      </c>
      <c r="BU182" t="s">
        <v>208</v>
      </c>
      <c r="BV182" t="s">
        <v>4371</v>
      </c>
      <c r="BW182" t="s">
        <v>4371</v>
      </c>
      <c r="BX182" t="s">
        <v>4371</v>
      </c>
      <c r="BY182" t="s">
        <v>4371</v>
      </c>
      <c r="BZ182" t="s">
        <v>4371</v>
      </c>
      <c r="CA182" t="s">
        <v>4371</v>
      </c>
      <c r="CB182" t="s">
        <v>4371</v>
      </c>
      <c r="CC182" t="s">
        <v>4371</v>
      </c>
      <c r="CD182" t="s">
        <v>4371</v>
      </c>
      <c r="CE182" t="s">
        <v>4371</v>
      </c>
      <c r="CF182" t="s">
        <v>4371</v>
      </c>
      <c r="CG182" t="s">
        <v>4371</v>
      </c>
      <c r="CH182" t="s">
        <v>4373</v>
      </c>
      <c r="CI182" t="s">
        <v>4373</v>
      </c>
      <c r="CJ182" t="s">
        <v>4373</v>
      </c>
      <c r="CK182" t="s">
        <v>4373</v>
      </c>
      <c r="CL182" t="s">
        <v>4373</v>
      </c>
      <c r="CM182" t="s">
        <v>4373</v>
      </c>
      <c r="CN182" t="s">
        <v>4373</v>
      </c>
      <c r="CO182" t="s">
        <v>4373</v>
      </c>
      <c r="CP182" t="s">
        <v>4373</v>
      </c>
      <c r="CQ182" t="s">
        <v>4373</v>
      </c>
      <c r="CR182" t="s">
        <v>4373</v>
      </c>
      <c r="CS182" t="s">
        <v>4374</v>
      </c>
      <c r="CT182" t="s">
        <v>4374</v>
      </c>
      <c r="CU182" t="s">
        <v>4374</v>
      </c>
      <c r="CV182" t="s">
        <v>4374</v>
      </c>
      <c r="CW182" t="s">
        <v>4374</v>
      </c>
      <c r="CX182" t="s">
        <v>4374</v>
      </c>
      <c r="CY182" t="s">
        <v>4374</v>
      </c>
      <c r="CZ182" t="s">
        <v>4374</v>
      </c>
      <c r="DA182" t="s">
        <v>4374</v>
      </c>
      <c r="DB182" t="s">
        <v>4374</v>
      </c>
      <c r="DC182" t="s">
        <v>4374</v>
      </c>
      <c r="DD182" t="s">
        <v>4374</v>
      </c>
      <c r="DE182" t="s">
        <v>4365</v>
      </c>
      <c r="DF182" t="s">
        <v>4365</v>
      </c>
      <c r="DG182" t="s">
        <v>4365</v>
      </c>
      <c r="DH182" t="s">
        <v>4365</v>
      </c>
      <c r="DI182" t="s">
        <v>4365</v>
      </c>
      <c r="DJ182" t="s">
        <v>4365</v>
      </c>
      <c r="DK182" t="s">
        <v>4365</v>
      </c>
      <c r="DL182" t="s">
        <v>4365</v>
      </c>
      <c r="DM182" t="s">
        <v>4365</v>
      </c>
      <c r="DN182" t="s">
        <v>4365</v>
      </c>
      <c r="DO182" t="s">
        <v>4365</v>
      </c>
      <c r="DP182" t="s">
        <v>4365</v>
      </c>
      <c r="DQ182" t="s">
        <v>4365</v>
      </c>
      <c r="DR182" t="s">
        <v>4365</v>
      </c>
      <c r="DS182" t="s">
        <v>4365</v>
      </c>
      <c r="DT182" t="s">
        <v>4365</v>
      </c>
      <c r="DU182" t="s">
        <v>4365</v>
      </c>
      <c r="DV182" t="s">
        <v>4365</v>
      </c>
      <c r="DW182" t="s">
        <v>4365</v>
      </c>
      <c r="DX182" t="s">
        <v>4365</v>
      </c>
      <c r="DY182" t="s">
        <v>4365</v>
      </c>
      <c r="DZ182" t="s">
        <v>4365</v>
      </c>
      <c r="EA182" t="s">
        <v>4365</v>
      </c>
      <c r="EB182" t="s">
        <v>4365</v>
      </c>
      <c r="EC182" t="s">
        <v>4365</v>
      </c>
      <c r="ED182" t="s">
        <v>4365</v>
      </c>
      <c r="EE182" t="s">
        <v>4365</v>
      </c>
      <c r="EF182" t="s">
        <v>4365</v>
      </c>
      <c r="EG182" t="s">
        <v>4356</v>
      </c>
      <c r="EH182" t="s">
        <v>4356</v>
      </c>
      <c r="EI182" t="s">
        <v>4356</v>
      </c>
      <c r="EJ182" t="s">
        <v>4356</v>
      </c>
      <c r="EK182" t="s">
        <v>4356</v>
      </c>
      <c r="EL182" t="s">
        <v>4356</v>
      </c>
      <c r="EM182" t="s">
        <v>4356</v>
      </c>
      <c r="EN182" t="s">
        <v>4356</v>
      </c>
      <c r="EO182" t="s">
        <v>4356</v>
      </c>
      <c r="EP182" t="s">
        <v>4356</v>
      </c>
      <c r="EQ182" t="s">
        <v>4356</v>
      </c>
      <c r="ER182" t="s">
        <v>4356</v>
      </c>
      <c r="ES182" t="s">
        <v>4356</v>
      </c>
      <c r="ET182" t="s">
        <v>4356</v>
      </c>
      <c r="EU182" t="s">
        <v>4356</v>
      </c>
      <c r="EV182" t="s">
        <v>4356</v>
      </c>
      <c r="EW182" t="s">
        <v>4356</v>
      </c>
      <c r="EX182" t="s">
        <v>4356</v>
      </c>
      <c r="EY182" t="s">
        <v>4356</v>
      </c>
      <c r="EZ182" t="s">
        <v>4356</v>
      </c>
      <c r="FA182" t="s">
        <v>4353</v>
      </c>
      <c r="FB182" t="s">
        <v>4356</v>
      </c>
      <c r="FC182" t="s">
        <v>4353</v>
      </c>
      <c r="FD182" t="s">
        <v>4353</v>
      </c>
      <c r="FE182" t="s">
        <v>4353</v>
      </c>
      <c r="FF182" t="s">
        <v>4353</v>
      </c>
      <c r="FG182" t="s">
        <v>4353</v>
      </c>
      <c r="FH182" t="s">
        <v>4353</v>
      </c>
      <c r="FI182" t="s">
        <v>4353</v>
      </c>
      <c r="FJ182" t="s">
        <v>4353</v>
      </c>
      <c r="FK182" t="s">
        <v>4353</v>
      </c>
      <c r="FL182" t="s">
        <v>4353</v>
      </c>
      <c r="FM182" t="s">
        <v>4353</v>
      </c>
      <c r="FN182" t="s">
        <v>4353</v>
      </c>
      <c r="FO182" t="s">
        <v>4353</v>
      </c>
      <c r="FP182" t="s">
        <v>4353</v>
      </c>
      <c r="FQ182" t="s">
        <v>4353</v>
      </c>
      <c r="FR182" t="s">
        <v>4353</v>
      </c>
      <c r="FS182" t="s">
        <v>4353</v>
      </c>
      <c r="FT182" t="s">
        <v>4353</v>
      </c>
      <c r="FU182" t="s">
        <v>4353</v>
      </c>
      <c r="FV182" t="s">
        <v>4353</v>
      </c>
      <c r="FW182" t="s">
        <v>4353</v>
      </c>
      <c r="FX182" t="s">
        <v>4353</v>
      </c>
      <c r="FY182" t="s">
        <v>4353</v>
      </c>
      <c r="FZ182" t="s">
        <v>4353</v>
      </c>
      <c r="GA182" t="s">
        <v>4353</v>
      </c>
      <c r="GB182" t="s">
        <v>4353</v>
      </c>
      <c r="GC182" t="s">
        <v>4353</v>
      </c>
      <c r="GD182" t="s">
        <v>4353</v>
      </c>
      <c r="GE182" t="s">
        <v>4353</v>
      </c>
      <c r="GF182" t="s">
        <v>4353</v>
      </c>
      <c r="GG182" t="s">
        <v>4353</v>
      </c>
      <c r="GH182" t="s">
        <v>4353</v>
      </c>
      <c r="GI182" t="s">
        <v>4353</v>
      </c>
      <c r="GJ182" t="s">
        <v>4353</v>
      </c>
      <c r="GK182" t="s">
        <v>4353</v>
      </c>
      <c r="GL182" t="s">
        <v>4353</v>
      </c>
      <c r="GM182" t="s">
        <v>4353</v>
      </c>
      <c r="GN182" t="s">
        <v>4353</v>
      </c>
      <c r="GO182" t="s">
        <v>4353</v>
      </c>
      <c r="GP182" t="s">
        <v>4353</v>
      </c>
      <c r="GQ182" t="s">
        <v>4353</v>
      </c>
      <c r="GR182" t="s">
        <v>4353</v>
      </c>
      <c r="GS182" t="s">
        <v>4353</v>
      </c>
      <c r="GT182" t="s">
        <v>4353</v>
      </c>
      <c r="GU182" t="s">
        <v>4353</v>
      </c>
      <c r="GV182" t="s">
        <v>4353</v>
      </c>
      <c r="GW182" t="s">
        <v>4353</v>
      </c>
      <c r="GX182" t="s">
        <v>4353</v>
      </c>
      <c r="GY182" t="s">
        <v>4353</v>
      </c>
      <c r="GZ182" t="s">
        <v>4353</v>
      </c>
      <c r="HA182" t="s">
        <v>4353</v>
      </c>
      <c r="HB182" t="s">
        <v>4353</v>
      </c>
      <c r="HC182" t="s">
        <v>4353</v>
      </c>
      <c r="HD182" t="s">
        <v>4353</v>
      </c>
      <c r="HE182" t="s">
        <v>4353</v>
      </c>
      <c r="HF182" t="s">
        <v>4353</v>
      </c>
      <c r="HG182" t="s">
        <v>4353</v>
      </c>
      <c r="HH182" t="s">
        <v>4353</v>
      </c>
      <c r="HI182" t="s">
        <v>4353</v>
      </c>
      <c r="HJ182" t="s">
        <v>4353</v>
      </c>
      <c r="HK182" t="s">
        <v>4353</v>
      </c>
      <c r="HL182" t="s">
        <v>4353</v>
      </c>
      <c r="HM182" t="s">
        <v>4353</v>
      </c>
      <c r="HN182" t="s">
        <v>4353</v>
      </c>
      <c r="HO182" t="s">
        <v>4353</v>
      </c>
      <c r="HP182" t="s">
        <v>4353</v>
      </c>
      <c r="HQ182" t="s">
        <v>4353</v>
      </c>
      <c r="HR182" t="s">
        <v>4353</v>
      </c>
      <c r="HS182" t="s">
        <v>4353</v>
      </c>
      <c r="HT182" t="s">
        <v>4353</v>
      </c>
      <c r="HU182" t="s">
        <v>4353</v>
      </c>
      <c r="HV182" t="s">
        <v>4353</v>
      </c>
      <c r="HW182" t="s">
        <v>4356</v>
      </c>
      <c r="HX182" t="s">
        <v>4356</v>
      </c>
      <c r="HY182" t="s">
        <v>4356</v>
      </c>
      <c r="HZ182" t="s">
        <v>4356</v>
      </c>
      <c r="IA182" t="s">
        <v>4356</v>
      </c>
      <c r="IB182" t="s">
        <v>4356</v>
      </c>
      <c r="IC182" t="s">
        <v>4356</v>
      </c>
      <c r="ID182" t="s">
        <v>4356</v>
      </c>
      <c r="IE182" t="s">
        <v>4356</v>
      </c>
      <c r="IF182" t="s">
        <v>4356</v>
      </c>
      <c r="IG182" t="s">
        <v>4356</v>
      </c>
      <c r="IH182" t="s">
        <v>4356</v>
      </c>
      <c r="II182" t="s">
        <v>4358</v>
      </c>
      <c r="IJ182" t="s">
        <v>4358</v>
      </c>
      <c r="IK182" t="s">
        <v>4358</v>
      </c>
      <c r="IL182" t="s">
        <v>4358</v>
      </c>
      <c r="IM182" t="s">
        <v>4358</v>
      </c>
      <c r="IN182" t="s">
        <v>4358</v>
      </c>
      <c r="IO182" t="s">
        <v>4358</v>
      </c>
      <c r="IP182" t="s">
        <v>4358</v>
      </c>
      <c r="IQ182" t="s">
        <v>4356</v>
      </c>
      <c r="IR182" t="s">
        <v>4356</v>
      </c>
      <c r="IS182" t="s">
        <v>4356</v>
      </c>
      <c r="IT182" t="s">
        <v>4356</v>
      </c>
      <c r="IU182" t="s">
        <v>4356</v>
      </c>
      <c r="IV182" t="s">
        <v>4356</v>
      </c>
      <c r="IW182" t="s">
        <v>4356</v>
      </c>
      <c r="IX182" t="s">
        <v>4358</v>
      </c>
      <c r="IY182" t="s">
        <v>4358</v>
      </c>
      <c r="IZ182" t="s">
        <v>4358</v>
      </c>
      <c r="JA182" t="s">
        <v>4358</v>
      </c>
      <c r="JB182" t="s">
        <v>4358</v>
      </c>
      <c r="JC182" t="s">
        <v>4358</v>
      </c>
      <c r="JD182" t="s">
        <v>4358</v>
      </c>
      <c r="JE182" t="s">
        <v>4358</v>
      </c>
      <c r="JF182" t="s">
        <v>4358</v>
      </c>
      <c r="JG182" t="s">
        <v>4358</v>
      </c>
      <c r="JH182" t="s">
        <v>4356</v>
      </c>
      <c r="JI182" t="s">
        <v>4356</v>
      </c>
      <c r="JJ182" t="s">
        <v>4356</v>
      </c>
      <c r="JK182" t="s">
        <v>4358</v>
      </c>
      <c r="JL182" t="s">
        <v>4358</v>
      </c>
      <c r="JM182" t="s">
        <v>4358</v>
      </c>
      <c r="JN182" t="s">
        <v>4358</v>
      </c>
      <c r="JO182" t="s">
        <v>4358</v>
      </c>
      <c r="JP182" t="s">
        <v>4356</v>
      </c>
      <c r="JQ182" t="s">
        <v>4356</v>
      </c>
      <c r="JR182" t="s">
        <v>4356</v>
      </c>
      <c r="JS182" t="s">
        <v>4356</v>
      </c>
      <c r="JT182" t="s">
        <v>4356</v>
      </c>
      <c r="JU182" t="s">
        <v>4356</v>
      </c>
    </row>
    <row r="183" spans="43:281" x14ac:dyDescent="0.3">
      <c r="AZ183" t="s">
        <v>4375</v>
      </c>
      <c r="BA183" t="s">
        <v>4375</v>
      </c>
      <c r="BB183" t="s">
        <v>4375</v>
      </c>
      <c r="BC183" t="s">
        <v>4375</v>
      </c>
      <c r="BD183" t="s">
        <v>4375</v>
      </c>
      <c r="BE183" t="s">
        <v>4375</v>
      </c>
      <c r="BF183" t="s">
        <v>4375</v>
      </c>
      <c r="BG183" t="s">
        <v>4375</v>
      </c>
      <c r="BM183" t="s">
        <v>4357</v>
      </c>
      <c r="BN183" t="s">
        <v>4357</v>
      </c>
      <c r="BO183" t="s">
        <v>4357</v>
      </c>
      <c r="BP183" t="s">
        <v>208</v>
      </c>
      <c r="BQ183" t="s">
        <v>208</v>
      </c>
      <c r="BR183" t="s">
        <v>208</v>
      </c>
      <c r="BS183" t="s">
        <v>208</v>
      </c>
      <c r="BT183" t="s">
        <v>208</v>
      </c>
      <c r="BU183" t="s">
        <v>208</v>
      </c>
      <c r="BV183" t="s">
        <v>4371</v>
      </c>
      <c r="BW183" t="s">
        <v>4371</v>
      </c>
      <c r="BX183" t="s">
        <v>4371</v>
      </c>
      <c r="BY183" t="s">
        <v>4371</v>
      </c>
      <c r="BZ183" t="s">
        <v>4371</v>
      </c>
      <c r="CA183" t="s">
        <v>4371</v>
      </c>
      <c r="CB183" t="s">
        <v>4371</v>
      </c>
      <c r="CC183" t="s">
        <v>4371</v>
      </c>
      <c r="CD183" t="s">
        <v>4371</v>
      </c>
      <c r="CE183" t="s">
        <v>4371</v>
      </c>
      <c r="CF183" t="s">
        <v>4371</v>
      </c>
      <c r="CG183" t="s">
        <v>4371</v>
      </c>
      <c r="CH183" t="s">
        <v>4371</v>
      </c>
      <c r="CI183" t="s">
        <v>4371</v>
      </c>
      <c r="CJ183" t="s">
        <v>4371</v>
      </c>
      <c r="CK183" t="s">
        <v>4373</v>
      </c>
      <c r="CL183" t="s">
        <v>4373</v>
      </c>
      <c r="CM183" t="s">
        <v>4373</v>
      </c>
      <c r="CN183" t="s">
        <v>4373</v>
      </c>
      <c r="CO183" t="s">
        <v>4373</v>
      </c>
      <c r="CP183" t="s">
        <v>4374</v>
      </c>
      <c r="CQ183" t="s">
        <v>4374</v>
      </c>
      <c r="CR183" t="s">
        <v>4374</v>
      </c>
      <c r="CS183" t="s">
        <v>4374</v>
      </c>
      <c r="CT183" t="s">
        <v>4374</v>
      </c>
      <c r="CU183" t="s">
        <v>4374</v>
      </c>
      <c r="CV183" t="s">
        <v>4374</v>
      </c>
      <c r="CW183" t="s">
        <v>4374</v>
      </c>
      <c r="CX183" t="s">
        <v>4374</v>
      </c>
      <c r="CY183" t="s">
        <v>4374</v>
      </c>
      <c r="CZ183" t="s">
        <v>4374</v>
      </c>
      <c r="DA183" t="s">
        <v>4374</v>
      </c>
      <c r="DB183" t="s">
        <v>4374</v>
      </c>
      <c r="DC183" t="s">
        <v>4374</v>
      </c>
      <c r="DD183" t="s">
        <v>4374</v>
      </c>
      <c r="DE183" t="s">
        <v>4374</v>
      </c>
      <c r="DF183" t="s">
        <v>4365</v>
      </c>
      <c r="DG183" t="s">
        <v>4365</v>
      </c>
      <c r="DH183" t="s">
        <v>4365</v>
      </c>
      <c r="DI183" t="s">
        <v>4365</v>
      </c>
      <c r="DJ183" t="s">
        <v>4365</v>
      </c>
      <c r="DK183" t="s">
        <v>4365</v>
      </c>
      <c r="DL183" t="s">
        <v>4365</v>
      </c>
      <c r="DM183" t="s">
        <v>4365</v>
      </c>
      <c r="DN183" t="s">
        <v>4365</v>
      </c>
      <c r="DO183" t="s">
        <v>4365</v>
      </c>
      <c r="DP183" t="s">
        <v>4365</v>
      </c>
      <c r="DQ183" t="s">
        <v>4365</v>
      </c>
      <c r="DR183" t="s">
        <v>4365</v>
      </c>
      <c r="DS183" t="s">
        <v>4365</v>
      </c>
      <c r="DT183" t="s">
        <v>4365</v>
      </c>
      <c r="DU183" t="s">
        <v>4365</v>
      </c>
      <c r="DV183" t="s">
        <v>4365</v>
      </c>
      <c r="DW183" t="s">
        <v>4365</v>
      </c>
      <c r="DX183" t="s">
        <v>4365</v>
      </c>
      <c r="DY183" t="s">
        <v>4365</v>
      </c>
      <c r="DZ183" t="s">
        <v>4365</v>
      </c>
      <c r="EA183" t="s">
        <v>4365</v>
      </c>
      <c r="EB183" t="s">
        <v>4365</v>
      </c>
      <c r="EC183" t="s">
        <v>4356</v>
      </c>
      <c r="ED183" t="s">
        <v>4356</v>
      </c>
      <c r="EE183" t="s">
        <v>4356</v>
      </c>
      <c r="EF183" t="s">
        <v>4356</v>
      </c>
      <c r="EG183" t="s">
        <v>4356</v>
      </c>
      <c r="EH183" t="s">
        <v>4356</v>
      </c>
      <c r="EI183" t="s">
        <v>4356</v>
      </c>
      <c r="EJ183" t="s">
        <v>4356</v>
      </c>
      <c r="EK183" t="s">
        <v>4356</v>
      </c>
      <c r="EL183" t="s">
        <v>4356</v>
      </c>
      <c r="EM183" t="s">
        <v>4356</v>
      </c>
      <c r="EN183" t="s">
        <v>4356</v>
      </c>
      <c r="EO183" t="s">
        <v>4356</v>
      </c>
      <c r="EP183" t="s">
        <v>4356</v>
      </c>
      <c r="EQ183" t="s">
        <v>4356</v>
      </c>
      <c r="ER183" t="s">
        <v>4356</v>
      </c>
      <c r="ES183" t="s">
        <v>4356</v>
      </c>
      <c r="ET183" t="s">
        <v>4356</v>
      </c>
      <c r="EU183" t="s">
        <v>4356</v>
      </c>
      <c r="EV183" t="s">
        <v>4356</v>
      </c>
      <c r="EW183" t="s">
        <v>4356</v>
      </c>
      <c r="EX183" t="s">
        <v>4356</v>
      </c>
      <c r="EY183" t="s">
        <v>4356</v>
      </c>
      <c r="EZ183" t="s">
        <v>4356</v>
      </c>
      <c r="FA183" t="s">
        <v>4356</v>
      </c>
      <c r="FB183" t="s">
        <v>4356</v>
      </c>
      <c r="FC183" t="s">
        <v>4356</v>
      </c>
      <c r="FD183" t="s">
        <v>4353</v>
      </c>
      <c r="FE183" t="s">
        <v>4353</v>
      </c>
      <c r="FF183" t="s">
        <v>4353</v>
      </c>
      <c r="FG183" t="s">
        <v>4353</v>
      </c>
      <c r="FH183" t="s">
        <v>4353</v>
      </c>
      <c r="FI183" t="s">
        <v>4353</v>
      </c>
      <c r="FJ183" t="s">
        <v>4353</v>
      </c>
      <c r="FK183" t="s">
        <v>4353</v>
      </c>
      <c r="FL183" t="s">
        <v>4353</v>
      </c>
      <c r="FM183" t="s">
        <v>4353</v>
      </c>
      <c r="FN183" t="s">
        <v>4353</v>
      </c>
      <c r="FO183" t="s">
        <v>4353</v>
      </c>
      <c r="FP183" t="s">
        <v>4353</v>
      </c>
      <c r="FQ183" t="s">
        <v>4356</v>
      </c>
      <c r="FR183" t="s">
        <v>4353</v>
      </c>
      <c r="FS183" t="s">
        <v>4353</v>
      </c>
      <c r="FT183" t="s">
        <v>4353</v>
      </c>
      <c r="FU183" t="s">
        <v>4353</v>
      </c>
      <c r="FV183" t="s">
        <v>4353</v>
      </c>
      <c r="FW183" t="s">
        <v>4353</v>
      </c>
      <c r="FX183" t="s">
        <v>4356</v>
      </c>
      <c r="FY183" t="s">
        <v>4356</v>
      </c>
      <c r="FZ183" t="s">
        <v>4353</v>
      </c>
      <c r="GA183" t="s">
        <v>4353</v>
      </c>
      <c r="GB183" t="s">
        <v>4353</v>
      </c>
      <c r="GC183" t="s">
        <v>4353</v>
      </c>
      <c r="GD183" t="s">
        <v>4353</v>
      </c>
      <c r="GE183" t="s">
        <v>4353</v>
      </c>
      <c r="GF183" t="s">
        <v>4353</v>
      </c>
      <c r="GG183" t="s">
        <v>4353</v>
      </c>
      <c r="GH183" t="s">
        <v>4353</v>
      </c>
      <c r="GI183" t="s">
        <v>4353</v>
      </c>
      <c r="GJ183" t="s">
        <v>4353</v>
      </c>
      <c r="GK183" t="s">
        <v>4353</v>
      </c>
      <c r="GL183" t="s">
        <v>4353</v>
      </c>
      <c r="GM183" t="s">
        <v>4353</v>
      </c>
      <c r="GN183" t="s">
        <v>4353</v>
      </c>
      <c r="GO183" t="s">
        <v>4353</v>
      </c>
      <c r="GP183" t="s">
        <v>4353</v>
      </c>
      <c r="GQ183" t="s">
        <v>4353</v>
      </c>
      <c r="GR183" t="s">
        <v>4353</v>
      </c>
      <c r="GS183" t="s">
        <v>4353</v>
      </c>
      <c r="GT183" t="s">
        <v>4353</v>
      </c>
      <c r="GU183" t="s">
        <v>4353</v>
      </c>
      <c r="GV183" t="s">
        <v>4353</v>
      </c>
      <c r="GW183" t="s">
        <v>4353</v>
      </c>
      <c r="GX183" t="s">
        <v>4353</v>
      </c>
      <c r="GY183" t="s">
        <v>4353</v>
      </c>
      <c r="GZ183" t="s">
        <v>4353</v>
      </c>
      <c r="HA183" t="s">
        <v>4353</v>
      </c>
      <c r="HB183" t="s">
        <v>4353</v>
      </c>
      <c r="HC183" t="s">
        <v>4353</v>
      </c>
      <c r="HD183" t="s">
        <v>4353</v>
      </c>
      <c r="HE183" t="s">
        <v>4353</v>
      </c>
      <c r="HF183" t="s">
        <v>4353</v>
      </c>
      <c r="HG183" t="s">
        <v>4353</v>
      </c>
      <c r="HH183" t="s">
        <v>4353</v>
      </c>
      <c r="HI183" t="s">
        <v>4353</v>
      </c>
      <c r="HJ183" t="s">
        <v>4353</v>
      </c>
      <c r="HK183" t="s">
        <v>4353</v>
      </c>
      <c r="HL183" t="s">
        <v>4353</v>
      </c>
      <c r="HM183" t="s">
        <v>4353</v>
      </c>
      <c r="HN183" t="s">
        <v>4353</v>
      </c>
      <c r="HO183" t="s">
        <v>4353</v>
      </c>
      <c r="HP183" t="s">
        <v>4353</v>
      </c>
      <c r="HQ183" t="s">
        <v>4353</v>
      </c>
      <c r="HR183" t="s">
        <v>4353</v>
      </c>
      <c r="HS183" t="s">
        <v>4353</v>
      </c>
      <c r="HT183" t="s">
        <v>4353</v>
      </c>
      <c r="HU183" t="s">
        <v>4353</v>
      </c>
      <c r="HV183" t="s">
        <v>4356</v>
      </c>
      <c r="HW183" t="s">
        <v>4356</v>
      </c>
      <c r="HX183" t="s">
        <v>4356</v>
      </c>
      <c r="HY183" t="s">
        <v>4356</v>
      </c>
      <c r="HZ183" t="s">
        <v>4356</v>
      </c>
      <c r="IA183" t="s">
        <v>4356</v>
      </c>
      <c r="IB183" t="s">
        <v>4356</v>
      </c>
      <c r="IC183" t="s">
        <v>4356</v>
      </c>
      <c r="ID183" t="s">
        <v>4356</v>
      </c>
      <c r="IE183" t="s">
        <v>4356</v>
      </c>
      <c r="IF183" t="s">
        <v>4356</v>
      </c>
      <c r="IG183" t="s">
        <v>4356</v>
      </c>
      <c r="IH183" t="s">
        <v>4356</v>
      </c>
      <c r="II183" t="s">
        <v>4356</v>
      </c>
      <c r="IJ183" t="s">
        <v>4356</v>
      </c>
      <c r="IK183" t="s">
        <v>4356</v>
      </c>
      <c r="IL183" t="s">
        <v>4358</v>
      </c>
      <c r="IM183" t="s">
        <v>4356</v>
      </c>
      <c r="IN183" t="s">
        <v>4356</v>
      </c>
      <c r="IO183" t="s">
        <v>4356</v>
      </c>
      <c r="IP183" t="s">
        <v>4356</v>
      </c>
      <c r="IQ183" t="s">
        <v>4356</v>
      </c>
      <c r="IR183" t="s">
        <v>4356</v>
      </c>
      <c r="IS183" t="s">
        <v>4356</v>
      </c>
      <c r="IT183" t="s">
        <v>4356</v>
      </c>
      <c r="IU183" t="s">
        <v>4356</v>
      </c>
      <c r="IV183" t="s">
        <v>4356</v>
      </c>
      <c r="IW183" t="s">
        <v>4356</v>
      </c>
      <c r="IX183" t="s">
        <v>4358</v>
      </c>
      <c r="IY183" t="s">
        <v>4358</v>
      </c>
      <c r="IZ183" t="s">
        <v>4358</v>
      </c>
      <c r="JA183" t="s">
        <v>4358</v>
      </c>
      <c r="JB183" t="s">
        <v>4358</v>
      </c>
      <c r="JC183" t="s">
        <v>4358</v>
      </c>
      <c r="JD183" t="s">
        <v>4358</v>
      </c>
      <c r="JE183" t="s">
        <v>4358</v>
      </c>
      <c r="JF183" t="s">
        <v>4356</v>
      </c>
      <c r="JG183" t="s">
        <v>4356</v>
      </c>
      <c r="JH183" t="s">
        <v>4356</v>
      </c>
      <c r="JI183" t="s">
        <v>4356</v>
      </c>
      <c r="JJ183" t="s">
        <v>4356</v>
      </c>
      <c r="JK183" t="s">
        <v>4356</v>
      </c>
      <c r="JL183" t="s">
        <v>4356</v>
      </c>
      <c r="JM183" t="s">
        <v>4356</v>
      </c>
      <c r="JN183" t="s">
        <v>4356</v>
      </c>
      <c r="JO183" t="s">
        <v>4356</v>
      </c>
      <c r="JP183" t="s">
        <v>4356</v>
      </c>
      <c r="JQ183" t="s">
        <v>4356</v>
      </c>
      <c r="JR183" t="s">
        <v>4356</v>
      </c>
      <c r="JS183" t="s">
        <v>4356</v>
      </c>
      <c r="JT183" t="s">
        <v>4356</v>
      </c>
      <c r="JU183" t="s">
        <v>4356</v>
      </c>
    </row>
    <row r="184" spans="43:281" x14ac:dyDescent="0.3">
      <c r="BB184" t="s">
        <v>4375</v>
      </c>
      <c r="BC184" t="s">
        <v>4375</v>
      </c>
      <c r="BD184" t="s">
        <v>4375</v>
      </c>
      <c r="BE184" t="s">
        <v>4375</v>
      </c>
      <c r="BF184" t="s">
        <v>4375</v>
      </c>
      <c r="BG184" t="s">
        <v>4375</v>
      </c>
      <c r="BH184" t="s">
        <v>4375</v>
      </c>
      <c r="BI184" t="s">
        <v>4375</v>
      </c>
      <c r="BJ184" t="s">
        <v>4375</v>
      </c>
      <c r="BK184" t="s">
        <v>4375</v>
      </c>
      <c r="BL184" t="s">
        <v>4375</v>
      </c>
      <c r="BP184" t="s">
        <v>208</v>
      </c>
      <c r="BQ184" t="s">
        <v>208</v>
      </c>
      <c r="BR184" t="s">
        <v>208</v>
      </c>
      <c r="BS184" t="s">
        <v>208</v>
      </c>
      <c r="BT184" t="s">
        <v>208</v>
      </c>
      <c r="BU184" t="s">
        <v>4376</v>
      </c>
      <c r="BV184" t="s">
        <v>4371</v>
      </c>
      <c r="BW184" t="s">
        <v>4371</v>
      </c>
      <c r="BX184" t="s">
        <v>4371</v>
      </c>
      <c r="BY184" t="s">
        <v>4371</v>
      </c>
      <c r="BZ184" t="s">
        <v>4371</v>
      </c>
      <c r="CA184" t="s">
        <v>4371</v>
      </c>
      <c r="CB184" t="s">
        <v>4371</v>
      </c>
      <c r="CC184" t="s">
        <v>4371</v>
      </c>
      <c r="CD184" t="s">
        <v>4371</v>
      </c>
      <c r="CE184" t="s">
        <v>4371</v>
      </c>
      <c r="CF184" t="s">
        <v>4371</v>
      </c>
      <c r="CG184" t="s">
        <v>4371</v>
      </c>
      <c r="CH184" t="s">
        <v>4371</v>
      </c>
      <c r="CI184" t="s">
        <v>4371</v>
      </c>
      <c r="CJ184" t="s">
        <v>4371</v>
      </c>
      <c r="CK184" t="s">
        <v>4371</v>
      </c>
      <c r="CL184" t="s">
        <v>4371</v>
      </c>
      <c r="CM184" t="s">
        <v>4371</v>
      </c>
      <c r="CN184" t="s">
        <v>4374</v>
      </c>
      <c r="CO184" t="s">
        <v>4374</v>
      </c>
      <c r="CP184" t="s">
        <v>4374</v>
      </c>
      <c r="CQ184" t="s">
        <v>4374</v>
      </c>
      <c r="CR184" t="s">
        <v>4374</v>
      </c>
      <c r="CS184" t="s">
        <v>4374</v>
      </c>
      <c r="CT184" t="s">
        <v>4374</v>
      </c>
      <c r="CU184" t="s">
        <v>4374</v>
      </c>
      <c r="CV184" t="s">
        <v>4374</v>
      </c>
      <c r="CW184" t="s">
        <v>4374</v>
      </c>
      <c r="CX184" t="s">
        <v>4374</v>
      </c>
      <c r="CY184" t="s">
        <v>4374</v>
      </c>
      <c r="CZ184" t="s">
        <v>4374</v>
      </c>
      <c r="DA184" t="s">
        <v>4374</v>
      </c>
      <c r="DB184" t="s">
        <v>4374</v>
      </c>
      <c r="DC184" t="s">
        <v>4374</v>
      </c>
      <c r="DD184" t="s">
        <v>4374</v>
      </c>
      <c r="DE184" t="s">
        <v>4365</v>
      </c>
      <c r="DF184" t="s">
        <v>4365</v>
      </c>
      <c r="DG184" t="s">
        <v>4365</v>
      </c>
      <c r="DH184" t="s">
        <v>4365</v>
      </c>
      <c r="DI184" t="s">
        <v>4365</v>
      </c>
      <c r="DJ184" t="s">
        <v>4365</v>
      </c>
      <c r="DK184" t="s">
        <v>4365</v>
      </c>
      <c r="DL184" t="s">
        <v>4365</v>
      </c>
      <c r="DM184" t="s">
        <v>4365</v>
      </c>
      <c r="DN184" t="s">
        <v>4365</v>
      </c>
      <c r="DO184" t="s">
        <v>4365</v>
      </c>
      <c r="DP184" t="s">
        <v>4365</v>
      </c>
      <c r="DQ184" t="s">
        <v>4365</v>
      </c>
      <c r="DR184" t="s">
        <v>4365</v>
      </c>
      <c r="DS184" t="s">
        <v>4365</v>
      </c>
      <c r="DT184" t="s">
        <v>4365</v>
      </c>
      <c r="DU184" t="s">
        <v>4365</v>
      </c>
      <c r="DV184" t="s">
        <v>4365</v>
      </c>
      <c r="DW184" t="s">
        <v>4365</v>
      </c>
      <c r="DX184" t="s">
        <v>4365</v>
      </c>
      <c r="DY184" t="s">
        <v>4365</v>
      </c>
      <c r="DZ184" t="s">
        <v>4365</v>
      </c>
      <c r="EA184" t="s">
        <v>4356</v>
      </c>
      <c r="EB184" t="s">
        <v>4356</v>
      </c>
      <c r="EC184" t="s">
        <v>4356</v>
      </c>
      <c r="ED184" t="s">
        <v>4356</v>
      </c>
      <c r="EE184" t="s">
        <v>4356</v>
      </c>
      <c r="EF184" t="s">
        <v>4356</v>
      </c>
      <c r="EG184" t="s">
        <v>4356</v>
      </c>
      <c r="EH184" t="s">
        <v>4356</v>
      </c>
      <c r="EI184" t="s">
        <v>4356</v>
      </c>
      <c r="EJ184" t="s">
        <v>4356</v>
      </c>
      <c r="EK184" t="s">
        <v>4356</v>
      </c>
      <c r="EL184" t="s">
        <v>4356</v>
      </c>
      <c r="EM184" t="s">
        <v>4356</v>
      </c>
      <c r="EN184" t="s">
        <v>4356</v>
      </c>
      <c r="EO184" t="s">
        <v>4356</v>
      </c>
      <c r="EP184" t="s">
        <v>4356</v>
      </c>
      <c r="EQ184" t="s">
        <v>4356</v>
      </c>
      <c r="ER184" t="s">
        <v>4356</v>
      </c>
      <c r="ES184" t="s">
        <v>4356</v>
      </c>
      <c r="ET184" t="s">
        <v>4356</v>
      </c>
      <c r="EU184" t="s">
        <v>4356</v>
      </c>
      <c r="EV184" t="s">
        <v>4356</v>
      </c>
      <c r="EW184" t="s">
        <v>4356</v>
      </c>
      <c r="EX184" t="s">
        <v>4356</v>
      </c>
      <c r="EY184" t="s">
        <v>4356</v>
      </c>
      <c r="EZ184" t="s">
        <v>4356</v>
      </c>
      <c r="FA184" t="s">
        <v>4356</v>
      </c>
      <c r="FB184" t="s">
        <v>4356</v>
      </c>
      <c r="FC184" t="s">
        <v>4356</v>
      </c>
      <c r="FD184" t="s">
        <v>4356</v>
      </c>
      <c r="FE184" t="s">
        <v>4356</v>
      </c>
      <c r="FF184" t="s">
        <v>4353</v>
      </c>
      <c r="FG184" t="s">
        <v>4353</v>
      </c>
      <c r="FH184" t="s">
        <v>4353</v>
      </c>
      <c r="FI184" t="s">
        <v>4353</v>
      </c>
      <c r="FJ184" t="s">
        <v>4353</v>
      </c>
      <c r="FK184" t="s">
        <v>4353</v>
      </c>
      <c r="FL184" t="s">
        <v>4353</v>
      </c>
      <c r="FM184" t="s">
        <v>4353</v>
      </c>
      <c r="FN184" t="s">
        <v>4356</v>
      </c>
      <c r="FO184" t="s">
        <v>4356</v>
      </c>
      <c r="FP184" t="s">
        <v>4356</v>
      </c>
      <c r="FQ184" t="s">
        <v>4356</v>
      </c>
      <c r="FR184" t="s">
        <v>4356</v>
      </c>
      <c r="FS184" t="s">
        <v>4356</v>
      </c>
      <c r="FT184" t="s">
        <v>4356</v>
      </c>
      <c r="FU184" t="s">
        <v>4356</v>
      </c>
      <c r="FV184" t="s">
        <v>4356</v>
      </c>
      <c r="FW184" t="s">
        <v>4356</v>
      </c>
      <c r="FX184" t="s">
        <v>4356</v>
      </c>
      <c r="FY184" t="s">
        <v>4356</v>
      </c>
      <c r="FZ184" t="s">
        <v>4356</v>
      </c>
      <c r="GA184" t="s">
        <v>4356</v>
      </c>
      <c r="GB184" t="s">
        <v>4356</v>
      </c>
      <c r="GC184" t="s">
        <v>4353</v>
      </c>
      <c r="GD184" t="s">
        <v>4353</v>
      </c>
      <c r="GE184" t="s">
        <v>4353</v>
      </c>
      <c r="GF184" t="s">
        <v>4353</v>
      </c>
      <c r="GG184" t="s">
        <v>4353</v>
      </c>
      <c r="GH184" t="s">
        <v>4353</v>
      </c>
      <c r="GI184" t="s">
        <v>4353</v>
      </c>
      <c r="GJ184" t="s">
        <v>4353</v>
      </c>
      <c r="GK184" t="s">
        <v>4353</v>
      </c>
      <c r="GL184" t="s">
        <v>4353</v>
      </c>
      <c r="GM184" t="s">
        <v>4353</v>
      </c>
      <c r="GN184" t="s">
        <v>4353</v>
      </c>
      <c r="GO184" t="s">
        <v>4353</v>
      </c>
      <c r="GP184" t="s">
        <v>4353</v>
      </c>
      <c r="GQ184" t="s">
        <v>4353</v>
      </c>
      <c r="GR184" t="s">
        <v>4353</v>
      </c>
      <c r="GS184" t="s">
        <v>4353</v>
      </c>
      <c r="GT184" t="s">
        <v>4353</v>
      </c>
      <c r="GU184" t="s">
        <v>4353</v>
      </c>
      <c r="GV184" t="s">
        <v>4353</v>
      </c>
      <c r="GW184" t="s">
        <v>4353</v>
      </c>
      <c r="GX184" t="s">
        <v>4353</v>
      </c>
      <c r="GY184" t="s">
        <v>4353</v>
      </c>
      <c r="GZ184" t="s">
        <v>4353</v>
      </c>
      <c r="HA184" t="s">
        <v>4353</v>
      </c>
      <c r="HB184" t="s">
        <v>4353</v>
      </c>
      <c r="HC184" t="s">
        <v>4353</v>
      </c>
      <c r="HD184" t="s">
        <v>4353</v>
      </c>
      <c r="HE184" t="s">
        <v>4353</v>
      </c>
      <c r="HF184" t="s">
        <v>4353</v>
      </c>
      <c r="HG184" t="s">
        <v>4353</v>
      </c>
      <c r="HH184" t="s">
        <v>4353</v>
      </c>
      <c r="HI184" t="s">
        <v>4353</v>
      </c>
      <c r="HJ184" t="s">
        <v>4353</v>
      </c>
      <c r="HK184" t="s">
        <v>4353</v>
      </c>
      <c r="HL184" t="s">
        <v>4353</v>
      </c>
      <c r="HM184" t="s">
        <v>4356</v>
      </c>
      <c r="HN184" t="s">
        <v>4356</v>
      </c>
      <c r="HO184" t="s">
        <v>4353</v>
      </c>
      <c r="HP184" t="s">
        <v>4356</v>
      </c>
      <c r="HQ184" t="s">
        <v>4356</v>
      </c>
      <c r="HR184" t="s">
        <v>4356</v>
      </c>
      <c r="HS184" t="s">
        <v>4356</v>
      </c>
      <c r="HT184" t="s">
        <v>4356</v>
      </c>
      <c r="HU184" t="s">
        <v>4356</v>
      </c>
      <c r="HV184" t="s">
        <v>4356</v>
      </c>
      <c r="HW184" t="s">
        <v>4356</v>
      </c>
      <c r="HX184" t="s">
        <v>4356</v>
      </c>
      <c r="HY184" t="s">
        <v>4356</v>
      </c>
      <c r="HZ184" t="s">
        <v>4356</v>
      </c>
      <c r="IA184" t="s">
        <v>4356</v>
      </c>
      <c r="IB184" t="s">
        <v>4356</v>
      </c>
      <c r="IC184" t="s">
        <v>4356</v>
      </c>
      <c r="ID184" t="s">
        <v>4356</v>
      </c>
      <c r="IE184" t="s">
        <v>4356</v>
      </c>
      <c r="IF184" t="s">
        <v>4356</v>
      </c>
      <c r="IG184" t="s">
        <v>4356</v>
      </c>
      <c r="IH184" t="s">
        <v>4356</v>
      </c>
      <c r="II184" t="s">
        <v>4356</v>
      </c>
      <c r="IJ184" t="s">
        <v>4356</v>
      </c>
      <c r="IK184" t="s">
        <v>4356</v>
      </c>
      <c r="IL184" t="s">
        <v>4356</v>
      </c>
      <c r="IM184" t="s">
        <v>4356</v>
      </c>
      <c r="IN184" t="s">
        <v>4356</v>
      </c>
      <c r="IO184" t="s">
        <v>4356</v>
      </c>
      <c r="IP184" t="s">
        <v>4356</v>
      </c>
      <c r="IQ184" t="s">
        <v>4356</v>
      </c>
      <c r="IR184" t="s">
        <v>4356</v>
      </c>
      <c r="IS184" t="s">
        <v>4356</v>
      </c>
      <c r="IT184" t="s">
        <v>4356</v>
      </c>
      <c r="IU184" t="s">
        <v>4356</v>
      </c>
      <c r="IV184" t="s">
        <v>4356</v>
      </c>
      <c r="IW184" t="s">
        <v>4356</v>
      </c>
      <c r="IX184" t="s">
        <v>4358</v>
      </c>
      <c r="IY184" t="s">
        <v>4358</v>
      </c>
      <c r="IZ184" t="s">
        <v>4358</v>
      </c>
      <c r="JA184" t="s">
        <v>4358</v>
      </c>
      <c r="JB184" t="s">
        <v>4358</v>
      </c>
      <c r="JC184" t="s">
        <v>4358</v>
      </c>
      <c r="JD184" t="s">
        <v>4358</v>
      </c>
      <c r="JE184" t="s">
        <v>4358</v>
      </c>
      <c r="JF184" t="s">
        <v>4356</v>
      </c>
      <c r="JG184" t="s">
        <v>4356</v>
      </c>
      <c r="JH184" t="s">
        <v>4356</v>
      </c>
      <c r="JI184" t="s">
        <v>4356</v>
      </c>
      <c r="JJ184" t="s">
        <v>4356</v>
      </c>
      <c r="JK184" t="s">
        <v>4356</v>
      </c>
      <c r="JL184" t="s">
        <v>4356</v>
      </c>
      <c r="JM184" t="s">
        <v>4356</v>
      </c>
      <c r="JN184" t="s">
        <v>4356</v>
      </c>
      <c r="JO184" t="s">
        <v>4356</v>
      </c>
      <c r="JP184" t="s">
        <v>4356</v>
      </c>
      <c r="JQ184" t="s">
        <v>4356</v>
      </c>
      <c r="JR184" t="s">
        <v>4356</v>
      </c>
      <c r="JS184" t="s">
        <v>4356</v>
      </c>
      <c r="JT184" t="s">
        <v>4356</v>
      </c>
      <c r="JU184" t="s">
        <v>4356</v>
      </c>
    </row>
    <row r="185" spans="43:281" x14ac:dyDescent="0.3">
      <c r="AQ185" t="s">
        <v>4377</v>
      </c>
      <c r="AR185" t="s">
        <v>4377</v>
      </c>
      <c r="AZ185" t="s">
        <v>4375</v>
      </c>
      <c r="BA185" t="s">
        <v>4375</v>
      </c>
      <c r="BB185" t="s">
        <v>4375</v>
      </c>
      <c r="BC185" t="s">
        <v>4375</v>
      </c>
      <c r="BD185" t="s">
        <v>4375</v>
      </c>
      <c r="BE185" t="s">
        <v>4375</v>
      </c>
      <c r="BF185" t="s">
        <v>4375</v>
      </c>
      <c r="BG185" t="s">
        <v>4375</v>
      </c>
      <c r="BH185" t="s">
        <v>4375</v>
      </c>
      <c r="BI185" t="s">
        <v>4375</v>
      </c>
      <c r="BJ185" t="s">
        <v>4375</v>
      </c>
      <c r="BK185" t="s">
        <v>4375</v>
      </c>
      <c r="BR185" t="s">
        <v>4376</v>
      </c>
      <c r="BS185" t="s">
        <v>4376</v>
      </c>
      <c r="BT185" t="s">
        <v>4376</v>
      </c>
      <c r="BU185" t="s">
        <v>4376</v>
      </c>
      <c r="BV185" t="s">
        <v>4371</v>
      </c>
      <c r="BW185" t="s">
        <v>4371</v>
      </c>
      <c r="BX185" t="s">
        <v>4371</v>
      </c>
      <c r="BY185" t="s">
        <v>4371</v>
      </c>
      <c r="BZ185" t="s">
        <v>4371</v>
      </c>
      <c r="CA185" t="s">
        <v>4371</v>
      </c>
      <c r="CB185" t="s">
        <v>4371</v>
      </c>
      <c r="CC185" t="s">
        <v>4371</v>
      </c>
      <c r="CD185" t="s">
        <v>4371</v>
      </c>
      <c r="CE185" t="s">
        <v>4371</v>
      </c>
      <c r="CF185" t="s">
        <v>4371</v>
      </c>
      <c r="CG185" t="s">
        <v>4371</v>
      </c>
      <c r="CH185" t="s">
        <v>4371</v>
      </c>
      <c r="CI185" t="s">
        <v>4371</v>
      </c>
      <c r="CJ185" t="s">
        <v>4371</v>
      </c>
      <c r="CK185" t="s">
        <v>4371</v>
      </c>
      <c r="CL185" t="s">
        <v>4371</v>
      </c>
      <c r="CM185" t="s">
        <v>4374</v>
      </c>
      <c r="CN185" t="s">
        <v>4374</v>
      </c>
      <c r="CO185" t="s">
        <v>4374</v>
      </c>
      <c r="CP185" t="s">
        <v>4374</v>
      </c>
      <c r="CQ185" t="s">
        <v>4374</v>
      </c>
      <c r="CR185" t="s">
        <v>4374</v>
      </c>
      <c r="CS185" t="s">
        <v>4374</v>
      </c>
      <c r="CT185" t="s">
        <v>4374</v>
      </c>
      <c r="CU185" t="s">
        <v>4374</v>
      </c>
      <c r="CV185" t="s">
        <v>4374</v>
      </c>
      <c r="CW185" t="s">
        <v>4374</v>
      </c>
      <c r="CX185" t="s">
        <v>4374</v>
      </c>
      <c r="CY185" t="s">
        <v>4374</v>
      </c>
      <c r="CZ185" t="s">
        <v>4374</v>
      </c>
      <c r="DA185" t="s">
        <v>4374</v>
      </c>
      <c r="DB185" t="s">
        <v>4374</v>
      </c>
      <c r="DC185" t="s">
        <v>4374</v>
      </c>
      <c r="DD185" t="s">
        <v>4374</v>
      </c>
      <c r="DE185" t="s">
        <v>4378</v>
      </c>
      <c r="DF185" t="s">
        <v>4378</v>
      </c>
      <c r="DG185" t="s">
        <v>4365</v>
      </c>
      <c r="DH185" t="s">
        <v>4365</v>
      </c>
      <c r="DI185" t="s">
        <v>4365</v>
      </c>
      <c r="DJ185" t="s">
        <v>4365</v>
      </c>
      <c r="DK185" t="s">
        <v>4378</v>
      </c>
      <c r="DL185" t="s">
        <v>4378</v>
      </c>
      <c r="DM185" t="s">
        <v>4378</v>
      </c>
      <c r="DN185" t="s">
        <v>4378</v>
      </c>
      <c r="DO185" t="s">
        <v>4378</v>
      </c>
      <c r="DP185" t="s">
        <v>4378</v>
      </c>
      <c r="DQ185" t="s">
        <v>4378</v>
      </c>
      <c r="DR185" t="s">
        <v>4378</v>
      </c>
      <c r="DS185" t="s">
        <v>4365</v>
      </c>
      <c r="DT185" t="s">
        <v>4365</v>
      </c>
      <c r="DU185" t="s">
        <v>4365</v>
      </c>
      <c r="DV185" t="s">
        <v>4365</v>
      </c>
      <c r="DW185" t="s">
        <v>4365</v>
      </c>
      <c r="DX185" t="s">
        <v>4365</v>
      </c>
      <c r="DY185" t="s">
        <v>4365</v>
      </c>
      <c r="DZ185" t="s">
        <v>4365</v>
      </c>
      <c r="EA185" t="s">
        <v>4356</v>
      </c>
      <c r="EB185" t="s">
        <v>4356</v>
      </c>
      <c r="EC185" t="s">
        <v>4356</v>
      </c>
      <c r="ED185" t="s">
        <v>4356</v>
      </c>
      <c r="EE185" t="s">
        <v>4356</v>
      </c>
      <c r="EF185" t="s">
        <v>4356</v>
      </c>
      <c r="EG185" t="s">
        <v>4356</v>
      </c>
      <c r="EH185" t="s">
        <v>4356</v>
      </c>
      <c r="EI185" t="s">
        <v>4356</v>
      </c>
      <c r="EJ185" t="s">
        <v>4356</v>
      </c>
      <c r="EK185" t="s">
        <v>4356</v>
      </c>
      <c r="EL185" t="s">
        <v>4356</v>
      </c>
      <c r="EM185" t="s">
        <v>4356</v>
      </c>
      <c r="EN185" t="s">
        <v>4356</v>
      </c>
      <c r="EO185" t="s">
        <v>4356</v>
      </c>
      <c r="EP185" t="s">
        <v>4356</v>
      </c>
      <c r="EQ185" t="s">
        <v>4356</v>
      </c>
      <c r="ER185" t="s">
        <v>4356</v>
      </c>
      <c r="ES185" t="s">
        <v>4356</v>
      </c>
      <c r="ET185" t="s">
        <v>4356</v>
      </c>
      <c r="EU185" t="s">
        <v>4356</v>
      </c>
      <c r="EV185" t="s">
        <v>4356</v>
      </c>
      <c r="EW185" t="s">
        <v>4356</v>
      </c>
      <c r="EX185" t="s">
        <v>4356</v>
      </c>
      <c r="EY185" t="s">
        <v>4356</v>
      </c>
      <c r="EZ185" t="s">
        <v>4356</v>
      </c>
      <c r="FA185" t="s">
        <v>4356</v>
      </c>
      <c r="FB185" t="s">
        <v>4356</v>
      </c>
      <c r="FC185" t="s">
        <v>4356</v>
      </c>
      <c r="FD185" t="s">
        <v>4356</v>
      </c>
      <c r="FE185" t="s">
        <v>4356</v>
      </c>
      <c r="FF185" t="s">
        <v>4356</v>
      </c>
      <c r="FG185" t="s">
        <v>4356</v>
      </c>
      <c r="FH185" t="s">
        <v>4356</v>
      </c>
      <c r="FI185" t="s">
        <v>4356</v>
      </c>
      <c r="FJ185" t="s">
        <v>4356</v>
      </c>
      <c r="FK185" t="s">
        <v>4356</v>
      </c>
      <c r="FL185" t="s">
        <v>4356</v>
      </c>
      <c r="FM185" t="s">
        <v>4356</v>
      </c>
      <c r="FN185" t="s">
        <v>4356</v>
      </c>
      <c r="FO185" t="s">
        <v>4356</v>
      </c>
      <c r="FP185" t="s">
        <v>4356</v>
      </c>
      <c r="FQ185" t="s">
        <v>4356</v>
      </c>
      <c r="FR185" t="s">
        <v>4356</v>
      </c>
      <c r="FS185" t="s">
        <v>4356</v>
      </c>
      <c r="FT185" t="s">
        <v>4356</v>
      </c>
      <c r="FU185" t="s">
        <v>4356</v>
      </c>
      <c r="FV185" t="s">
        <v>4356</v>
      </c>
      <c r="FW185" t="s">
        <v>4356</v>
      </c>
      <c r="FX185" t="s">
        <v>4356</v>
      </c>
      <c r="FY185" t="s">
        <v>4356</v>
      </c>
      <c r="FZ185" t="s">
        <v>4356</v>
      </c>
      <c r="GA185" t="s">
        <v>4353</v>
      </c>
      <c r="GB185" t="s">
        <v>4353</v>
      </c>
      <c r="GC185" t="s">
        <v>4353</v>
      </c>
      <c r="GD185" t="s">
        <v>4353</v>
      </c>
      <c r="GE185" t="s">
        <v>4353</v>
      </c>
      <c r="GF185" t="s">
        <v>4353</v>
      </c>
      <c r="GG185" t="s">
        <v>4353</v>
      </c>
      <c r="GH185" t="s">
        <v>4353</v>
      </c>
      <c r="GI185" t="s">
        <v>4353</v>
      </c>
      <c r="GJ185" t="s">
        <v>4353</v>
      </c>
      <c r="GK185" t="s">
        <v>4353</v>
      </c>
      <c r="GL185" t="s">
        <v>4353</v>
      </c>
      <c r="GM185" t="s">
        <v>4353</v>
      </c>
      <c r="GN185" t="s">
        <v>4353</v>
      </c>
      <c r="GO185" t="s">
        <v>4353</v>
      </c>
      <c r="GP185" t="s">
        <v>4353</v>
      </c>
      <c r="GQ185" t="s">
        <v>4353</v>
      </c>
      <c r="GR185" t="s">
        <v>4353</v>
      </c>
      <c r="GS185" t="s">
        <v>4353</v>
      </c>
      <c r="GT185" t="s">
        <v>4353</v>
      </c>
      <c r="GU185" t="s">
        <v>4353</v>
      </c>
      <c r="GV185" t="s">
        <v>4353</v>
      </c>
      <c r="GW185" t="s">
        <v>4353</v>
      </c>
      <c r="GX185" t="s">
        <v>4353</v>
      </c>
      <c r="GY185" t="s">
        <v>4353</v>
      </c>
      <c r="GZ185" t="s">
        <v>4353</v>
      </c>
      <c r="HA185" t="s">
        <v>4353</v>
      </c>
      <c r="HB185" t="s">
        <v>4353</v>
      </c>
      <c r="HC185" t="s">
        <v>4353</v>
      </c>
      <c r="HD185" t="s">
        <v>4353</v>
      </c>
      <c r="HE185" t="s">
        <v>4353</v>
      </c>
      <c r="HF185" t="s">
        <v>4353</v>
      </c>
      <c r="HG185" t="s">
        <v>4353</v>
      </c>
      <c r="HH185" t="s">
        <v>4353</v>
      </c>
      <c r="HI185" t="s">
        <v>4353</v>
      </c>
      <c r="HJ185" t="s">
        <v>4353</v>
      </c>
      <c r="HK185" t="s">
        <v>4353</v>
      </c>
      <c r="HL185" t="s">
        <v>4353</v>
      </c>
      <c r="HM185" t="s">
        <v>4356</v>
      </c>
      <c r="HN185" t="s">
        <v>4356</v>
      </c>
      <c r="HO185" t="s">
        <v>4356</v>
      </c>
      <c r="HP185" t="s">
        <v>4356</v>
      </c>
      <c r="HQ185" t="s">
        <v>4356</v>
      </c>
      <c r="HR185" t="s">
        <v>4356</v>
      </c>
      <c r="HS185" t="s">
        <v>4356</v>
      </c>
      <c r="HT185" t="s">
        <v>4356</v>
      </c>
      <c r="HU185" t="s">
        <v>4356</v>
      </c>
      <c r="HV185" t="s">
        <v>4356</v>
      </c>
      <c r="HW185" t="s">
        <v>4356</v>
      </c>
      <c r="HX185" t="s">
        <v>4356</v>
      </c>
      <c r="HY185" t="s">
        <v>4356</v>
      </c>
      <c r="HZ185" t="s">
        <v>4356</v>
      </c>
      <c r="IA185" t="s">
        <v>4356</v>
      </c>
      <c r="IB185" t="s">
        <v>4356</v>
      </c>
      <c r="IC185" t="s">
        <v>4356</v>
      </c>
      <c r="ID185" t="s">
        <v>4356</v>
      </c>
      <c r="IE185" t="s">
        <v>4356</v>
      </c>
      <c r="IF185" t="s">
        <v>4356</v>
      </c>
      <c r="IG185" t="s">
        <v>4356</v>
      </c>
      <c r="IH185" t="s">
        <v>4356</v>
      </c>
      <c r="II185" t="s">
        <v>4356</v>
      </c>
      <c r="IJ185" t="s">
        <v>4356</v>
      </c>
      <c r="IK185" t="s">
        <v>4356</v>
      </c>
      <c r="IL185" t="s">
        <v>4356</v>
      </c>
      <c r="IM185" t="s">
        <v>4356</v>
      </c>
      <c r="IN185" t="s">
        <v>4356</v>
      </c>
      <c r="IO185" t="s">
        <v>4356</v>
      </c>
      <c r="IP185" t="s">
        <v>4356</v>
      </c>
      <c r="IQ185" t="s">
        <v>4356</v>
      </c>
      <c r="IR185" t="s">
        <v>4356</v>
      </c>
      <c r="IS185" t="s">
        <v>4356</v>
      </c>
      <c r="IT185" t="s">
        <v>4356</v>
      </c>
      <c r="IU185" t="s">
        <v>4356</v>
      </c>
      <c r="IV185" t="s">
        <v>4356</v>
      </c>
      <c r="IW185" t="s">
        <v>4356</v>
      </c>
      <c r="IX185" t="s">
        <v>4356</v>
      </c>
      <c r="IY185" t="s">
        <v>4358</v>
      </c>
      <c r="IZ185" t="s">
        <v>4358</v>
      </c>
      <c r="JA185" t="s">
        <v>4356</v>
      </c>
      <c r="JB185" t="s">
        <v>4356</v>
      </c>
      <c r="JC185" t="s">
        <v>4356</v>
      </c>
      <c r="JD185" t="s">
        <v>4356</v>
      </c>
      <c r="JE185" t="s">
        <v>4356</v>
      </c>
      <c r="JF185" t="s">
        <v>4356</v>
      </c>
      <c r="JG185" t="s">
        <v>4356</v>
      </c>
      <c r="JH185" t="s">
        <v>4356</v>
      </c>
      <c r="JI185" t="s">
        <v>4356</v>
      </c>
      <c r="JJ185" t="s">
        <v>4356</v>
      </c>
      <c r="JK185" t="s">
        <v>4356</v>
      </c>
      <c r="JL185" t="s">
        <v>4356</v>
      </c>
      <c r="JM185" t="s">
        <v>4356</v>
      </c>
      <c r="JN185" t="s">
        <v>4356</v>
      </c>
      <c r="JO185" t="s">
        <v>4356</v>
      </c>
      <c r="JP185" t="s">
        <v>4356</v>
      </c>
      <c r="JQ185" t="s">
        <v>4356</v>
      </c>
      <c r="JR185" t="s">
        <v>4356</v>
      </c>
      <c r="JS185" t="s">
        <v>4356</v>
      </c>
      <c r="JT185" t="s">
        <v>4356</v>
      </c>
      <c r="JU185" t="s">
        <v>4356</v>
      </c>
    </row>
    <row r="186" spans="43:281" x14ac:dyDescent="0.3">
      <c r="AQ186" t="s">
        <v>4377</v>
      </c>
      <c r="AR186" t="s">
        <v>4377</v>
      </c>
      <c r="AS186" t="s">
        <v>4377</v>
      </c>
      <c r="AT186" t="s">
        <v>4377</v>
      </c>
      <c r="AU186" t="s">
        <v>4377</v>
      </c>
      <c r="BA186" t="s">
        <v>4375</v>
      </c>
      <c r="BB186" t="s">
        <v>4375</v>
      </c>
      <c r="BC186" t="s">
        <v>4375</v>
      </c>
      <c r="BD186" t="s">
        <v>4375</v>
      </c>
      <c r="BE186" t="s">
        <v>4375</v>
      </c>
      <c r="BF186" t="s">
        <v>4375</v>
      </c>
      <c r="BG186" t="s">
        <v>4375</v>
      </c>
      <c r="BH186" t="s">
        <v>4375</v>
      </c>
      <c r="BI186" t="s">
        <v>4375</v>
      </c>
      <c r="BJ186" t="s">
        <v>4375</v>
      </c>
      <c r="BK186" t="s">
        <v>4375</v>
      </c>
      <c r="BL186" t="s">
        <v>4375</v>
      </c>
      <c r="BR186" t="s">
        <v>4376</v>
      </c>
      <c r="BS186" t="s">
        <v>4376</v>
      </c>
      <c r="BT186" t="s">
        <v>4376</v>
      </c>
      <c r="BU186" t="s">
        <v>4376</v>
      </c>
      <c r="BV186" t="s">
        <v>4376</v>
      </c>
      <c r="BW186" t="s">
        <v>4376</v>
      </c>
      <c r="BX186" t="s">
        <v>4371</v>
      </c>
      <c r="BY186" t="s">
        <v>4371</v>
      </c>
      <c r="BZ186" t="s">
        <v>4371</v>
      </c>
      <c r="CA186" t="s">
        <v>4371</v>
      </c>
      <c r="CB186" t="s">
        <v>4371</v>
      </c>
      <c r="CC186" t="s">
        <v>4371</v>
      </c>
      <c r="CD186" t="s">
        <v>4371</v>
      </c>
      <c r="CE186" t="s">
        <v>4371</v>
      </c>
      <c r="CF186" t="s">
        <v>4371</v>
      </c>
      <c r="CG186" t="s">
        <v>4371</v>
      </c>
      <c r="CH186" t="s">
        <v>4371</v>
      </c>
      <c r="CI186" t="s">
        <v>4371</v>
      </c>
      <c r="CJ186" t="s">
        <v>4371</v>
      </c>
      <c r="CK186" t="s">
        <v>4371</v>
      </c>
      <c r="CL186" t="s">
        <v>4371</v>
      </c>
      <c r="CM186" t="s">
        <v>4374</v>
      </c>
      <c r="CN186" t="s">
        <v>4374</v>
      </c>
      <c r="CO186" t="s">
        <v>4374</v>
      </c>
      <c r="CP186" t="s">
        <v>4374</v>
      </c>
      <c r="CQ186" t="s">
        <v>4374</v>
      </c>
      <c r="CR186" t="s">
        <v>4374</v>
      </c>
      <c r="CS186" t="s">
        <v>4374</v>
      </c>
      <c r="CT186" t="s">
        <v>4374</v>
      </c>
      <c r="CU186" t="s">
        <v>4374</v>
      </c>
      <c r="CV186" t="s">
        <v>4374</v>
      </c>
      <c r="CW186" t="s">
        <v>4374</v>
      </c>
      <c r="CX186" t="s">
        <v>4374</v>
      </c>
      <c r="CY186" t="s">
        <v>4374</v>
      </c>
      <c r="CZ186" t="s">
        <v>4374</v>
      </c>
      <c r="DA186" t="s">
        <v>4374</v>
      </c>
      <c r="DB186" t="s">
        <v>4374</v>
      </c>
      <c r="DC186" t="s">
        <v>4374</v>
      </c>
      <c r="DD186" t="s">
        <v>4374</v>
      </c>
      <c r="DE186" t="s">
        <v>4378</v>
      </c>
      <c r="DF186" t="s">
        <v>4378</v>
      </c>
      <c r="DG186" t="s">
        <v>4378</v>
      </c>
      <c r="DH186" t="s">
        <v>4378</v>
      </c>
      <c r="DI186" t="s">
        <v>4378</v>
      </c>
      <c r="DJ186" t="s">
        <v>4378</v>
      </c>
      <c r="DK186" t="s">
        <v>4378</v>
      </c>
      <c r="DL186" t="s">
        <v>4378</v>
      </c>
      <c r="DM186" t="s">
        <v>4378</v>
      </c>
      <c r="DN186" t="s">
        <v>4378</v>
      </c>
      <c r="DO186" t="s">
        <v>4378</v>
      </c>
      <c r="DP186" t="s">
        <v>4378</v>
      </c>
      <c r="DQ186" t="s">
        <v>4378</v>
      </c>
      <c r="DR186" t="s">
        <v>4378</v>
      </c>
      <c r="DS186" t="s">
        <v>4378</v>
      </c>
      <c r="DT186" t="s">
        <v>4378</v>
      </c>
      <c r="DU186" t="s">
        <v>4356</v>
      </c>
      <c r="DV186" t="s">
        <v>4356</v>
      </c>
      <c r="DW186" t="s">
        <v>4356</v>
      </c>
      <c r="DX186" t="s">
        <v>4365</v>
      </c>
      <c r="DY186" t="s">
        <v>4365</v>
      </c>
      <c r="DZ186" t="s">
        <v>4356</v>
      </c>
      <c r="EA186" t="s">
        <v>4356</v>
      </c>
      <c r="EB186" t="s">
        <v>4356</v>
      </c>
      <c r="EC186" t="s">
        <v>4356</v>
      </c>
      <c r="ED186" t="s">
        <v>4356</v>
      </c>
      <c r="EE186" t="s">
        <v>4356</v>
      </c>
      <c r="EF186" t="s">
        <v>4356</v>
      </c>
      <c r="EG186" t="s">
        <v>4356</v>
      </c>
      <c r="EH186" t="s">
        <v>4356</v>
      </c>
      <c r="EI186" t="s">
        <v>4356</v>
      </c>
      <c r="EJ186" t="s">
        <v>4356</v>
      </c>
      <c r="EK186" t="s">
        <v>4356</v>
      </c>
      <c r="EL186" t="s">
        <v>4356</v>
      </c>
      <c r="EM186" t="s">
        <v>4356</v>
      </c>
      <c r="EN186" t="s">
        <v>4356</v>
      </c>
      <c r="EO186" t="s">
        <v>4356</v>
      </c>
      <c r="EP186" t="s">
        <v>4356</v>
      </c>
      <c r="EQ186" t="s">
        <v>4356</v>
      </c>
      <c r="ER186" t="s">
        <v>4356</v>
      </c>
      <c r="ES186" t="s">
        <v>4356</v>
      </c>
      <c r="ET186" t="s">
        <v>4356</v>
      </c>
      <c r="EU186" t="s">
        <v>4356</v>
      </c>
      <c r="EV186" t="s">
        <v>4356</v>
      </c>
      <c r="EW186" t="s">
        <v>4356</v>
      </c>
      <c r="EX186" t="s">
        <v>4356</v>
      </c>
      <c r="EY186" t="s">
        <v>4356</v>
      </c>
      <c r="EZ186" t="s">
        <v>4356</v>
      </c>
      <c r="FA186" t="s">
        <v>4356</v>
      </c>
      <c r="FB186" t="s">
        <v>4356</v>
      </c>
      <c r="FC186" t="s">
        <v>4356</v>
      </c>
      <c r="FD186" t="s">
        <v>4356</v>
      </c>
      <c r="FE186" t="s">
        <v>4356</v>
      </c>
      <c r="FF186" t="s">
        <v>4356</v>
      </c>
      <c r="FG186" t="s">
        <v>4356</v>
      </c>
      <c r="FH186" t="s">
        <v>4356</v>
      </c>
      <c r="FI186" t="s">
        <v>4356</v>
      </c>
      <c r="FJ186" t="s">
        <v>4356</v>
      </c>
      <c r="FK186" t="s">
        <v>4356</v>
      </c>
      <c r="FL186" t="s">
        <v>4356</v>
      </c>
      <c r="FM186" t="s">
        <v>4356</v>
      </c>
      <c r="FN186" t="s">
        <v>4356</v>
      </c>
      <c r="FO186" t="s">
        <v>4356</v>
      </c>
      <c r="FP186" t="s">
        <v>4356</v>
      </c>
      <c r="FQ186" t="s">
        <v>4356</v>
      </c>
      <c r="FR186" t="s">
        <v>4356</v>
      </c>
      <c r="FS186" t="s">
        <v>4356</v>
      </c>
      <c r="FT186" t="s">
        <v>4356</v>
      </c>
      <c r="FU186" t="s">
        <v>4356</v>
      </c>
      <c r="FV186" t="s">
        <v>4356</v>
      </c>
      <c r="FW186" t="s">
        <v>4356</v>
      </c>
      <c r="FX186" t="s">
        <v>4356</v>
      </c>
      <c r="FY186" t="s">
        <v>4356</v>
      </c>
      <c r="FZ186" t="s">
        <v>4356</v>
      </c>
      <c r="GA186" t="s">
        <v>4353</v>
      </c>
      <c r="GB186" t="s">
        <v>4353</v>
      </c>
      <c r="GC186" t="s">
        <v>4353</v>
      </c>
      <c r="GD186" t="s">
        <v>4353</v>
      </c>
      <c r="GE186" t="s">
        <v>4353</v>
      </c>
      <c r="GF186" t="s">
        <v>4353</v>
      </c>
      <c r="GG186" t="s">
        <v>4353</v>
      </c>
      <c r="GH186" t="s">
        <v>4353</v>
      </c>
      <c r="GI186" t="s">
        <v>4353</v>
      </c>
      <c r="GJ186" t="s">
        <v>4353</v>
      </c>
      <c r="GK186" t="s">
        <v>4353</v>
      </c>
      <c r="GL186" t="s">
        <v>4353</v>
      </c>
      <c r="GM186" t="s">
        <v>4353</v>
      </c>
      <c r="GN186" t="s">
        <v>4353</v>
      </c>
      <c r="GO186" t="s">
        <v>4353</v>
      </c>
      <c r="GP186" t="s">
        <v>4353</v>
      </c>
      <c r="GQ186" t="s">
        <v>4353</v>
      </c>
      <c r="GR186" t="s">
        <v>4353</v>
      </c>
      <c r="GS186" t="s">
        <v>4353</v>
      </c>
      <c r="GT186" t="s">
        <v>4353</v>
      </c>
      <c r="GU186" t="s">
        <v>4353</v>
      </c>
      <c r="GV186" t="s">
        <v>4353</v>
      </c>
      <c r="GW186" t="s">
        <v>4353</v>
      </c>
      <c r="GX186" t="s">
        <v>4353</v>
      </c>
      <c r="GY186" t="s">
        <v>4353</v>
      </c>
      <c r="GZ186" t="s">
        <v>4353</v>
      </c>
      <c r="HA186" t="s">
        <v>4353</v>
      </c>
      <c r="HB186" t="s">
        <v>4353</v>
      </c>
      <c r="HC186" t="s">
        <v>4353</v>
      </c>
      <c r="HD186" t="s">
        <v>4353</v>
      </c>
      <c r="HE186" t="s">
        <v>4353</v>
      </c>
      <c r="HF186" t="s">
        <v>4353</v>
      </c>
      <c r="HG186" t="s">
        <v>4353</v>
      </c>
      <c r="HH186" t="s">
        <v>4353</v>
      </c>
      <c r="HI186" t="s">
        <v>4353</v>
      </c>
      <c r="HJ186" t="s">
        <v>4353</v>
      </c>
      <c r="HK186" t="s">
        <v>4353</v>
      </c>
      <c r="HL186" t="s">
        <v>4356</v>
      </c>
      <c r="HM186" t="s">
        <v>4356</v>
      </c>
      <c r="HN186" t="s">
        <v>4356</v>
      </c>
      <c r="HO186" t="s">
        <v>4356</v>
      </c>
      <c r="HP186" t="s">
        <v>4356</v>
      </c>
      <c r="HQ186" t="s">
        <v>4356</v>
      </c>
      <c r="HR186" t="s">
        <v>4356</v>
      </c>
      <c r="HS186" t="s">
        <v>4356</v>
      </c>
      <c r="HT186" t="s">
        <v>4356</v>
      </c>
      <c r="HU186" t="s">
        <v>4356</v>
      </c>
      <c r="HV186" t="s">
        <v>4356</v>
      </c>
      <c r="HW186" t="s">
        <v>4356</v>
      </c>
      <c r="HX186" t="s">
        <v>4356</v>
      </c>
      <c r="HY186" t="s">
        <v>4356</v>
      </c>
      <c r="HZ186" t="s">
        <v>4356</v>
      </c>
      <c r="IA186" t="s">
        <v>4356</v>
      </c>
      <c r="IB186" t="s">
        <v>4356</v>
      </c>
      <c r="IC186" t="s">
        <v>4356</v>
      </c>
      <c r="ID186" t="s">
        <v>4356</v>
      </c>
      <c r="IE186" t="s">
        <v>4356</v>
      </c>
      <c r="IF186" t="s">
        <v>4356</v>
      </c>
      <c r="IG186" t="s">
        <v>4356</v>
      </c>
      <c r="IH186" t="s">
        <v>4356</v>
      </c>
      <c r="II186" t="s">
        <v>4356</v>
      </c>
      <c r="IJ186" t="s">
        <v>4356</v>
      </c>
      <c r="IK186" t="s">
        <v>4356</v>
      </c>
      <c r="IL186" t="s">
        <v>4356</v>
      </c>
      <c r="IM186" t="s">
        <v>4356</v>
      </c>
      <c r="IN186" t="s">
        <v>4356</v>
      </c>
      <c r="IO186" t="s">
        <v>4356</v>
      </c>
      <c r="IP186" t="s">
        <v>4356</v>
      </c>
      <c r="IQ186" t="s">
        <v>4356</v>
      </c>
      <c r="IR186" t="s">
        <v>4356</v>
      </c>
      <c r="IS186" t="s">
        <v>4356</v>
      </c>
      <c r="IT186" t="s">
        <v>4356</v>
      </c>
      <c r="IU186" t="s">
        <v>4356</v>
      </c>
      <c r="IV186" t="s">
        <v>4356</v>
      </c>
      <c r="IW186" t="s">
        <v>4356</v>
      </c>
      <c r="IX186" t="s">
        <v>4356</v>
      </c>
      <c r="IY186" t="s">
        <v>4356</v>
      </c>
      <c r="IZ186" t="s">
        <v>4356</v>
      </c>
      <c r="JA186" t="s">
        <v>4356</v>
      </c>
      <c r="JB186" t="s">
        <v>4356</v>
      </c>
      <c r="JC186" t="s">
        <v>4356</v>
      </c>
      <c r="JD186" t="s">
        <v>4356</v>
      </c>
      <c r="JE186" t="s">
        <v>4356</v>
      </c>
      <c r="JF186" t="s">
        <v>4356</v>
      </c>
      <c r="JG186" t="s">
        <v>4356</v>
      </c>
      <c r="JH186" t="s">
        <v>4356</v>
      </c>
      <c r="JI186" t="s">
        <v>4356</v>
      </c>
      <c r="JJ186" t="s">
        <v>4356</v>
      </c>
      <c r="JK186" t="s">
        <v>4356</v>
      </c>
      <c r="JL186" t="s">
        <v>4356</v>
      </c>
      <c r="JM186" t="s">
        <v>4356</v>
      </c>
      <c r="JN186" t="s">
        <v>4356</v>
      </c>
      <c r="JO186" t="s">
        <v>4356</v>
      </c>
      <c r="JP186" t="s">
        <v>4356</v>
      </c>
      <c r="JQ186" t="s">
        <v>4356</v>
      </c>
      <c r="JR186" t="s">
        <v>4356</v>
      </c>
      <c r="JS186" t="s">
        <v>4356</v>
      </c>
      <c r="JT186" t="s">
        <v>4356</v>
      </c>
      <c r="JU186" t="s">
        <v>4356</v>
      </c>
    </row>
    <row r="187" spans="43:281" x14ac:dyDescent="0.3">
      <c r="AQ187" t="s">
        <v>4377</v>
      </c>
      <c r="AR187" t="s">
        <v>4377</v>
      </c>
      <c r="AS187" t="s">
        <v>4377</v>
      </c>
      <c r="AT187" t="s">
        <v>4377</v>
      </c>
      <c r="AU187" t="s">
        <v>4377</v>
      </c>
      <c r="AV187" t="s">
        <v>4377</v>
      </c>
      <c r="BA187" t="s">
        <v>4375</v>
      </c>
      <c r="BB187" t="s">
        <v>4375</v>
      </c>
      <c r="BC187" t="s">
        <v>4375</v>
      </c>
      <c r="BD187" t="s">
        <v>4375</v>
      </c>
      <c r="BE187" t="s">
        <v>4375</v>
      </c>
      <c r="BF187" t="s">
        <v>4375</v>
      </c>
      <c r="BG187" t="s">
        <v>4375</v>
      </c>
      <c r="BH187" t="s">
        <v>4375</v>
      </c>
      <c r="BI187" t="s">
        <v>4375</v>
      </c>
      <c r="BJ187" t="s">
        <v>4375</v>
      </c>
      <c r="BK187" t="s">
        <v>4375</v>
      </c>
      <c r="BL187" t="s">
        <v>4375</v>
      </c>
      <c r="BS187" t="s">
        <v>4376</v>
      </c>
      <c r="BT187" t="s">
        <v>4376</v>
      </c>
      <c r="BU187" t="s">
        <v>4376</v>
      </c>
      <c r="BV187" t="s">
        <v>4376</v>
      </c>
      <c r="BW187" t="s">
        <v>4376</v>
      </c>
      <c r="BX187" t="s">
        <v>4371</v>
      </c>
      <c r="BY187" t="s">
        <v>4371</v>
      </c>
      <c r="BZ187" t="s">
        <v>4371</v>
      </c>
      <c r="CA187" t="s">
        <v>4371</v>
      </c>
      <c r="CB187" t="s">
        <v>4371</v>
      </c>
      <c r="CC187" t="s">
        <v>4371</v>
      </c>
      <c r="CD187" t="s">
        <v>4371</v>
      </c>
      <c r="CE187" t="s">
        <v>4371</v>
      </c>
      <c r="CF187" t="s">
        <v>4371</v>
      </c>
      <c r="CG187" t="s">
        <v>4371</v>
      </c>
      <c r="CH187" t="s">
        <v>4371</v>
      </c>
      <c r="CI187" t="s">
        <v>4371</v>
      </c>
      <c r="CJ187" t="s">
        <v>4371</v>
      </c>
      <c r="CK187" t="s">
        <v>4371</v>
      </c>
      <c r="CL187" t="s">
        <v>4371</v>
      </c>
      <c r="CM187" t="s">
        <v>4374</v>
      </c>
      <c r="CN187" t="s">
        <v>4374</v>
      </c>
      <c r="CO187" t="s">
        <v>4374</v>
      </c>
      <c r="CP187" t="s">
        <v>4374</v>
      </c>
      <c r="CQ187" t="s">
        <v>4374</v>
      </c>
      <c r="CR187" t="s">
        <v>4374</v>
      </c>
      <c r="CS187" t="s">
        <v>4374</v>
      </c>
      <c r="CT187" t="s">
        <v>4374</v>
      </c>
      <c r="CU187" t="s">
        <v>4374</v>
      </c>
      <c r="CV187" t="s">
        <v>4374</v>
      </c>
      <c r="CW187" t="s">
        <v>4374</v>
      </c>
      <c r="CX187" t="s">
        <v>4374</v>
      </c>
      <c r="CY187" t="s">
        <v>4374</v>
      </c>
      <c r="CZ187" t="s">
        <v>4374</v>
      </c>
      <c r="DA187" t="s">
        <v>4374</v>
      </c>
      <c r="DB187" t="s">
        <v>4374</v>
      </c>
      <c r="DC187" t="s">
        <v>4374</v>
      </c>
      <c r="DD187" t="s">
        <v>4374</v>
      </c>
      <c r="DE187" t="s">
        <v>4374</v>
      </c>
      <c r="DF187" t="s">
        <v>4378</v>
      </c>
      <c r="DG187" t="s">
        <v>4378</v>
      </c>
      <c r="DH187" t="s">
        <v>4378</v>
      </c>
      <c r="DI187" t="s">
        <v>4378</v>
      </c>
      <c r="DJ187" t="s">
        <v>4378</v>
      </c>
      <c r="DK187" t="s">
        <v>4378</v>
      </c>
      <c r="DL187" t="s">
        <v>4378</v>
      </c>
      <c r="DM187" t="s">
        <v>4378</v>
      </c>
      <c r="DN187" t="s">
        <v>4378</v>
      </c>
      <c r="DO187" t="s">
        <v>4378</v>
      </c>
      <c r="DP187" t="s">
        <v>4378</v>
      </c>
      <c r="DQ187" t="s">
        <v>4378</v>
      </c>
      <c r="DR187" t="s">
        <v>4378</v>
      </c>
      <c r="DS187" t="s">
        <v>4378</v>
      </c>
      <c r="DT187" t="s">
        <v>4378</v>
      </c>
      <c r="DU187" t="s">
        <v>4356</v>
      </c>
      <c r="DV187" t="s">
        <v>4356</v>
      </c>
      <c r="DW187" t="s">
        <v>4356</v>
      </c>
      <c r="DX187" t="s">
        <v>4356</v>
      </c>
      <c r="DY187" t="s">
        <v>4356</v>
      </c>
      <c r="DZ187" t="s">
        <v>4356</v>
      </c>
      <c r="EA187" t="s">
        <v>4356</v>
      </c>
      <c r="EB187" t="s">
        <v>4356</v>
      </c>
      <c r="EC187" t="s">
        <v>4356</v>
      </c>
      <c r="ED187" t="s">
        <v>4356</v>
      </c>
      <c r="EE187" t="s">
        <v>4356</v>
      </c>
      <c r="EF187" t="s">
        <v>4356</v>
      </c>
      <c r="EG187" t="s">
        <v>4356</v>
      </c>
      <c r="EH187" t="s">
        <v>4356</v>
      </c>
      <c r="EI187" t="s">
        <v>4356</v>
      </c>
      <c r="EJ187" t="s">
        <v>4356</v>
      </c>
      <c r="EK187" t="s">
        <v>4356</v>
      </c>
      <c r="EL187" t="s">
        <v>4356</v>
      </c>
      <c r="EM187" t="s">
        <v>4356</v>
      </c>
      <c r="EN187" t="s">
        <v>4356</v>
      </c>
      <c r="EO187" t="s">
        <v>4356</v>
      </c>
      <c r="EP187" t="s">
        <v>4356</v>
      </c>
      <c r="EQ187" t="s">
        <v>4356</v>
      </c>
      <c r="ER187" t="s">
        <v>4356</v>
      </c>
      <c r="ES187" t="s">
        <v>4356</v>
      </c>
      <c r="ET187" t="s">
        <v>4356</v>
      </c>
      <c r="EU187" t="s">
        <v>4356</v>
      </c>
      <c r="EV187" t="s">
        <v>4356</v>
      </c>
      <c r="EW187" t="s">
        <v>4356</v>
      </c>
      <c r="EX187" t="s">
        <v>4356</v>
      </c>
      <c r="EY187" t="s">
        <v>4356</v>
      </c>
      <c r="EZ187" t="s">
        <v>4356</v>
      </c>
      <c r="FA187" t="s">
        <v>4356</v>
      </c>
      <c r="FB187" t="s">
        <v>4356</v>
      </c>
      <c r="FC187" t="s">
        <v>4356</v>
      </c>
      <c r="FD187" t="s">
        <v>4356</v>
      </c>
      <c r="FE187" t="s">
        <v>4356</v>
      </c>
      <c r="FF187" t="s">
        <v>4356</v>
      </c>
      <c r="FG187" t="s">
        <v>4356</v>
      </c>
      <c r="FH187" t="s">
        <v>4356</v>
      </c>
      <c r="FI187" t="s">
        <v>4356</v>
      </c>
      <c r="FJ187" t="s">
        <v>4356</v>
      </c>
      <c r="FK187" t="s">
        <v>4356</v>
      </c>
      <c r="FL187" t="s">
        <v>4356</v>
      </c>
      <c r="FM187" t="s">
        <v>4356</v>
      </c>
      <c r="FN187" t="s">
        <v>4356</v>
      </c>
      <c r="FO187" t="s">
        <v>4356</v>
      </c>
      <c r="FP187" t="s">
        <v>4356</v>
      </c>
      <c r="FQ187" t="s">
        <v>4356</v>
      </c>
      <c r="FR187" t="s">
        <v>4356</v>
      </c>
      <c r="FS187" t="s">
        <v>4356</v>
      </c>
      <c r="FT187" t="s">
        <v>4356</v>
      </c>
      <c r="FU187" t="s">
        <v>4356</v>
      </c>
      <c r="FV187" t="s">
        <v>4356</v>
      </c>
      <c r="FW187" t="s">
        <v>4356</v>
      </c>
      <c r="FX187" t="s">
        <v>4356</v>
      </c>
      <c r="FY187" t="s">
        <v>4356</v>
      </c>
      <c r="FZ187" t="s">
        <v>4356</v>
      </c>
      <c r="GA187" t="s">
        <v>4356</v>
      </c>
      <c r="GB187" t="s">
        <v>4353</v>
      </c>
      <c r="GC187" t="s">
        <v>4353</v>
      </c>
      <c r="GD187" t="s">
        <v>4353</v>
      </c>
      <c r="GE187" t="s">
        <v>4353</v>
      </c>
      <c r="GF187" t="s">
        <v>4353</v>
      </c>
      <c r="GG187" t="s">
        <v>4353</v>
      </c>
      <c r="GH187" t="s">
        <v>4353</v>
      </c>
      <c r="GI187" t="s">
        <v>4353</v>
      </c>
      <c r="GJ187" t="s">
        <v>4353</v>
      </c>
      <c r="GK187" t="s">
        <v>4353</v>
      </c>
      <c r="GL187" t="s">
        <v>4353</v>
      </c>
      <c r="GM187" t="s">
        <v>4353</v>
      </c>
      <c r="GN187" t="s">
        <v>4353</v>
      </c>
      <c r="GO187" t="s">
        <v>4353</v>
      </c>
      <c r="GP187" t="s">
        <v>4353</v>
      </c>
      <c r="GQ187" t="s">
        <v>4353</v>
      </c>
      <c r="GR187" t="s">
        <v>4353</v>
      </c>
      <c r="GS187" t="s">
        <v>4353</v>
      </c>
      <c r="GT187" t="s">
        <v>4353</v>
      </c>
      <c r="GU187" t="s">
        <v>4353</v>
      </c>
      <c r="GV187" t="s">
        <v>4353</v>
      </c>
      <c r="GW187" t="s">
        <v>4353</v>
      </c>
      <c r="GX187" t="s">
        <v>4353</v>
      </c>
      <c r="GY187" t="s">
        <v>4353</v>
      </c>
      <c r="GZ187" t="s">
        <v>4353</v>
      </c>
      <c r="HA187" t="s">
        <v>4353</v>
      </c>
      <c r="HB187" t="s">
        <v>4353</v>
      </c>
      <c r="HC187" t="s">
        <v>4353</v>
      </c>
      <c r="HD187" t="s">
        <v>4353</v>
      </c>
      <c r="HE187" t="s">
        <v>4353</v>
      </c>
      <c r="HF187" t="s">
        <v>4353</v>
      </c>
      <c r="HG187" t="s">
        <v>4353</v>
      </c>
      <c r="HH187" t="s">
        <v>4353</v>
      </c>
      <c r="HI187" t="s">
        <v>4353</v>
      </c>
      <c r="HJ187" t="s">
        <v>4353</v>
      </c>
      <c r="HK187" t="s">
        <v>4356</v>
      </c>
      <c r="HL187" t="s">
        <v>4356</v>
      </c>
      <c r="HM187" t="s">
        <v>4356</v>
      </c>
      <c r="HN187" t="s">
        <v>4356</v>
      </c>
      <c r="HO187" t="s">
        <v>4356</v>
      </c>
      <c r="HP187" t="s">
        <v>4356</v>
      </c>
      <c r="HQ187" t="s">
        <v>4356</v>
      </c>
      <c r="HR187" t="s">
        <v>4356</v>
      </c>
      <c r="HS187" t="s">
        <v>4356</v>
      </c>
      <c r="HT187" t="s">
        <v>4356</v>
      </c>
      <c r="HU187" t="s">
        <v>4356</v>
      </c>
      <c r="HV187" t="s">
        <v>4356</v>
      </c>
      <c r="HW187" t="s">
        <v>4356</v>
      </c>
      <c r="HX187" t="s">
        <v>4356</v>
      </c>
      <c r="HY187" t="s">
        <v>4356</v>
      </c>
      <c r="HZ187" t="s">
        <v>4356</v>
      </c>
      <c r="IA187" t="s">
        <v>4356</v>
      </c>
      <c r="IB187" t="s">
        <v>4356</v>
      </c>
      <c r="IC187" t="s">
        <v>4356</v>
      </c>
      <c r="ID187" t="s">
        <v>4356</v>
      </c>
      <c r="IE187" t="s">
        <v>4356</v>
      </c>
      <c r="IF187" t="s">
        <v>4356</v>
      </c>
      <c r="IG187" t="s">
        <v>4356</v>
      </c>
      <c r="IH187" t="s">
        <v>4356</v>
      </c>
      <c r="II187" t="s">
        <v>4356</v>
      </c>
      <c r="IJ187" t="s">
        <v>4356</v>
      </c>
      <c r="IK187" t="s">
        <v>4356</v>
      </c>
      <c r="IL187" t="s">
        <v>4356</v>
      </c>
      <c r="IM187" t="s">
        <v>4356</v>
      </c>
      <c r="IN187" t="s">
        <v>4356</v>
      </c>
      <c r="IO187" t="s">
        <v>4356</v>
      </c>
      <c r="IP187" t="s">
        <v>4356</v>
      </c>
      <c r="IQ187" t="s">
        <v>4356</v>
      </c>
      <c r="IR187" t="s">
        <v>4356</v>
      </c>
      <c r="IS187" t="s">
        <v>4356</v>
      </c>
      <c r="IT187" t="s">
        <v>4356</v>
      </c>
      <c r="IU187" t="s">
        <v>4356</v>
      </c>
      <c r="IV187" t="s">
        <v>4356</v>
      </c>
      <c r="IW187" t="s">
        <v>4356</v>
      </c>
      <c r="IX187" t="s">
        <v>4356</v>
      </c>
      <c r="IY187" t="s">
        <v>4356</v>
      </c>
      <c r="IZ187" t="s">
        <v>4356</v>
      </c>
      <c r="JA187" t="s">
        <v>4356</v>
      </c>
      <c r="JB187" t="s">
        <v>4356</v>
      </c>
      <c r="JC187" t="s">
        <v>4356</v>
      </c>
      <c r="JD187" t="s">
        <v>4356</v>
      </c>
      <c r="JE187" t="s">
        <v>4356</v>
      </c>
      <c r="JF187" t="s">
        <v>4356</v>
      </c>
      <c r="JG187" t="s">
        <v>4356</v>
      </c>
      <c r="JH187" t="s">
        <v>4356</v>
      </c>
      <c r="JI187" t="s">
        <v>4356</v>
      </c>
      <c r="JJ187" t="s">
        <v>4356</v>
      </c>
      <c r="JK187" t="s">
        <v>4356</v>
      </c>
      <c r="JL187" t="s">
        <v>4356</v>
      </c>
      <c r="JM187" t="s">
        <v>4356</v>
      </c>
      <c r="JN187" t="s">
        <v>4356</v>
      </c>
      <c r="JO187" t="s">
        <v>4356</v>
      </c>
      <c r="JP187" t="s">
        <v>4356</v>
      </c>
      <c r="JQ187" t="s">
        <v>4356</v>
      </c>
      <c r="JR187" t="s">
        <v>4356</v>
      </c>
      <c r="JS187" t="s">
        <v>4356</v>
      </c>
      <c r="JT187" t="s">
        <v>4356</v>
      </c>
      <c r="JU187" t="s">
        <v>4356</v>
      </c>
    </row>
    <row r="188" spans="43:281" x14ac:dyDescent="0.3">
      <c r="AQ188" t="s">
        <v>4377</v>
      </c>
      <c r="AR188" t="s">
        <v>4377</v>
      </c>
      <c r="AS188" t="s">
        <v>4377</v>
      </c>
      <c r="AT188" t="s">
        <v>4377</v>
      </c>
      <c r="AU188" t="s">
        <v>4377</v>
      </c>
      <c r="AV188" t="s">
        <v>4377</v>
      </c>
      <c r="AW188" t="s">
        <v>4377</v>
      </c>
      <c r="BA188" t="s">
        <v>4375</v>
      </c>
      <c r="BB188" t="s">
        <v>4375</v>
      </c>
      <c r="BC188" t="s">
        <v>4375</v>
      </c>
      <c r="BD188" t="s">
        <v>4375</v>
      </c>
      <c r="BE188" t="s">
        <v>4375</v>
      </c>
      <c r="BF188" t="s">
        <v>4375</v>
      </c>
      <c r="BG188" t="s">
        <v>4375</v>
      </c>
      <c r="BH188" t="s">
        <v>4375</v>
      </c>
      <c r="BI188" t="s">
        <v>4375</v>
      </c>
      <c r="BT188" t="s">
        <v>4376</v>
      </c>
      <c r="BU188" t="s">
        <v>4376</v>
      </c>
      <c r="BV188" t="s">
        <v>4376</v>
      </c>
      <c r="BW188" t="s">
        <v>4376</v>
      </c>
      <c r="BX188" t="s">
        <v>4371</v>
      </c>
      <c r="BY188" t="s">
        <v>4371</v>
      </c>
      <c r="BZ188" t="s">
        <v>4371</v>
      </c>
      <c r="CA188" t="s">
        <v>4371</v>
      </c>
      <c r="CB188" t="s">
        <v>4371</v>
      </c>
      <c r="CC188" t="s">
        <v>4371</v>
      </c>
      <c r="CD188" t="s">
        <v>4371</v>
      </c>
      <c r="CE188" t="s">
        <v>4371</v>
      </c>
      <c r="CF188" t="s">
        <v>4371</v>
      </c>
      <c r="CG188" t="s">
        <v>4371</v>
      </c>
      <c r="CH188" t="s">
        <v>4371</v>
      </c>
      <c r="CI188" t="s">
        <v>4371</v>
      </c>
      <c r="CJ188" t="s">
        <v>4371</v>
      </c>
      <c r="CK188" t="s">
        <v>4371</v>
      </c>
      <c r="CL188" t="s">
        <v>4371</v>
      </c>
      <c r="CM188" t="s">
        <v>4374</v>
      </c>
      <c r="CN188" t="s">
        <v>4374</v>
      </c>
      <c r="CO188" t="s">
        <v>4374</v>
      </c>
      <c r="CP188" t="s">
        <v>4374</v>
      </c>
      <c r="CQ188" t="s">
        <v>4374</v>
      </c>
      <c r="CR188" t="s">
        <v>4374</v>
      </c>
      <c r="CS188" t="s">
        <v>4374</v>
      </c>
      <c r="CT188" t="s">
        <v>4374</v>
      </c>
      <c r="CU188" t="s">
        <v>4374</v>
      </c>
      <c r="CV188" t="s">
        <v>4374</v>
      </c>
      <c r="CW188" t="s">
        <v>4374</v>
      </c>
      <c r="CX188" t="s">
        <v>4374</v>
      </c>
      <c r="CY188" t="s">
        <v>4374</v>
      </c>
      <c r="CZ188" t="s">
        <v>4374</v>
      </c>
      <c r="DA188" t="s">
        <v>4374</v>
      </c>
      <c r="DB188" t="s">
        <v>4374</v>
      </c>
      <c r="DC188" t="s">
        <v>4374</v>
      </c>
      <c r="DD188" t="s">
        <v>4374</v>
      </c>
      <c r="DE188" t="s">
        <v>4378</v>
      </c>
      <c r="DF188" t="s">
        <v>4378</v>
      </c>
      <c r="DG188" t="s">
        <v>4378</v>
      </c>
      <c r="DH188" t="s">
        <v>4378</v>
      </c>
      <c r="DI188" t="s">
        <v>4378</v>
      </c>
      <c r="DJ188" t="s">
        <v>4378</v>
      </c>
      <c r="DK188" t="s">
        <v>4378</v>
      </c>
      <c r="DL188" t="s">
        <v>4378</v>
      </c>
      <c r="DM188" t="s">
        <v>4378</v>
      </c>
      <c r="DN188" t="s">
        <v>4378</v>
      </c>
      <c r="DO188" t="s">
        <v>4378</v>
      </c>
      <c r="DP188" t="s">
        <v>4378</v>
      </c>
      <c r="DQ188" t="s">
        <v>4378</v>
      </c>
      <c r="DR188" t="s">
        <v>4378</v>
      </c>
      <c r="DS188" t="s">
        <v>4378</v>
      </c>
      <c r="DT188" t="s">
        <v>4378</v>
      </c>
      <c r="DU188" t="s">
        <v>4378</v>
      </c>
      <c r="DV188" t="s">
        <v>4378</v>
      </c>
      <c r="DW188" t="s">
        <v>4356</v>
      </c>
      <c r="DX188" t="s">
        <v>4356</v>
      </c>
      <c r="DY188" t="s">
        <v>4356</v>
      </c>
      <c r="DZ188" t="s">
        <v>4356</v>
      </c>
      <c r="EA188" t="s">
        <v>4356</v>
      </c>
      <c r="EB188" t="s">
        <v>4356</v>
      </c>
      <c r="EC188" t="s">
        <v>4356</v>
      </c>
      <c r="ED188" t="s">
        <v>4356</v>
      </c>
      <c r="EE188" t="s">
        <v>4356</v>
      </c>
      <c r="EF188" t="s">
        <v>4356</v>
      </c>
      <c r="EG188" t="s">
        <v>4356</v>
      </c>
      <c r="EH188" t="s">
        <v>4356</v>
      </c>
      <c r="EI188" t="s">
        <v>4356</v>
      </c>
      <c r="EJ188" t="s">
        <v>4356</v>
      </c>
      <c r="EK188" t="s">
        <v>4356</v>
      </c>
      <c r="EL188" t="s">
        <v>4356</v>
      </c>
      <c r="EM188" t="s">
        <v>4356</v>
      </c>
      <c r="EN188" t="s">
        <v>4356</v>
      </c>
      <c r="EO188" t="s">
        <v>4356</v>
      </c>
      <c r="EP188" t="s">
        <v>4356</v>
      </c>
      <c r="EQ188" t="s">
        <v>4356</v>
      </c>
      <c r="ER188" t="s">
        <v>4356</v>
      </c>
      <c r="ES188" t="s">
        <v>4356</v>
      </c>
      <c r="ET188" t="s">
        <v>4356</v>
      </c>
      <c r="EU188" t="s">
        <v>4356</v>
      </c>
      <c r="EV188" t="s">
        <v>4356</v>
      </c>
      <c r="EW188" t="s">
        <v>4356</v>
      </c>
      <c r="EX188" t="s">
        <v>4356</v>
      </c>
      <c r="EY188" t="s">
        <v>4356</v>
      </c>
      <c r="EZ188" t="s">
        <v>4356</v>
      </c>
      <c r="FA188" t="s">
        <v>4356</v>
      </c>
      <c r="FB188" t="s">
        <v>4356</v>
      </c>
      <c r="FC188" t="s">
        <v>4356</v>
      </c>
      <c r="FD188" t="s">
        <v>4356</v>
      </c>
      <c r="FE188" t="s">
        <v>4356</v>
      </c>
      <c r="FF188" t="s">
        <v>4356</v>
      </c>
      <c r="FG188" t="s">
        <v>4356</v>
      </c>
      <c r="FH188" t="s">
        <v>4356</v>
      </c>
      <c r="FI188" t="s">
        <v>4356</v>
      </c>
      <c r="FJ188" t="s">
        <v>4356</v>
      </c>
      <c r="FK188" t="s">
        <v>4356</v>
      </c>
      <c r="FL188" t="s">
        <v>4356</v>
      </c>
      <c r="FM188" t="s">
        <v>4356</v>
      </c>
      <c r="FN188" t="s">
        <v>4356</v>
      </c>
      <c r="FO188" t="s">
        <v>4356</v>
      </c>
      <c r="FP188" t="s">
        <v>4356</v>
      </c>
      <c r="FQ188" t="s">
        <v>4356</v>
      </c>
      <c r="FR188" t="s">
        <v>4356</v>
      </c>
      <c r="FS188" t="s">
        <v>4356</v>
      </c>
      <c r="FT188" t="s">
        <v>4356</v>
      </c>
      <c r="FU188" t="s">
        <v>4356</v>
      </c>
      <c r="FV188" t="s">
        <v>4356</v>
      </c>
      <c r="FW188" t="s">
        <v>4356</v>
      </c>
      <c r="FX188" t="s">
        <v>4356</v>
      </c>
      <c r="FY188" t="s">
        <v>4356</v>
      </c>
      <c r="FZ188" t="s">
        <v>4356</v>
      </c>
      <c r="GA188" t="s">
        <v>4356</v>
      </c>
      <c r="GB188" t="s">
        <v>4356</v>
      </c>
      <c r="GC188" t="s">
        <v>4353</v>
      </c>
      <c r="GD188" t="s">
        <v>4353</v>
      </c>
      <c r="GE188" t="s">
        <v>4353</v>
      </c>
      <c r="GF188" t="s">
        <v>4353</v>
      </c>
      <c r="GG188" t="s">
        <v>4353</v>
      </c>
      <c r="GH188" t="s">
        <v>4353</v>
      </c>
      <c r="GI188" t="s">
        <v>4353</v>
      </c>
      <c r="GJ188" t="s">
        <v>4353</v>
      </c>
      <c r="GK188" t="s">
        <v>4353</v>
      </c>
      <c r="GL188" t="s">
        <v>4353</v>
      </c>
      <c r="GM188" t="s">
        <v>4353</v>
      </c>
      <c r="GN188" t="s">
        <v>4353</v>
      </c>
      <c r="GO188" t="s">
        <v>4353</v>
      </c>
      <c r="GP188" t="s">
        <v>4353</v>
      </c>
      <c r="GQ188" t="s">
        <v>4353</v>
      </c>
      <c r="GR188" t="s">
        <v>4353</v>
      </c>
      <c r="GS188" t="s">
        <v>4353</v>
      </c>
      <c r="GT188" t="s">
        <v>4353</v>
      </c>
      <c r="GU188" t="s">
        <v>4353</v>
      </c>
      <c r="GV188" t="s">
        <v>4353</v>
      </c>
      <c r="GW188" t="s">
        <v>4353</v>
      </c>
      <c r="GX188" t="s">
        <v>4353</v>
      </c>
      <c r="GY188" t="s">
        <v>4353</v>
      </c>
      <c r="GZ188" t="s">
        <v>4353</v>
      </c>
      <c r="HA188" t="s">
        <v>4353</v>
      </c>
      <c r="HB188" t="s">
        <v>4353</v>
      </c>
      <c r="HC188" t="s">
        <v>4353</v>
      </c>
      <c r="HD188" t="s">
        <v>4353</v>
      </c>
      <c r="HE188" t="s">
        <v>4353</v>
      </c>
      <c r="HF188" t="s">
        <v>4353</v>
      </c>
      <c r="HG188" t="s">
        <v>4353</v>
      </c>
      <c r="HH188" t="s">
        <v>4353</v>
      </c>
      <c r="HI188" t="s">
        <v>4353</v>
      </c>
      <c r="HJ188" t="s">
        <v>4356</v>
      </c>
      <c r="HK188" t="s">
        <v>4356</v>
      </c>
      <c r="HL188" t="s">
        <v>4356</v>
      </c>
      <c r="HM188" t="s">
        <v>4356</v>
      </c>
      <c r="HN188" t="s">
        <v>4356</v>
      </c>
      <c r="HO188" t="s">
        <v>4356</v>
      </c>
      <c r="HP188" t="s">
        <v>4356</v>
      </c>
      <c r="HQ188" t="s">
        <v>4356</v>
      </c>
      <c r="HR188" t="s">
        <v>4356</v>
      </c>
      <c r="HS188" t="s">
        <v>4356</v>
      </c>
      <c r="HT188" t="s">
        <v>4356</v>
      </c>
      <c r="HU188" t="s">
        <v>4356</v>
      </c>
      <c r="HV188" t="s">
        <v>4356</v>
      </c>
      <c r="HW188" t="s">
        <v>4356</v>
      </c>
      <c r="HX188" t="s">
        <v>4356</v>
      </c>
      <c r="HY188" t="s">
        <v>4356</v>
      </c>
      <c r="HZ188" t="s">
        <v>4356</v>
      </c>
      <c r="IA188" t="s">
        <v>4356</v>
      </c>
      <c r="IB188" t="s">
        <v>4356</v>
      </c>
      <c r="IC188" t="s">
        <v>4356</v>
      </c>
      <c r="ID188" t="s">
        <v>4356</v>
      </c>
      <c r="IE188" t="s">
        <v>4356</v>
      </c>
      <c r="IF188" t="s">
        <v>4356</v>
      </c>
      <c r="IG188" t="s">
        <v>4356</v>
      </c>
      <c r="IH188" t="s">
        <v>4356</v>
      </c>
      <c r="II188" t="s">
        <v>4356</v>
      </c>
      <c r="IJ188" t="s">
        <v>4356</v>
      </c>
      <c r="IK188" t="s">
        <v>4356</v>
      </c>
      <c r="IL188" t="s">
        <v>4356</v>
      </c>
      <c r="IM188" t="s">
        <v>4356</v>
      </c>
      <c r="IN188" t="s">
        <v>4356</v>
      </c>
      <c r="IO188" t="s">
        <v>4356</v>
      </c>
      <c r="IP188" t="s">
        <v>4356</v>
      </c>
      <c r="IQ188" t="s">
        <v>4356</v>
      </c>
      <c r="IR188" t="s">
        <v>4356</v>
      </c>
      <c r="IS188" t="s">
        <v>4356</v>
      </c>
      <c r="IT188" t="s">
        <v>4356</v>
      </c>
      <c r="IU188" t="s">
        <v>4356</v>
      </c>
      <c r="IV188" t="s">
        <v>4356</v>
      </c>
      <c r="IW188" t="s">
        <v>4356</v>
      </c>
      <c r="IX188" t="s">
        <v>4356</v>
      </c>
      <c r="IY188" t="s">
        <v>4356</v>
      </c>
      <c r="IZ188" t="s">
        <v>4356</v>
      </c>
      <c r="JA188" t="s">
        <v>4356</v>
      </c>
      <c r="JB188" t="s">
        <v>4356</v>
      </c>
      <c r="JC188" t="s">
        <v>4356</v>
      </c>
      <c r="JD188" t="s">
        <v>4356</v>
      </c>
      <c r="JE188" t="s">
        <v>4356</v>
      </c>
      <c r="JF188" t="s">
        <v>4356</v>
      </c>
      <c r="JG188" t="s">
        <v>4356</v>
      </c>
      <c r="JH188" t="s">
        <v>4356</v>
      </c>
      <c r="JI188" t="s">
        <v>4356</v>
      </c>
      <c r="JJ188" t="s">
        <v>4356</v>
      </c>
      <c r="JK188" t="s">
        <v>4356</v>
      </c>
      <c r="JL188" t="s">
        <v>4356</v>
      </c>
      <c r="JM188" t="s">
        <v>4356</v>
      </c>
      <c r="JN188" t="s">
        <v>4356</v>
      </c>
      <c r="JO188" t="s">
        <v>4356</v>
      </c>
      <c r="JP188" t="s">
        <v>4356</v>
      </c>
      <c r="JQ188" t="s">
        <v>4356</v>
      </c>
      <c r="JR188" t="s">
        <v>4356</v>
      </c>
      <c r="JS188" t="s">
        <v>4356</v>
      </c>
      <c r="JT188" t="s">
        <v>4356</v>
      </c>
      <c r="JU188" t="s">
        <v>4356</v>
      </c>
    </row>
    <row r="189" spans="43:281" x14ac:dyDescent="0.3">
      <c r="AQ189" t="s">
        <v>4377</v>
      </c>
      <c r="AR189" t="s">
        <v>4377</v>
      </c>
      <c r="AS189" t="s">
        <v>4377</v>
      </c>
      <c r="AT189" t="s">
        <v>4377</v>
      </c>
      <c r="AU189" t="s">
        <v>4377</v>
      </c>
      <c r="AV189" t="s">
        <v>4377</v>
      </c>
      <c r="AW189" t="s">
        <v>4377</v>
      </c>
      <c r="BD189" t="s">
        <v>4375</v>
      </c>
      <c r="BE189" t="s">
        <v>4375</v>
      </c>
      <c r="BF189" t="s">
        <v>4375</v>
      </c>
      <c r="BG189" t="s">
        <v>4375</v>
      </c>
      <c r="BH189" t="s">
        <v>4375</v>
      </c>
      <c r="BI189" t="s">
        <v>4375</v>
      </c>
      <c r="CA189" t="s">
        <v>4371</v>
      </c>
      <c r="CB189" t="s">
        <v>4371</v>
      </c>
      <c r="CC189" t="s">
        <v>4371</v>
      </c>
      <c r="CD189" t="s">
        <v>4371</v>
      </c>
      <c r="CE189" t="s">
        <v>4371</v>
      </c>
      <c r="CF189" t="s">
        <v>4371</v>
      </c>
      <c r="CG189" t="s">
        <v>4371</v>
      </c>
      <c r="CH189" t="s">
        <v>4371</v>
      </c>
      <c r="CI189" t="s">
        <v>4371</v>
      </c>
      <c r="CJ189" t="s">
        <v>4371</v>
      </c>
      <c r="CK189" t="s">
        <v>4371</v>
      </c>
      <c r="CL189" t="s">
        <v>4374</v>
      </c>
      <c r="CM189" t="s">
        <v>4374</v>
      </c>
      <c r="CN189" t="s">
        <v>4374</v>
      </c>
      <c r="CO189" t="s">
        <v>4374</v>
      </c>
      <c r="CP189" t="s">
        <v>4374</v>
      </c>
      <c r="CQ189" t="s">
        <v>4374</v>
      </c>
      <c r="CR189" t="s">
        <v>4374</v>
      </c>
      <c r="CS189" t="s">
        <v>4374</v>
      </c>
      <c r="CT189" t="s">
        <v>4374</v>
      </c>
      <c r="CU189" t="s">
        <v>4374</v>
      </c>
      <c r="CV189" t="s">
        <v>4374</v>
      </c>
      <c r="CW189" t="s">
        <v>4374</v>
      </c>
      <c r="CX189" t="s">
        <v>4374</v>
      </c>
      <c r="CY189" t="s">
        <v>4374</v>
      </c>
      <c r="CZ189" t="s">
        <v>4374</v>
      </c>
      <c r="DA189" t="s">
        <v>4374</v>
      </c>
      <c r="DB189" t="s">
        <v>4374</v>
      </c>
      <c r="DC189" t="s">
        <v>4374</v>
      </c>
      <c r="DD189" t="s">
        <v>4374</v>
      </c>
      <c r="DE189" t="s">
        <v>4378</v>
      </c>
      <c r="DF189" t="s">
        <v>4378</v>
      </c>
      <c r="DG189" t="s">
        <v>4378</v>
      </c>
      <c r="DH189" t="s">
        <v>4378</v>
      </c>
      <c r="DI189" t="s">
        <v>4378</v>
      </c>
      <c r="DJ189" t="s">
        <v>4378</v>
      </c>
      <c r="DK189" t="s">
        <v>4378</v>
      </c>
      <c r="DL189" t="s">
        <v>4378</v>
      </c>
      <c r="DM189" t="s">
        <v>4378</v>
      </c>
      <c r="DN189" t="s">
        <v>4378</v>
      </c>
      <c r="DO189" t="s">
        <v>4378</v>
      </c>
      <c r="DP189" t="s">
        <v>4378</v>
      </c>
      <c r="DQ189" t="s">
        <v>4378</v>
      </c>
      <c r="DR189" t="s">
        <v>4378</v>
      </c>
      <c r="DS189" t="s">
        <v>4378</v>
      </c>
      <c r="DT189" t="s">
        <v>4378</v>
      </c>
      <c r="DU189" t="s">
        <v>4378</v>
      </c>
      <c r="DV189" t="s">
        <v>4356</v>
      </c>
      <c r="DW189" t="s">
        <v>4356</v>
      </c>
      <c r="DX189" t="s">
        <v>4356</v>
      </c>
      <c r="DY189" t="s">
        <v>4356</v>
      </c>
      <c r="DZ189" t="s">
        <v>4356</v>
      </c>
      <c r="EA189" t="s">
        <v>4356</v>
      </c>
      <c r="EB189" t="s">
        <v>4356</v>
      </c>
      <c r="EC189" t="s">
        <v>4356</v>
      </c>
      <c r="ED189" t="s">
        <v>4356</v>
      </c>
      <c r="EE189" t="s">
        <v>4356</v>
      </c>
      <c r="EF189" t="s">
        <v>4356</v>
      </c>
      <c r="EG189" t="s">
        <v>4356</v>
      </c>
      <c r="EH189" t="s">
        <v>4356</v>
      </c>
      <c r="EI189" t="s">
        <v>4356</v>
      </c>
      <c r="EJ189" t="s">
        <v>4356</v>
      </c>
      <c r="EK189" t="s">
        <v>4356</v>
      </c>
      <c r="EL189" t="s">
        <v>4356</v>
      </c>
      <c r="EM189" t="s">
        <v>4356</v>
      </c>
      <c r="EN189" t="s">
        <v>4356</v>
      </c>
      <c r="EO189" t="s">
        <v>4356</v>
      </c>
      <c r="EP189" t="s">
        <v>4356</v>
      </c>
      <c r="EQ189" t="s">
        <v>4356</v>
      </c>
      <c r="ER189" t="s">
        <v>4356</v>
      </c>
      <c r="ES189" t="s">
        <v>4356</v>
      </c>
      <c r="ET189" t="s">
        <v>4356</v>
      </c>
      <c r="EU189" t="s">
        <v>4356</v>
      </c>
      <c r="EV189" t="s">
        <v>4356</v>
      </c>
      <c r="EW189" t="s">
        <v>4356</v>
      </c>
      <c r="EX189" t="s">
        <v>4356</v>
      </c>
      <c r="EY189" t="s">
        <v>4356</v>
      </c>
      <c r="EZ189" t="s">
        <v>4356</v>
      </c>
      <c r="FA189" t="s">
        <v>4356</v>
      </c>
      <c r="FB189" t="s">
        <v>4356</v>
      </c>
      <c r="FC189" t="s">
        <v>4356</v>
      </c>
      <c r="FD189" t="s">
        <v>4356</v>
      </c>
      <c r="FE189" t="s">
        <v>4356</v>
      </c>
      <c r="FF189" t="s">
        <v>4356</v>
      </c>
      <c r="FG189" t="s">
        <v>4356</v>
      </c>
      <c r="FH189" t="s">
        <v>4356</v>
      </c>
      <c r="FI189" t="s">
        <v>4356</v>
      </c>
      <c r="FJ189" t="s">
        <v>4356</v>
      </c>
      <c r="FK189" t="s">
        <v>4356</v>
      </c>
      <c r="FL189" t="s">
        <v>4356</v>
      </c>
      <c r="FM189" t="s">
        <v>4356</v>
      </c>
      <c r="FN189" t="s">
        <v>4356</v>
      </c>
      <c r="FO189" t="s">
        <v>4356</v>
      </c>
      <c r="FP189" t="s">
        <v>4356</v>
      </c>
      <c r="FQ189" t="s">
        <v>4356</v>
      </c>
      <c r="FR189" t="s">
        <v>4356</v>
      </c>
      <c r="FS189" t="s">
        <v>4356</v>
      </c>
      <c r="FT189" t="s">
        <v>4356</v>
      </c>
      <c r="FU189" t="s">
        <v>4356</v>
      </c>
      <c r="FV189" t="s">
        <v>4356</v>
      </c>
      <c r="FW189" t="s">
        <v>4356</v>
      </c>
      <c r="FX189" t="s">
        <v>4356</v>
      </c>
      <c r="FY189" t="s">
        <v>4356</v>
      </c>
      <c r="FZ189" t="s">
        <v>4356</v>
      </c>
      <c r="GA189" t="s">
        <v>4356</v>
      </c>
      <c r="GB189" t="s">
        <v>4353</v>
      </c>
      <c r="GC189" t="s">
        <v>4353</v>
      </c>
      <c r="GD189" t="s">
        <v>4353</v>
      </c>
      <c r="GE189" t="s">
        <v>4353</v>
      </c>
      <c r="GF189" t="s">
        <v>4353</v>
      </c>
      <c r="GG189" t="s">
        <v>4353</v>
      </c>
      <c r="GH189" t="s">
        <v>4353</v>
      </c>
      <c r="GI189" t="s">
        <v>4353</v>
      </c>
      <c r="GJ189" t="s">
        <v>4353</v>
      </c>
      <c r="GK189" t="s">
        <v>4353</v>
      </c>
      <c r="GL189" t="s">
        <v>4353</v>
      </c>
      <c r="GM189" t="s">
        <v>4353</v>
      </c>
      <c r="GN189" t="s">
        <v>4353</v>
      </c>
      <c r="GO189" t="s">
        <v>4353</v>
      </c>
      <c r="GP189" t="s">
        <v>4353</v>
      </c>
      <c r="GQ189" t="s">
        <v>4353</v>
      </c>
      <c r="GR189" t="s">
        <v>4353</v>
      </c>
      <c r="GS189" t="s">
        <v>4353</v>
      </c>
      <c r="GT189" t="s">
        <v>4353</v>
      </c>
      <c r="GU189" t="s">
        <v>4353</v>
      </c>
      <c r="GV189" t="s">
        <v>4353</v>
      </c>
      <c r="GW189" t="s">
        <v>4353</v>
      </c>
      <c r="GX189" t="s">
        <v>4353</v>
      </c>
      <c r="GY189" t="s">
        <v>4353</v>
      </c>
      <c r="GZ189" t="s">
        <v>4353</v>
      </c>
      <c r="HA189" t="s">
        <v>4356</v>
      </c>
      <c r="HB189" t="s">
        <v>4356</v>
      </c>
      <c r="HC189" t="s">
        <v>4356</v>
      </c>
      <c r="HD189" t="s">
        <v>4353</v>
      </c>
      <c r="HE189" t="s">
        <v>4353</v>
      </c>
      <c r="HF189" t="s">
        <v>4353</v>
      </c>
      <c r="HG189" t="s">
        <v>4353</v>
      </c>
      <c r="HH189" t="s">
        <v>4356</v>
      </c>
      <c r="HI189" t="s">
        <v>4356</v>
      </c>
      <c r="HJ189" t="s">
        <v>4356</v>
      </c>
      <c r="HK189" t="s">
        <v>4356</v>
      </c>
      <c r="HL189" t="s">
        <v>4356</v>
      </c>
      <c r="HM189" t="s">
        <v>4356</v>
      </c>
      <c r="HN189" t="s">
        <v>4356</v>
      </c>
      <c r="HO189" t="s">
        <v>4356</v>
      </c>
      <c r="HP189" t="s">
        <v>4356</v>
      </c>
      <c r="HQ189" t="s">
        <v>4356</v>
      </c>
      <c r="HR189" t="s">
        <v>4356</v>
      </c>
      <c r="HS189" t="s">
        <v>4356</v>
      </c>
      <c r="HT189" t="s">
        <v>4356</v>
      </c>
      <c r="HU189" t="s">
        <v>4356</v>
      </c>
      <c r="HV189" t="s">
        <v>4356</v>
      </c>
      <c r="HW189" t="s">
        <v>4356</v>
      </c>
      <c r="HX189" t="s">
        <v>4356</v>
      </c>
      <c r="HY189" t="s">
        <v>4356</v>
      </c>
      <c r="HZ189" t="s">
        <v>4356</v>
      </c>
      <c r="IA189" t="s">
        <v>4356</v>
      </c>
      <c r="IB189" t="s">
        <v>4356</v>
      </c>
      <c r="IC189" t="s">
        <v>4356</v>
      </c>
      <c r="ID189" t="s">
        <v>4356</v>
      </c>
      <c r="IE189" t="s">
        <v>4356</v>
      </c>
      <c r="IF189" t="s">
        <v>4356</v>
      </c>
      <c r="IG189" t="s">
        <v>4356</v>
      </c>
      <c r="IH189" t="s">
        <v>4356</v>
      </c>
      <c r="II189" t="s">
        <v>4356</v>
      </c>
      <c r="IJ189" t="s">
        <v>4356</v>
      </c>
      <c r="IK189" t="s">
        <v>4356</v>
      </c>
      <c r="IL189" t="s">
        <v>4356</v>
      </c>
      <c r="IM189" t="s">
        <v>4356</v>
      </c>
      <c r="IN189" t="s">
        <v>4356</v>
      </c>
      <c r="IO189" t="s">
        <v>4356</v>
      </c>
      <c r="IP189" t="s">
        <v>4356</v>
      </c>
      <c r="IQ189" t="s">
        <v>4356</v>
      </c>
      <c r="IR189" t="s">
        <v>4356</v>
      </c>
      <c r="IS189" t="s">
        <v>4356</v>
      </c>
      <c r="IT189" t="s">
        <v>4356</v>
      </c>
      <c r="IU189" t="s">
        <v>4356</v>
      </c>
      <c r="IV189" t="s">
        <v>4356</v>
      </c>
      <c r="IW189" t="s">
        <v>4356</v>
      </c>
      <c r="IX189" t="s">
        <v>4356</v>
      </c>
      <c r="IY189" t="s">
        <v>4356</v>
      </c>
      <c r="IZ189" t="s">
        <v>4356</v>
      </c>
      <c r="JA189" t="s">
        <v>4356</v>
      </c>
      <c r="JB189" t="s">
        <v>4356</v>
      </c>
      <c r="JC189" t="s">
        <v>4356</v>
      </c>
      <c r="JD189" t="s">
        <v>4356</v>
      </c>
      <c r="JE189" t="s">
        <v>4356</v>
      </c>
      <c r="JF189" t="s">
        <v>4356</v>
      </c>
      <c r="JG189" t="s">
        <v>4356</v>
      </c>
      <c r="JH189" t="s">
        <v>4356</v>
      </c>
      <c r="JI189" t="s">
        <v>4356</v>
      </c>
      <c r="JJ189" t="s">
        <v>4356</v>
      </c>
      <c r="JK189" t="s">
        <v>4356</v>
      </c>
      <c r="JL189" t="s">
        <v>4356</v>
      </c>
      <c r="JM189" t="s">
        <v>4356</v>
      </c>
      <c r="JN189" t="s">
        <v>4356</v>
      </c>
      <c r="JO189" t="s">
        <v>4356</v>
      </c>
      <c r="JP189" t="s">
        <v>4356</v>
      </c>
      <c r="JQ189" t="s">
        <v>4356</v>
      </c>
      <c r="JR189" t="s">
        <v>4356</v>
      </c>
      <c r="JS189" t="s">
        <v>4356</v>
      </c>
      <c r="JT189" t="s">
        <v>4356</v>
      </c>
      <c r="JU189" t="s">
        <v>4356</v>
      </c>
    </row>
    <row r="190" spans="43:281" x14ac:dyDescent="0.3">
      <c r="AR190" t="s">
        <v>4377</v>
      </c>
      <c r="AS190" t="s">
        <v>4377</v>
      </c>
      <c r="AT190" t="s">
        <v>4377</v>
      </c>
      <c r="AU190" t="s">
        <v>4375</v>
      </c>
      <c r="AV190" t="s">
        <v>4375</v>
      </c>
      <c r="AW190" t="s">
        <v>4375</v>
      </c>
      <c r="BD190" t="s">
        <v>4375</v>
      </c>
      <c r="BE190" t="s">
        <v>4375</v>
      </c>
      <c r="BF190" t="s">
        <v>4375</v>
      </c>
      <c r="BG190" t="s">
        <v>4375</v>
      </c>
      <c r="BH190" t="s">
        <v>4375</v>
      </c>
      <c r="CA190" t="s">
        <v>4371</v>
      </c>
      <c r="CB190" t="s">
        <v>4371</v>
      </c>
      <c r="CC190" t="s">
        <v>4371</v>
      </c>
      <c r="CD190" t="s">
        <v>4371</v>
      </c>
      <c r="CE190" t="s">
        <v>4371</v>
      </c>
      <c r="CH190" t="s">
        <v>4371</v>
      </c>
      <c r="CI190" t="s">
        <v>4371</v>
      </c>
      <c r="CO190" t="s">
        <v>4374</v>
      </c>
      <c r="CP190" t="s">
        <v>4374</v>
      </c>
      <c r="CQ190" t="s">
        <v>4374</v>
      </c>
      <c r="CR190" t="s">
        <v>4374</v>
      </c>
      <c r="CS190" t="s">
        <v>4374</v>
      </c>
      <c r="CT190" t="s">
        <v>4374</v>
      </c>
      <c r="CU190" t="s">
        <v>4374</v>
      </c>
      <c r="CV190" t="s">
        <v>4374</v>
      </c>
      <c r="CW190" t="s">
        <v>4374</v>
      </c>
      <c r="CX190" t="s">
        <v>4374</v>
      </c>
      <c r="CY190" t="s">
        <v>4374</v>
      </c>
      <c r="CZ190" t="s">
        <v>4374</v>
      </c>
      <c r="DA190" t="s">
        <v>4374</v>
      </c>
      <c r="DB190" t="s">
        <v>4374</v>
      </c>
      <c r="DC190" t="s">
        <v>4374</v>
      </c>
      <c r="DD190" t="s">
        <v>4379</v>
      </c>
      <c r="DE190" t="s">
        <v>4379</v>
      </c>
      <c r="DF190" t="s">
        <v>4379</v>
      </c>
      <c r="DG190" t="s">
        <v>4379</v>
      </c>
      <c r="DH190" t="s">
        <v>4379</v>
      </c>
      <c r="DI190" t="s">
        <v>4378</v>
      </c>
      <c r="DJ190" t="s">
        <v>4378</v>
      </c>
      <c r="DK190" t="s">
        <v>4378</v>
      </c>
      <c r="DL190" t="s">
        <v>4378</v>
      </c>
      <c r="DM190" t="s">
        <v>4378</v>
      </c>
      <c r="DN190" t="s">
        <v>4378</v>
      </c>
      <c r="DO190" t="s">
        <v>4378</v>
      </c>
      <c r="DP190" t="s">
        <v>4378</v>
      </c>
      <c r="DQ190" t="s">
        <v>4378</v>
      </c>
      <c r="DR190" t="s">
        <v>4378</v>
      </c>
      <c r="DS190" t="s">
        <v>4378</v>
      </c>
      <c r="DT190" t="s">
        <v>4378</v>
      </c>
      <c r="DU190" t="s">
        <v>4356</v>
      </c>
      <c r="DV190" t="s">
        <v>4356</v>
      </c>
      <c r="DW190" t="s">
        <v>4356</v>
      </c>
      <c r="DX190" t="s">
        <v>4356</v>
      </c>
      <c r="DY190" t="s">
        <v>4356</v>
      </c>
      <c r="DZ190" t="s">
        <v>4356</v>
      </c>
      <c r="EA190" t="s">
        <v>4356</v>
      </c>
      <c r="EB190" t="s">
        <v>4356</v>
      </c>
      <c r="EC190" t="s">
        <v>4356</v>
      </c>
      <c r="ED190" t="s">
        <v>4356</v>
      </c>
      <c r="EE190" t="s">
        <v>4356</v>
      </c>
      <c r="EF190" t="s">
        <v>4356</v>
      </c>
      <c r="EG190" t="s">
        <v>4356</v>
      </c>
      <c r="EH190" t="s">
        <v>4356</v>
      </c>
      <c r="EI190" t="s">
        <v>4356</v>
      </c>
      <c r="EJ190" t="s">
        <v>4356</v>
      </c>
      <c r="EK190" t="s">
        <v>4356</v>
      </c>
      <c r="EL190" t="s">
        <v>4356</v>
      </c>
      <c r="EM190" t="s">
        <v>4356</v>
      </c>
      <c r="EN190" t="s">
        <v>4356</v>
      </c>
      <c r="EO190" t="s">
        <v>4356</v>
      </c>
      <c r="EP190" t="s">
        <v>4356</v>
      </c>
      <c r="EQ190" t="s">
        <v>4356</v>
      </c>
      <c r="ER190" t="s">
        <v>4356</v>
      </c>
      <c r="ES190" t="s">
        <v>4356</v>
      </c>
      <c r="ET190" t="s">
        <v>4356</v>
      </c>
      <c r="EU190" t="s">
        <v>4356</v>
      </c>
      <c r="EV190" t="s">
        <v>4356</v>
      </c>
      <c r="EW190" t="s">
        <v>4356</v>
      </c>
      <c r="EX190" t="s">
        <v>4356</v>
      </c>
      <c r="EY190" t="s">
        <v>4356</v>
      </c>
      <c r="EZ190" t="s">
        <v>4356</v>
      </c>
      <c r="FA190" t="s">
        <v>4356</v>
      </c>
      <c r="FB190" t="s">
        <v>4356</v>
      </c>
      <c r="FC190" t="s">
        <v>4356</v>
      </c>
      <c r="FD190" t="s">
        <v>4356</v>
      </c>
      <c r="FE190" t="s">
        <v>4356</v>
      </c>
      <c r="FF190" t="s">
        <v>4356</v>
      </c>
      <c r="FG190" t="s">
        <v>4356</v>
      </c>
      <c r="FH190" t="s">
        <v>4356</v>
      </c>
      <c r="FI190" t="s">
        <v>4356</v>
      </c>
      <c r="FJ190" t="s">
        <v>4356</v>
      </c>
      <c r="FK190" t="s">
        <v>4356</v>
      </c>
      <c r="FL190" t="s">
        <v>4356</v>
      </c>
      <c r="FM190" t="s">
        <v>4356</v>
      </c>
      <c r="FN190" t="s">
        <v>4356</v>
      </c>
      <c r="FO190" t="s">
        <v>4356</v>
      </c>
      <c r="FP190" t="s">
        <v>4356</v>
      </c>
      <c r="FQ190" t="s">
        <v>4356</v>
      </c>
      <c r="FR190" t="s">
        <v>4356</v>
      </c>
      <c r="FS190" t="s">
        <v>4356</v>
      </c>
      <c r="FT190" t="s">
        <v>4356</v>
      </c>
      <c r="FU190" t="s">
        <v>4356</v>
      </c>
      <c r="FV190" t="s">
        <v>4356</v>
      </c>
      <c r="FW190" t="s">
        <v>4356</v>
      </c>
      <c r="FX190" t="s">
        <v>4356</v>
      </c>
      <c r="FY190" t="s">
        <v>4356</v>
      </c>
      <c r="FZ190" t="s">
        <v>4356</v>
      </c>
      <c r="GA190" t="s">
        <v>4356</v>
      </c>
      <c r="GB190" t="s">
        <v>4356</v>
      </c>
      <c r="GC190" t="s">
        <v>4356</v>
      </c>
      <c r="GD190" t="s">
        <v>4356</v>
      </c>
      <c r="GE190" t="s">
        <v>4356</v>
      </c>
      <c r="GF190" t="s">
        <v>4356</v>
      </c>
      <c r="GG190" t="s">
        <v>4356</v>
      </c>
      <c r="GH190" t="s">
        <v>4353</v>
      </c>
      <c r="GI190" t="s">
        <v>4353</v>
      </c>
      <c r="GJ190" t="s">
        <v>4353</v>
      </c>
      <c r="GK190" t="s">
        <v>4353</v>
      </c>
      <c r="GL190" t="s">
        <v>4353</v>
      </c>
      <c r="GM190" t="s">
        <v>4353</v>
      </c>
      <c r="GN190" t="s">
        <v>4353</v>
      </c>
      <c r="GO190" t="s">
        <v>4353</v>
      </c>
      <c r="GP190" t="s">
        <v>4353</v>
      </c>
      <c r="GQ190" t="s">
        <v>4353</v>
      </c>
      <c r="GR190" t="s">
        <v>4353</v>
      </c>
      <c r="GS190" t="s">
        <v>4353</v>
      </c>
      <c r="GT190" t="s">
        <v>4353</v>
      </c>
      <c r="GU190" t="s">
        <v>4353</v>
      </c>
      <c r="GV190" t="s">
        <v>4356</v>
      </c>
      <c r="GW190" t="s">
        <v>4353</v>
      </c>
      <c r="GX190" t="s">
        <v>4353</v>
      </c>
      <c r="GY190" t="s">
        <v>4356</v>
      </c>
      <c r="GZ190" t="s">
        <v>4356</v>
      </c>
      <c r="HA190" t="s">
        <v>4356</v>
      </c>
      <c r="HB190" t="s">
        <v>4356</v>
      </c>
      <c r="HC190" t="s">
        <v>4356</v>
      </c>
      <c r="HD190" t="s">
        <v>4356</v>
      </c>
      <c r="HE190" t="s">
        <v>4356</v>
      </c>
      <c r="HF190" t="s">
        <v>4356</v>
      </c>
      <c r="HG190" t="s">
        <v>4356</v>
      </c>
      <c r="HH190" t="s">
        <v>4356</v>
      </c>
      <c r="HI190" t="s">
        <v>4356</v>
      </c>
      <c r="HJ190" t="s">
        <v>4356</v>
      </c>
      <c r="HK190" t="s">
        <v>4356</v>
      </c>
      <c r="HL190" t="s">
        <v>4356</v>
      </c>
      <c r="HM190" t="s">
        <v>4356</v>
      </c>
      <c r="HN190" t="s">
        <v>4356</v>
      </c>
      <c r="HO190" t="s">
        <v>4356</v>
      </c>
      <c r="HP190" t="s">
        <v>4356</v>
      </c>
      <c r="HQ190" t="s">
        <v>4356</v>
      </c>
      <c r="HR190" t="s">
        <v>4356</v>
      </c>
      <c r="HS190" t="s">
        <v>4356</v>
      </c>
      <c r="HT190" t="s">
        <v>4356</v>
      </c>
      <c r="HU190" t="s">
        <v>4356</v>
      </c>
      <c r="HV190" t="s">
        <v>4356</v>
      </c>
      <c r="HW190" t="s">
        <v>4356</v>
      </c>
      <c r="HX190" t="s">
        <v>4356</v>
      </c>
      <c r="HY190" t="s">
        <v>4356</v>
      </c>
      <c r="HZ190" t="s">
        <v>4356</v>
      </c>
      <c r="IA190" t="s">
        <v>4356</v>
      </c>
      <c r="IB190" t="s">
        <v>4356</v>
      </c>
      <c r="IC190" t="s">
        <v>4356</v>
      </c>
      <c r="ID190" t="s">
        <v>4356</v>
      </c>
      <c r="IE190" t="s">
        <v>4356</v>
      </c>
      <c r="IF190" t="s">
        <v>4356</v>
      </c>
      <c r="IG190" t="s">
        <v>4356</v>
      </c>
      <c r="IH190" t="s">
        <v>4356</v>
      </c>
      <c r="II190" t="s">
        <v>4356</v>
      </c>
      <c r="IJ190" t="s">
        <v>4356</v>
      </c>
      <c r="IK190" t="s">
        <v>4356</v>
      </c>
      <c r="IL190" t="s">
        <v>4356</v>
      </c>
      <c r="IM190" t="s">
        <v>4356</v>
      </c>
      <c r="IN190" t="s">
        <v>4356</v>
      </c>
      <c r="IO190" t="s">
        <v>4356</v>
      </c>
      <c r="IP190" t="s">
        <v>4356</v>
      </c>
      <c r="IQ190" t="s">
        <v>4356</v>
      </c>
      <c r="IR190" t="s">
        <v>4356</v>
      </c>
      <c r="IS190" t="s">
        <v>4356</v>
      </c>
      <c r="IT190" t="s">
        <v>4356</v>
      </c>
      <c r="IU190" t="s">
        <v>4356</v>
      </c>
      <c r="IV190" t="s">
        <v>4356</v>
      </c>
      <c r="IW190" t="s">
        <v>4356</v>
      </c>
      <c r="IX190" t="s">
        <v>4356</v>
      </c>
      <c r="IY190" t="s">
        <v>4356</v>
      </c>
      <c r="IZ190" t="s">
        <v>4356</v>
      </c>
      <c r="JA190" t="s">
        <v>4356</v>
      </c>
      <c r="JB190" t="s">
        <v>4356</v>
      </c>
      <c r="JC190" t="s">
        <v>4356</v>
      </c>
      <c r="JD190" t="s">
        <v>4356</v>
      </c>
      <c r="JE190" t="s">
        <v>4356</v>
      </c>
      <c r="JF190" t="s">
        <v>4356</v>
      </c>
      <c r="JG190" t="s">
        <v>4356</v>
      </c>
      <c r="JH190" t="s">
        <v>4356</v>
      </c>
      <c r="JI190" t="s">
        <v>4356</v>
      </c>
      <c r="JJ190" t="s">
        <v>4356</v>
      </c>
      <c r="JK190" t="s">
        <v>4356</v>
      </c>
      <c r="JL190" t="s">
        <v>4356</v>
      </c>
      <c r="JM190" t="s">
        <v>4356</v>
      </c>
      <c r="JN190" t="s">
        <v>4356</v>
      </c>
      <c r="JO190" t="s">
        <v>4356</v>
      </c>
      <c r="JP190" t="s">
        <v>4356</v>
      </c>
      <c r="JQ190" t="s">
        <v>4356</v>
      </c>
      <c r="JR190" t="s">
        <v>4356</v>
      </c>
      <c r="JS190" t="s">
        <v>4356</v>
      </c>
      <c r="JT190" t="s">
        <v>4356</v>
      </c>
      <c r="JU190" t="s">
        <v>4356</v>
      </c>
    </row>
    <row r="191" spans="43:281" x14ac:dyDescent="0.3">
      <c r="AT191" t="s">
        <v>4377</v>
      </c>
      <c r="AU191" t="s">
        <v>4375</v>
      </c>
      <c r="AV191" t="s">
        <v>4375</v>
      </c>
      <c r="AW191" t="s">
        <v>4375</v>
      </c>
      <c r="BA191" t="s">
        <v>4375</v>
      </c>
      <c r="BB191" t="s">
        <v>4375</v>
      </c>
      <c r="BC191" t="s">
        <v>4375</v>
      </c>
      <c r="BD191" t="s">
        <v>4375</v>
      </c>
      <c r="BE191" t="s">
        <v>4375</v>
      </c>
      <c r="BF191" t="s">
        <v>4375</v>
      </c>
      <c r="BG191" t="s">
        <v>4375</v>
      </c>
      <c r="CA191" t="s">
        <v>4371</v>
      </c>
      <c r="CB191" t="s">
        <v>4371</v>
      </c>
      <c r="CC191" t="s">
        <v>4371</v>
      </c>
      <c r="CR191" t="s">
        <v>4374</v>
      </c>
      <c r="CS191" t="s">
        <v>4374</v>
      </c>
      <c r="CX191" t="s">
        <v>4356</v>
      </c>
      <c r="CY191" t="s">
        <v>4356</v>
      </c>
      <c r="CZ191" t="s">
        <v>4356</v>
      </c>
      <c r="DA191" t="s">
        <v>4356</v>
      </c>
      <c r="DB191" t="s">
        <v>4356</v>
      </c>
      <c r="DC191" t="s">
        <v>4379</v>
      </c>
      <c r="DD191" t="s">
        <v>4379</v>
      </c>
      <c r="DE191" t="s">
        <v>4379</v>
      </c>
      <c r="DF191" t="s">
        <v>4379</v>
      </c>
      <c r="DG191" t="s">
        <v>4379</v>
      </c>
      <c r="DH191" t="s">
        <v>4379</v>
      </c>
      <c r="DI191" t="s">
        <v>4378</v>
      </c>
      <c r="DJ191" t="s">
        <v>4378</v>
      </c>
      <c r="DK191" t="s">
        <v>4378</v>
      </c>
      <c r="DL191" t="s">
        <v>4378</v>
      </c>
      <c r="DM191" t="s">
        <v>4378</v>
      </c>
      <c r="DN191" t="s">
        <v>4378</v>
      </c>
      <c r="DO191" t="s">
        <v>4378</v>
      </c>
      <c r="DP191" t="s">
        <v>4378</v>
      </c>
      <c r="DQ191" t="s">
        <v>4378</v>
      </c>
      <c r="DR191" t="s">
        <v>4378</v>
      </c>
      <c r="DS191" t="s">
        <v>4378</v>
      </c>
      <c r="DT191" t="s">
        <v>4356</v>
      </c>
      <c r="DU191" t="s">
        <v>4356</v>
      </c>
      <c r="DV191" t="s">
        <v>4356</v>
      </c>
      <c r="DW191" t="s">
        <v>4356</v>
      </c>
      <c r="DX191" t="s">
        <v>4356</v>
      </c>
      <c r="DY191" t="s">
        <v>4356</v>
      </c>
      <c r="DZ191" t="s">
        <v>4356</v>
      </c>
      <c r="EA191" t="s">
        <v>4356</v>
      </c>
      <c r="EB191" t="s">
        <v>4356</v>
      </c>
      <c r="EC191" t="s">
        <v>4356</v>
      </c>
      <c r="ED191" t="s">
        <v>4356</v>
      </c>
      <c r="EE191" t="s">
        <v>4356</v>
      </c>
      <c r="EF191" t="s">
        <v>4356</v>
      </c>
      <c r="EG191" t="s">
        <v>4356</v>
      </c>
      <c r="EH191" t="s">
        <v>4356</v>
      </c>
      <c r="EI191" t="s">
        <v>4356</v>
      </c>
      <c r="EJ191" t="s">
        <v>4356</v>
      </c>
      <c r="EK191" t="s">
        <v>4356</v>
      </c>
      <c r="EL191" t="s">
        <v>4356</v>
      </c>
      <c r="EM191" t="s">
        <v>4356</v>
      </c>
      <c r="EN191" t="s">
        <v>4356</v>
      </c>
      <c r="EO191" t="s">
        <v>4356</v>
      </c>
      <c r="EP191" t="s">
        <v>4356</v>
      </c>
      <c r="EQ191" t="s">
        <v>4356</v>
      </c>
      <c r="ER191" t="s">
        <v>4356</v>
      </c>
      <c r="ES191" t="s">
        <v>4356</v>
      </c>
      <c r="ET191" t="s">
        <v>4356</v>
      </c>
      <c r="EU191" t="s">
        <v>4356</v>
      </c>
      <c r="EV191" t="s">
        <v>4356</v>
      </c>
      <c r="EW191" t="s">
        <v>4356</v>
      </c>
      <c r="EX191" t="s">
        <v>4356</v>
      </c>
      <c r="EY191" t="s">
        <v>4356</v>
      </c>
      <c r="EZ191" t="s">
        <v>4356</v>
      </c>
      <c r="FA191" t="s">
        <v>4356</v>
      </c>
      <c r="FB191" t="s">
        <v>4356</v>
      </c>
      <c r="FC191" t="s">
        <v>4356</v>
      </c>
      <c r="FD191" t="s">
        <v>4356</v>
      </c>
      <c r="FE191" t="s">
        <v>4356</v>
      </c>
      <c r="FF191" t="s">
        <v>4356</v>
      </c>
      <c r="FG191" t="s">
        <v>4356</v>
      </c>
      <c r="FH191" t="s">
        <v>4356</v>
      </c>
      <c r="FI191" t="s">
        <v>4356</v>
      </c>
      <c r="FJ191" t="s">
        <v>4356</v>
      </c>
      <c r="FK191" t="s">
        <v>4356</v>
      </c>
      <c r="FL191" t="s">
        <v>4356</v>
      </c>
      <c r="FM191" t="s">
        <v>4356</v>
      </c>
      <c r="FN191" t="s">
        <v>4356</v>
      </c>
      <c r="FO191" t="s">
        <v>4356</v>
      </c>
      <c r="FP191" t="s">
        <v>4356</v>
      </c>
      <c r="FQ191" t="s">
        <v>4356</v>
      </c>
      <c r="FR191" t="s">
        <v>4356</v>
      </c>
      <c r="FS191" t="s">
        <v>4356</v>
      </c>
      <c r="FT191" t="s">
        <v>4356</v>
      </c>
      <c r="FU191" t="s">
        <v>4356</v>
      </c>
      <c r="FV191" t="s">
        <v>4356</v>
      </c>
      <c r="FW191" t="s">
        <v>4356</v>
      </c>
      <c r="FX191" t="s">
        <v>4356</v>
      </c>
      <c r="FY191" t="s">
        <v>4356</v>
      </c>
      <c r="FZ191" t="s">
        <v>4356</v>
      </c>
      <c r="GA191" t="s">
        <v>4356</v>
      </c>
      <c r="GB191" t="s">
        <v>4356</v>
      </c>
      <c r="GC191" t="s">
        <v>4356</v>
      </c>
      <c r="GD191" t="s">
        <v>4356</v>
      </c>
      <c r="GE191" t="s">
        <v>4356</v>
      </c>
      <c r="GF191" t="s">
        <v>4356</v>
      </c>
      <c r="GG191" t="s">
        <v>4356</v>
      </c>
      <c r="GH191" t="s">
        <v>4356</v>
      </c>
      <c r="GI191" t="s">
        <v>4356</v>
      </c>
      <c r="GJ191" t="s">
        <v>4356</v>
      </c>
      <c r="GK191" t="s">
        <v>4356</v>
      </c>
      <c r="GL191" t="s">
        <v>4356</v>
      </c>
      <c r="GM191" t="s">
        <v>4353</v>
      </c>
      <c r="GN191" t="s">
        <v>4353</v>
      </c>
      <c r="GO191" t="s">
        <v>4353</v>
      </c>
      <c r="GP191" t="s">
        <v>4353</v>
      </c>
      <c r="GQ191" t="s">
        <v>4353</v>
      </c>
      <c r="GR191" t="s">
        <v>4353</v>
      </c>
      <c r="GS191" t="s">
        <v>4353</v>
      </c>
      <c r="GT191" t="s">
        <v>4353</v>
      </c>
      <c r="GU191" t="s">
        <v>4353</v>
      </c>
      <c r="GV191" t="s">
        <v>4356</v>
      </c>
      <c r="GW191" t="s">
        <v>4356</v>
      </c>
      <c r="GX191" t="s">
        <v>4356</v>
      </c>
      <c r="GY191" t="s">
        <v>4356</v>
      </c>
      <c r="GZ191" t="s">
        <v>4356</v>
      </c>
      <c r="HA191" t="s">
        <v>4356</v>
      </c>
      <c r="HB191" t="s">
        <v>4356</v>
      </c>
      <c r="HC191" t="s">
        <v>4356</v>
      </c>
      <c r="HD191" t="s">
        <v>4356</v>
      </c>
      <c r="HE191" t="s">
        <v>4356</v>
      </c>
      <c r="HF191" t="s">
        <v>4356</v>
      </c>
      <c r="HG191" t="s">
        <v>4356</v>
      </c>
      <c r="HH191" t="s">
        <v>4356</v>
      </c>
      <c r="HI191" t="s">
        <v>4356</v>
      </c>
      <c r="HJ191" t="s">
        <v>4356</v>
      </c>
      <c r="HK191" t="s">
        <v>4356</v>
      </c>
      <c r="HL191" t="s">
        <v>4356</v>
      </c>
      <c r="HM191" t="s">
        <v>4356</v>
      </c>
      <c r="HN191" t="s">
        <v>4356</v>
      </c>
      <c r="HO191" t="s">
        <v>4356</v>
      </c>
      <c r="HP191" t="s">
        <v>4356</v>
      </c>
      <c r="HQ191" t="s">
        <v>4356</v>
      </c>
      <c r="HR191" t="s">
        <v>4356</v>
      </c>
      <c r="HS191" t="s">
        <v>4356</v>
      </c>
      <c r="HT191" t="s">
        <v>4356</v>
      </c>
      <c r="HU191" t="s">
        <v>4356</v>
      </c>
      <c r="HV191" t="s">
        <v>4356</v>
      </c>
      <c r="HW191" t="s">
        <v>4356</v>
      </c>
      <c r="HX191" t="s">
        <v>4356</v>
      </c>
      <c r="HY191" t="s">
        <v>4356</v>
      </c>
      <c r="HZ191" t="s">
        <v>4356</v>
      </c>
      <c r="IA191" t="s">
        <v>4356</v>
      </c>
      <c r="IB191" t="s">
        <v>4356</v>
      </c>
      <c r="IC191" t="s">
        <v>4356</v>
      </c>
      <c r="ID191" t="s">
        <v>4356</v>
      </c>
      <c r="IE191" t="s">
        <v>4356</v>
      </c>
      <c r="IF191" t="s">
        <v>4356</v>
      </c>
      <c r="IG191" t="s">
        <v>4356</v>
      </c>
      <c r="IH191" t="s">
        <v>4356</v>
      </c>
      <c r="II191" t="s">
        <v>4356</v>
      </c>
      <c r="IJ191" t="s">
        <v>4356</v>
      </c>
      <c r="IK191" t="s">
        <v>4356</v>
      </c>
      <c r="IL191" t="s">
        <v>4356</v>
      </c>
      <c r="IM191" t="s">
        <v>4356</v>
      </c>
      <c r="IN191" t="s">
        <v>4356</v>
      </c>
      <c r="IO191" t="s">
        <v>4356</v>
      </c>
      <c r="IP191" t="s">
        <v>4356</v>
      </c>
      <c r="IQ191" t="s">
        <v>4356</v>
      </c>
      <c r="IR191" t="s">
        <v>4356</v>
      </c>
      <c r="IS191" t="s">
        <v>4356</v>
      </c>
      <c r="IT191" t="s">
        <v>4356</v>
      </c>
      <c r="IU191" t="s">
        <v>4356</v>
      </c>
      <c r="IV191" t="s">
        <v>4356</v>
      </c>
      <c r="IW191" t="s">
        <v>4356</v>
      </c>
      <c r="IX191" t="s">
        <v>4356</v>
      </c>
      <c r="IY191" t="s">
        <v>4356</v>
      </c>
      <c r="IZ191" t="s">
        <v>4356</v>
      </c>
      <c r="JA191" t="s">
        <v>4356</v>
      </c>
      <c r="JB191" t="s">
        <v>4356</v>
      </c>
      <c r="JC191" t="s">
        <v>4356</v>
      </c>
      <c r="JD191" t="s">
        <v>4356</v>
      </c>
      <c r="JE191" t="s">
        <v>4356</v>
      </c>
      <c r="JF191" t="s">
        <v>4356</v>
      </c>
      <c r="JG191" t="s">
        <v>4356</v>
      </c>
      <c r="JH191" t="s">
        <v>4356</v>
      </c>
      <c r="JI191" t="s">
        <v>4356</v>
      </c>
      <c r="JJ191" t="s">
        <v>4356</v>
      </c>
      <c r="JK191" t="s">
        <v>4356</v>
      </c>
      <c r="JL191" t="s">
        <v>4356</v>
      </c>
      <c r="JM191" t="s">
        <v>4356</v>
      </c>
      <c r="JN191" t="s">
        <v>4356</v>
      </c>
      <c r="JO191" t="s">
        <v>4356</v>
      </c>
      <c r="JP191" t="s">
        <v>4356</v>
      </c>
      <c r="JQ191" t="s">
        <v>4356</v>
      </c>
      <c r="JR191" t="s">
        <v>4356</v>
      </c>
      <c r="JS191" t="s">
        <v>4356</v>
      </c>
      <c r="JT191" t="s">
        <v>4356</v>
      </c>
      <c r="JU191" t="s">
        <v>4356</v>
      </c>
    </row>
    <row r="192" spans="43:281" x14ac:dyDescent="0.3">
      <c r="AZ192" t="s">
        <v>4375</v>
      </c>
      <c r="BA192" t="s">
        <v>4375</v>
      </c>
      <c r="BB192" t="s">
        <v>4375</v>
      </c>
      <c r="BC192" t="s">
        <v>4375</v>
      </c>
      <c r="BD192" t="s">
        <v>4375</v>
      </c>
      <c r="BE192" t="s">
        <v>4375</v>
      </c>
      <c r="BF192" t="s">
        <v>4375</v>
      </c>
      <c r="CA192" t="s">
        <v>4380</v>
      </c>
      <c r="CB192" t="s">
        <v>4380</v>
      </c>
      <c r="CC192" t="s">
        <v>4380</v>
      </c>
      <c r="CG192" t="s">
        <v>4380</v>
      </c>
      <c r="CH192" t="s">
        <v>4380</v>
      </c>
      <c r="DA192" t="s">
        <v>4379</v>
      </c>
      <c r="DB192" t="s">
        <v>4379</v>
      </c>
      <c r="DC192" t="s">
        <v>4379</v>
      </c>
      <c r="DD192" t="s">
        <v>4379</v>
      </c>
      <c r="DE192" t="s">
        <v>4379</v>
      </c>
      <c r="DF192" t="s">
        <v>4379</v>
      </c>
      <c r="DG192" t="s">
        <v>4379</v>
      </c>
      <c r="DH192" t="s">
        <v>4379</v>
      </c>
      <c r="DI192" t="s">
        <v>4379</v>
      </c>
      <c r="DJ192" t="s">
        <v>4379</v>
      </c>
      <c r="DK192" t="s">
        <v>4378</v>
      </c>
      <c r="DL192" t="s">
        <v>4378</v>
      </c>
      <c r="DM192" t="s">
        <v>4378</v>
      </c>
      <c r="DN192" t="s">
        <v>4378</v>
      </c>
      <c r="DO192" t="s">
        <v>4378</v>
      </c>
      <c r="DP192" t="s">
        <v>4378</v>
      </c>
      <c r="DQ192" t="s">
        <v>4378</v>
      </c>
      <c r="DR192" t="s">
        <v>4378</v>
      </c>
      <c r="DS192" t="s">
        <v>4378</v>
      </c>
      <c r="DT192" t="s">
        <v>4356</v>
      </c>
      <c r="DU192" t="s">
        <v>4356</v>
      </c>
      <c r="DV192" t="s">
        <v>4356</v>
      </c>
      <c r="DW192" t="s">
        <v>4356</v>
      </c>
      <c r="DX192" t="s">
        <v>4356</v>
      </c>
      <c r="DY192" t="s">
        <v>4356</v>
      </c>
      <c r="DZ192" t="s">
        <v>4356</v>
      </c>
      <c r="EA192" t="s">
        <v>4356</v>
      </c>
      <c r="EB192" t="s">
        <v>4356</v>
      </c>
      <c r="EC192" t="s">
        <v>4356</v>
      </c>
      <c r="ED192" t="s">
        <v>4356</v>
      </c>
      <c r="EE192" t="s">
        <v>4356</v>
      </c>
      <c r="EF192" t="s">
        <v>4356</v>
      </c>
      <c r="EG192" t="s">
        <v>4356</v>
      </c>
      <c r="EH192" t="s">
        <v>4356</v>
      </c>
      <c r="EI192" t="s">
        <v>4356</v>
      </c>
      <c r="EJ192" t="s">
        <v>4356</v>
      </c>
      <c r="EK192" t="s">
        <v>4356</v>
      </c>
      <c r="EL192" t="s">
        <v>4356</v>
      </c>
      <c r="EM192" t="s">
        <v>4356</v>
      </c>
      <c r="EN192" t="s">
        <v>4356</v>
      </c>
      <c r="EO192" t="s">
        <v>4356</v>
      </c>
      <c r="EP192" t="s">
        <v>4356</v>
      </c>
      <c r="EQ192" t="s">
        <v>4356</v>
      </c>
      <c r="ER192" t="s">
        <v>4356</v>
      </c>
      <c r="ES192" t="s">
        <v>4356</v>
      </c>
      <c r="ET192" t="s">
        <v>4356</v>
      </c>
      <c r="EU192" t="s">
        <v>4356</v>
      </c>
      <c r="EV192" t="s">
        <v>4356</v>
      </c>
      <c r="EW192" t="s">
        <v>4356</v>
      </c>
      <c r="EX192" t="s">
        <v>4356</v>
      </c>
      <c r="EY192" t="s">
        <v>4356</v>
      </c>
      <c r="EZ192" t="s">
        <v>4356</v>
      </c>
      <c r="FA192" t="s">
        <v>4356</v>
      </c>
      <c r="FB192" t="s">
        <v>4356</v>
      </c>
      <c r="FC192" t="s">
        <v>4356</v>
      </c>
      <c r="FD192" t="s">
        <v>4356</v>
      </c>
      <c r="FE192" t="s">
        <v>4356</v>
      </c>
      <c r="FF192" t="s">
        <v>4356</v>
      </c>
      <c r="FG192" t="s">
        <v>4356</v>
      </c>
      <c r="FH192" t="s">
        <v>4356</v>
      </c>
      <c r="FI192" t="s">
        <v>4356</v>
      </c>
      <c r="FJ192" t="s">
        <v>4356</v>
      </c>
      <c r="FK192" t="s">
        <v>4356</v>
      </c>
      <c r="FL192" t="s">
        <v>4356</v>
      </c>
      <c r="FM192" t="s">
        <v>4356</v>
      </c>
      <c r="FN192" t="s">
        <v>4356</v>
      </c>
      <c r="FO192" t="s">
        <v>4356</v>
      </c>
      <c r="FP192" t="s">
        <v>4356</v>
      </c>
      <c r="FQ192" t="s">
        <v>4356</v>
      </c>
      <c r="FR192" t="s">
        <v>4356</v>
      </c>
      <c r="FS192" t="s">
        <v>4356</v>
      </c>
      <c r="FT192" t="s">
        <v>4356</v>
      </c>
      <c r="FU192" t="s">
        <v>4356</v>
      </c>
      <c r="FV192" t="s">
        <v>4356</v>
      </c>
      <c r="FW192" t="s">
        <v>4356</v>
      </c>
      <c r="FX192" t="s">
        <v>4356</v>
      </c>
      <c r="FY192" t="s">
        <v>4356</v>
      </c>
      <c r="FZ192" t="s">
        <v>4356</v>
      </c>
      <c r="GA192" t="s">
        <v>4356</v>
      </c>
      <c r="GB192" t="s">
        <v>4356</v>
      </c>
      <c r="GC192" t="s">
        <v>4356</v>
      </c>
      <c r="GD192" t="s">
        <v>4356</v>
      </c>
      <c r="GE192" t="s">
        <v>4356</v>
      </c>
      <c r="GF192" t="s">
        <v>4356</v>
      </c>
      <c r="GG192" t="s">
        <v>4356</v>
      </c>
      <c r="GH192" t="s">
        <v>4356</v>
      </c>
      <c r="GI192" t="s">
        <v>4356</v>
      </c>
      <c r="GJ192" t="s">
        <v>4356</v>
      </c>
      <c r="GK192" t="s">
        <v>4356</v>
      </c>
      <c r="GL192" t="s">
        <v>4356</v>
      </c>
      <c r="GM192" t="s">
        <v>4356</v>
      </c>
      <c r="GN192" t="s">
        <v>4356</v>
      </c>
      <c r="GO192" t="s">
        <v>4356</v>
      </c>
      <c r="GP192" t="s">
        <v>4356</v>
      </c>
      <c r="GQ192" t="s">
        <v>4356</v>
      </c>
      <c r="GR192" t="s">
        <v>4353</v>
      </c>
      <c r="GS192" t="s">
        <v>4353</v>
      </c>
      <c r="GT192" t="s">
        <v>4356</v>
      </c>
      <c r="GU192" t="s">
        <v>4356</v>
      </c>
      <c r="GV192" t="s">
        <v>4356</v>
      </c>
      <c r="GW192" t="s">
        <v>4356</v>
      </c>
      <c r="GX192" t="s">
        <v>4356</v>
      </c>
      <c r="GY192" t="s">
        <v>4356</v>
      </c>
      <c r="GZ192" t="s">
        <v>4356</v>
      </c>
      <c r="HA192" t="s">
        <v>4356</v>
      </c>
      <c r="HB192" t="s">
        <v>4356</v>
      </c>
      <c r="HC192" t="s">
        <v>4356</v>
      </c>
      <c r="HD192" t="s">
        <v>4356</v>
      </c>
      <c r="HE192" t="s">
        <v>4356</v>
      </c>
      <c r="HF192" t="s">
        <v>4356</v>
      </c>
      <c r="HG192" t="s">
        <v>4356</v>
      </c>
      <c r="HH192" t="s">
        <v>4356</v>
      </c>
      <c r="HI192" t="s">
        <v>4356</v>
      </c>
      <c r="HJ192" t="s">
        <v>4356</v>
      </c>
      <c r="HK192" t="s">
        <v>4356</v>
      </c>
      <c r="HL192" t="s">
        <v>4356</v>
      </c>
      <c r="HM192" t="s">
        <v>4356</v>
      </c>
      <c r="HN192" t="s">
        <v>4356</v>
      </c>
      <c r="HO192" t="s">
        <v>4356</v>
      </c>
      <c r="HP192" t="s">
        <v>4356</v>
      </c>
      <c r="HQ192" t="s">
        <v>4356</v>
      </c>
      <c r="HR192" t="s">
        <v>4356</v>
      </c>
      <c r="HS192" t="s">
        <v>4356</v>
      </c>
      <c r="HT192" t="s">
        <v>4356</v>
      </c>
      <c r="HU192" t="s">
        <v>4356</v>
      </c>
      <c r="HV192" t="s">
        <v>4356</v>
      </c>
      <c r="HW192" t="s">
        <v>4356</v>
      </c>
      <c r="HX192" t="s">
        <v>4356</v>
      </c>
      <c r="HY192" t="s">
        <v>4356</v>
      </c>
      <c r="HZ192" t="s">
        <v>4356</v>
      </c>
      <c r="IA192" t="s">
        <v>4356</v>
      </c>
      <c r="IB192" t="s">
        <v>4356</v>
      </c>
      <c r="IC192" t="s">
        <v>4356</v>
      </c>
      <c r="ID192" t="s">
        <v>4356</v>
      </c>
      <c r="IE192" t="s">
        <v>4356</v>
      </c>
      <c r="IF192" t="s">
        <v>4356</v>
      </c>
      <c r="IG192" t="s">
        <v>4356</v>
      </c>
      <c r="IH192" t="s">
        <v>4356</v>
      </c>
      <c r="II192" t="s">
        <v>4356</v>
      </c>
      <c r="IJ192" t="s">
        <v>4356</v>
      </c>
      <c r="IK192" t="s">
        <v>4356</v>
      </c>
      <c r="IL192" t="s">
        <v>4356</v>
      </c>
      <c r="IM192" t="s">
        <v>4356</v>
      </c>
      <c r="IN192" t="s">
        <v>4356</v>
      </c>
      <c r="IO192" t="s">
        <v>4356</v>
      </c>
      <c r="IP192" t="s">
        <v>4356</v>
      </c>
      <c r="IQ192" t="s">
        <v>4356</v>
      </c>
      <c r="IR192" t="s">
        <v>4356</v>
      </c>
      <c r="IS192" t="s">
        <v>4356</v>
      </c>
      <c r="IT192" t="s">
        <v>4356</v>
      </c>
      <c r="IU192" t="s">
        <v>4356</v>
      </c>
      <c r="IV192" t="s">
        <v>4356</v>
      </c>
      <c r="IW192" t="s">
        <v>4356</v>
      </c>
      <c r="IX192" t="s">
        <v>4356</v>
      </c>
      <c r="IY192" t="s">
        <v>4356</v>
      </c>
      <c r="IZ192" t="s">
        <v>4356</v>
      </c>
      <c r="JA192" t="s">
        <v>4356</v>
      </c>
      <c r="JB192" t="s">
        <v>4356</v>
      </c>
      <c r="JC192" t="s">
        <v>4356</v>
      </c>
      <c r="JD192" t="s">
        <v>4356</v>
      </c>
      <c r="JE192" t="s">
        <v>4356</v>
      </c>
      <c r="JF192" t="s">
        <v>4356</v>
      </c>
      <c r="JG192" t="s">
        <v>4356</v>
      </c>
      <c r="JH192" t="s">
        <v>4356</v>
      </c>
      <c r="JI192" t="s">
        <v>4356</v>
      </c>
      <c r="JJ192" t="s">
        <v>4356</v>
      </c>
      <c r="JK192" t="s">
        <v>4356</v>
      </c>
      <c r="JL192" t="s">
        <v>4356</v>
      </c>
      <c r="JM192" t="s">
        <v>4356</v>
      </c>
      <c r="JN192" t="s">
        <v>4356</v>
      </c>
      <c r="JO192" t="s">
        <v>4356</v>
      </c>
      <c r="JP192" t="s">
        <v>4356</v>
      </c>
      <c r="JQ192" t="s">
        <v>4356</v>
      </c>
      <c r="JR192" t="s">
        <v>4356</v>
      </c>
      <c r="JS192" t="s">
        <v>4356</v>
      </c>
      <c r="JT192" t="s">
        <v>4356</v>
      </c>
      <c r="JU192" t="s">
        <v>4356</v>
      </c>
    </row>
    <row r="193" spans="50:281" x14ac:dyDescent="0.3">
      <c r="AY193" t="s">
        <v>4375</v>
      </c>
      <c r="AZ193" t="s">
        <v>4375</v>
      </c>
      <c r="BA193" t="s">
        <v>4375</v>
      </c>
      <c r="BB193" t="s">
        <v>4375</v>
      </c>
      <c r="BC193" t="s">
        <v>4375</v>
      </c>
      <c r="BD193" t="s">
        <v>4375</v>
      </c>
      <c r="BE193" t="s">
        <v>4375</v>
      </c>
      <c r="BZ193" t="s">
        <v>4380</v>
      </c>
      <c r="CA193" t="s">
        <v>4380</v>
      </c>
      <c r="CB193" t="s">
        <v>4380</v>
      </c>
      <c r="CC193" t="s">
        <v>4380</v>
      </c>
      <c r="CF193" t="s">
        <v>4380</v>
      </c>
      <c r="CG193" t="s">
        <v>4380</v>
      </c>
      <c r="CH193" t="s">
        <v>4380</v>
      </c>
      <c r="CJ193" t="s">
        <v>4381</v>
      </c>
      <c r="CK193" t="s">
        <v>4381</v>
      </c>
      <c r="CL193" t="s">
        <v>4381</v>
      </c>
      <c r="CZ193" t="s">
        <v>4379</v>
      </c>
      <c r="DA193" t="s">
        <v>4379</v>
      </c>
      <c r="DB193" t="s">
        <v>4379</v>
      </c>
      <c r="DC193" t="s">
        <v>4379</v>
      </c>
      <c r="DD193" t="s">
        <v>4379</v>
      </c>
      <c r="DE193" t="s">
        <v>4379</v>
      </c>
      <c r="DF193" t="s">
        <v>4379</v>
      </c>
      <c r="DG193" t="s">
        <v>4379</v>
      </c>
      <c r="DH193" t="s">
        <v>4379</v>
      </c>
      <c r="DI193" t="s">
        <v>4379</v>
      </c>
      <c r="DJ193" t="s">
        <v>4382</v>
      </c>
      <c r="DK193" t="s">
        <v>4382</v>
      </c>
      <c r="DL193" t="s">
        <v>4378</v>
      </c>
      <c r="DM193" t="s">
        <v>4378</v>
      </c>
      <c r="DN193" t="s">
        <v>4378</v>
      </c>
      <c r="DO193" t="s">
        <v>4378</v>
      </c>
      <c r="DP193" t="s">
        <v>4378</v>
      </c>
      <c r="DQ193" t="s">
        <v>4378</v>
      </c>
      <c r="DR193" t="s">
        <v>4356</v>
      </c>
      <c r="DS193" t="s">
        <v>4356</v>
      </c>
      <c r="DT193" t="s">
        <v>4356</v>
      </c>
      <c r="DU193" t="s">
        <v>4356</v>
      </c>
      <c r="DV193" t="s">
        <v>4356</v>
      </c>
      <c r="DW193" t="s">
        <v>4356</v>
      </c>
      <c r="DX193" t="s">
        <v>4356</v>
      </c>
      <c r="DY193" t="s">
        <v>4356</v>
      </c>
      <c r="DZ193" t="s">
        <v>4356</v>
      </c>
      <c r="EA193" t="s">
        <v>4356</v>
      </c>
      <c r="EB193" t="s">
        <v>4356</v>
      </c>
      <c r="EC193" t="s">
        <v>4356</v>
      </c>
      <c r="ED193" t="s">
        <v>4356</v>
      </c>
      <c r="EE193" t="s">
        <v>4356</v>
      </c>
      <c r="EF193" t="s">
        <v>4356</v>
      </c>
      <c r="EG193" t="s">
        <v>4356</v>
      </c>
      <c r="EH193" t="s">
        <v>4356</v>
      </c>
      <c r="EI193" t="s">
        <v>4356</v>
      </c>
      <c r="EJ193" t="s">
        <v>4356</v>
      </c>
      <c r="EK193" t="s">
        <v>4356</v>
      </c>
      <c r="EL193" t="s">
        <v>4356</v>
      </c>
      <c r="EM193" t="s">
        <v>4356</v>
      </c>
      <c r="EN193" t="s">
        <v>4356</v>
      </c>
      <c r="EO193" t="s">
        <v>4356</v>
      </c>
      <c r="EP193" t="s">
        <v>4356</v>
      </c>
      <c r="EQ193" t="s">
        <v>4356</v>
      </c>
      <c r="ER193" t="s">
        <v>4356</v>
      </c>
      <c r="ES193" t="s">
        <v>4356</v>
      </c>
      <c r="ET193" t="s">
        <v>4356</v>
      </c>
      <c r="EU193" t="s">
        <v>4356</v>
      </c>
      <c r="EV193" t="s">
        <v>4356</v>
      </c>
      <c r="EW193" t="s">
        <v>4356</v>
      </c>
      <c r="EX193" t="s">
        <v>4356</v>
      </c>
      <c r="EY193" t="s">
        <v>4356</v>
      </c>
      <c r="EZ193" t="s">
        <v>4356</v>
      </c>
      <c r="FA193" t="s">
        <v>4356</v>
      </c>
      <c r="FB193" t="s">
        <v>4356</v>
      </c>
      <c r="FC193" t="s">
        <v>4356</v>
      </c>
      <c r="FD193" t="s">
        <v>4356</v>
      </c>
      <c r="FE193" t="s">
        <v>4356</v>
      </c>
      <c r="FF193" t="s">
        <v>4356</v>
      </c>
      <c r="FG193" t="s">
        <v>4356</v>
      </c>
      <c r="FH193" t="s">
        <v>4356</v>
      </c>
      <c r="FI193" t="s">
        <v>4356</v>
      </c>
      <c r="FJ193" t="s">
        <v>4356</v>
      </c>
      <c r="FK193" t="s">
        <v>4356</v>
      </c>
      <c r="FL193" t="s">
        <v>4356</v>
      </c>
      <c r="FM193" t="s">
        <v>4356</v>
      </c>
      <c r="FN193" t="s">
        <v>4356</v>
      </c>
      <c r="FO193" t="s">
        <v>4356</v>
      </c>
      <c r="FP193" t="s">
        <v>4356</v>
      </c>
      <c r="FQ193" t="s">
        <v>4356</v>
      </c>
      <c r="FR193" t="s">
        <v>4356</v>
      </c>
      <c r="FS193" t="s">
        <v>4356</v>
      </c>
      <c r="FT193" t="s">
        <v>4356</v>
      </c>
      <c r="FU193" t="s">
        <v>4356</v>
      </c>
      <c r="FV193" t="s">
        <v>4356</v>
      </c>
      <c r="FW193" t="s">
        <v>4356</v>
      </c>
      <c r="FX193" t="s">
        <v>4356</v>
      </c>
      <c r="FY193" t="s">
        <v>4356</v>
      </c>
      <c r="FZ193" t="s">
        <v>4356</v>
      </c>
      <c r="GA193" t="s">
        <v>4356</v>
      </c>
      <c r="GB193" t="s">
        <v>4356</v>
      </c>
      <c r="GC193" t="s">
        <v>4356</v>
      </c>
      <c r="GD193" t="s">
        <v>4356</v>
      </c>
      <c r="GE193" t="s">
        <v>4356</v>
      </c>
      <c r="GF193" t="s">
        <v>4356</v>
      </c>
      <c r="GG193" t="s">
        <v>4356</v>
      </c>
      <c r="GH193" t="s">
        <v>4356</v>
      </c>
      <c r="GI193" t="s">
        <v>4356</v>
      </c>
      <c r="GJ193" t="s">
        <v>4356</v>
      </c>
      <c r="GK193" t="s">
        <v>4356</v>
      </c>
      <c r="GL193" t="s">
        <v>4356</v>
      </c>
      <c r="GM193" t="s">
        <v>4356</v>
      </c>
      <c r="GN193" t="s">
        <v>4356</v>
      </c>
      <c r="GO193" t="s">
        <v>4356</v>
      </c>
      <c r="GP193" t="s">
        <v>4356</v>
      </c>
      <c r="GQ193" t="s">
        <v>4356</v>
      </c>
      <c r="GR193" t="s">
        <v>4356</v>
      </c>
      <c r="GS193" t="s">
        <v>4356</v>
      </c>
      <c r="GT193" t="s">
        <v>4356</v>
      </c>
      <c r="GU193" t="s">
        <v>4356</v>
      </c>
      <c r="GV193" t="s">
        <v>4356</v>
      </c>
      <c r="GW193" t="s">
        <v>4356</v>
      </c>
      <c r="GX193" t="s">
        <v>4356</v>
      </c>
      <c r="GY193" t="s">
        <v>4356</v>
      </c>
      <c r="GZ193" t="s">
        <v>4356</v>
      </c>
      <c r="HA193" t="s">
        <v>4356</v>
      </c>
      <c r="HB193" t="s">
        <v>4356</v>
      </c>
      <c r="HC193" t="s">
        <v>4356</v>
      </c>
      <c r="HD193" t="s">
        <v>4356</v>
      </c>
      <c r="HE193" t="s">
        <v>4356</v>
      </c>
      <c r="HF193" t="s">
        <v>4356</v>
      </c>
      <c r="HG193" t="s">
        <v>4356</v>
      </c>
      <c r="HH193" t="s">
        <v>4356</v>
      </c>
      <c r="HI193" t="s">
        <v>4356</v>
      </c>
      <c r="HJ193" t="s">
        <v>4356</v>
      </c>
      <c r="HK193" t="s">
        <v>4356</v>
      </c>
      <c r="HL193" t="s">
        <v>4356</v>
      </c>
      <c r="HM193" t="s">
        <v>4356</v>
      </c>
      <c r="HN193" t="s">
        <v>4356</v>
      </c>
      <c r="HO193" t="s">
        <v>4356</v>
      </c>
      <c r="HP193" t="s">
        <v>4356</v>
      </c>
      <c r="HQ193" t="s">
        <v>4356</v>
      </c>
      <c r="HR193" t="s">
        <v>4356</v>
      </c>
      <c r="HS193" t="s">
        <v>4356</v>
      </c>
      <c r="HT193" t="s">
        <v>4356</v>
      </c>
      <c r="HU193" t="s">
        <v>4356</v>
      </c>
      <c r="HV193" t="s">
        <v>4356</v>
      </c>
      <c r="HW193" t="s">
        <v>4356</v>
      </c>
      <c r="HX193" t="s">
        <v>4356</v>
      </c>
      <c r="HY193" t="s">
        <v>4356</v>
      </c>
      <c r="HZ193" t="s">
        <v>4356</v>
      </c>
      <c r="IA193" t="s">
        <v>4356</v>
      </c>
      <c r="IB193" t="s">
        <v>4356</v>
      </c>
      <c r="IC193" t="s">
        <v>4356</v>
      </c>
      <c r="ID193" t="s">
        <v>4356</v>
      </c>
      <c r="IE193" t="s">
        <v>4356</v>
      </c>
      <c r="IF193" t="s">
        <v>4356</v>
      </c>
      <c r="IG193" t="s">
        <v>4356</v>
      </c>
      <c r="IH193" t="s">
        <v>4356</v>
      </c>
      <c r="II193" t="s">
        <v>4356</v>
      </c>
      <c r="IJ193" t="s">
        <v>4356</v>
      </c>
      <c r="IK193" t="s">
        <v>4356</v>
      </c>
      <c r="IL193" t="s">
        <v>4356</v>
      </c>
      <c r="IM193" t="s">
        <v>4356</v>
      </c>
      <c r="IN193" t="s">
        <v>4356</v>
      </c>
      <c r="IO193" t="s">
        <v>4356</v>
      </c>
      <c r="IP193" t="s">
        <v>4356</v>
      </c>
      <c r="IQ193" t="s">
        <v>4356</v>
      </c>
      <c r="IR193" t="s">
        <v>4356</v>
      </c>
      <c r="IS193" t="s">
        <v>4356</v>
      </c>
      <c r="IT193" t="s">
        <v>4356</v>
      </c>
      <c r="IU193" t="s">
        <v>4356</v>
      </c>
      <c r="IV193" t="s">
        <v>4356</v>
      </c>
      <c r="IW193" t="s">
        <v>4356</v>
      </c>
      <c r="IX193" t="s">
        <v>4356</v>
      </c>
      <c r="IY193" t="s">
        <v>4356</v>
      </c>
      <c r="IZ193" t="s">
        <v>4356</v>
      </c>
      <c r="JA193" t="s">
        <v>4356</v>
      </c>
      <c r="JB193" t="s">
        <v>4356</v>
      </c>
      <c r="JC193" t="s">
        <v>4356</v>
      </c>
      <c r="JD193" t="s">
        <v>4356</v>
      </c>
      <c r="JE193" t="s">
        <v>4356</v>
      </c>
      <c r="JF193" t="s">
        <v>4356</v>
      </c>
      <c r="JG193" t="s">
        <v>4356</v>
      </c>
      <c r="JH193" t="s">
        <v>4356</v>
      </c>
      <c r="JI193" t="s">
        <v>4356</v>
      </c>
      <c r="JJ193" t="s">
        <v>4356</v>
      </c>
      <c r="JK193" t="s">
        <v>4356</v>
      </c>
      <c r="JL193" t="s">
        <v>4356</v>
      </c>
      <c r="JM193" t="s">
        <v>4356</v>
      </c>
      <c r="JN193" t="s">
        <v>4356</v>
      </c>
      <c r="JO193" t="s">
        <v>4356</v>
      </c>
      <c r="JP193" t="s">
        <v>4356</v>
      </c>
      <c r="JQ193" t="s">
        <v>4356</v>
      </c>
      <c r="JR193" t="s">
        <v>4356</v>
      </c>
      <c r="JS193" t="s">
        <v>4356</v>
      </c>
      <c r="JT193" t="s">
        <v>4356</v>
      </c>
      <c r="JU193" t="s">
        <v>4356</v>
      </c>
    </row>
    <row r="194" spans="50:281" x14ac:dyDescent="0.3">
      <c r="AY194" t="s">
        <v>4375</v>
      </c>
      <c r="AZ194" t="s">
        <v>4375</v>
      </c>
      <c r="BA194" t="s">
        <v>4375</v>
      </c>
      <c r="BB194" t="s">
        <v>4375</v>
      </c>
      <c r="BC194" t="s">
        <v>4375</v>
      </c>
      <c r="BZ194" t="s">
        <v>4380</v>
      </c>
      <c r="CA194" t="s">
        <v>4380</v>
      </c>
      <c r="CB194" t="s">
        <v>4380</v>
      </c>
      <c r="CC194" t="s">
        <v>4380</v>
      </c>
      <c r="CD194" t="s">
        <v>4380</v>
      </c>
      <c r="CE194" t="s">
        <v>4380</v>
      </c>
      <c r="CI194" t="s">
        <v>4381</v>
      </c>
      <c r="CJ194" t="s">
        <v>4381</v>
      </c>
      <c r="CK194" t="s">
        <v>4381</v>
      </c>
      <c r="CL194" t="s">
        <v>4381</v>
      </c>
      <c r="CM194" t="s">
        <v>4381</v>
      </c>
      <c r="CN194" t="s">
        <v>4381</v>
      </c>
      <c r="CO194" t="s">
        <v>4381</v>
      </c>
      <c r="CZ194" t="s">
        <v>4382</v>
      </c>
      <c r="DA194" t="s">
        <v>4382</v>
      </c>
      <c r="DB194" t="s">
        <v>4379</v>
      </c>
      <c r="DC194" t="s">
        <v>4379</v>
      </c>
      <c r="DD194" t="s">
        <v>4379</v>
      </c>
      <c r="DE194" t="s">
        <v>4379</v>
      </c>
      <c r="DF194" t="s">
        <v>4379</v>
      </c>
      <c r="DG194" t="s">
        <v>4379</v>
      </c>
      <c r="DH194" t="s">
        <v>4382</v>
      </c>
      <c r="DI194" t="s">
        <v>4382</v>
      </c>
      <c r="DJ194" t="s">
        <v>4382</v>
      </c>
      <c r="DK194" t="s">
        <v>4382</v>
      </c>
      <c r="DL194" t="s">
        <v>4382</v>
      </c>
      <c r="DM194" t="s">
        <v>4382</v>
      </c>
      <c r="DN194" t="s">
        <v>4356</v>
      </c>
      <c r="DO194" t="s">
        <v>4356</v>
      </c>
      <c r="DP194" t="s">
        <v>4356</v>
      </c>
      <c r="DQ194" t="s">
        <v>4356</v>
      </c>
      <c r="DR194" t="s">
        <v>4356</v>
      </c>
      <c r="DS194" t="s">
        <v>4356</v>
      </c>
      <c r="DT194" t="s">
        <v>4356</v>
      </c>
      <c r="DU194" t="s">
        <v>4356</v>
      </c>
      <c r="DV194" t="s">
        <v>4356</v>
      </c>
      <c r="DW194" t="s">
        <v>4356</v>
      </c>
      <c r="DX194" t="s">
        <v>4356</v>
      </c>
      <c r="DY194" t="s">
        <v>4356</v>
      </c>
      <c r="DZ194" t="s">
        <v>4356</v>
      </c>
      <c r="EA194" t="s">
        <v>4356</v>
      </c>
      <c r="EB194" t="s">
        <v>4356</v>
      </c>
      <c r="EC194" t="s">
        <v>4356</v>
      </c>
      <c r="ED194" t="s">
        <v>4356</v>
      </c>
      <c r="EE194" t="s">
        <v>4356</v>
      </c>
      <c r="EF194" t="s">
        <v>4356</v>
      </c>
      <c r="EG194" t="s">
        <v>4356</v>
      </c>
      <c r="EH194" t="s">
        <v>4356</v>
      </c>
      <c r="EI194" t="s">
        <v>4356</v>
      </c>
      <c r="EJ194" t="s">
        <v>4356</v>
      </c>
      <c r="EK194" t="s">
        <v>4356</v>
      </c>
      <c r="EL194" t="s">
        <v>4356</v>
      </c>
      <c r="EM194" t="s">
        <v>4356</v>
      </c>
      <c r="EN194" t="s">
        <v>4356</v>
      </c>
      <c r="EO194" t="s">
        <v>4356</v>
      </c>
      <c r="EP194" t="s">
        <v>4356</v>
      </c>
      <c r="EQ194" t="s">
        <v>4356</v>
      </c>
      <c r="ER194" t="s">
        <v>4356</v>
      </c>
      <c r="ES194" t="s">
        <v>4356</v>
      </c>
      <c r="ET194" t="s">
        <v>4356</v>
      </c>
      <c r="EU194" t="s">
        <v>4356</v>
      </c>
      <c r="EV194" t="s">
        <v>4356</v>
      </c>
      <c r="EW194" t="s">
        <v>4356</v>
      </c>
      <c r="EX194" t="s">
        <v>4356</v>
      </c>
      <c r="EY194" t="s">
        <v>4356</v>
      </c>
      <c r="EZ194" t="s">
        <v>4356</v>
      </c>
      <c r="FA194" t="s">
        <v>4356</v>
      </c>
      <c r="FB194" t="s">
        <v>4356</v>
      </c>
      <c r="FC194" t="s">
        <v>4356</v>
      </c>
      <c r="FD194" t="s">
        <v>4356</v>
      </c>
      <c r="FE194" t="s">
        <v>4356</v>
      </c>
      <c r="FF194" t="s">
        <v>4356</v>
      </c>
      <c r="FG194" t="s">
        <v>4356</v>
      </c>
      <c r="FH194" t="s">
        <v>4356</v>
      </c>
      <c r="FI194" t="s">
        <v>4356</v>
      </c>
      <c r="FJ194" t="s">
        <v>4356</v>
      </c>
      <c r="FK194" t="s">
        <v>4356</v>
      </c>
      <c r="FL194" t="s">
        <v>4356</v>
      </c>
      <c r="FM194" t="s">
        <v>4356</v>
      </c>
      <c r="FN194" t="s">
        <v>4356</v>
      </c>
      <c r="FO194" t="s">
        <v>4356</v>
      </c>
      <c r="FP194" t="s">
        <v>4356</v>
      </c>
      <c r="FQ194" t="s">
        <v>4356</v>
      </c>
      <c r="FR194" t="s">
        <v>4356</v>
      </c>
      <c r="FS194" t="s">
        <v>4356</v>
      </c>
      <c r="FT194" t="s">
        <v>4356</v>
      </c>
      <c r="FU194" t="s">
        <v>4356</v>
      </c>
      <c r="FV194" t="s">
        <v>4356</v>
      </c>
      <c r="FW194" t="s">
        <v>4356</v>
      </c>
      <c r="FX194" t="s">
        <v>4356</v>
      </c>
      <c r="FY194" t="s">
        <v>4356</v>
      </c>
      <c r="FZ194" t="s">
        <v>4356</v>
      </c>
      <c r="GA194" t="s">
        <v>4356</v>
      </c>
      <c r="GB194" t="s">
        <v>4356</v>
      </c>
      <c r="GC194" t="s">
        <v>4356</v>
      </c>
      <c r="GD194" t="s">
        <v>4356</v>
      </c>
      <c r="GE194" t="s">
        <v>4356</v>
      </c>
      <c r="GF194" t="s">
        <v>4356</v>
      </c>
      <c r="GG194" t="s">
        <v>4356</v>
      </c>
      <c r="GH194" t="s">
        <v>4356</v>
      </c>
      <c r="GI194" t="s">
        <v>4356</v>
      </c>
      <c r="GJ194" t="s">
        <v>4356</v>
      </c>
      <c r="GK194" t="s">
        <v>4356</v>
      </c>
      <c r="GL194" t="s">
        <v>4356</v>
      </c>
      <c r="GM194" t="s">
        <v>4356</v>
      </c>
      <c r="GN194" t="s">
        <v>4356</v>
      </c>
      <c r="GO194" t="s">
        <v>4356</v>
      </c>
      <c r="GP194" t="s">
        <v>4356</v>
      </c>
      <c r="GQ194" t="s">
        <v>4356</v>
      </c>
      <c r="GR194" t="s">
        <v>4356</v>
      </c>
      <c r="GS194" t="s">
        <v>4356</v>
      </c>
      <c r="GT194" t="s">
        <v>4356</v>
      </c>
      <c r="GU194" t="s">
        <v>4356</v>
      </c>
      <c r="GV194" t="s">
        <v>4356</v>
      </c>
      <c r="GW194" t="s">
        <v>4356</v>
      </c>
      <c r="GX194" t="s">
        <v>4356</v>
      </c>
      <c r="GY194" t="s">
        <v>4356</v>
      </c>
      <c r="GZ194" t="s">
        <v>4356</v>
      </c>
      <c r="HA194" t="s">
        <v>4356</v>
      </c>
      <c r="HB194" t="s">
        <v>4356</v>
      </c>
      <c r="HC194" t="s">
        <v>4356</v>
      </c>
      <c r="HD194" t="s">
        <v>4356</v>
      </c>
      <c r="HE194" t="s">
        <v>4356</v>
      </c>
      <c r="HF194" t="s">
        <v>4356</v>
      </c>
      <c r="HG194" t="s">
        <v>4356</v>
      </c>
      <c r="HH194" t="s">
        <v>4356</v>
      </c>
      <c r="HI194" t="s">
        <v>4356</v>
      </c>
      <c r="HJ194" t="s">
        <v>4356</v>
      </c>
      <c r="HK194" t="s">
        <v>4356</v>
      </c>
      <c r="HL194" t="s">
        <v>4356</v>
      </c>
      <c r="HM194" t="s">
        <v>4356</v>
      </c>
      <c r="HN194" t="s">
        <v>4356</v>
      </c>
      <c r="HO194" t="s">
        <v>4356</v>
      </c>
      <c r="HP194" t="s">
        <v>4356</v>
      </c>
      <c r="HQ194" t="s">
        <v>4356</v>
      </c>
      <c r="HR194" t="s">
        <v>4356</v>
      </c>
      <c r="HS194" t="s">
        <v>4356</v>
      </c>
      <c r="HT194" t="s">
        <v>4356</v>
      </c>
      <c r="HU194" t="s">
        <v>4356</v>
      </c>
      <c r="HV194" t="s">
        <v>4356</v>
      </c>
      <c r="HW194" t="s">
        <v>4356</v>
      </c>
      <c r="HX194" t="s">
        <v>4356</v>
      </c>
      <c r="HY194" t="s">
        <v>4356</v>
      </c>
      <c r="HZ194" t="s">
        <v>4356</v>
      </c>
      <c r="IA194" t="s">
        <v>4356</v>
      </c>
      <c r="IB194" t="s">
        <v>4356</v>
      </c>
      <c r="IC194" t="s">
        <v>4356</v>
      </c>
      <c r="ID194" t="s">
        <v>4356</v>
      </c>
      <c r="IE194" t="s">
        <v>4356</v>
      </c>
      <c r="IF194" t="s">
        <v>4356</v>
      </c>
      <c r="IG194" t="s">
        <v>4356</v>
      </c>
      <c r="IH194" t="s">
        <v>4356</v>
      </c>
      <c r="II194" t="s">
        <v>4356</v>
      </c>
      <c r="IJ194" t="s">
        <v>4356</v>
      </c>
      <c r="IK194" t="s">
        <v>4356</v>
      </c>
      <c r="IL194" t="s">
        <v>4356</v>
      </c>
      <c r="IM194" t="s">
        <v>4356</v>
      </c>
      <c r="IN194" t="s">
        <v>4356</v>
      </c>
      <c r="IO194" t="s">
        <v>4356</v>
      </c>
      <c r="IP194" t="s">
        <v>4356</v>
      </c>
      <c r="IQ194" t="s">
        <v>4356</v>
      </c>
      <c r="IR194" t="s">
        <v>4356</v>
      </c>
      <c r="IS194" t="s">
        <v>4356</v>
      </c>
      <c r="IT194" t="s">
        <v>4356</v>
      </c>
      <c r="IU194" t="s">
        <v>4356</v>
      </c>
      <c r="IV194" t="s">
        <v>4356</v>
      </c>
      <c r="IW194" t="s">
        <v>4356</v>
      </c>
      <c r="IX194" t="s">
        <v>4356</v>
      </c>
      <c r="IY194" t="s">
        <v>4356</v>
      </c>
      <c r="IZ194" t="s">
        <v>4356</v>
      </c>
      <c r="JA194" t="s">
        <v>4356</v>
      </c>
      <c r="JB194" t="s">
        <v>4356</v>
      </c>
      <c r="JC194" t="s">
        <v>4356</v>
      </c>
      <c r="JD194" t="s">
        <v>4356</v>
      </c>
      <c r="JE194" t="s">
        <v>4356</v>
      </c>
      <c r="JF194" t="s">
        <v>4356</v>
      </c>
      <c r="JG194" t="s">
        <v>4356</v>
      </c>
      <c r="JH194" t="s">
        <v>4356</v>
      </c>
      <c r="JI194" t="s">
        <v>4356</v>
      </c>
      <c r="JJ194" t="s">
        <v>4356</v>
      </c>
      <c r="JK194" t="s">
        <v>4356</v>
      </c>
      <c r="JL194" t="s">
        <v>4356</v>
      </c>
      <c r="JM194" t="s">
        <v>4356</v>
      </c>
      <c r="JN194" t="s">
        <v>4356</v>
      </c>
      <c r="JO194" t="s">
        <v>4356</v>
      </c>
      <c r="JP194" t="s">
        <v>4356</v>
      </c>
      <c r="JQ194" t="s">
        <v>4356</v>
      </c>
      <c r="JR194" t="s">
        <v>4356</v>
      </c>
      <c r="JS194" t="s">
        <v>4356</v>
      </c>
      <c r="JT194" t="s">
        <v>4356</v>
      </c>
      <c r="JU194" t="s">
        <v>4356</v>
      </c>
    </row>
    <row r="195" spans="50:281" x14ac:dyDescent="0.3">
      <c r="AX195" t="s">
        <v>4375</v>
      </c>
      <c r="AY195" t="s">
        <v>4375</v>
      </c>
      <c r="AZ195" t="s">
        <v>4375</v>
      </c>
      <c r="BA195" t="s">
        <v>4375</v>
      </c>
      <c r="BB195" t="s">
        <v>4375</v>
      </c>
      <c r="BC195" t="s">
        <v>4375</v>
      </c>
      <c r="BD195" t="s">
        <v>4375</v>
      </c>
      <c r="BZ195" t="s">
        <v>4380</v>
      </c>
      <c r="CA195" t="s">
        <v>4380</v>
      </c>
      <c r="CB195" t="s">
        <v>4380</v>
      </c>
      <c r="CC195" t="s">
        <v>4380</v>
      </c>
      <c r="CD195" t="s">
        <v>4380</v>
      </c>
      <c r="CI195" t="s">
        <v>4381</v>
      </c>
      <c r="CJ195" t="s">
        <v>4381</v>
      </c>
      <c r="CK195" t="s">
        <v>4381</v>
      </c>
      <c r="CL195" t="s">
        <v>4381</v>
      </c>
      <c r="CM195" t="s">
        <v>4381</v>
      </c>
      <c r="CN195" t="s">
        <v>4381</v>
      </c>
      <c r="CO195" t="s">
        <v>4381</v>
      </c>
      <c r="CP195" t="s">
        <v>4381</v>
      </c>
      <c r="CZ195" t="s">
        <v>4382</v>
      </c>
      <c r="DA195" t="s">
        <v>4382</v>
      </c>
      <c r="DB195" t="s">
        <v>4382</v>
      </c>
      <c r="DC195" t="s">
        <v>4382</v>
      </c>
      <c r="DD195" t="s">
        <v>4382</v>
      </c>
      <c r="DE195" t="s">
        <v>4382</v>
      </c>
      <c r="DF195" t="s">
        <v>4382</v>
      </c>
      <c r="DG195" t="s">
        <v>4382</v>
      </c>
      <c r="DH195" t="s">
        <v>4382</v>
      </c>
      <c r="DI195" t="s">
        <v>4382</v>
      </c>
      <c r="DJ195" t="s">
        <v>4382</v>
      </c>
      <c r="DK195" t="s">
        <v>4382</v>
      </c>
      <c r="DL195" t="s">
        <v>4382</v>
      </c>
      <c r="DM195" t="s">
        <v>4382</v>
      </c>
      <c r="DN195" t="s">
        <v>4356</v>
      </c>
      <c r="DO195" t="s">
        <v>4356</v>
      </c>
      <c r="DP195" t="s">
        <v>4356</v>
      </c>
      <c r="DQ195" t="s">
        <v>4356</v>
      </c>
      <c r="DR195" t="s">
        <v>4356</v>
      </c>
      <c r="DS195" t="s">
        <v>4356</v>
      </c>
      <c r="DT195" t="s">
        <v>4356</v>
      </c>
      <c r="DU195" t="s">
        <v>4356</v>
      </c>
      <c r="DV195" t="s">
        <v>4356</v>
      </c>
      <c r="DW195" t="s">
        <v>4356</v>
      </c>
      <c r="DX195" t="s">
        <v>4356</v>
      </c>
      <c r="DY195" t="s">
        <v>4356</v>
      </c>
      <c r="DZ195" t="s">
        <v>4356</v>
      </c>
      <c r="EA195" t="s">
        <v>4356</v>
      </c>
      <c r="EB195" t="s">
        <v>4356</v>
      </c>
      <c r="EC195" t="s">
        <v>4356</v>
      </c>
      <c r="ED195" t="s">
        <v>4356</v>
      </c>
      <c r="EE195" t="s">
        <v>4356</v>
      </c>
      <c r="EF195" t="s">
        <v>4356</v>
      </c>
      <c r="EG195" t="s">
        <v>4356</v>
      </c>
      <c r="EH195" t="s">
        <v>4356</v>
      </c>
      <c r="EI195" t="s">
        <v>4356</v>
      </c>
      <c r="EJ195" t="s">
        <v>4356</v>
      </c>
      <c r="EK195" t="s">
        <v>4356</v>
      </c>
      <c r="EL195" t="s">
        <v>4356</v>
      </c>
      <c r="EM195" t="s">
        <v>4356</v>
      </c>
      <c r="EN195" t="s">
        <v>4356</v>
      </c>
      <c r="EO195" t="s">
        <v>4356</v>
      </c>
      <c r="EP195" t="s">
        <v>4356</v>
      </c>
      <c r="EQ195" t="s">
        <v>4356</v>
      </c>
      <c r="ER195" t="s">
        <v>4356</v>
      </c>
      <c r="ES195" t="s">
        <v>4356</v>
      </c>
      <c r="ET195" t="s">
        <v>4356</v>
      </c>
      <c r="EU195" t="s">
        <v>4356</v>
      </c>
      <c r="EV195" t="s">
        <v>4356</v>
      </c>
      <c r="EW195" t="s">
        <v>4356</v>
      </c>
      <c r="EX195" t="s">
        <v>4356</v>
      </c>
      <c r="EY195" t="s">
        <v>4356</v>
      </c>
      <c r="EZ195" t="s">
        <v>4356</v>
      </c>
      <c r="FA195" t="s">
        <v>4356</v>
      </c>
      <c r="FB195" t="s">
        <v>4356</v>
      </c>
      <c r="FC195" t="s">
        <v>4356</v>
      </c>
      <c r="FD195" t="s">
        <v>4356</v>
      </c>
      <c r="FE195" t="s">
        <v>4356</v>
      </c>
      <c r="FF195" t="s">
        <v>4356</v>
      </c>
      <c r="FG195" t="s">
        <v>4356</v>
      </c>
      <c r="FH195" t="s">
        <v>4356</v>
      </c>
      <c r="FI195" t="s">
        <v>4356</v>
      </c>
      <c r="FJ195" t="s">
        <v>4356</v>
      </c>
      <c r="FK195" t="s">
        <v>4356</v>
      </c>
      <c r="FL195" t="s">
        <v>4356</v>
      </c>
      <c r="FM195" t="s">
        <v>4356</v>
      </c>
      <c r="FN195" t="s">
        <v>4356</v>
      </c>
      <c r="FO195" t="s">
        <v>4356</v>
      </c>
      <c r="FP195" t="s">
        <v>4356</v>
      </c>
      <c r="FQ195" t="s">
        <v>4356</v>
      </c>
      <c r="FR195" t="s">
        <v>4356</v>
      </c>
      <c r="FS195" t="s">
        <v>4356</v>
      </c>
      <c r="FT195" t="s">
        <v>4356</v>
      </c>
      <c r="FU195" t="s">
        <v>4356</v>
      </c>
      <c r="FV195" t="s">
        <v>4356</v>
      </c>
      <c r="FW195" t="s">
        <v>4356</v>
      </c>
      <c r="FX195" t="s">
        <v>4356</v>
      </c>
      <c r="FY195" t="s">
        <v>4356</v>
      </c>
      <c r="FZ195" t="s">
        <v>4356</v>
      </c>
      <c r="GA195" t="s">
        <v>4356</v>
      </c>
      <c r="GB195" t="s">
        <v>4356</v>
      </c>
      <c r="GC195" t="s">
        <v>4356</v>
      </c>
      <c r="GD195" t="s">
        <v>4356</v>
      </c>
      <c r="GE195" t="s">
        <v>4356</v>
      </c>
      <c r="GF195" t="s">
        <v>4356</v>
      </c>
      <c r="GG195" t="s">
        <v>4356</v>
      </c>
      <c r="GH195" t="s">
        <v>4356</v>
      </c>
      <c r="GI195" t="s">
        <v>4356</v>
      </c>
      <c r="GJ195" t="s">
        <v>4356</v>
      </c>
      <c r="GK195" t="s">
        <v>4356</v>
      </c>
      <c r="GL195" t="s">
        <v>4356</v>
      </c>
      <c r="GM195" t="s">
        <v>4356</v>
      </c>
      <c r="GN195" t="s">
        <v>4356</v>
      </c>
      <c r="GO195" t="s">
        <v>4356</v>
      </c>
      <c r="GP195" t="s">
        <v>4356</v>
      </c>
      <c r="GQ195" t="s">
        <v>4356</v>
      </c>
      <c r="GR195" t="s">
        <v>4356</v>
      </c>
      <c r="GS195" t="s">
        <v>4356</v>
      </c>
      <c r="GT195" t="s">
        <v>4356</v>
      </c>
      <c r="GU195" t="s">
        <v>4356</v>
      </c>
      <c r="GV195" t="s">
        <v>4356</v>
      </c>
      <c r="GW195" t="s">
        <v>4356</v>
      </c>
      <c r="GX195" t="s">
        <v>4356</v>
      </c>
      <c r="GY195" t="s">
        <v>4356</v>
      </c>
      <c r="GZ195" t="s">
        <v>4356</v>
      </c>
      <c r="HA195" t="s">
        <v>4356</v>
      </c>
      <c r="HB195" t="s">
        <v>4356</v>
      </c>
      <c r="HC195" t="s">
        <v>4356</v>
      </c>
      <c r="HD195" t="s">
        <v>4356</v>
      </c>
      <c r="HE195" t="s">
        <v>4356</v>
      </c>
      <c r="HF195" t="s">
        <v>4356</v>
      </c>
      <c r="HG195" t="s">
        <v>4356</v>
      </c>
      <c r="HH195" t="s">
        <v>4356</v>
      </c>
      <c r="HI195" t="s">
        <v>4356</v>
      </c>
      <c r="HJ195" t="s">
        <v>4356</v>
      </c>
      <c r="HK195" t="s">
        <v>4356</v>
      </c>
      <c r="HL195" t="s">
        <v>4356</v>
      </c>
      <c r="HM195" t="s">
        <v>4356</v>
      </c>
      <c r="HN195" t="s">
        <v>4356</v>
      </c>
      <c r="HO195" t="s">
        <v>4356</v>
      </c>
      <c r="HP195" t="s">
        <v>4356</v>
      </c>
      <c r="HQ195" t="s">
        <v>4356</v>
      </c>
      <c r="HR195" t="s">
        <v>4356</v>
      </c>
      <c r="HS195" t="s">
        <v>4356</v>
      </c>
      <c r="HT195" t="s">
        <v>4356</v>
      </c>
      <c r="HU195" t="s">
        <v>4356</v>
      </c>
      <c r="HV195" t="s">
        <v>4356</v>
      </c>
      <c r="HW195" t="s">
        <v>4356</v>
      </c>
      <c r="HX195" t="s">
        <v>4356</v>
      </c>
      <c r="HY195" t="s">
        <v>4356</v>
      </c>
      <c r="HZ195" t="s">
        <v>4356</v>
      </c>
      <c r="IA195" t="s">
        <v>4356</v>
      </c>
      <c r="IB195" t="s">
        <v>4356</v>
      </c>
      <c r="IC195" t="s">
        <v>4356</v>
      </c>
      <c r="ID195" t="s">
        <v>4356</v>
      </c>
      <c r="IE195" t="s">
        <v>4356</v>
      </c>
      <c r="IF195" t="s">
        <v>4356</v>
      </c>
      <c r="IG195" t="s">
        <v>4356</v>
      </c>
      <c r="IH195" t="s">
        <v>4356</v>
      </c>
      <c r="II195" t="s">
        <v>4356</v>
      </c>
      <c r="IJ195" t="s">
        <v>4356</v>
      </c>
      <c r="IK195" t="s">
        <v>4356</v>
      </c>
      <c r="IL195" t="s">
        <v>4356</v>
      </c>
      <c r="IM195" t="s">
        <v>4356</v>
      </c>
      <c r="IN195" t="s">
        <v>4356</v>
      </c>
      <c r="IO195" t="s">
        <v>4356</v>
      </c>
      <c r="IP195" t="s">
        <v>4356</v>
      </c>
      <c r="IQ195" t="s">
        <v>4356</v>
      </c>
      <c r="IR195" t="s">
        <v>4356</v>
      </c>
      <c r="IS195" t="s">
        <v>4356</v>
      </c>
      <c r="IT195" t="s">
        <v>4356</v>
      </c>
      <c r="IU195" t="s">
        <v>4356</v>
      </c>
      <c r="IV195" t="s">
        <v>4356</v>
      </c>
      <c r="IW195" t="s">
        <v>4356</v>
      </c>
      <c r="IX195" t="s">
        <v>4356</v>
      </c>
      <c r="IY195" t="s">
        <v>4356</v>
      </c>
      <c r="IZ195" t="s">
        <v>4356</v>
      </c>
      <c r="JA195" t="s">
        <v>4356</v>
      </c>
      <c r="JB195" t="s">
        <v>4356</v>
      </c>
      <c r="JC195" t="s">
        <v>4356</v>
      </c>
      <c r="JD195" t="s">
        <v>4356</v>
      </c>
      <c r="JE195" t="s">
        <v>4356</v>
      </c>
      <c r="JF195" t="s">
        <v>4356</v>
      </c>
      <c r="JG195" t="s">
        <v>4356</v>
      </c>
      <c r="JH195" t="s">
        <v>4356</v>
      </c>
      <c r="JI195" t="s">
        <v>4356</v>
      </c>
      <c r="JJ195" t="s">
        <v>4356</v>
      </c>
      <c r="JK195" t="s">
        <v>4356</v>
      </c>
      <c r="JL195" t="s">
        <v>4356</v>
      </c>
      <c r="JM195" t="s">
        <v>4356</v>
      </c>
      <c r="JN195" t="s">
        <v>4356</v>
      </c>
      <c r="JO195" t="s">
        <v>4356</v>
      </c>
      <c r="JP195" t="s">
        <v>4356</v>
      </c>
      <c r="JQ195" t="s">
        <v>4356</v>
      </c>
      <c r="JR195" t="s">
        <v>4356</v>
      </c>
      <c r="JS195" t="s">
        <v>4356</v>
      </c>
      <c r="JT195" t="s">
        <v>4356</v>
      </c>
      <c r="JU195" t="s">
        <v>4356</v>
      </c>
    </row>
    <row r="196" spans="50:281" x14ac:dyDescent="0.3">
      <c r="AX196" t="s">
        <v>4375</v>
      </c>
      <c r="AY196" t="s">
        <v>4375</v>
      </c>
      <c r="AZ196" t="s">
        <v>4375</v>
      </c>
      <c r="BA196" t="s">
        <v>4375</v>
      </c>
      <c r="BB196" t="s">
        <v>4375</v>
      </c>
      <c r="BC196" t="s">
        <v>4375</v>
      </c>
      <c r="BD196" t="s">
        <v>4375</v>
      </c>
      <c r="BE196" t="s">
        <v>4375</v>
      </c>
      <c r="CC196" t="s">
        <v>4380</v>
      </c>
      <c r="CD196" t="s">
        <v>4380</v>
      </c>
      <c r="CH196" t="s">
        <v>4381</v>
      </c>
      <c r="CI196" t="s">
        <v>4381</v>
      </c>
      <c r="CJ196" t="s">
        <v>4381</v>
      </c>
      <c r="CK196" t="s">
        <v>4381</v>
      </c>
      <c r="CL196" t="s">
        <v>4381</v>
      </c>
      <c r="CM196" t="s">
        <v>4381</v>
      </c>
      <c r="CN196" t="s">
        <v>4381</v>
      </c>
      <c r="CO196" t="s">
        <v>4381</v>
      </c>
      <c r="CP196" t="s">
        <v>4381</v>
      </c>
      <c r="DA196" t="s">
        <v>4382</v>
      </c>
      <c r="DB196" t="s">
        <v>4382</v>
      </c>
      <c r="DC196" t="s">
        <v>4382</v>
      </c>
      <c r="DF196" t="s">
        <v>4382</v>
      </c>
      <c r="DG196" t="s">
        <v>4382</v>
      </c>
      <c r="DH196" t="s">
        <v>4382</v>
      </c>
      <c r="DI196" t="s">
        <v>4382</v>
      </c>
      <c r="DJ196" t="s">
        <v>4382</v>
      </c>
      <c r="DK196" t="s">
        <v>4382</v>
      </c>
      <c r="DL196" t="s">
        <v>4382</v>
      </c>
      <c r="DM196" t="s">
        <v>4382</v>
      </c>
      <c r="DN196" t="s">
        <v>4356</v>
      </c>
      <c r="DO196" t="s">
        <v>4356</v>
      </c>
      <c r="DP196" t="s">
        <v>4356</v>
      </c>
      <c r="DQ196" t="s">
        <v>4356</v>
      </c>
      <c r="DR196" t="s">
        <v>4356</v>
      </c>
      <c r="DS196" t="s">
        <v>4356</v>
      </c>
      <c r="DT196" t="s">
        <v>4356</v>
      </c>
      <c r="DU196" t="s">
        <v>4356</v>
      </c>
      <c r="DV196" t="s">
        <v>4356</v>
      </c>
      <c r="DW196" t="s">
        <v>4356</v>
      </c>
      <c r="DX196" t="s">
        <v>4356</v>
      </c>
      <c r="DY196" t="s">
        <v>4356</v>
      </c>
      <c r="DZ196" t="s">
        <v>4356</v>
      </c>
      <c r="EA196" t="s">
        <v>4356</v>
      </c>
      <c r="EB196" t="s">
        <v>4356</v>
      </c>
      <c r="EC196" t="s">
        <v>4356</v>
      </c>
      <c r="ED196" t="s">
        <v>4356</v>
      </c>
      <c r="EE196" t="s">
        <v>4356</v>
      </c>
      <c r="EF196" t="s">
        <v>4356</v>
      </c>
      <c r="EG196" t="s">
        <v>4356</v>
      </c>
      <c r="EH196" t="s">
        <v>4356</v>
      </c>
      <c r="EI196" t="s">
        <v>4356</v>
      </c>
      <c r="EJ196" t="s">
        <v>4356</v>
      </c>
      <c r="EK196" t="s">
        <v>4356</v>
      </c>
      <c r="EL196" t="s">
        <v>4356</v>
      </c>
      <c r="EM196" t="s">
        <v>4356</v>
      </c>
      <c r="EN196" t="s">
        <v>4356</v>
      </c>
      <c r="EO196" t="s">
        <v>4356</v>
      </c>
      <c r="EP196" t="s">
        <v>4356</v>
      </c>
      <c r="EQ196" t="s">
        <v>4356</v>
      </c>
      <c r="ER196" t="s">
        <v>4356</v>
      </c>
      <c r="ES196" t="s">
        <v>4356</v>
      </c>
      <c r="ET196" t="s">
        <v>4356</v>
      </c>
      <c r="EU196" t="s">
        <v>4356</v>
      </c>
      <c r="EV196" t="s">
        <v>4356</v>
      </c>
      <c r="EW196" t="s">
        <v>4356</v>
      </c>
      <c r="EX196" t="s">
        <v>4356</v>
      </c>
      <c r="EY196" t="s">
        <v>4356</v>
      </c>
      <c r="EZ196" t="s">
        <v>4356</v>
      </c>
      <c r="FA196" t="s">
        <v>4356</v>
      </c>
      <c r="FB196" t="s">
        <v>4356</v>
      </c>
      <c r="FC196" t="s">
        <v>4356</v>
      </c>
      <c r="FD196" t="s">
        <v>4356</v>
      </c>
      <c r="FE196" t="s">
        <v>4356</v>
      </c>
      <c r="FF196" t="s">
        <v>4356</v>
      </c>
      <c r="FG196" t="s">
        <v>4356</v>
      </c>
      <c r="FH196" t="s">
        <v>4356</v>
      </c>
      <c r="FI196" t="s">
        <v>4356</v>
      </c>
      <c r="FJ196" t="s">
        <v>4356</v>
      </c>
      <c r="FK196" t="s">
        <v>4356</v>
      </c>
      <c r="FL196" t="s">
        <v>4356</v>
      </c>
      <c r="FM196" t="s">
        <v>4356</v>
      </c>
      <c r="FN196" t="s">
        <v>4356</v>
      </c>
      <c r="FO196" t="s">
        <v>4356</v>
      </c>
      <c r="FP196" t="s">
        <v>4356</v>
      </c>
      <c r="FQ196" t="s">
        <v>4356</v>
      </c>
      <c r="FR196" t="s">
        <v>4356</v>
      </c>
      <c r="FS196" t="s">
        <v>4356</v>
      </c>
      <c r="FT196" t="s">
        <v>4356</v>
      </c>
      <c r="FU196" t="s">
        <v>4356</v>
      </c>
      <c r="FV196" t="s">
        <v>4356</v>
      </c>
      <c r="FW196" t="s">
        <v>4356</v>
      </c>
      <c r="FX196" t="s">
        <v>4356</v>
      </c>
      <c r="FY196" t="s">
        <v>4356</v>
      </c>
      <c r="FZ196" t="s">
        <v>4356</v>
      </c>
      <c r="GA196" t="s">
        <v>4356</v>
      </c>
      <c r="GB196" t="s">
        <v>4356</v>
      </c>
      <c r="GC196" t="s">
        <v>4356</v>
      </c>
      <c r="GD196" t="s">
        <v>4356</v>
      </c>
      <c r="GE196" t="s">
        <v>4356</v>
      </c>
      <c r="GF196" t="s">
        <v>4356</v>
      </c>
      <c r="GG196" t="s">
        <v>4356</v>
      </c>
      <c r="GH196" t="s">
        <v>4356</v>
      </c>
      <c r="GI196" t="s">
        <v>4356</v>
      </c>
      <c r="GJ196" t="s">
        <v>4356</v>
      </c>
      <c r="GK196" t="s">
        <v>4356</v>
      </c>
      <c r="GL196" t="s">
        <v>4356</v>
      </c>
      <c r="GM196" t="s">
        <v>4356</v>
      </c>
      <c r="GN196" t="s">
        <v>4356</v>
      </c>
      <c r="GO196" t="s">
        <v>4356</v>
      </c>
      <c r="GP196" t="s">
        <v>4356</v>
      </c>
      <c r="GQ196" t="s">
        <v>4356</v>
      </c>
      <c r="GR196" t="s">
        <v>4356</v>
      </c>
      <c r="GS196" t="s">
        <v>4356</v>
      </c>
      <c r="GT196" t="s">
        <v>4356</v>
      </c>
      <c r="GU196" t="s">
        <v>4356</v>
      </c>
      <c r="GV196" t="s">
        <v>4356</v>
      </c>
      <c r="GW196" t="s">
        <v>4356</v>
      </c>
      <c r="GX196" t="s">
        <v>4356</v>
      </c>
      <c r="GY196" t="s">
        <v>4356</v>
      </c>
      <c r="GZ196" t="s">
        <v>4356</v>
      </c>
      <c r="HA196" t="s">
        <v>4356</v>
      </c>
      <c r="HB196" t="s">
        <v>4356</v>
      </c>
      <c r="HC196" t="s">
        <v>4356</v>
      </c>
      <c r="HD196" t="s">
        <v>4356</v>
      </c>
      <c r="HE196" t="s">
        <v>4356</v>
      </c>
      <c r="HF196" t="s">
        <v>4356</v>
      </c>
      <c r="HG196" t="s">
        <v>4356</v>
      </c>
      <c r="HH196" t="s">
        <v>4356</v>
      </c>
      <c r="HI196" t="s">
        <v>4356</v>
      </c>
      <c r="HJ196" t="s">
        <v>4356</v>
      </c>
      <c r="HK196" t="s">
        <v>4356</v>
      </c>
      <c r="HL196" t="s">
        <v>4356</v>
      </c>
      <c r="HM196" t="s">
        <v>4356</v>
      </c>
      <c r="HN196" t="s">
        <v>4356</v>
      </c>
      <c r="HO196" t="s">
        <v>4356</v>
      </c>
      <c r="HP196" t="s">
        <v>4356</v>
      </c>
      <c r="HQ196" t="s">
        <v>4356</v>
      </c>
      <c r="HR196" t="s">
        <v>4356</v>
      </c>
      <c r="HS196" t="s">
        <v>4356</v>
      </c>
      <c r="HT196" t="s">
        <v>4356</v>
      </c>
      <c r="HU196" t="s">
        <v>4356</v>
      </c>
      <c r="HV196" t="s">
        <v>4356</v>
      </c>
      <c r="HW196" t="s">
        <v>4356</v>
      </c>
      <c r="HX196" t="s">
        <v>4356</v>
      </c>
      <c r="HY196" t="s">
        <v>4356</v>
      </c>
      <c r="HZ196" t="s">
        <v>4356</v>
      </c>
      <c r="IA196" t="s">
        <v>4356</v>
      </c>
      <c r="IB196" t="s">
        <v>4356</v>
      </c>
      <c r="IC196" t="s">
        <v>4356</v>
      </c>
      <c r="ID196" t="s">
        <v>4356</v>
      </c>
      <c r="IE196" t="s">
        <v>4356</v>
      </c>
      <c r="IF196" t="s">
        <v>4356</v>
      </c>
      <c r="IG196" t="s">
        <v>4356</v>
      </c>
      <c r="IH196" t="s">
        <v>4356</v>
      </c>
      <c r="II196" t="s">
        <v>4356</v>
      </c>
      <c r="IJ196" t="s">
        <v>4356</v>
      </c>
      <c r="IK196" t="s">
        <v>4356</v>
      </c>
      <c r="IL196" t="s">
        <v>4356</v>
      </c>
      <c r="IM196" t="s">
        <v>4356</v>
      </c>
      <c r="IN196" t="s">
        <v>4356</v>
      </c>
      <c r="IO196" t="s">
        <v>4356</v>
      </c>
      <c r="IP196" t="s">
        <v>4356</v>
      </c>
      <c r="IQ196" t="s">
        <v>4356</v>
      </c>
      <c r="IR196" t="s">
        <v>4356</v>
      </c>
      <c r="IS196" t="s">
        <v>4356</v>
      </c>
      <c r="IT196" t="s">
        <v>4356</v>
      </c>
      <c r="IU196" t="s">
        <v>4356</v>
      </c>
      <c r="IV196" t="s">
        <v>4356</v>
      </c>
      <c r="IW196" t="s">
        <v>4356</v>
      </c>
      <c r="IX196" t="s">
        <v>4356</v>
      </c>
      <c r="IY196" t="s">
        <v>4356</v>
      </c>
      <c r="IZ196" t="s">
        <v>4356</v>
      </c>
      <c r="JA196" t="s">
        <v>4356</v>
      </c>
      <c r="JB196" t="s">
        <v>4356</v>
      </c>
      <c r="JC196" t="s">
        <v>4356</v>
      </c>
      <c r="JD196" t="s">
        <v>4356</v>
      </c>
      <c r="JE196" t="s">
        <v>4356</v>
      </c>
      <c r="JF196" t="s">
        <v>4356</v>
      </c>
      <c r="JG196" t="s">
        <v>4356</v>
      </c>
      <c r="JH196" t="s">
        <v>4356</v>
      </c>
      <c r="JI196" t="s">
        <v>4356</v>
      </c>
      <c r="JJ196" t="s">
        <v>4356</v>
      </c>
      <c r="JK196" t="s">
        <v>4356</v>
      </c>
      <c r="JL196" t="s">
        <v>4356</v>
      </c>
      <c r="JM196" t="s">
        <v>4356</v>
      </c>
      <c r="JN196" t="s">
        <v>4356</v>
      </c>
      <c r="JO196" t="s">
        <v>4356</v>
      </c>
      <c r="JP196" t="s">
        <v>4356</v>
      </c>
      <c r="JQ196" t="s">
        <v>4356</v>
      </c>
      <c r="JR196" t="s">
        <v>4356</v>
      </c>
      <c r="JS196" t="s">
        <v>4356</v>
      </c>
      <c r="JT196" t="s">
        <v>4356</v>
      </c>
      <c r="JU196" t="s">
        <v>4356</v>
      </c>
    </row>
    <row r="197" spans="50:281" x14ac:dyDescent="0.3">
      <c r="AX197" t="s">
        <v>4375</v>
      </c>
      <c r="AY197" t="s">
        <v>4375</v>
      </c>
      <c r="AZ197" t="s">
        <v>4375</v>
      </c>
      <c r="BA197" t="s">
        <v>4375</v>
      </c>
      <c r="CG197" t="s">
        <v>4381</v>
      </c>
      <c r="CH197" t="s">
        <v>4381</v>
      </c>
      <c r="CI197" t="s">
        <v>4381</v>
      </c>
      <c r="CJ197" t="s">
        <v>4381</v>
      </c>
      <c r="CK197" t="s">
        <v>4381</v>
      </c>
      <c r="CL197" t="s">
        <v>4381</v>
      </c>
      <c r="CM197" t="s">
        <v>4381</v>
      </c>
      <c r="CN197" t="s">
        <v>4381</v>
      </c>
      <c r="CO197" t="s">
        <v>4381</v>
      </c>
      <c r="CP197" t="s">
        <v>4381</v>
      </c>
      <c r="DG197" t="s">
        <v>4382</v>
      </c>
      <c r="DH197" t="s">
        <v>4382</v>
      </c>
      <c r="DI197" t="s">
        <v>4382</v>
      </c>
      <c r="DJ197" t="s">
        <v>4383</v>
      </c>
      <c r="DK197" t="s">
        <v>4383</v>
      </c>
      <c r="DL197" t="s">
        <v>4383</v>
      </c>
      <c r="DM197" t="s">
        <v>4356</v>
      </c>
      <c r="DN197" t="s">
        <v>4356</v>
      </c>
      <c r="DO197" t="s">
        <v>4356</v>
      </c>
      <c r="DP197" t="s">
        <v>4356</v>
      </c>
      <c r="DQ197" t="s">
        <v>4356</v>
      </c>
      <c r="DR197" t="s">
        <v>4356</v>
      </c>
      <c r="DS197" t="s">
        <v>4356</v>
      </c>
      <c r="DT197" t="s">
        <v>4356</v>
      </c>
      <c r="DU197" t="s">
        <v>4356</v>
      </c>
      <c r="DV197" t="s">
        <v>4356</v>
      </c>
      <c r="DW197" t="s">
        <v>4356</v>
      </c>
      <c r="DX197" t="s">
        <v>4356</v>
      </c>
      <c r="DY197" t="s">
        <v>4356</v>
      </c>
      <c r="DZ197" t="s">
        <v>4356</v>
      </c>
      <c r="EA197" t="s">
        <v>4356</v>
      </c>
      <c r="EB197" t="s">
        <v>4356</v>
      </c>
      <c r="EC197" t="s">
        <v>4356</v>
      </c>
      <c r="ED197" t="s">
        <v>4356</v>
      </c>
      <c r="EE197" t="s">
        <v>4356</v>
      </c>
      <c r="EF197" t="s">
        <v>4356</v>
      </c>
      <c r="EG197" t="s">
        <v>4356</v>
      </c>
      <c r="EH197" t="s">
        <v>4356</v>
      </c>
      <c r="EI197" t="s">
        <v>4356</v>
      </c>
      <c r="EJ197" t="s">
        <v>4356</v>
      </c>
      <c r="EK197" t="s">
        <v>4356</v>
      </c>
      <c r="EL197" t="s">
        <v>4356</v>
      </c>
      <c r="EM197" t="s">
        <v>4356</v>
      </c>
      <c r="EN197" t="s">
        <v>4356</v>
      </c>
      <c r="EO197" t="s">
        <v>4356</v>
      </c>
      <c r="EP197" t="s">
        <v>4356</v>
      </c>
      <c r="EQ197" t="s">
        <v>4356</v>
      </c>
      <c r="ER197" t="s">
        <v>4356</v>
      </c>
      <c r="ES197" t="s">
        <v>4356</v>
      </c>
      <c r="ET197" t="s">
        <v>4356</v>
      </c>
      <c r="EU197" t="s">
        <v>4356</v>
      </c>
      <c r="EV197" t="s">
        <v>4356</v>
      </c>
      <c r="EW197" t="s">
        <v>4356</v>
      </c>
      <c r="EX197" t="s">
        <v>4356</v>
      </c>
      <c r="EY197" t="s">
        <v>4356</v>
      </c>
      <c r="EZ197" t="s">
        <v>4356</v>
      </c>
      <c r="FA197" t="s">
        <v>4356</v>
      </c>
      <c r="FB197" t="s">
        <v>4356</v>
      </c>
      <c r="FC197" t="s">
        <v>4356</v>
      </c>
      <c r="FD197" t="s">
        <v>4356</v>
      </c>
      <c r="FE197" t="s">
        <v>4356</v>
      </c>
      <c r="FF197" t="s">
        <v>4356</v>
      </c>
      <c r="FG197" t="s">
        <v>4356</v>
      </c>
      <c r="FH197" t="s">
        <v>4356</v>
      </c>
      <c r="FI197" t="s">
        <v>4356</v>
      </c>
      <c r="FJ197" t="s">
        <v>4356</v>
      </c>
      <c r="FK197" t="s">
        <v>4356</v>
      </c>
      <c r="FL197" t="s">
        <v>4356</v>
      </c>
      <c r="FM197" t="s">
        <v>4356</v>
      </c>
      <c r="FN197" t="s">
        <v>4356</v>
      </c>
      <c r="FO197" t="s">
        <v>4356</v>
      </c>
      <c r="FP197" t="s">
        <v>4356</v>
      </c>
      <c r="FQ197" t="s">
        <v>4356</v>
      </c>
      <c r="FR197" t="s">
        <v>4356</v>
      </c>
      <c r="FS197" t="s">
        <v>4356</v>
      </c>
      <c r="FT197" t="s">
        <v>4356</v>
      </c>
      <c r="FU197" t="s">
        <v>4356</v>
      </c>
      <c r="FV197" t="s">
        <v>4356</v>
      </c>
      <c r="FW197" t="s">
        <v>4356</v>
      </c>
      <c r="FX197" t="s">
        <v>4356</v>
      </c>
      <c r="FY197" t="s">
        <v>4356</v>
      </c>
      <c r="FZ197" t="s">
        <v>4356</v>
      </c>
      <c r="GA197" t="s">
        <v>4356</v>
      </c>
      <c r="GB197" t="s">
        <v>4356</v>
      </c>
      <c r="GC197" t="s">
        <v>4356</v>
      </c>
      <c r="GD197" t="s">
        <v>4356</v>
      </c>
      <c r="GE197" t="s">
        <v>4356</v>
      </c>
      <c r="GF197" t="s">
        <v>4356</v>
      </c>
      <c r="GG197" t="s">
        <v>4356</v>
      </c>
      <c r="GH197" t="s">
        <v>4356</v>
      </c>
      <c r="GI197" t="s">
        <v>4356</v>
      </c>
      <c r="GJ197" t="s">
        <v>4356</v>
      </c>
      <c r="GK197" t="s">
        <v>4356</v>
      </c>
      <c r="GL197" t="s">
        <v>4356</v>
      </c>
      <c r="GM197" t="s">
        <v>4356</v>
      </c>
      <c r="GN197" t="s">
        <v>4356</v>
      </c>
      <c r="GO197" t="s">
        <v>4356</v>
      </c>
      <c r="GP197" t="s">
        <v>4356</v>
      </c>
      <c r="GQ197" t="s">
        <v>4356</v>
      </c>
      <c r="GR197" t="s">
        <v>4356</v>
      </c>
      <c r="GS197" t="s">
        <v>4356</v>
      </c>
      <c r="GT197" t="s">
        <v>4356</v>
      </c>
      <c r="GU197" t="s">
        <v>4356</v>
      </c>
      <c r="GV197" t="s">
        <v>4356</v>
      </c>
      <c r="GW197" t="s">
        <v>4356</v>
      </c>
      <c r="GX197" t="s">
        <v>4356</v>
      </c>
      <c r="GY197" t="s">
        <v>4356</v>
      </c>
      <c r="GZ197" t="s">
        <v>4356</v>
      </c>
      <c r="HA197" t="s">
        <v>4356</v>
      </c>
      <c r="HB197" t="s">
        <v>4356</v>
      </c>
      <c r="HC197" t="s">
        <v>4356</v>
      </c>
      <c r="HD197" t="s">
        <v>4356</v>
      </c>
      <c r="HE197" t="s">
        <v>4356</v>
      </c>
      <c r="HF197" t="s">
        <v>4356</v>
      </c>
      <c r="HG197" t="s">
        <v>4356</v>
      </c>
      <c r="HH197" t="s">
        <v>4356</v>
      </c>
      <c r="HI197" t="s">
        <v>4356</v>
      </c>
      <c r="HJ197" t="s">
        <v>4356</v>
      </c>
      <c r="HK197" t="s">
        <v>4356</v>
      </c>
      <c r="HL197" t="s">
        <v>4356</v>
      </c>
      <c r="HM197" t="s">
        <v>4356</v>
      </c>
      <c r="HN197" t="s">
        <v>4356</v>
      </c>
      <c r="HO197" t="s">
        <v>4356</v>
      </c>
      <c r="HP197" t="s">
        <v>4356</v>
      </c>
      <c r="HQ197" t="s">
        <v>4356</v>
      </c>
      <c r="HR197" t="s">
        <v>4356</v>
      </c>
      <c r="HS197" t="s">
        <v>4356</v>
      </c>
      <c r="HT197" t="s">
        <v>4356</v>
      </c>
      <c r="HU197" t="s">
        <v>4356</v>
      </c>
      <c r="HV197" t="s">
        <v>4356</v>
      </c>
      <c r="HW197" t="s">
        <v>4356</v>
      </c>
      <c r="HX197" t="s">
        <v>4356</v>
      </c>
      <c r="HY197" t="s">
        <v>4356</v>
      </c>
      <c r="HZ197" t="s">
        <v>4356</v>
      </c>
      <c r="IA197" t="s">
        <v>4356</v>
      </c>
      <c r="IB197" t="s">
        <v>4356</v>
      </c>
      <c r="IC197" t="s">
        <v>4356</v>
      </c>
      <c r="ID197" t="s">
        <v>4356</v>
      </c>
      <c r="IE197" t="s">
        <v>4356</v>
      </c>
      <c r="IF197" t="s">
        <v>4356</v>
      </c>
      <c r="IG197" t="s">
        <v>4356</v>
      </c>
      <c r="IH197" t="s">
        <v>4356</v>
      </c>
      <c r="II197" t="s">
        <v>4356</v>
      </c>
      <c r="IJ197" t="s">
        <v>4356</v>
      </c>
      <c r="IK197" t="s">
        <v>4356</v>
      </c>
      <c r="IL197" t="s">
        <v>4356</v>
      </c>
      <c r="IM197" t="s">
        <v>4356</v>
      </c>
      <c r="IN197" t="s">
        <v>4356</v>
      </c>
      <c r="IO197" t="s">
        <v>4356</v>
      </c>
      <c r="IP197" t="s">
        <v>4356</v>
      </c>
      <c r="IQ197" t="s">
        <v>4356</v>
      </c>
      <c r="IR197" t="s">
        <v>4356</v>
      </c>
      <c r="IS197" t="s">
        <v>4356</v>
      </c>
      <c r="IT197" t="s">
        <v>4356</v>
      </c>
      <c r="IU197" t="s">
        <v>4356</v>
      </c>
      <c r="IV197" t="s">
        <v>4356</v>
      </c>
      <c r="IW197" t="s">
        <v>4356</v>
      </c>
      <c r="IX197" t="s">
        <v>4356</v>
      </c>
      <c r="IY197" t="s">
        <v>4356</v>
      </c>
      <c r="IZ197" t="s">
        <v>4356</v>
      </c>
      <c r="JA197" t="s">
        <v>4356</v>
      </c>
      <c r="JB197" t="s">
        <v>4356</v>
      </c>
      <c r="JC197" t="s">
        <v>4356</v>
      </c>
      <c r="JD197" t="s">
        <v>4356</v>
      </c>
      <c r="JE197" t="s">
        <v>4356</v>
      </c>
      <c r="JF197" t="s">
        <v>4356</v>
      </c>
      <c r="JG197" t="s">
        <v>4356</v>
      </c>
      <c r="JH197" t="s">
        <v>4356</v>
      </c>
      <c r="JI197" t="s">
        <v>4356</v>
      </c>
      <c r="JJ197" t="s">
        <v>4356</v>
      </c>
      <c r="JK197" t="s">
        <v>4356</v>
      </c>
      <c r="JL197" t="s">
        <v>4356</v>
      </c>
      <c r="JM197" t="s">
        <v>4356</v>
      </c>
      <c r="JN197" t="s">
        <v>4356</v>
      </c>
      <c r="JO197" t="s">
        <v>4356</v>
      </c>
      <c r="JP197" t="s">
        <v>4356</v>
      </c>
      <c r="JQ197" t="s">
        <v>4356</v>
      </c>
      <c r="JR197" t="s">
        <v>4356</v>
      </c>
      <c r="JS197" t="s">
        <v>4356</v>
      </c>
      <c r="JT197" t="s">
        <v>4356</v>
      </c>
      <c r="JU197" t="s">
        <v>4356</v>
      </c>
    </row>
    <row r="198" spans="50:281" x14ac:dyDescent="0.3">
      <c r="AY198" t="s">
        <v>4375</v>
      </c>
      <c r="AZ198" t="s">
        <v>4375</v>
      </c>
      <c r="BA198" t="s">
        <v>4375</v>
      </c>
      <c r="BB198" t="s">
        <v>4375</v>
      </c>
      <c r="BW198" t="s">
        <v>4384</v>
      </c>
      <c r="BX198" t="s">
        <v>4384</v>
      </c>
      <c r="BY198" t="s">
        <v>4384</v>
      </c>
      <c r="CG198" t="s">
        <v>4381</v>
      </c>
      <c r="CH198" t="s">
        <v>4381</v>
      </c>
      <c r="CI198" t="s">
        <v>4381</v>
      </c>
      <c r="CJ198" t="s">
        <v>4381</v>
      </c>
      <c r="CK198" t="s">
        <v>4381</v>
      </c>
      <c r="CL198" t="s">
        <v>4381</v>
      </c>
      <c r="CM198" t="s">
        <v>4381</v>
      </c>
      <c r="CN198" t="s">
        <v>4381</v>
      </c>
      <c r="CO198" t="s">
        <v>4381</v>
      </c>
      <c r="CP198" t="s">
        <v>4381</v>
      </c>
      <c r="DG198" t="s">
        <v>4383</v>
      </c>
      <c r="DH198" t="s">
        <v>4383</v>
      </c>
      <c r="DI198" t="s">
        <v>4383</v>
      </c>
      <c r="DJ198" t="s">
        <v>4383</v>
      </c>
      <c r="DK198" t="s">
        <v>4383</v>
      </c>
      <c r="DL198" t="s">
        <v>4383</v>
      </c>
      <c r="DM198" t="s">
        <v>4356</v>
      </c>
      <c r="DN198" t="s">
        <v>4356</v>
      </c>
      <c r="DO198" t="s">
        <v>4356</v>
      </c>
      <c r="DP198" t="s">
        <v>4356</v>
      </c>
      <c r="DQ198" t="s">
        <v>4356</v>
      </c>
      <c r="DR198" t="s">
        <v>4356</v>
      </c>
      <c r="DS198" t="s">
        <v>4356</v>
      </c>
      <c r="DT198" t="s">
        <v>4356</v>
      </c>
      <c r="DU198" t="s">
        <v>4356</v>
      </c>
      <c r="DV198" t="s">
        <v>4356</v>
      </c>
      <c r="DW198" t="s">
        <v>4356</v>
      </c>
      <c r="DX198" t="s">
        <v>4356</v>
      </c>
      <c r="DY198" t="s">
        <v>4356</v>
      </c>
      <c r="DZ198" t="s">
        <v>4356</v>
      </c>
      <c r="EA198" t="s">
        <v>4356</v>
      </c>
      <c r="EB198" t="s">
        <v>4356</v>
      </c>
      <c r="EC198" t="s">
        <v>4356</v>
      </c>
      <c r="ED198" t="s">
        <v>4356</v>
      </c>
      <c r="EE198" t="s">
        <v>4356</v>
      </c>
      <c r="EF198" t="s">
        <v>4356</v>
      </c>
      <c r="EG198" t="s">
        <v>4356</v>
      </c>
      <c r="EH198" t="s">
        <v>4356</v>
      </c>
      <c r="EI198" t="s">
        <v>4356</v>
      </c>
      <c r="EJ198" t="s">
        <v>4356</v>
      </c>
      <c r="EK198" t="s">
        <v>4356</v>
      </c>
      <c r="EL198" t="s">
        <v>4356</v>
      </c>
      <c r="EM198" t="s">
        <v>4356</v>
      </c>
      <c r="EN198" t="s">
        <v>4356</v>
      </c>
      <c r="EO198" t="s">
        <v>4356</v>
      </c>
      <c r="EP198" t="s">
        <v>4356</v>
      </c>
      <c r="EQ198" t="s">
        <v>4356</v>
      </c>
      <c r="ER198" t="s">
        <v>4356</v>
      </c>
      <c r="ES198" t="s">
        <v>4356</v>
      </c>
      <c r="ET198" t="s">
        <v>4356</v>
      </c>
      <c r="EU198" t="s">
        <v>4356</v>
      </c>
      <c r="EV198" t="s">
        <v>4356</v>
      </c>
      <c r="EW198" t="s">
        <v>4356</v>
      </c>
      <c r="EX198" t="s">
        <v>4356</v>
      </c>
      <c r="EY198" t="s">
        <v>4356</v>
      </c>
      <c r="EZ198" t="s">
        <v>4356</v>
      </c>
      <c r="FA198" t="s">
        <v>4356</v>
      </c>
      <c r="FB198" t="s">
        <v>4356</v>
      </c>
      <c r="FC198" t="s">
        <v>4356</v>
      </c>
      <c r="FD198" t="s">
        <v>4356</v>
      </c>
      <c r="FE198" t="s">
        <v>4356</v>
      </c>
      <c r="FF198" t="s">
        <v>4356</v>
      </c>
      <c r="FG198" t="s">
        <v>4356</v>
      </c>
      <c r="FH198" t="s">
        <v>4356</v>
      </c>
      <c r="FI198" t="s">
        <v>4356</v>
      </c>
      <c r="FJ198" t="s">
        <v>4356</v>
      </c>
      <c r="FK198" t="s">
        <v>4356</v>
      </c>
      <c r="FL198" t="s">
        <v>4356</v>
      </c>
      <c r="FM198" t="s">
        <v>4356</v>
      </c>
      <c r="FN198" t="s">
        <v>4356</v>
      </c>
      <c r="FO198" t="s">
        <v>4356</v>
      </c>
      <c r="FP198" t="s">
        <v>4356</v>
      </c>
      <c r="FQ198" t="s">
        <v>4356</v>
      </c>
      <c r="FR198" t="s">
        <v>4356</v>
      </c>
      <c r="FS198" t="s">
        <v>4356</v>
      </c>
      <c r="FT198" t="s">
        <v>4356</v>
      </c>
      <c r="FU198" t="s">
        <v>4356</v>
      </c>
      <c r="FV198" t="s">
        <v>4356</v>
      </c>
      <c r="FW198" t="s">
        <v>4356</v>
      </c>
      <c r="FX198" t="s">
        <v>4356</v>
      </c>
      <c r="FY198" t="s">
        <v>4356</v>
      </c>
      <c r="FZ198" t="s">
        <v>4356</v>
      </c>
      <c r="GA198" t="s">
        <v>4356</v>
      </c>
      <c r="GB198" t="s">
        <v>4356</v>
      </c>
      <c r="GC198" t="s">
        <v>4356</v>
      </c>
      <c r="GD198" t="s">
        <v>4356</v>
      </c>
      <c r="GE198" t="s">
        <v>4356</v>
      </c>
      <c r="GF198" t="s">
        <v>4356</v>
      </c>
      <c r="GG198" t="s">
        <v>4356</v>
      </c>
      <c r="GH198" t="s">
        <v>4356</v>
      </c>
      <c r="GI198" t="s">
        <v>4356</v>
      </c>
      <c r="GJ198" t="s">
        <v>4356</v>
      </c>
      <c r="GK198" t="s">
        <v>4356</v>
      </c>
      <c r="GL198" t="s">
        <v>4356</v>
      </c>
      <c r="GM198" t="s">
        <v>4356</v>
      </c>
      <c r="GN198" t="s">
        <v>4356</v>
      </c>
      <c r="GO198" t="s">
        <v>4356</v>
      </c>
      <c r="GP198" t="s">
        <v>4356</v>
      </c>
      <c r="GQ198" t="s">
        <v>4356</v>
      </c>
      <c r="GR198" t="s">
        <v>4356</v>
      </c>
      <c r="GS198" t="s">
        <v>4356</v>
      </c>
      <c r="GT198" t="s">
        <v>4356</v>
      </c>
      <c r="GU198" t="s">
        <v>4356</v>
      </c>
      <c r="GV198" t="s">
        <v>4356</v>
      </c>
      <c r="GW198" t="s">
        <v>4356</v>
      </c>
      <c r="GX198" t="s">
        <v>4356</v>
      </c>
      <c r="GY198" t="s">
        <v>4356</v>
      </c>
      <c r="GZ198" t="s">
        <v>4356</v>
      </c>
      <c r="HA198" t="s">
        <v>4356</v>
      </c>
      <c r="HB198" t="s">
        <v>4356</v>
      </c>
      <c r="HC198" t="s">
        <v>4356</v>
      </c>
      <c r="HD198" t="s">
        <v>4356</v>
      </c>
      <c r="HE198" t="s">
        <v>4356</v>
      </c>
      <c r="HF198" t="s">
        <v>4356</v>
      </c>
      <c r="HG198" t="s">
        <v>4356</v>
      </c>
      <c r="HH198" t="s">
        <v>4356</v>
      </c>
      <c r="HI198" t="s">
        <v>4356</v>
      </c>
      <c r="HJ198" t="s">
        <v>4356</v>
      </c>
      <c r="HK198" t="s">
        <v>4356</v>
      </c>
      <c r="HL198" t="s">
        <v>4356</v>
      </c>
      <c r="HM198" t="s">
        <v>4356</v>
      </c>
      <c r="HN198" t="s">
        <v>4356</v>
      </c>
      <c r="HO198" t="s">
        <v>4356</v>
      </c>
      <c r="HP198" t="s">
        <v>4356</v>
      </c>
      <c r="HQ198" t="s">
        <v>4356</v>
      </c>
      <c r="HR198" t="s">
        <v>4356</v>
      </c>
      <c r="HS198" t="s">
        <v>4356</v>
      </c>
      <c r="HT198" t="s">
        <v>4356</v>
      </c>
      <c r="HU198" t="s">
        <v>4356</v>
      </c>
      <c r="HV198" t="s">
        <v>4356</v>
      </c>
      <c r="HW198" t="s">
        <v>4356</v>
      </c>
      <c r="HX198" t="s">
        <v>4356</v>
      </c>
      <c r="HY198" t="s">
        <v>4356</v>
      </c>
      <c r="HZ198" t="s">
        <v>4356</v>
      </c>
      <c r="IA198" t="s">
        <v>4356</v>
      </c>
      <c r="IB198" t="s">
        <v>4356</v>
      </c>
      <c r="IC198" t="s">
        <v>4356</v>
      </c>
      <c r="ID198" t="s">
        <v>4356</v>
      </c>
      <c r="IE198" t="s">
        <v>4356</v>
      </c>
      <c r="IF198" t="s">
        <v>4356</v>
      </c>
      <c r="IG198" t="s">
        <v>4356</v>
      </c>
      <c r="IH198" t="s">
        <v>4356</v>
      </c>
      <c r="II198" t="s">
        <v>4356</v>
      </c>
      <c r="IJ198" t="s">
        <v>4356</v>
      </c>
      <c r="IK198" t="s">
        <v>4356</v>
      </c>
      <c r="IL198" t="s">
        <v>4356</v>
      </c>
      <c r="IM198" t="s">
        <v>4356</v>
      </c>
      <c r="IN198" t="s">
        <v>4356</v>
      </c>
      <c r="IO198" t="s">
        <v>4356</v>
      </c>
      <c r="IP198" t="s">
        <v>4356</v>
      </c>
      <c r="IQ198" t="s">
        <v>4356</v>
      </c>
      <c r="IR198" t="s">
        <v>4356</v>
      </c>
      <c r="IS198" t="s">
        <v>4356</v>
      </c>
      <c r="IT198" t="s">
        <v>4356</v>
      </c>
      <c r="IU198" t="s">
        <v>4356</v>
      </c>
      <c r="IV198" t="s">
        <v>4356</v>
      </c>
      <c r="IW198" t="s">
        <v>4356</v>
      </c>
      <c r="IX198" t="s">
        <v>4356</v>
      </c>
      <c r="IY198" t="s">
        <v>4356</v>
      </c>
      <c r="IZ198" t="s">
        <v>4356</v>
      </c>
      <c r="JA198" t="s">
        <v>4356</v>
      </c>
      <c r="JB198" t="s">
        <v>4356</v>
      </c>
      <c r="JC198" t="s">
        <v>4356</v>
      </c>
      <c r="JD198" t="s">
        <v>4356</v>
      </c>
      <c r="JE198" t="s">
        <v>4356</v>
      </c>
      <c r="JF198" t="s">
        <v>4356</v>
      </c>
      <c r="JG198" t="s">
        <v>4356</v>
      </c>
      <c r="JH198" t="s">
        <v>4356</v>
      </c>
      <c r="JI198" t="s">
        <v>4356</v>
      </c>
      <c r="JJ198" t="s">
        <v>4356</v>
      </c>
      <c r="JK198" t="s">
        <v>4356</v>
      </c>
      <c r="JL198" t="s">
        <v>4356</v>
      </c>
      <c r="JM198" t="s">
        <v>4356</v>
      </c>
      <c r="JN198" t="s">
        <v>4356</v>
      </c>
      <c r="JO198" t="s">
        <v>4356</v>
      </c>
      <c r="JP198" t="s">
        <v>4356</v>
      </c>
      <c r="JQ198" t="s">
        <v>4356</v>
      </c>
      <c r="JR198" t="s">
        <v>4356</v>
      </c>
      <c r="JS198" t="s">
        <v>4356</v>
      </c>
      <c r="JT198" t="s">
        <v>4356</v>
      </c>
      <c r="JU198" t="s">
        <v>4356</v>
      </c>
    </row>
    <row r="199" spans="50:281" x14ac:dyDescent="0.3">
      <c r="BU199" t="s">
        <v>4384</v>
      </c>
      <c r="BV199" t="s">
        <v>4384</v>
      </c>
      <c r="BW199" t="s">
        <v>4384</v>
      </c>
      <c r="BX199" t="s">
        <v>4384</v>
      </c>
      <c r="BY199" t="s">
        <v>4384</v>
      </c>
      <c r="BZ199" t="s">
        <v>4384</v>
      </c>
      <c r="CA199" t="s">
        <v>4384</v>
      </c>
      <c r="CF199" t="s">
        <v>4381</v>
      </c>
      <c r="CG199" t="s">
        <v>4381</v>
      </c>
      <c r="CH199" t="s">
        <v>4381</v>
      </c>
      <c r="CI199" t="s">
        <v>4381</v>
      </c>
      <c r="CJ199" t="s">
        <v>4381</v>
      </c>
      <c r="CK199" t="s">
        <v>4381</v>
      </c>
      <c r="CL199" t="s">
        <v>4381</v>
      </c>
      <c r="CM199" t="s">
        <v>4381</v>
      </c>
      <c r="CN199" t="s">
        <v>4381</v>
      </c>
      <c r="CO199" t="s">
        <v>4381</v>
      </c>
      <c r="CP199" t="s">
        <v>4381</v>
      </c>
      <c r="CQ199" t="s">
        <v>4381</v>
      </c>
      <c r="DE199" t="s">
        <v>4383</v>
      </c>
      <c r="DF199" t="s">
        <v>4383</v>
      </c>
      <c r="DG199" t="s">
        <v>4383</v>
      </c>
      <c r="DH199" t="s">
        <v>4383</v>
      </c>
      <c r="DI199" t="s">
        <v>4383</v>
      </c>
      <c r="DJ199" t="s">
        <v>4383</v>
      </c>
      <c r="DK199" t="s">
        <v>4383</v>
      </c>
      <c r="DL199" t="s">
        <v>4383</v>
      </c>
      <c r="DM199" t="s">
        <v>4356</v>
      </c>
      <c r="DN199" t="s">
        <v>4356</v>
      </c>
      <c r="DO199" t="s">
        <v>4356</v>
      </c>
      <c r="DP199" t="s">
        <v>4356</v>
      </c>
      <c r="DQ199" t="s">
        <v>4356</v>
      </c>
      <c r="DR199" t="s">
        <v>4356</v>
      </c>
      <c r="DS199" t="s">
        <v>4356</v>
      </c>
      <c r="DT199" t="s">
        <v>4356</v>
      </c>
      <c r="DU199" t="s">
        <v>4356</v>
      </c>
      <c r="DV199" t="s">
        <v>4356</v>
      </c>
      <c r="DW199" t="s">
        <v>4356</v>
      </c>
      <c r="DX199" t="s">
        <v>4356</v>
      </c>
      <c r="DY199" t="s">
        <v>4356</v>
      </c>
      <c r="DZ199" t="s">
        <v>4356</v>
      </c>
      <c r="EA199" t="s">
        <v>4356</v>
      </c>
      <c r="EB199" t="s">
        <v>4356</v>
      </c>
      <c r="EC199" t="s">
        <v>4356</v>
      </c>
      <c r="ED199" t="s">
        <v>4356</v>
      </c>
      <c r="EE199" t="s">
        <v>4356</v>
      </c>
      <c r="EF199" t="s">
        <v>4356</v>
      </c>
      <c r="EG199" t="s">
        <v>4356</v>
      </c>
      <c r="EH199" t="s">
        <v>4356</v>
      </c>
      <c r="EI199" t="s">
        <v>4356</v>
      </c>
      <c r="EJ199" t="s">
        <v>4356</v>
      </c>
      <c r="EK199" t="s">
        <v>4356</v>
      </c>
      <c r="EL199" t="s">
        <v>4356</v>
      </c>
      <c r="EM199" t="s">
        <v>4356</v>
      </c>
      <c r="EN199" t="s">
        <v>4356</v>
      </c>
      <c r="EO199" t="s">
        <v>4356</v>
      </c>
      <c r="EP199" t="s">
        <v>4356</v>
      </c>
      <c r="EQ199" t="s">
        <v>4356</v>
      </c>
      <c r="ER199" t="s">
        <v>4356</v>
      </c>
      <c r="ES199" t="s">
        <v>4356</v>
      </c>
      <c r="ET199" t="s">
        <v>4356</v>
      </c>
      <c r="EU199" t="s">
        <v>4356</v>
      </c>
      <c r="EV199" t="s">
        <v>4356</v>
      </c>
      <c r="EW199" t="s">
        <v>4356</v>
      </c>
      <c r="EX199" t="s">
        <v>4356</v>
      </c>
      <c r="EY199" t="s">
        <v>4356</v>
      </c>
      <c r="EZ199" t="s">
        <v>4356</v>
      </c>
      <c r="FA199" t="s">
        <v>4356</v>
      </c>
      <c r="FB199" t="s">
        <v>4356</v>
      </c>
      <c r="FC199" t="s">
        <v>4356</v>
      </c>
      <c r="FD199" t="s">
        <v>4356</v>
      </c>
      <c r="FE199" t="s">
        <v>4356</v>
      </c>
      <c r="FF199" t="s">
        <v>4356</v>
      </c>
      <c r="FG199" t="s">
        <v>4356</v>
      </c>
      <c r="FH199" t="s">
        <v>4356</v>
      </c>
      <c r="FI199" t="s">
        <v>4356</v>
      </c>
      <c r="FJ199" t="s">
        <v>4356</v>
      </c>
      <c r="FK199" t="s">
        <v>4356</v>
      </c>
      <c r="FL199" t="s">
        <v>4356</v>
      </c>
      <c r="FM199" t="s">
        <v>4356</v>
      </c>
      <c r="FN199" t="s">
        <v>4356</v>
      </c>
      <c r="FO199" t="s">
        <v>4356</v>
      </c>
      <c r="FP199" t="s">
        <v>4356</v>
      </c>
      <c r="FQ199" t="s">
        <v>4356</v>
      </c>
      <c r="FR199" t="s">
        <v>4356</v>
      </c>
      <c r="FS199" t="s">
        <v>4356</v>
      </c>
      <c r="FT199" t="s">
        <v>4356</v>
      </c>
      <c r="FU199" t="s">
        <v>4356</v>
      </c>
      <c r="FV199" t="s">
        <v>4356</v>
      </c>
      <c r="FW199" t="s">
        <v>4356</v>
      </c>
      <c r="FX199" t="s">
        <v>4356</v>
      </c>
      <c r="FY199" t="s">
        <v>4356</v>
      </c>
      <c r="FZ199" t="s">
        <v>4356</v>
      </c>
      <c r="GA199" t="s">
        <v>4356</v>
      </c>
      <c r="GB199" t="s">
        <v>4356</v>
      </c>
      <c r="GC199" t="s">
        <v>4356</v>
      </c>
      <c r="GD199" t="s">
        <v>4356</v>
      </c>
      <c r="GE199" t="s">
        <v>4356</v>
      </c>
      <c r="GF199" t="s">
        <v>4356</v>
      </c>
      <c r="GG199" t="s">
        <v>4356</v>
      </c>
      <c r="GH199" t="s">
        <v>4356</v>
      </c>
      <c r="GI199" t="s">
        <v>4356</v>
      </c>
      <c r="GJ199" t="s">
        <v>4356</v>
      </c>
      <c r="GK199" t="s">
        <v>4356</v>
      </c>
      <c r="GL199" t="s">
        <v>4356</v>
      </c>
      <c r="GM199" t="s">
        <v>4356</v>
      </c>
      <c r="GN199" t="s">
        <v>4356</v>
      </c>
      <c r="GO199" t="s">
        <v>4356</v>
      </c>
      <c r="GP199" t="s">
        <v>4356</v>
      </c>
      <c r="GQ199" t="s">
        <v>4356</v>
      </c>
      <c r="GR199" t="s">
        <v>4356</v>
      </c>
      <c r="GS199" t="s">
        <v>4356</v>
      </c>
      <c r="GT199" t="s">
        <v>4356</v>
      </c>
      <c r="GU199" t="s">
        <v>4356</v>
      </c>
      <c r="GV199" t="s">
        <v>4356</v>
      </c>
      <c r="GW199" t="s">
        <v>4356</v>
      </c>
      <c r="GX199" t="s">
        <v>4356</v>
      </c>
      <c r="GY199" t="s">
        <v>4356</v>
      </c>
      <c r="GZ199" t="s">
        <v>4356</v>
      </c>
      <c r="HA199" t="s">
        <v>4356</v>
      </c>
      <c r="HB199" t="s">
        <v>4356</v>
      </c>
      <c r="HC199" t="s">
        <v>4356</v>
      </c>
      <c r="HD199" t="s">
        <v>4356</v>
      </c>
      <c r="HE199" t="s">
        <v>4356</v>
      </c>
      <c r="HF199" t="s">
        <v>4356</v>
      </c>
      <c r="HG199" t="s">
        <v>4356</v>
      </c>
      <c r="HH199" t="s">
        <v>4356</v>
      </c>
      <c r="HI199" t="s">
        <v>4356</v>
      </c>
      <c r="HJ199" t="s">
        <v>4356</v>
      </c>
      <c r="HK199" t="s">
        <v>4356</v>
      </c>
      <c r="HL199" t="s">
        <v>4356</v>
      </c>
      <c r="HM199" t="s">
        <v>4356</v>
      </c>
      <c r="HN199" t="s">
        <v>4356</v>
      </c>
      <c r="HO199" t="s">
        <v>4356</v>
      </c>
      <c r="HP199" t="s">
        <v>4356</v>
      </c>
      <c r="HQ199" t="s">
        <v>4356</v>
      </c>
      <c r="HR199" t="s">
        <v>4356</v>
      </c>
      <c r="HS199" t="s">
        <v>4356</v>
      </c>
      <c r="HT199" t="s">
        <v>4356</v>
      </c>
      <c r="HU199" t="s">
        <v>4356</v>
      </c>
      <c r="HV199" t="s">
        <v>4356</v>
      </c>
      <c r="HW199" t="s">
        <v>4356</v>
      </c>
      <c r="HX199" t="s">
        <v>4356</v>
      </c>
      <c r="HY199" t="s">
        <v>4356</v>
      </c>
      <c r="HZ199" t="s">
        <v>4356</v>
      </c>
      <c r="IA199" t="s">
        <v>4356</v>
      </c>
      <c r="IB199" t="s">
        <v>4356</v>
      </c>
      <c r="IC199" t="s">
        <v>4356</v>
      </c>
      <c r="ID199" t="s">
        <v>4356</v>
      </c>
      <c r="IE199" t="s">
        <v>4356</v>
      </c>
      <c r="IF199" t="s">
        <v>4356</v>
      </c>
      <c r="IG199" t="s">
        <v>4356</v>
      </c>
      <c r="IH199" t="s">
        <v>4356</v>
      </c>
      <c r="II199" t="s">
        <v>4356</v>
      </c>
      <c r="IJ199" t="s">
        <v>4356</v>
      </c>
      <c r="IK199" t="s">
        <v>4356</v>
      </c>
      <c r="IL199" t="s">
        <v>4356</v>
      </c>
      <c r="IM199" t="s">
        <v>4356</v>
      </c>
      <c r="IN199" t="s">
        <v>4356</v>
      </c>
      <c r="IO199" t="s">
        <v>4356</v>
      </c>
      <c r="IP199" t="s">
        <v>4356</v>
      </c>
      <c r="IQ199" t="s">
        <v>4356</v>
      </c>
      <c r="IR199" t="s">
        <v>4356</v>
      </c>
      <c r="IS199" t="s">
        <v>4356</v>
      </c>
      <c r="IT199" t="s">
        <v>4356</v>
      </c>
      <c r="IU199" t="s">
        <v>4356</v>
      </c>
      <c r="IV199" t="s">
        <v>4356</v>
      </c>
      <c r="IW199" t="s">
        <v>4356</v>
      </c>
      <c r="IX199" t="s">
        <v>4356</v>
      </c>
      <c r="IY199" t="s">
        <v>4356</v>
      </c>
      <c r="IZ199" t="s">
        <v>4356</v>
      </c>
      <c r="JA199" t="s">
        <v>4356</v>
      </c>
      <c r="JB199" t="s">
        <v>4356</v>
      </c>
      <c r="JC199" t="s">
        <v>4356</v>
      </c>
      <c r="JD199" t="s">
        <v>4356</v>
      </c>
      <c r="JE199" t="s">
        <v>4356</v>
      </c>
      <c r="JF199" t="s">
        <v>4356</v>
      </c>
      <c r="JG199" t="s">
        <v>4356</v>
      </c>
      <c r="JH199" t="s">
        <v>4356</v>
      </c>
      <c r="JI199" t="s">
        <v>4356</v>
      </c>
      <c r="JJ199" t="s">
        <v>4356</v>
      </c>
      <c r="JK199" t="s">
        <v>4356</v>
      </c>
      <c r="JL199" t="s">
        <v>4356</v>
      </c>
      <c r="JM199" t="s">
        <v>4356</v>
      </c>
      <c r="JN199" t="s">
        <v>4356</v>
      </c>
      <c r="JO199" t="s">
        <v>4356</v>
      </c>
      <c r="JP199" t="s">
        <v>4356</v>
      </c>
      <c r="JQ199" t="s">
        <v>4356</v>
      </c>
      <c r="JR199" t="s">
        <v>4356</v>
      </c>
      <c r="JS199" t="s">
        <v>4356</v>
      </c>
      <c r="JT199" t="s">
        <v>4356</v>
      </c>
      <c r="JU199" t="s">
        <v>4356</v>
      </c>
    </row>
    <row r="200" spans="50:281" x14ac:dyDescent="0.3">
      <c r="BU200" t="s">
        <v>4384</v>
      </c>
      <c r="BV200" t="s">
        <v>4384</v>
      </c>
      <c r="BW200" t="s">
        <v>4384</v>
      </c>
      <c r="BX200" t="s">
        <v>4384</v>
      </c>
      <c r="BY200" t="s">
        <v>4384</v>
      </c>
      <c r="BZ200" t="s">
        <v>4384</v>
      </c>
      <c r="CA200" t="s">
        <v>4384</v>
      </c>
      <c r="CB200" t="s">
        <v>4384</v>
      </c>
      <c r="CC200" t="s">
        <v>4384</v>
      </c>
      <c r="CE200" t="s">
        <v>4384</v>
      </c>
      <c r="CF200" t="s">
        <v>4384</v>
      </c>
      <c r="CG200" t="s">
        <v>4381</v>
      </c>
      <c r="CH200" t="s">
        <v>4381</v>
      </c>
      <c r="CI200" t="s">
        <v>4381</v>
      </c>
      <c r="CJ200" t="s">
        <v>4381</v>
      </c>
      <c r="CK200" t="s">
        <v>4381</v>
      </c>
      <c r="CL200" t="s">
        <v>4381</v>
      </c>
      <c r="CM200" t="s">
        <v>4381</v>
      </c>
      <c r="CN200" t="s">
        <v>4381</v>
      </c>
      <c r="CO200" t="s">
        <v>4381</v>
      </c>
      <c r="CP200" t="s">
        <v>4381</v>
      </c>
      <c r="CQ200" t="s">
        <v>4381</v>
      </c>
      <c r="CR200" t="s">
        <v>4381</v>
      </c>
      <c r="CS200" t="s">
        <v>4381</v>
      </c>
      <c r="DE200" t="s">
        <v>4383</v>
      </c>
      <c r="DF200" t="s">
        <v>4383</v>
      </c>
      <c r="DG200" t="s">
        <v>4383</v>
      </c>
      <c r="DH200" t="s">
        <v>4383</v>
      </c>
      <c r="DI200" t="s">
        <v>4383</v>
      </c>
      <c r="DJ200" t="s">
        <v>4383</v>
      </c>
      <c r="DK200" t="s">
        <v>4383</v>
      </c>
      <c r="DL200" t="s">
        <v>4383</v>
      </c>
      <c r="DM200" t="s">
        <v>4383</v>
      </c>
      <c r="DN200" t="s">
        <v>4356</v>
      </c>
      <c r="DO200" t="s">
        <v>4356</v>
      </c>
      <c r="DP200" t="s">
        <v>4356</v>
      </c>
      <c r="DQ200" t="s">
        <v>4356</v>
      </c>
      <c r="DR200" t="s">
        <v>4356</v>
      </c>
      <c r="DS200" t="s">
        <v>4356</v>
      </c>
      <c r="DT200" t="s">
        <v>4356</v>
      </c>
      <c r="DU200" t="s">
        <v>4356</v>
      </c>
      <c r="DV200" t="s">
        <v>4356</v>
      </c>
      <c r="DW200" t="s">
        <v>4356</v>
      </c>
      <c r="DX200" t="s">
        <v>4356</v>
      </c>
      <c r="DY200" t="s">
        <v>4356</v>
      </c>
      <c r="DZ200" t="s">
        <v>4356</v>
      </c>
      <c r="EA200" t="s">
        <v>4356</v>
      </c>
      <c r="EB200" t="s">
        <v>4356</v>
      </c>
      <c r="EC200" t="s">
        <v>4356</v>
      </c>
      <c r="ED200" t="s">
        <v>4356</v>
      </c>
      <c r="EE200" t="s">
        <v>4356</v>
      </c>
      <c r="EF200" t="s">
        <v>4356</v>
      </c>
      <c r="EG200" t="s">
        <v>4356</v>
      </c>
      <c r="EH200" t="s">
        <v>4356</v>
      </c>
      <c r="EI200" t="s">
        <v>4356</v>
      </c>
      <c r="EJ200" t="s">
        <v>4356</v>
      </c>
      <c r="EK200" t="s">
        <v>4356</v>
      </c>
      <c r="EL200" t="s">
        <v>4356</v>
      </c>
      <c r="EM200" t="s">
        <v>4356</v>
      </c>
      <c r="EN200" t="s">
        <v>4356</v>
      </c>
      <c r="EO200" t="s">
        <v>4356</v>
      </c>
      <c r="EP200" t="s">
        <v>4356</v>
      </c>
      <c r="EQ200" t="s">
        <v>4356</v>
      </c>
      <c r="ER200" t="s">
        <v>4356</v>
      </c>
      <c r="ES200" t="s">
        <v>4356</v>
      </c>
      <c r="ET200" t="s">
        <v>4356</v>
      </c>
      <c r="EU200" t="s">
        <v>4356</v>
      </c>
      <c r="EV200" t="s">
        <v>4356</v>
      </c>
      <c r="EW200" t="s">
        <v>4356</v>
      </c>
      <c r="EX200" t="s">
        <v>4356</v>
      </c>
      <c r="EY200" t="s">
        <v>4356</v>
      </c>
      <c r="EZ200" t="s">
        <v>4356</v>
      </c>
      <c r="FA200" t="s">
        <v>4356</v>
      </c>
      <c r="FB200" t="s">
        <v>4356</v>
      </c>
      <c r="FC200" t="s">
        <v>4356</v>
      </c>
      <c r="FD200" t="s">
        <v>4356</v>
      </c>
      <c r="FE200" t="s">
        <v>4356</v>
      </c>
      <c r="FF200" t="s">
        <v>4356</v>
      </c>
      <c r="FG200" t="s">
        <v>4356</v>
      </c>
      <c r="FH200" t="s">
        <v>4356</v>
      </c>
      <c r="FI200" t="s">
        <v>4356</v>
      </c>
      <c r="FJ200" t="s">
        <v>4356</v>
      </c>
      <c r="FK200" t="s">
        <v>4356</v>
      </c>
      <c r="FL200" t="s">
        <v>4356</v>
      </c>
      <c r="FM200" t="s">
        <v>4356</v>
      </c>
      <c r="FN200" t="s">
        <v>4356</v>
      </c>
      <c r="FO200" t="s">
        <v>4356</v>
      </c>
      <c r="FP200" t="s">
        <v>4356</v>
      </c>
      <c r="FQ200" t="s">
        <v>4356</v>
      </c>
      <c r="FR200" t="s">
        <v>4356</v>
      </c>
      <c r="FS200" t="s">
        <v>4356</v>
      </c>
      <c r="FT200" t="s">
        <v>4356</v>
      </c>
      <c r="FU200" t="s">
        <v>4356</v>
      </c>
      <c r="FV200" t="s">
        <v>4356</v>
      </c>
      <c r="FW200" t="s">
        <v>4356</v>
      </c>
      <c r="FX200" t="s">
        <v>4356</v>
      </c>
      <c r="FY200" t="s">
        <v>4356</v>
      </c>
      <c r="FZ200" t="s">
        <v>4356</v>
      </c>
      <c r="GA200" t="s">
        <v>4356</v>
      </c>
      <c r="GB200" t="s">
        <v>4356</v>
      </c>
      <c r="GC200" t="s">
        <v>4356</v>
      </c>
      <c r="GD200" t="s">
        <v>4356</v>
      </c>
      <c r="GE200" t="s">
        <v>4356</v>
      </c>
      <c r="GF200" t="s">
        <v>4356</v>
      </c>
      <c r="GG200" t="s">
        <v>4356</v>
      </c>
      <c r="GH200" t="s">
        <v>4356</v>
      </c>
      <c r="GI200" t="s">
        <v>4356</v>
      </c>
      <c r="GJ200" t="s">
        <v>4356</v>
      </c>
      <c r="GK200" t="s">
        <v>4356</v>
      </c>
      <c r="GL200" t="s">
        <v>4356</v>
      </c>
      <c r="GM200" t="s">
        <v>4356</v>
      </c>
      <c r="GN200" t="s">
        <v>4356</v>
      </c>
      <c r="GO200" t="s">
        <v>4356</v>
      </c>
      <c r="GP200" t="s">
        <v>4356</v>
      </c>
      <c r="GQ200" t="s">
        <v>4356</v>
      </c>
      <c r="GR200" t="s">
        <v>4356</v>
      </c>
      <c r="GS200" t="s">
        <v>4356</v>
      </c>
      <c r="GT200" t="s">
        <v>4356</v>
      </c>
      <c r="GU200" t="s">
        <v>4356</v>
      </c>
      <c r="GV200" t="s">
        <v>4356</v>
      </c>
      <c r="GW200" t="s">
        <v>4356</v>
      </c>
      <c r="GX200" t="s">
        <v>4356</v>
      </c>
      <c r="GY200" t="s">
        <v>4356</v>
      </c>
      <c r="GZ200" t="s">
        <v>4356</v>
      </c>
      <c r="HA200" t="s">
        <v>4356</v>
      </c>
      <c r="HB200" t="s">
        <v>4356</v>
      </c>
      <c r="HC200" t="s">
        <v>4356</v>
      </c>
      <c r="HD200" t="s">
        <v>4356</v>
      </c>
      <c r="HE200" t="s">
        <v>4356</v>
      </c>
      <c r="HF200" t="s">
        <v>4356</v>
      </c>
      <c r="HG200" t="s">
        <v>4356</v>
      </c>
      <c r="HH200" t="s">
        <v>4356</v>
      </c>
      <c r="HI200" t="s">
        <v>4356</v>
      </c>
      <c r="HJ200" t="s">
        <v>4356</v>
      </c>
      <c r="HK200" t="s">
        <v>4356</v>
      </c>
      <c r="HL200" t="s">
        <v>4356</v>
      </c>
      <c r="HM200" t="s">
        <v>4356</v>
      </c>
      <c r="HN200" t="s">
        <v>4356</v>
      </c>
      <c r="HO200" t="s">
        <v>4356</v>
      </c>
      <c r="HP200" t="s">
        <v>4356</v>
      </c>
      <c r="HQ200" t="s">
        <v>4356</v>
      </c>
      <c r="HR200" t="s">
        <v>4356</v>
      </c>
      <c r="HS200" t="s">
        <v>4356</v>
      </c>
      <c r="HT200" t="s">
        <v>4356</v>
      </c>
      <c r="HU200" t="s">
        <v>4356</v>
      </c>
      <c r="HV200" t="s">
        <v>4356</v>
      </c>
      <c r="HW200" t="s">
        <v>4356</v>
      </c>
      <c r="HX200" t="s">
        <v>4356</v>
      </c>
      <c r="HY200" t="s">
        <v>4356</v>
      </c>
      <c r="HZ200" t="s">
        <v>4356</v>
      </c>
      <c r="IA200" t="s">
        <v>4356</v>
      </c>
      <c r="IB200" t="s">
        <v>4356</v>
      </c>
      <c r="IC200" t="s">
        <v>4356</v>
      </c>
      <c r="ID200" t="s">
        <v>4356</v>
      </c>
      <c r="IE200" t="s">
        <v>4356</v>
      </c>
      <c r="IF200" t="s">
        <v>4356</v>
      </c>
      <c r="IG200" t="s">
        <v>4356</v>
      </c>
      <c r="IH200" t="s">
        <v>4356</v>
      </c>
      <c r="II200" t="s">
        <v>4356</v>
      </c>
      <c r="IJ200" t="s">
        <v>4356</v>
      </c>
      <c r="IK200" t="s">
        <v>4356</v>
      </c>
      <c r="IL200" t="s">
        <v>4356</v>
      </c>
      <c r="IM200" t="s">
        <v>4356</v>
      </c>
      <c r="IN200" t="s">
        <v>4356</v>
      </c>
      <c r="IO200" t="s">
        <v>4356</v>
      </c>
      <c r="IP200" t="s">
        <v>4356</v>
      </c>
      <c r="IQ200" t="s">
        <v>4356</v>
      </c>
      <c r="IR200" t="s">
        <v>4356</v>
      </c>
      <c r="IS200" t="s">
        <v>4356</v>
      </c>
      <c r="IT200" t="s">
        <v>4356</v>
      </c>
      <c r="IU200" t="s">
        <v>4356</v>
      </c>
      <c r="IV200" t="s">
        <v>4356</v>
      </c>
      <c r="IW200" t="s">
        <v>4356</v>
      </c>
      <c r="IX200" t="s">
        <v>4356</v>
      </c>
      <c r="IY200" t="s">
        <v>4356</v>
      </c>
      <c r="IZ200" t="s">
        <v>4356</v>
      </c>
      <c r="JA200" t="s">
        <v>4356</v>
      </c>
      <c r="JB200" t="s">
        <v>4356</v>
      </c>
      <c r="JC200" t="s">
        <v>4356</v>
      </c>
      <c r="JD200" t="s">
        <v>4356</v>
      </c>
      <c r="JE200" t="s">
        <v>4356</v>
      </c>
      <c r="JF200" t="s">
        <v>4356</v>
      </c>
      <c r="JG200" t="s">
        <v>4356</v>
      </c>
      <c r="JH200" t="s">
        <v>4356</v>
      </c>
      <c r="JI200" t="s">
        <v>4356</v>
      </c>
      <c r="JJ200" t="s">
        <v>4356</v>
      </c>
      <c r="JK200" t="s">
        <v>4356</v>
      </c>
      <c r="JL200" t="s">
        <v>4356</v>
      </c>
      <c r="JM200" t="s">
        <v>4356</v>
      </c>
      <c r="JN200" t="s">
        <v>4356</v>
      </c>
      <c r="JO200" t="s">
        <v>4356</v>
      </c>
      <c r="JP200" t="s">
        <v>4356</v>
      </c>
      <c r="JQ200" t="s">
        <v>4356</v>
      </c>
      <c r="JR200" t="s">
        <v>4356</v>
      </c>
      <c r="JS200" t="s">
        <v>4356</v>
      </c>
      <c r="JT200" t="s">
        <v>4356</v>
      </c>
      <c r="JU200" t="s">
        <v>4356</v>
      </c>
    </row>
    <row r="201" spans="50:281" x14ac:dyDescent="0.3">
      <c r="BU201" t="s">
        <v>4384</v>
      </c>
      <c r="BV201" t="s">
        <v>4384</v>
      </c>
      <c r="BW201" t="s">
        <v>4384</v>
      </c>
      <c r="BX201" t="s">
        <v>4384</v>
      </c>
      <c r="BY201" t="s">
        <v>4384</v>
      </c>
      <c r="BZ201" t="s">
        <v>4384</v>
      </c>
      <c r="CA201" t="s">
        <v>4384</v>
      </c>
      <c r="CB201" t="s">
        <v>4384</v>
      </c>
      <c r="CC201" t="s">
        <v>4384</v>
      </c>
      <c r="CD201" t="s">
        <v>4384</v>
      </c>
      <c r="CE201" t="s">
        <v>4384</v>
      </c>
      <c r="CF201" t="s">
        <v>4384</v>
      </c>
      <c r="CG201" t="s">
        <v>4384</v>
      </c>
      <c r="CH201" t="s">
        <v>4381</v>
      </c>
      <c r="CI201" t="s">
        <v>4381</v>
      </c>
      <c r="CJ201" t="s">
        <v>4381</v>
      </c>
      <c r="CK201" t="s">
        <v>4381</v>
      </c>
      <c r="CL201" t="s">
        <v>4381</v>
      </c>
      <c r="CM201" t="s">
        <v>4381</v>
      </c>
      <c r="CN201" t="s">
        <v>4381</v>
      </c>
      <c r="CO201" t="s">
        <v>4381</v>
      </c>
      <c r="CP201" t="s">
        <v>4381</v>
      </c>
      <c r="CQ201" t="s">
        <v>4381</v>
      </c>
      <c r="CR201" t="s">
        <v>4381</v>
      </c>
      <c r="CS201" t="s">
        <v>4381</v>
      </c>
      <c r="CT201" t="s">
        <v>4381</v>
      </c>
      <c r="DO201" t="s">
        <v>4356</v>
      </c>
      <c r="DP201" t="s">
        <v>4356</v>
      </c>
      <c r="DQ201" t="s">
        <v>4356</v>
      </c>
      <c r="DR201" t="s">
        <v>4356</v>
      </c>
      <c r="DS201" t="s">
        <v>4356</v>
      </c>
      <c r="DT201" t="s">
        <v>4356</v>
      </c>
      <c r="DU201" t="s">
        <v>4356</v>
      </c>
      <c r="DV201" t="s">
        <v>4356</v>
      </c>
      <c r="DW201" t="s">
        <v>4356</v>
      </c>
      <c r="DX201" t="s">
        <v>4356</v>
      </c>
      <c r="DY201" t="s">
        <v>4356</v>
      </c>
      <c r="DZ201" t="s">
        <v>4356</v>
      </c>
      <c r="EA201" t="s">
        <v>4356</v>
      </c>
      <c r="EB201" t="s">
        <v>4356</v>
      </c>
      <c r="EC201" t="s">
        <v>4356</v>
      </c>
      <c r="ED201" t="s">
        <v>4356</v>
      </c>
      <c r="EE201" t="s">
        <v>4356</v>
      </c>
      <c r="EF201" t="s">
        <v>4356</v>
      </c>
      <c r="EG201" t="s">
        <v>4356</v>
      </c>
      <c r="EH201" t="s">
        <v>4356</v>
      </c>
      <c r="EI201" t="s">
        <v>4356</v>
      </c>
      <c r="EJ201" t="s">
        <v>4356</v>
      </c>
      <c r="EK201" t="s">
        <v>4356</v>
      </c>
      <c r="EL201" t="s">
        <v>4356</v>
      </c>
      <c r="EM201" t="s">
        <v>4356</v>
      </c>
      <c r="EN201" t="s">
        <v>4356</v>
      </c>
      <c r="EO201" t="s">
        <v>4356</v>
      </c>
      <c r="EP201" t="s">
        <v>4356</v>
      </c>
      <c r="EQ201" t="s">
        <v>4356</v>
      </c>
      <c r="ER201" t="s">
        <v>4356</v>
      </c>
      <c r="ES201" t="s">
        <v>4356</v>
      </c>
      <c r="ET201" t="s">
        <v>4356</v>
      </c>
      <c r="EU201" t="s">
        <v>4356</v>
      </c>
      <c r="EV201" t="s">
        <v>4356</v>
      </c>
      <c r="EW201" t="s">
        <v>4356</v>
      </c>
      <c r="EX201" t="s">
        <v>4356</v>
      </c>
      <c r="EY201" t="s">
        <v>4356</v>
      </c>
      <c r="EZ201" t="s">
        <v>4356</v>
      </c>
      <c r="FA201" t="s">
        <v>4356</v>
      </c>
      <c r="FB201" t="s">
        <v>4356</v>
      </c>
      <c r="FC201" t="s">
        <v>4356</v>
      </c>
      <c r="FD201" t="s">
        <v>4356</v>
      </c>
      <c r="FE201" t="s">
        <v>4356</v>
      </c>
      <c r="FF201" t="s">
        <v>4356</v>
      </c>
      <c r="FG201" t="s">
        <v>4356</v>
      </c>
      <c r="FH201" t="s">
        <v>4356</v>
      </c>
      <c r="FI201" t="s">
        <v>4356</v>
      </c>
      <c r="FJ201" t="s">
        <v>4356</v>
      </c>
      <c r="FK201" t="s">
        <v>4356</v>
      </c>
      <c r="FL201" t="s">
        <v>4356</v>
      </c>
      <c r="FM201" t="s">
        <v>4356</v>
      </c>
      <c r="FN201" t="s">
        <v>4356</v>
      </c>
      <c r="FO201" t="s">
        <v>4356</v>
      </c>
      <c r="FP201" t="s">
        <v>4356</v>
      </c>
      <c r="FQ201" t="s">
        <v>4356</v>
      </c>
      <c r="FR201" t="s">
        <v>4356</v>
      </c>
      <c r="FS201" t="s">
        <v>4356</v>
      </c>
      <c r="FT201" t="s">
        <v>4356</v>
      </c>
      <c r="FU201" t="s">
        <v>4356</v>
      </c>
      <c r="FV201" t="s">
        <v>4356</v>
      </c>
      <c r="FW201" t="s">
        <v>4356</v>
      </c>
      <c r="FX201" t="s">
        <v>4356</v>
      </c>
      <c r="FY201" t="s">
        <v>4356</v>
      </c>
      <c r="FZ201" t="s">
        <v>4356</v>
      </c>
      <c r="GA201" t="s">
        <v>4356</v>
      </c>
      <c r="GB201" t="s">
        <v>4356</v>
      </c>
      <c r="GC201" t="s">
        <v>4356</v>
      </c>
      <c r="GD201" t="s">
        <v>4356</v>
      </c>
      <c r="GE201" t="s">
        <v>4356</v>
      </c>
      <c r="GF201" t="s">
        <v>4356</v>
      </c>
      <c r="GG201" t="s">
        <v>4356</v>
      </c>
      <c r="GH201" t="s">
        <v>4356</v>
      </c>
      <c r="GI201" t="s">
        <v>4356</v>
      </c>
      <c r="GJ201" t="s">
        <v>4356</v>
      </c>
      <c r="GK201" t="s">
        <v>4356</v>
      </c>
      <c r="GL201" t="s">
        <v>4356</v>
      </c>
      <c r="GM201" t="s">
        <v>4356</v>
      </c>
      <c r="GN201" t="s">
        <v>4356</v>
      </c>
      <c r="GO201" t="s">
        <v>4356</v>
      </c>
      <c r="GP201" t="s">
        <v>4356</v>
      </c>
      <c r="GQ201" t="s">
        <v>4356</v>
      </c>
      <c r="GR201" t="s">
        <v>4356</v>
      </c>
      <c r="GS201" t="s">
        <v>4356</v>
      </c>
      <c r="GT201" t="s">
        <v>4356</v>
      </c>
      <c r="GU201" t="s">
        <v>4356</v>
      </c>
      <c r="GV201" t="s">
        <v>4356</v>
      </c>
      <c r="GW201" t="s">
        <v>4356</v>
      </c>
      <c r="GX201" t="s">
        <v>4356</v>
      </c>
      <c r="GY201" t="s">
        <v>4356</v>
      </c>
      <c r="GZ201" t="s">
        <v>4356</v>
      </c>
      <c r="HA201" t="s">
        <v>4356</v>
      </c>
      <c r="HB201" t="s">
        <v>4356</v>
      </c>
      <c r="HC201" t="s">
        <v>4356</v>
      </c>
      <c r="HD201" t="s">
        <v>4356</v>
      </c>
      <c r="HE201" t="s">
        <v>4356</v>
      </c>
      <c r="HF201" t="s">
        <v>4356</v>
      </c>
      <c r="HG201" t="s">
        <v>4356</v>
      </c>
      <c r="HH201" t="s">
        <v>4356</v>
      </c>
      <c r="HI201" t="s">
        <v>4356</v>
      </c>
      <c r="HJ201" t="s">
        <v>4356</v>
      </c>
      <c r="HK201" t="s">
        <v>4356</v>
      </c>
      <c r="HL201" t="s">
        <v>4356</v>
      </c>
      <c r="HM201" t="s">
        <v>4356</v>
      </c>
      <c r="HN201" t="s">
        <v>4356</v>
      </c>
      <c r="HO201" t="s">
        <v>4356</v>
      </c>
      <c r="HP201" t="s">
        <v>4356</v>
      </c>
      <c r="HQ201" t="s">
        <v>4356</v>
      </c>
      <c r="HR201" t="s">
        <v>4356</v>
      </c>
      <c r="HS201" t="s">
        <v>4356</v>
      </c>
      <c r="HT201" t="s">
        <v>4356</v>
      </c>
      <c r="HU201" t="s">
        <v>4356</v>
      </c>
      <c r="HV201" t="s">
        <v>4356</v>
      </c>
      <c r="HW201" t="s">
        <v>4356</v>
      </c>
      <c r="HX201" t="s">
        <v>4356</v>
      </c>
      <c r="HY201" t="s">
        <v>4356</v>
      </c>
      <c r="HZ201" t="s">
        <v>4356</v>
      </c>
      <c r="IA201" t="s">
        <v>4356</v>
      </c>
      <c r="IB201" t="s">
        <v>4356</v>
      </c>
      <c r="IC201" t="s">
        <v>4356</v>
      </c>
      <c r="ID201" t="s">
        <v>4356</v>
      </c>
      <c r="IE201" t="s">
        <v>4356</v>
      </c>
      <c r="IF201" t="s">
        <v>4356</v>
      </c>
      <c r="IG201" t="s">
        <v>4356</v>
      </c>
      <c r="IH201" t="s">
        <v>4356</v>
      </c>
      <c r="II201" t="s">
        <v>4356</v>
      </c>
      <c r="IJ201" t="s">
        <v>4356</v>
      </c>
      <c r="IK201" t="s">
        <v>4356</v>
      </c>
      <c r="IL201" t="s">
        <v>4356</v>
      </c>
      <c r="IM201" t="s">
        <v>4356</v>
      </c>
      <c r="IN201" t="s">
        <v>4356</v>
      </c>
      <c r="IO201" t="s">
        <v>4356</v>
      </c>
      <c r="IP201" t="s">
        <v>4356</v>
      </c>
      <c r="IQ201" t="s">
        <v>4356</v>
      </c>
      <c r="IR201" t="s">
        <v>4356</v>
      </c>
      <c r="IS201" t="s">
        <v>4356</v>
      </c>
      <c r="IT201" t="s">
        <v>4356</v>
      </c>
      <c r="IU201" t="s">
        <v>4356</v>
      </c>
      <c r="IV201" t="s">
        <v>4356</v>
      </c>
      <c r="IW201" t="s">
        <v>4356</v>
      </c>
      <c r="IX201" t="s">
        <v>4356</v>
      </c>
      <c r="IY201" t="s">
        <v>4356</v>
      </c>
      <c r="IZ201" t="s">
        <v>4356</v>
      </c>
      <c r="JA201" t="s">
        <v>4356</v>
      </c>
      <c r="JB201" t="s">
        <v>4356</v>
      </c>
      <c r="JC201" t="s">
        <v>4356</v>
      </c>
      <c r="JD201" t="s">
        <v>4356</v>
      </c>
      <c r="JE201" t="s">
        <v>4356</v>
      </c>
      <c r="JF201" t="s">
        <v>4356</v>
      </c>
      <c r="JG201" t="s">
        <v>4356</v>
      </c>
      <c r="JH201" t="s">
        <v>4356</v>
      </c>
      <c r="JI201" t="s">
        <v>4356</v>
      </c>
      <c r="JJ201" t="s">
        <v>4356</v>
      </c>
      <c r="JK201" t="s">
        <v>4356</v>
      </c>
      <c r="JL201" t="s">
        <v>4356</v>
      </c>
      <c r="JM201" t="s">
        <v>4356</v>
      </c>
      <c r="JN201" t="s">
        <v>4356</v>
      </c>
      <c r="JO201" t="s">
        <v>4356</v>
      </c>
      <c r="JP201" t="s">
        <v>4356</v>
      </c>
      <c r="JQ201" t="s">
        <v>4356</v>
      </c>
      <c r="JR201" t="s">
        <v>4356</v>
      </c>
      <c r="JS201" t="s">
        <v>4356</v>
      </c>
      <c r="JT201" t="s">
        <v>4356</v>
      </c>
      <c r="JU201" t="s">
        <v>4356</v>
      </c>
    </row>
    <row r="202" spans="50:281" x14ac:dyDescent="0.3">
      <c r="BT202" t="s">
        <v>4384</v>
      </c>
      <c r="BU202" t="s">
        <v>4384</v>
      </c>
      <c r="BV202" t="s">
        <v>4384</v>
      </c>
      <c r="BW202" t="s">
        <v>4384</v>
      </c>
      <c r="BX202" t="s">
        <v>4384</v>
      </c>
      <c r="BY202" t="s">
        <v>4384</v>
      </c>
      <c r="BZ202" t="s">
        <v>4384</v>
      </c>
      <c r="CA202" t="s">
        <v>4384</v>
      </c>
      <c r="CB202" t="s">
        <v>4384</v>
      </c>
      <c r="CC202" t="s">
        <v>4384</v>
      </c>
      <c r="CD202" t="s">
        <v>4384</v>
      </c>
      <c r="CE202" t="s">
        <v>4384</v>
      </c>
      <c r="CF202" t="s">
        <v>4384</v>
      </c>
      <c r="CG202" t="s">
        <v>4384</v>
      </c>
      <c r="CH202" t="s">
        <v>4384</v>
      </c>
      <c r="CI202" t="s">
        <v>4381</v>
      </c>
      <c r="CJ202" t="s">
        <v>4381</v>
      </c>
      <c r="CK202" t="s">
        <v>4381</v>
      </c>
      <c r="CL202" t="s">
        <v>4381</v>
      </c>
      <c r="CM202" t="s">
        <v>4381</v>
      </c>
      <c r="CN202" t="s">
        <v>4381</v>
      </c>
      <c r="CO202" t="s">
        <v>4381</v>
      </c>
      <c r="CP202" t="s">
        <v>4381</v>
      </c>
      <c r="CQ202" t="s">
        <v>4381</v>
      </c>
      <c r="CR202" t="s">
        <v>4381</v>
      </c>
      <c r="CS202" t="s">
        <v>4381</v>
      </c>
      <c r="CT202" t="s">
        <v>4381</v>
      </c>
      <c r="DC202" t="s">
        <v>4385</v>
      </c>
      <c r="DD202" t="s">
        <v>4385</v>
      </c>
      <c r="DE202" t="s">
        <v>4385</v>
      </c>
      <c r="DF202" t="s">
        <v>4385</v>
      </c>
      <c r="DG202" t="s">
        <v>4385</v>
      </c>
      <c r="DH202" t="s">
        <v>4385</v>
      </c>
      <c r="DO202" t="s">
        <v>4356</v>
      </c>
      <c r="DP202" t="s">
        <v>4356</v>
      </c>
      <c r="DQ202" t="s">
        <v>4356</v>
      </c>
      <c r="DR202" t="s">
        <v>4356</v>
      </c>
      <c r="DS202" t="s">
        <v>4356</v>
      </c>
      <c r="DT202" t="s">
        <v>4356</v>
      </c>
      <c r="DU202" t="s">
        <v>4356</v>
      </c>
      <c r="DV202" t="s">
        <v>4356</v>
      </c>
      <c r="DW202" t="s">
        <v>4356</v>
      </c>
      <c r="DX202" t="s">
        <v>4356</v>
      </c>
      <c r="DY202" t="s">
        <v>4356</v>
      </c>
      <c r="DZ202" t="s">
        <v>4356</v>
      </c>
      <c r="EA202" t="s">
        <v>4356</v>
      </c>
      <c r="EB202" t="s">
        <v>4356</v>
      </c>
      <c r="EC202" t="s">
        <v>4356</v>
      </c>
      <c r="ED202" t="s">
        <v>4356</v>
      </c>
      <c r="EE202" t="s">
        <v>4356</v>
      </c>
      <c r="EF202" t="s">
        <v>4356</v>
      </c>
      <c r="EG202" t="s">
        <v>4356</v>
      </c>
      <c r="EH202" t="s">
        <v>4356</v>
      </c>
      <c r="EI202" t="s">
        <v>4356</v>
      </c>
      <c r="EJ202" t="s">
        <v>4356</v>
      </c>
      <c r="EK202" t="s">
        <v>4356</v>
      </c>
      <c r="EL202" t="s">
        <v>4356</v>
      </c>
      <c r="EM202" t="s">
        <v>4356</v>
      </c>
      <c r="EN202" t="s">
        <v>4356</v>
      </c>
      <c r="EO202" t="s">
        <v>4356</v>
      </c>
      <c r="EP202" t="s">
        <v>4356</v>
      </c>
      <c r="EQ202" t="s">
        <v>4356</v>
      </c>
      <c r="ER202" t="s">
        <v>4356</v>
      </c>
      <c r="ES202" t="s">
        <v>4356</v>
      </c>
      <c r="ET202" t="s">
        <v>4356</v>
      </c>
      <c r="EU202" t="s">
        <v>4356</v>
      </c>
      <c r="EV202" t="s">
        <v>4356</v>
      </c>
      <c r="EW202" t="s">
        <v>4356</v>
      </c>
      <c r="EX202" t="s">
        <v>4356</v>
      </c>
      <c r="EY202" t="s">
        <v>4356</v>
      </c>
      <c r="EZ202" t="s">
        <v>4356</v>
      </c>
      <c r="FA202" t="s">
        <v>4356</v>
      </c>
      <c r="FB202" t="s">
        <v>4356</v>
      </c>
      <c r="FC202" t="s">
        <v>4356</v>
      </c>
      <c r="FD202" t="s">
        <v>4356</v>
      </c>
      <c r="FE202" t="s">
        <v>4356</v>
      </c>
      <c r="FF202" t="s">
        <v>4356</v>
      </c>
      <c r="FG202" t="s">
        <v>4356</v>
      </c>
      <c r="FH202" t="s">
        <v>4356</v>
      </c>
      <c r="FI202" t="s">
        <v>4356</v>
      </c>
      <c r="FJ202" t="s">
        <v>4356</v>
      </c>
      <c r="FK202" t="s">
        <v>4356</v>
      </c>
      <c r="FL202" t="s">
        <v>4356</v>
      </c>
      <c r="FM202" t="s">
        <v>4356</v>
      </c>
      <c r="FN202" t="s">
        <v>4356</v>
      </c>
      <c r="FO202" t="s">
        <v>4356</v>
      </c>
      <c r="FP202" t="s">
        <v>4356</v>
      </c>
      <c r="FQ202" t="s">
        <v>4356</v>
      </c>
      <c r="FR202" t="s">
        <v>4356</v>
      </c>
      <c r="FS202" t="s">
        <v>4356</v>
      </c>
      <c r="FT202" t="s">
        <v>4356</v>
      </c>
      <c r="FU202" t="s">
        <v>4356</v>
      </c>
      <c r="FV202" t="s">
        <v>4356</v>
      </c>
      <c r="FW202" t="s">
        <v>4356</v>
      </c>
      <c r="FX202" t="s">
        <v>4356</v>
      </c>
      <c r="FY202" t="s">
        <v>4356</v>
      </c>
      <c r="FZ202" t="s">
        <v>4356</v>
      </c>
      <c r="GA202" t="s">
        <v>4356</v>
      </c>
      <c r="GB202" t="s">
        <v>4356</v>
      </c>
      <c r="GC202" t="s">
        <v>4356</v>
      </c>
      <c r="GD202" t="s">
        <v>4356</v>
      </c>
      <c r="GE202" t="s">
        <v>4356</v>
      </c>
      <c r="GF202" t="s">
        <v>4356</v>
      </c>
      <c r="GG202" t="s">
        <v>4356</v>
      </c>
      <c r="GH202" t="s">
        <v>4356</v>
      </c>
      <c r="GI202" t="s">
        <v>4356</v>
      </c>
      <c r="GJ202" t="s">
        <v>4356</v>
      </c>
      <c r="GK202" t="s">
        <v>4356</v>
      </c>
      <c r="GL202" t="s">
        <v>4356</v>
      </c>
      <c r="GM202" t="s">
        <v>4356</v>
      </c>
      <c r="GN202" t="s">
        <v>4356</v>
      </c>
      <c r="GO202" t="s">
        <v>4356</v>
      </c>
      <c r="GP202" t="s">
        <v>4356</v>
      </c>
      <c r="GQ202" t="s">
        <v>4356</v>
      </c>
      <c r="GR202" t="s">
        <v>4356</v>
      </c>
      <c r="GS202" t="s">
        <v>4356</v>
      </c>
      <c r="GT202" t="s">
        <v>4356</v>
      </c>
      <c r="GU202" t="s">
        <v>4356</v>
      </c>
      <c r="GV202" t="s">
        <v>4356</v>
      </c>
      <c r="GW202" t="s">
        <v>4356</v>
      </c>
      <c r="GX202" t="s">
        <v>4356</v>
      </c>
      <c r="GY202" t="s">
        <v>4356</v>
      </c>
      <c r="GZ202" t="s">
        <v>4356</v>
      </c>
      <c r="HA202" t="s">
        <v>4356</v>
      </c>
      <c r="HB202" t="s">
        <v>4356</v>
      </c>
      <c r="HC202" t="s">
        <v>4356</v>
      </c>
      <c r="HD202" t="s">
        <v>4356</v>
      </c>
      <c r="HE202" t="s">
        <v>4356</v>
      </c>
      <c r="HF202" t="s">
        <v>4356</v>
      </c>
      <c r="HG202" t="s">
        <v>4356</v>
      </c>
      <c r="HH202" t="s">
        <v>4356</v>
      </c>
      <c r="HI202" t="s">
        <v>4356</v>
      </c>
      <c r="HJ202" t="s">
        <v>4356</v>
      </c>
      <c r="HK202" t="s">
        <v>4356</v>
      </c>
      <c r="HL202" t="s">
        <v>4356</v>
      </c>
      <c r="HM202" t="s">
        <v>4356</v>
      </c>
      <c r="HN202" t="s">
        <v>4356</v>
      </c>
      <c r="HO202" t="s">
        <v>4356</v>
      </c>
      <c r="HP202" t="s">
        <v>4356</v>
      </c>
      <c r="HQ202" t="s">
        <v>4356</v>
      </c>
      <c r="HR202" t="s">
        <v>4356</v>
      </c>
      <c r="HS202" t="s">
        <v>4356</v>
      </c>
      <c r="HT202" t="s">
        <v>4356</v>
      </c>
      <c r="HU202" t="s">
        <v>4356</v>
      </c>
      <c r="HV202" t="s">
        <v>4356</v>
      </c>
      <c r="HW202" t="s">
        <v>4356</v>
      </c>
      <c r="HX202" t="s">
        <v>4356</v>
      </c>
      <c r="HY202" t="s">
        <v>4356</v>
      </c>
      <c r="HZ202" t="s">
        <v>4356</v>
      </c>
      <c r="IA202" t="s">
        <v>4356</v>
      </c>
      <c r="IB202" t="s">
        <v>4356</v>
      </c>
      <c r="IC202" t="s">
        <v>4356</v>
      </c>
      <c r="ID202" t="s">
        <v>4356</v>
      </c>
      <c r="IE202" t="s">
        <v>4356</v>
      </c>
      <c r="IF202" t="s">
        <v>4356</v>
      </c>
      <c r="IG202" t="s">
        <v>4356</v>
      </c>
      <c r="IH202" t="s">
        <v>4356</v>
      </c>
      <c r="II202" t="s">
        <v>4356</v>
      </c>
      <c r="IJ202" t="s">
        <v>4356</v>
      </c>
      <c r="IK202" t="s">
        <v>4356</v>
      </c>
      <c r="IL202" t="s">
        <v>4356</v>
      </c>
      <c r="IM202" t="s">
        <v>4356</v>
      </c>
      <c r="IN202" t="s">
        <v>4356</v>
      </c>
      <c r="IO202" t="s">
        <v>4356</v>
      </c>
      <c r="IP202" t="s">
        <v>4356</v>
      </c>
      <c r="IQ202" t="s">
        <v>4356</v>
      </c>
      <c r="IR202" t="s">
        <v>4356</v>
      </c>
      <c r="IS202" t="s">
        <v>4356</v>
      </c>
      <c r="IT202" t="s">
        <v>4356</v>
      </c>
      <c r="IU202" t="s">
        <v>4356</v>
      </c>
      <c r="IV202" t="s">
        <v>4356</v>
      </c>
      <c r="IW202" t="s">
        <v>4356</v>
      </c>
      <c r="IX202" t="s">
        <v>4356</v>
      </c>
      <c r="IY202" t="s">
        <v>4356</v>
      </c>
      <c r="IZ202" t="s">
        <v>4356</v>
      </c>
      <c r="JA202" t="s">
        <v>4356</v>
      </c>
      <c r="JB202" t="s">
        <v>4356</v>
      </c>
      <c r="JC202" t="s">
        <v>4356</v>
      </c>
      <c r="JD202" t="s">
        <v>4356</v>
      </c>
      <c r="JE202" t="s">
        <v>4356</v>
      </c>
      <c r="JF202" t="s">
        <v>4356</v>
      </c>
      <c r="JG202" t="s">
        <v>4356</v>
      </c>
      <c r="JH202" t="s">
        <v>4356</v>
      </c>
      <c r="JI202" t="s">
        <v>4356</v>
      </c>
      <c r="JJ202" t="s">
        <v>4356</v>
      </c>
      <c r="JK202" t="s">
        <v>4356</v>
      </c>
      <c r="JL202" t="s">
        <v>4356</v>
      </c>
      <c r="JM202" t="s">
        <v>4356</v>
      </c>
      <c r="JN202" t="s">
        <v>4356</v>
      </c>
      <c r="JO202" t="s">
        <v>4356</v>
      </c>
      <c r="JP202" t="s">
        <v>4356</v>
      </c>
      <c r="JQ202" t="s">
        <v>4356</v>
      </c>
      <c r="JR202" t="s">
        <v>4356</v>
      </c>
      <c r="JS202" t="s">
        <v>4356</v>
      </c>
      <c r="JT202" t="s">
        <v>4356</v>
      </c>
      <c r="JU202" t="s">
        <v>4356</v>
      </c>
    </row>
    <row r="203" spans="50:281" x14ac:dyDescent="0.3">
      <c r="BT203" t="s">
        <v>4384</v>
      </c>
      <c r="BU203" t="s">
        <v>4384</v>
      </c>
      <c r="BV203" t="s">
        <v>4384</v>
      </c>
      <c r="BW203" t="s">
        <v>4384</v>
      </c>
      <c r="BX203" t="s">
        <v>4384</v>
      </c>
      <c r="BY203" t="s">
        <v>4384</v>
      </c>
      <c r="BZ203" t="s">
        <v>4384</v>
      </c>
      <c r="CA203" t="s">
        <v>4384</v>
      </c>
      <c r="CB203" t="s">
        <v>4384</v>
      </c>
      <c r="CC203" t="s">
        <v>4384</v>
      </c>
      <c r="CD203" t="s">
        <v>4384</v>
      </c>
      <c r="CE203" t="s">
        <v>4384</v>
      </c>
      <c r="CF203" t="s">
        <v>4384</v>
      </c>
      <c r="CG203" t="s">
        <v>4384</v>
      </c>
      <c r="CH203" t="s">
        <v>4384</v>
      </c>
      <c r="CI203" t="s">
        <v>4381</v>
      </c>
      <c r="CJ203" t="s">
        <v>4381</v>
      </c>
      <c r="CK203" t="s">
        <v>4381</v>
      </c>
      <c r="CL203" t="s">
        <v>4381</v>
      </c>
      <c r="CM203" t="s">
        <v>4381</v>
      </c>
      <c r="CN203" t="s">
        <v>4381</v>
      </c>
      <c r="CO203" t="s">
        <v>4381</v>
      </c>
      <c r="CP203" t="s">
        <v>4381</v>
      </c>
      <c r="CQ203" t="s">
        <v>4381</v>
      </c>
      <c r="CR203" t="s">
        <v>4381</v>
      </c>
      <c r="DA203" t="s">
        <v>4385</v>
      </c>
      <c r="DB203" t="s">
        <v>4385</v>
      </c>
      <c r="DC203" t="s">
        <v>4385</v>
      </c>
      <c r="DD203" t="s">
        <v>4385</v>
      </c>
      <c r="DE203" t="s">
        <v>4385</v>
      </c>
      <c r="DF203" t="s">
        <v>4385</v>
      </c>
      <c r="DG203" t="s">
        <v>4385</v>
      </c>
      <c r="DH203" t="s">
        <v>4385</v>
      </c>
      <c r="DI203" t="s">
        <v>4385</v>
      </c>
      <c r="DJ203" t="s">
        <v>4385</v>
      </c>
      <c r="DK203" t="s">
        <v>4385</v>
      </c>
      <c r="DL203" t="s">
        <v>4385</v>
      </c>
      <c r="DM203" t="s">
        <v>4385</v>
      </c>
      <c r="DN203" t="s">
        <v>4385</v>
      </c>
      <c r="DO203" t="s">
        <v>4356</v>
      </c>
      <c r="DP203" t="s">
        <v>4356</v>
      </c>
      <c r="DQ203" t="s">
        <v>4356</v>
      </c>
      <c r="DR203" t="s">
        <v>4356</v>
      </c>
      <c r="DS203" t="s">
        <v>4356</v>
      </c>
      <c r="DT203" t="s">
        <v>4356</v>
      </c>
      <c r="DU203" t="s">
        <v>4356</v>
      </c>
      <c r="DV203" t="s">
        <v>4356</v>
      </c>
      <c r="DW203" t="s">
        <v>4356</v>
      </c>
      <c r="DX203" t="s">
        <v>4356</v>
      </c>
      <c r="DY203" t="s">
        <v>4356</v>
      </c>
      <c r="DZ203" t="s">
        <v>4356</v>
      </c>
      <c r="EA203" t="s">
        <v>4356</v>
      </c>
      <c r="EB203" t="s">
        <v>4356</v>
      </c>
      <c r="EC203" t="s">
        <v>4356</v>
      </c>
      <c r="ED203" t="s">
        <v>4356</v>
      </c>
      <c r="EE203" t="s">
        <v>4356</v>
      </c>
      <c r="EF203" t="s">
        <v>4356</v>
      </c>
      <c r="EG203" t="s">
        <v>4356</v>
      </c>
      <c r="EH203" t="s">
        <v>4356</v>
      </c>
      <c r="EI203" t="s">
        <v>4356</v>
      </c>
      <c r="EJ203" t="s">
        <v>4356</v>
      </c>
      <c r="EK203" t="s">
        <v>4356</v>
      </c>
      <c r="EL203" t="s">
        <v>4356</v>
      </c>
      <c r="EM203" t="s">
        <v>4356</v>
      </c>
      <c r="EN203" t="s">
        <v>4356</v>
      </c>
      <c r="EO203" t="s">
        <v>4356</v>
      </c>
      <c r="EP203" t="s">
        <v>4356</v>
      </c>
      <c r="EQ203" t="s">
        <v>4356</v>
      </c>
      <c r="ER203" t="s">
        <v>4356</v>
      </c>
      <c r="ES203" t="s">
        <v>4356</v>
      </c>
      <c r="ET203" t="s">
        <v>4356</v>
      </c>
      <c r="EU203" t="s">
        <v>4356</v>
      </c>
      <c r="EV203" t="s">
        <v>4356</v>
      </c>
      <c r="EW203" t="s">
        <v>4356</v>
      </c>
      <c r="EX203" t="s">
        <v>4356</v>
      </c>
      <c r="EY203" t="s">
        <v>4356</v>
      </c>
      <c r="EZ203" t="s">
        <v>4356</v>
      </c>
      <c r="FA203" t="s">
        <v>4356</v>
      </c>
      <c r="FB203" t="s">
        <v>4356</v>
      </c>
      <c r="FC203" t="s">
        <v>4356</v>
      </c>
      <c r="FD203" t="s">
        <v>4356</v>
      </c>
      <c r="FE203" t="s">
        <v>4356</v>
      </c>
      <c r="FF203" t="s">
        <v>4356</v>
      </c>
      <c r="FG203" t="s">
        <v>4356</v>
      </c>
      <c r="FH203" t="s">
        <v>4356</v>
      </c>
      <c r="FI203" t="s">
        <v>4356</v>
      </c>
      <c r="FJ203" t="s">
        <v>4356</v>
      </c>
      <c r="FK203" t="s">
        <v>4356</v>
      </c>
      <c r="FL203" t="s">
        <v>4356</v>
      </c>
      <c r="FM203" t="s">
        <v>4356</v>
      </c>
      <c r="FN203" t="s">
        <v>4356</v>
      </c>
      <c r="FO203" t="s">
        <v>4356</v>
      </c>
      <c r="FP203" t="s">
        <v>4356</v>
      </c>
      <c r="FQ203" t="s">
        <v>4356</v>
      </c>
      <c r="FR203" t="s">
        <v>4356</v>
      </c>
      <c r="FS203" t="s">
        <v>4356</v>
      </c>
      <c r="FT203" t="s">
        <v>4356</v>
      </c>
      <c r="FU203" t="s">
        <v>4356</v>
      </c>
      <c r="FV203" t="s">
        <v>4356</v>
      </c>
      <c r="FW203" t="s">
        <v>4356</v>
      </c>
      <c r="FX203" t="s">
        <v>4356</v>
      </c>
      <c r="FY203" t="s">
        <v>4356</v>
      </c>
      <c r="FZ203" t="s">
        <v>4356</v>
      </c>
      <c r="GA203" t="s">
        <v>4356</v>
      </c>
      <c r="GB203" t="s">
        <v>4356</v>
      </c>
      <c r="GC203" t="s">
        <v>4356</v>
      </c>
      <c r="GD203" t="s">
        <v>4356</v>
      </c>
      <c r="GE203" t="s">
        <v>4356</v>
      </c>
      <c r="GF203" t="s">
        <v>4356</v>
      </c>
      <c r="GG203" t="s">
        <v>4356</v>
      </c>
      <c r="GH203" t="s">
        <v>4356</v>
      </c>
      <c r="GI203" t="s">
        <v>4356</v>
      </c>
      <c r="GJ203" t="s">
        <v>4356</v>
      </c>
      <c r="GK203" t="s">
        <v>4356</v>
      </c>
      <c r="GL203" t="s">
        <v>4356</v>
      </c>
      <c r="GM203" t="s">
        <v>4356</v>
      </c>
      <c r="GN203" t="s">
        <v>4356</v>
      </c>
      <c r="GO203" t="s">
        <v>4356</v>
      </c>
      <c r="GP203" t="s">
        <v>4356</v>
      </c>
      <c r="GQ203" t="s">
        <v>4356</v>
      </c>
      <c r="GR203" t="s">
        <v>4356</v>
      </c>
      <c r="GS203" t="s">
        <v>4356</v>
      </c>
      <c r="GT203" t="s">
        <v>4356</v>
      </c>
      <c r="GU203" t="s">
        <v>4356</v>
      </c>
      <c r="GV203" t="s">
        <v>4356</v>
      </c>
      <c r="GW203" t="s">
        <v>4356</v>
      </c>
      <c r="GX203" t="s">
        <v>4356</v>
      </c>
      <c r="GY203" t="s">
        <v>4356</v>
      </c>
      <c r="GZ203" t="s">
        <v>4356</v>
      </c>
      <c r="HA203" t="s">
        <v>4356</v>
      </c>
      <c r="HB203" t="s">
        <v>4356</v>
      </c>
      <c r="HC203" t="s">
        <v>4356</v>
      </c>
      <c r="HD203" t="s">
        <v>4356</v>
      </c>
      <c r="HE203" t="s">
        <v>4356</v>
      </c>
      <c r="HF203" t="s">
        <v>4356</v>
      </c>
      <c r="HG203" t="s">
        <v>4356</v>
      </c>
      <c r="HH203" t="s">
        <v>4356</v>
      </c>
      <c r="HI203" t="s">
        <v>4356</v>
      </c>
      <c r="HJ203" t="s">
        <v>4356</v>
      </c>
      <c r="HK203" t="s">
        <v>4356</v>
      </c>
      <c r="HL203" t="s">
        <v>4356</v>
      </c>
      <c r="HM203" t="s">
        <v>4356</v>
      </c>
      <c r="HN203" t="s">
        <v>4356</v>
      </c>
      <c r="HO203" t="s">
        <v>4356</v>
      </c>
      <c r="HP203" t="s">
        <v>4356</v>
      </c>
      <c r="HQ203" t="s">
        <v>4356</v>
      </c>
      <c r="HR203" t="s">
        <v>4356</v>
      </c>
      <c r="HS203" t="s">
        <v>4356</v>
      </c>
      <c r="HT203" t="s">
        <v>4356</v>
      </c>
      <c r="HU203" t="s">
        <v>4356</v>
      </c>
      <c r="HV203" t="s">
        <v>4356</v>
      </c>
      <c r="HW203" t="s">
        <v>4356</v>
      </c>
      <c r="HX203" t="s">
        <v>4356</v>
      </c>
      <c r="HY203" t="s">
        <v>4356</v>
      </c>
      <c r="HZ203" t="s">
        <v>4356</v>
      </c>
      <c r="IA203" t="s">
        <v>4356</v>
      </c>
      <c r="IB203" t="s">
        <v>4356</v>
      </c>
      <c r="IC203" t="s">
        <v>4356</v>
      </c>
      <c r="ID203" t="s">
        <v>4356</v>
      </c>
      <c r="IE203" t="s">
        <v>4356</v>
      </c>
      <c r="IF203" t="s">
        <v>4356</v>
      </c>
      <c r="IG203" t="s">
        <v>4356</v>
      </c>
      <c r="IH203" t="s">
        <v>4356</v>
      </c>
      <c r="II203" t="s">
        <v>4356</v>
      </c>
      <c r="IJ203" t="s">
        <v>4356</v>
      </c>
      <c r="IK203" t="s">
        <v>4356</v>
      </c>
      <c r="IL203" t="s">
        <v>4356</v>
      </c>
      <c r="IM203" t="s">
        <v>4356</v>
      </c>
      <c r="IN203" t="s">
        <v>4356</v>
      </c>
      <c r="IO203" t="s">
        <v>4356</v>
      </c>
      <c r="IP203" t="s">
        <v>4356</v>
      </c>
      <c r="IQ203" t="s">
        <v>4356</v>
      </c>
      <c r="IR203" t="s">
        <v>4356</v>
      </c>
      <c r="IS203" t="s">
        <v>4356</v>
      </c>
      <c r="IT203" t="s">
        <v>4356</v>
      </c>
      <c r="IU203" t="s">
        <v>4356</v>
      </c>
      <c r="IV203" t="s">
        <v>4356</v>
      </c>
      <c r="IW203" t="s">
        <v>4356</v>
      </c>
      <c r="IX203" t="s">
        <v>4356</v>
      </c>
      <c r="IY203" t="s">
        <v>4356</v>
      </c>
      <c r="IZ203" t="s">
        <v>4356</v>
      </c>
      <c r="JA203" t="s">
        <v>4356</v>
      </c>
      <c r="JB203" t="s">
        <v>4356</v>
      </c>
      <c r="JC203" t="s">
        <v>4356</v>
      </c>
      <c r="JD203" t="s">
        <v>4356</v>
      </c>
      <c r="JE203" t="s">
        <v>4356</v>
      </c>
      <c r="JF203" t="s">
        <v>4356</v>
      </c>
      <c r="JG203" t="s">
        <v>4356</v>
      </c>
      <c r="JH203" t="s">
        <v>4356</v>
      </c>
      <c r="JI203" t="s">
        <v>4356</v>
      </c>
      <c r="JJ203" t="s">
        <v>4356</v>
      </c>
      <c r="JK203" t="s">
        <v>4356</v>
      </c>
      <c r="JL203" t="s">
        <v>4356</v>
      </c>
      <c r="JM203" t="s">
        <v>4356</v>
      </c>
      <c r="JN203" t="s">
        <v>4356</v>
      </c>
      <c r="JO203" t="s">
        <v>4356</v>
      </c>
      <c r="JP203" t="s">
        <v>4356</v>
      </c>
      <c r="JQ203" t="s">
        <v>4356</v>
      </c>
      <c r="JR203" t="s">
        <v>4356</v>
      </c>
      <c r="JS203" t="s">
        <v>4356</v>
      </c>
      <c r="JT203" t="s">
        <v>4356</v>
      </c>
      <c r="JU203" t="s">
        <v>4356</v>
      </c>
    </row>
    <row r="204" spans="50:281" x14ac:dyDescent="0.3">
      <c r="BT204" t="s">
        <v>4384</v>
      </c>
      <c r="BU204" t="s">
        <v>4384</v>
      </c>
      <c r="BV204" t="s">
        <v>4384</v>
      </c>
      <c r="BW204" t="s">
        <v>4384</v>
      </c>
      <c r="BX204" t="s">
        <v>4384</v>
      </c>
      <c r="BY204" t="s">
        <v>4384</v>
      </c>
      <c r="BZ204" t="s">
        <v>4384</v>
      </c>
      <c r="CA204" t="s">
        <v>4384</v>
      </c>
      <c r="CB204" t="s">
        <v>4384</v>
      </c>
      <c r="CC204" t="s">
        <v>4384</v>
      </c>
      <c r="CD204" t="s">
        <v>4384</v>
      </c>
      <c r="CE204" t="s">
        <v>4384</v>
      </c>
      <c r="CF204" t="s">
        <v>4384</v>
      </c>
      <c r="CG204" t="s">
        <v>4384</v>
      </c>
      <c r="CH204" t="s">
        <v>4384</v>
      </c>
      <c r="CI204" t="s">
        <v>4381</v>
      </c>
      <c r="CJ204" t="s">
        <v>4381</v>
      </c>
      <c r="CK204" t="s">
        <v>4381</v>
      </c>
      <c r="CL204" t="s">
        <v>4381</v>
      </c>
      <c r="CM204" t="s">
        <v>4381</v>
      </c>
      <c r="CN204" t="s">
        <v>4381</v>
      </c>
      <c r="CO204" t="s">
        <v>4381</v>
      </c>
      <c r="CP204" t="s">
        <v>4381</v>
      </c>
      <c r="CQ204" t="s">
        <v>4381</v>
      </c>
      <c r="DA204" t="s">
        <v>4385</v>
      </c>
      <c r="DB204" t="s">
        <v>4385</v>
      </c>
      <c r="DC204" t="s">
        <v>4385</v>
      </c>
      <c r="DD204" t="s">
        <v>4385</v>
      </c>
      <c r="DE204" t="s">
        <v>4385</v>
      </c>
      <c r="DF204" t="s">
        <v>4385</v>
      </c>
      <c r="DG204" t="s">
        <v>4385</v>
      </c>
      <c r="DH204" t="s">
        <v>4385</v>
      </c>
      <c r="DI204" t="s">
        <v>4385</v>
      </c>
      <c r="DJ204" t="s">
        <v>4385</v>
      </c>
      <c r="DK204" t="s">
        <v>4385</v>
      </c>
      <c r="DL204" t="s">
        <v>4385</v>
      </c>
      <c r="DM204" t="s">
        <v>4385</v>
      </c>
      <c r="DN204" t="s">
        <v>4385</v>
      </c>
      <c r="DO204" t="s">
        <v>4385</v>
      </c>
      <c r="DP204" t="s">
        <v>4385</v>
      </c>
      <c r="DQ204" t="s">
        <v>4356</v>
      </c>
      <c r="DR204" t="s">
        <v>4356</v>
      </c>
      <c r="DS204" t="s">
        <v>4356</v>
      </c>
      <c r="DT204" t="s">
        <v>4356</v>
      </c>
      <c r="DU204" t="s">
        <v>4356</v>
      </c>
      <c r="DV204" t="s">
        <v>4356</v>
      </c>
      <c r="DW204" t="s">
        <v>4356</v>
      </c>
      <c r="DX204" t="s">
        <v>4356</v>
      </c>
      <c r="DY204" t="s">
        <v>4356</v>
      </c>
      <c r="DZ204" t="s">
        <v>4356</v>
      </c>
      <c r="EA204" t="s">
        <v>4356</v>
      </c>
      <c r="EB204" t="s">
        <v>4356</v>
      </c>
      <c r="EC204" t="s">
        <v>4356</v>
      </c>
      <c r="ED204" t="s">
        <v>4356</v>
      </c>
      <c r="EE204" t="s">
        <v>4356</v>
      </c>
      <c r="EF204" t="s">
        <v>4356</v>
      </c>
      <c r="EG204" t="s">
        <v>4356</v>
      </c>
      <c r="EH204" t="s">
        <v>4356</v>
      </c>
      <c r="EI204" t="s">
        <v>4356</v>
      </c>
      <c r="EJ204" t="s">
        <v>4356</v>
      </c>
      <c r="EK204" t="s">
        <v>4356</v>
      </c>
      <c r="EL204" t="s">
        <v>4356</v>
      </c>
      <c r="EM204" t="s">
        <v>4356</v>
      </c>
      <c r="EN204" t="s">
        <v>4356</v>
      </c>
      <c r="EO204" t="s">
        <v>4356</v>
      </c>
      <c r="EP204" t="s">
        <v>4356</v>
      </c>
      <c r="EQ204" t="s">
        <v>4356</v>
      </c>
      <c r="ER204" t="s">
        <v>4356</v>
      </c>
      <c r="ES204" t="s">
        <v>4356</v>
      </c>
      <c r="ET204" t="s">
        <v>4356</v>
      </c>
      <c r="EU204" t="s">
        <v>4356</v>
      </c>
      <c r="EV204" t="s">
        <v>4356</v>
      </c>
      <c r="EW204" t="s">
        <v>4356</v>
      </c>
      <c r="EX204" t="s">
        <v>4356</v>
      </c>
      <c r="EY204" t="s">
        <v>4356</v>
      </c>
      <c r="EZ204" t="s">
        <v>4356</v>
      </c>
      <c r="FA204" t="s">
        <v>4356</v>
      </c>
      <c r="FB204" t="s">
        <v>4356</v>
      </c>
      <c r="FC204" t="s">
        <v>4356</v>
      </c>
      <c r="FD204" t="s">
        <v>4356</v>
      </c>
      <c r="FE204" t="s">
        <v>4356</v>
      </c>
      <c r="FF204" t="s">
        <v>4356</v>
      </c>
      <c r="FG204" t="s">
        <v>4356</v>
      </c>
      <c r="FH204" t="s">
        <v>4356</v>
      </c>
      <c r="FI204" t="s">
        <v>4356</v>
      </c>
      <c r="FJ204" t="s">
        <v>4356</v>
      </c>
      <c r="FK204" t="s">
        <v>4356</v>
      </c>
      <c r="FL204" t="s">
        <v>4356</v>
      </c>
      <c r="FM204" t="s">
        <v>4356</v>
      </c>
      <c r="FN204" t="s">
        <v>4356</v>
      </c>
      <c r="FO204" t="s">
        <v>4356</v>
      </c>
      <c r="FP204" t="s">
        <v>4356</v>
      </c>
      <c r="FQ204" t="s">
        <v>4356</v>
      </c>
      <c r="FR204" t="s">
        <v>4356</v>
      </c>
      <c r="FS204" t="s">
        <v>4356</v>
      </c>
      <c r="FT204" t="s">
        <v>4356</v>
      </c>
      <c r="FU204" t="s">
        <v>4356</v>
      </c>
      <c r="FV204" t="s">
        <v>4356</v>
      </c>
      <c r="FW204" t="s">
        <v>4356</v>
      </c>
      <c r="FX204" t="s">
        <v>4356</v>
      </c>
      <c r="FY204" t="s">
        <v>4356</v>
      </c>
      <c r="FZ204" t="s">
        <v>4356</v>
      </c>
      <c r="GA204" t="s">
        <v>4356</v>
      </c>
      <c r="GB204" t="s">
        <v>4356</v>
      </c>
      <c r="GC204" t="s">
        <v>4356</v>
      </c>
      <c r="GD204" t="s">
        <v>4356</v>
      </c>
      <c r="GE204" t="s">
        <v>4356</v>
      </c>
      <c r="GF204" t="s">
        <v>4356</v>
      </c>
      <c r="GG204" t="s">
        <v>4356</v>
      </c>
      <c r="GH204" t="s">
        <v>4356</v>
      </c>
      <c r="GI204" t="s">
        <v>4356</v>
      </c>
      <c r="GJ204" t="s">
        <v>4356</v>
      </c>
      <c r="GK204" t="s">
        <v>4356</v>
      </c>
      <c r="GL204" t="s">
        <v>4356</v>
      </c>
      <c r="GM204" t="s">
        <v>4356</v>
      </c>
      <c r="GN204" t="s">
        <v>4356</v>
      </c>
      <c r="GO204" t="s">
        <v>4356</v>
      </c>
      <c r="GP204" t="s">
        <v>4356</v>
      </c>
      <c r="GQ204" t="s">
        <v>4356</v>
      </c>
      <c r="GR204" t="s">
        <v>4356</v>
      </c>
      <c r="GS204" t="s">
        <v>4356</v>
      </c>
      <c r="GT204" t="s">
        <v>4356</v>
      </c>
      <c r="GU204" t="s">
        <v>4356</v>
      </c>
      <c r="GV204" t="s">
        <v>4356</v>
      </c>
      <c r="GW204" t="s">
        <v>4356</v>
      </c>
      <c r="GX204" t="s">
        <v>4356</v>
      </c>
      <c r="GY204" t="s">
        <v>4356</v>
      </c>
      <c r="GZ204" t="s">
        <v>4356</v>
      </c>
      <c r="HA204" t="s">
        <v>4356</v>
      </c>
      <c r="HB204" t="s">
        <v>4356</v>
      </c>
      <c r="HC204" t="s">
        <v>4356</v>
      </c>
      <c r="HD204" t="s">
        <v>4356</v>
      </c>
      <c r="HE204" t="s">
        <v>4356</v>
      </c>
      <c r="HF204" t="s">
        <v>4356</v>
      </c>
      <c r="HG204" t="s">
        <v>4356</v>
      </c>
      <c r="HH204" t="s">
        <v>4356</v>
      </c>
      <c r="HI204" t="s">
        <v>4356</v>
      </c>
      <c r="HJ204" t="s">
        <v>4356</v>
      </c>
      <c r="HK204" t="s">
        <v>4356</v>
      </c>
      <c r="HL204" t="s">
        <v>4356</v>
      </c>
      <c r="HM204" t="s">
        <v>4356</v>
      </c>
      <c r="HN204" t="s">
        <v>4356</v>
      </c>
      <c r="HO204" t="s">
        <v>4356</v>
      </c>
      <c r="HP204" t="s">
        <v>4356</v>
      </c>
      <c r="HQ204" t="s">
        <v>4356</v>
      </c>
      <c r="HR204" t="s">
        <v>4356</v>
      </c>
      <c r="HS204" t="s">
        <v>4356</v>
      </c>
      <c r="HT204" t="s">
        <v>4356</v>
      </c>
      <c r="HU204" t="s">
        <v>4356</v>
      </c>
      <c r="HV204" t="s">
        <v>4356</v>
      </c>
      <c r="HW204" t="s">
        <v>4356</v>
      </c>
      <c r="HX204" t="s">
        <v>4356</v>
      </c>
      <c r="HY204" t="s">
        <v>4356</v>
      </c>
      <c r="HZ204" t="s">
        <v>4356</v>
      </c>
      <c r="IA204" t="s">
        <v>4356</v>
      </c>
      <c r="IB204" t="s">
        <v>4356</v>
      </c>
      <c r="IC204" t="s">
        <v>4356</v>
      </c>
      <c r="ID204" t="s">
        <v>4356</v>
      </c>
      <c r="IE204" t="s">
        <v>4356</v>
      </c>
      <c r="IF204" t="s">
        <v>4356</v>
      </c>
      <c r="IG204" t="s">
        <v>4356</v>
      </c>
      <c r="IH204" t="s">
        <v>4356</v>
      </c>
      <c r="II204" t="s">
        <v>4356</v>
      </c>
      <c r="IJ204" t="s">
        <v>4356</v>
      </c>
      <c r="IK204" t="s">
        <v>4356</v>
      </c>
      <c r="IL204" t="s">
        <v>4356</v>
      </c>
      <c r="IM204" t="s">
        <v>4356</v>
      </c>
      <c r="IN204" t="s">
        <v>4356</v>
      </c>
      <c r="IO204" t="s">
        <v>4356</v>
      </c>
      <c r="IP204" t="s">
        <v>4356</v>
      </c>
      <c r="IQ204" t="s">
        <v>4356</v>
      </c>
      <c r="IR204" t="s">
        <v>4356</v>
      </c>
      <c r="IS204" t="s">
        <v>4356</v>
      </c>
      <c r="IT204" t="s">
        <v>4356</v>
      </c>
      <c r="IU204" t="s">
        <v>4356</v>
      </c>
      <c r="IV204" t="s">
        <v>4356</v>
      </c>
      <c r="IW204" t="s">
        <v>4356</v>
      </c>
      <c r="IX204" t="s">
        <v>4356</v>
      </c>
      <c r="IY204" t="s">
        <v>4356</v>
      </c>
      <c r="IZ204" t="s">
        <v>4356</v>
      </c>
      <c r="JA204" t="s">
        <v>4356</v>
      </c>
      <c r="JB204" t="s">
        <v>4356</v>
      </c>
      <c r="JC204" t="s">
        <v>4356</v>
      </c>
      <c r="JD204" t="s">
        <v>4356</v>
      </c>
      <c r="JE204" t="s">
        <v>4356</v>
      </c>
      <c r="JF204" t="s">
        <v>4356</v>
      </c>
      <c r="JG204" t="s">
        <v>4356</v>
      </c>
      <c r="JH204" t="s">
        <v>4356</v>
      </c>
      <c r="JI204" t="s">
        <v>4356</v>
      </c>
      <c r="JJ204" t="s">
        <v>4356</v>
      </c>
      <c r="JK204" t="s">
        <v>4356</v>
      </c>
      <c r="JL204" t="s">
        <v>4356</v>
      </c>
      <c r="JM204" t="s">
        <v>4356</v>
      </c>
      <c r="JN204" t="s">
        <v>4356</v>
      </c>
      <c r="JO204" t="s">
        <v>4356</v>
      </c>
      <c r="JP204" t="s">
        <v>4356</v>
      </c>
      <c r="JQ204" t="s">
        <v>4356</v>
      </c>
      <c r="JR204" t="s">
        <v>4356</v>
      </c>
      <c r="JS204" t="s">
        <v>4356</v>
      </c>
      <c r="JT204" t="s">
        <v>4356</v>
      </c>
      <c r="JU204" t="s">
        <v>4356</v>
      </c>
    </row>
    <row r="205" spans="50:281" x14ac:dyDescent="0.3">
      <c r="BT205" t="s">
        <v>4384</v>
      </c>
      <c r="BU205" t="s">
        <v>4384</v>
      </c>
      <c r="BV205" t="s">
        <v>4384</v>
      </c>
      <c r="BW205" t="s">
        <v>4384</v>
      </c>
      <c r="BX205" t="s">
        <v>4384</v>
      </c>
      <c r="BY205" t="s">
        <v>4384</v>
      </c>
      <c r="BZ205" t="s">
        <v>4384</v>
      </c>
      <c r="CA205" t="s">
        <v>4384</v>
      </c>
      <c r="CB205" t="s">
        <v>4384</v>
      </c>
      <c r="CC205" t="s">
        <v>4384</v>
      </c>
      <c r="CD205" t="s">
        <v>4384</v>
      </c>
      <c r="CE205" t="s">
        <v>4384</v>
      </c>
      <c r="CF205" t="s">
        <v>4384</v>
      </c>
      <c r="CG205" t="s">
        <v>4384</v>
      </c>
      <c r="CH205" t="s">
        <v>4381</v>
      </c>
      <c r="CI205" t="s">
        <v>4381</v>
      </c>
      <c r="CJ205" t="s">
        <v>4381</v>
      </c>
      <c r="CK205" t="s">
        <v>4381</v>
      </c>
      <c r="CL205" t="s">
        <v>4381</v>
      </c>
      <c r="CM205" t="s">
        <v>4381</v>
      </c>
      <c r="CN205" t="s">
        <v>4381</v>
      </c>
      <c r="CO205" t="s">
        <v>4381</v>
      </c>
      <c r="CP205" t="s">
        <v>4381</v>
      </c>
      <c r="CQ205" t="s">
        <v>4381</v>
      </c>
      <c r="CR205" t="s">
        <v>4381</v>
      </c>
      <c r="DA205" t="s">
        <v>4385</v>
      </c>
      <c r="DB205" t="s">
        <v>4385</v>
      </c>
      <c r="DC205" t="s">
        <v>4385</v>
      </c>
      <c r="DD205" t="s">
        <v>4385</v>
      </c>
      <c r="DE205" t="s">
        <v>4385</v>
      </c>
      <c r="DF205" t="s">
        <v>4385</v>
      </c>
      <c r="DG205" t="s">
        <v>4385</v>
      </c>
      <c r="DH205" t="s">
        <v>4385</v>
      </c>
      <c r="DI205" t="s">
        <v>4385</v>
      </c>
      <c r="DJ205" t="s">
        <v>4385</v>
      </c>
      <c r="DK205" t="s">
        <v>4385</v>
      </c>
      <c r="DL205" t="s">
        <v>4385</v>
      </c>
      <c r="DM205" t="s">
        <v>4385</v>
      </c>
      <c r="DN205" t="s">
        <v>4385</v>
      </c>
      <c r="DO205" t="s">
        <v>4385</v>
      </c>
      <c r="DP205" t="s">
        <v>4385</v>
      </c>
      <c r="DQ205" t="s">
        <v>4385</v>
      </c>
      <c r="DR205" t="s">
        <v>4356</v>
      </c>
      <c r="DS205" t="s">
        <v>4356</v>
      </c>
      <c r="DT205" t="s">
        <v>4356</v>
      </c>
      <c r="DU205" t="s">
        <v>4356</v>
      </c>
      <c r="DV205" t="s">
        <v>4356</v>
      </c>
      <c r="DW205" t="s">
        <v>4356</v>
      </c>
      <c r="DX205" t="s">
        <v>4356</v>
      </c>
      <c r="DY205" t="s">
        <v>4356</v>
      </c>
      <c r="DZ205" t="s">
        <v>4356</v>
      </c>
      <c r="EA205" t="s">
        <v>4356</v>
      </c>
      <c r="EB205" t="s">
        <v>4356</v>
      </c>
      <c r="EC205" t="s">
        <v>4356</v>
      </c>
      <c r="ED205" t="s">
        <v>4356</v>
      </c>
      <c r="EE205" t="s">
        <v>4356</v>
      </c>
      <c r="EF205" t="s">
        <v>4356</v>
      </c>
      <c r="EG205" t="s">
        <v>4356</v>
      </c>
      <c r="EH205" t="s">
        <v>4356</v>
      </c>
      <c r="EI205" t="s">
        <v>4356</v>
      </c>
      <c r="EJ205" t="s">
        <v>4356</v>
      </c>
      <c r="EK205" t="s">
        <v>4356</v>
      </c>
      <c r="EL205" t="s">
        <v>4356</v>
      </c>
      <c r="EM205" t="s">
        <v>4356</v>
      </c>
      <c r="EN205" t="s">
        <v>4356</v>
      </c>
      <c r="EO205" t="s">
        <v>4356</v>
      </c>
      <c r="EP205" t="s">
        <v>4356</v>
      </c>
      <c r="EQ205" t="s">
        <v>4356</v>
      </c>
      <c r="ER205" t="s">
        <v>4356</v>
      </c>
      <c r="ES205" t="s">
        <v>4356</v>
      </c>
      <c r="ET205" t="s">
        <v>4356</v>
      </c>
      <c r="EU205" t="s">
        <v>4356</v>
      </c>
      <c r="EV205" t="s">
        <v>4356</v>
      </c>
      <c r="EW205" t="s">
        <v>4356</v>
      </c>
      <c r="EX205" t="s">
        <v>4356</v>
      </c>
      <c r="EY205" t="s">
        <v>4356</v>
      </c>
      <c r="EZ205" t="s">
        <v>4356</v>
      </c>
      <c r="FA205" t="s">
        <v>4356</v>
      </c>
      <c r="FB205" t="s">
        <v>4356</v>
      </c>
      <c r="FC205" t="s">
        <v>4356</v>
      </c>
      <c r="FD205" t="s">
        <v>4356</v>
      </c>
      <c r="FE205" t="s">
        <v>4356</v>
      </c>
      <c r="FF205" t="s">
        <v>4356</v>
      </c>
      <c r="FG205" t="s">
        <v>4356</v>
      </c>
      <c r="FH205" t="s">
        <v>4356</v>
      </c>
      <c r="FI205" t="s">
        <v>4356</v>
      </c>
      <c r="FJ205" t="s">
        <v>4356</v>
      </c>
      <c r="FK205" t="s">
        <v>4356</v>
      </c>
      <c r="FL205" t="s">
        <v>4356</v>
      </c>
      <c r="FM205" t="s">
        <v>4356</v>
      </c>
      <c r="FN205" t="s">
        <v>4356</v>
      </c>
      <c r="FO205" t="s">
        <v>4356</v>
      </c>
      <c r="FP205" t="s">
        <v>4356</v>
      </c>
      <c r="FQ205" t="s">
        <v>4356</v>
      </c>
      <c r="FR205" t="s">
        <v>4356</v>
      </c>
      <c r="FS205" t="s">
        <v>4356</v>
      </c>
      <c r="FT205" t="s">
        <v>4356</v>
      </c>
      <c r="FU205" t="s">
        <v>4356</v>
      </c>
      <c r="FV205" t="s">
        <v>4356</v>
      </c>
      <c r="FW205" t="s">
        <v>4356</v>
      </c>
      <c r="FX205" t="s">
        <v>4356</v>
      </c>
      <c r="FY205" t="s">
        <v>4356</v>
      </c>
      <c r="FZ205" t="s">
        <v>4356</v>
      </c>
      <c r="GA205" t="s">
        <v>4356</v>
      </c>
      <c r="GB205" t="s">
        <v>4356</v>
      </c>
      <c r="GC205" t="s">
        <v>4356</v>
      </c>
      <c r="GD205" t="s">
        <v>4356</v>
      </c>
      <c r="GE205" t="s">
        <v>4356</v>
      </c>
      <c r="GF205" t="s">
        <v>4356</v>
      </c>
      <c r="GG205" t="s">
        <v>4356</v>
      </c>
      <c r="GH205" t="s">
        <v>4356</v>
      </c>
      <c r="GI205" t="s">
        <v>4356</v>
      </c>
      <c r="GJ205" t="s">
        <v>4356</v>
      </c>
      <c r="GK205" t="s">
        <v>4356</v>
      </c>
      <c r="GL205" t="s">
        <v>4356</v>
      </c>
      <c r="GM205" t="s">
        <v>4356</v>
      </c>
      <c r="GN205" t="s">
        <v>4356</v>
      </c>
      <c r="GO205" t="s">
        <v>4356</v>
      </c>
      <c r="GP205" t="s">
        <v>4356</v>
      </c>
      <c r="GQ205" t="s">
        <v>4356</v>
      </c>
      <c r="GR205" t="s">
        <v>4356</v>
      </c>
      <c r="GS205" t="s">
        <v>4356</v>
      </c>
      <c r="GT205" t="s">
        <v>4356</v>
      </c>
      <c r="GU205" t="s">
        <v>4356</v>
      </c>
      <c r="GV205" t="s">
        <v>4356</v>
      </c>
      <c r="GW205" t="s">
        <v>4356</v>
      </c>
      <c r="GX205" t="s">
        <v>4356</v>
      </c>
      <c r="GY205" t="s">
        <v>4356</v>
      </c>
      <c r="GZ205" t="s">
        <v>4356</v>
      </c>
      <c r="HA205" t="s">
        <v>4356</v>
      </c>
      <c r="HB205" t="s">
        <v>4356</v>
      </c>
      <c r="HC205" t="s">
        <v>4356</v>
      </c>
      <c r="HD205" t="s">
        <v>4356</v>
      </c>
      <c r="HE205" t="s">
        <v>4356</v>
      </c>
      <c r="HF205" t="s">
        <v>4356</v>
      </c>
      <c r="HG205" t="s">
        <v>4356</v>
      </c>
      <c r="HH205" t="s">
        <v>4356</v>
      </c>
      <c r="HI205" t="s">
        <v>4356</v>
      </c>
      <c r="HJ205" t="s">
        <v>4356</v>
      </c>
      <c r="HK205" t="s">
        <v>4356</v>
      </c>
      <c r="HL205" t="s">
        <v>4356</v>
      </c>
      <c r="HM205" t="s">
        <v>4356</v>
      </c>
      <c r="HN205" t="s">
        <v>4356</v>
      </c>
      <c r="HO205" t="s">
        <v>4356</v>
      </c>
      <c r="HP205" t="s">
        <v>4356</v>
      </c>
      <c r="HQ205" t="s">
        <v>4356</v>
      </c>
      <c r="HR205" t="s">
        <v>4356</v>
      </c>
      <c r="HS205" t="s">
        <v>4356</v>
      </c>
      <c r="HT205" t="s">
        <v>4356</v>
      </c>
      <c r="HU205" t="s">
        <v>4356</v>
      </c>
      <c r="HV205" t="s">
        <v>4356</v>
      </c>
      <c r="HW205" t="s">
        <v>4356</v>
      </c>
      <c r="HX205" t="s">
        <v>4356</v>
      </c>
      <c r="HY205" t="s">
        <v>4356</v>
      </c>
      <c r="HZ205" t="s">
        <v>4356</v>
      </c>
      <c r="IA205" t="s">
        <v>4356</v>
      </c>
      <c r="IB205" t="s">
        <v>4356</v>
      </c>
      <c r="IC205" t="s">
        <v>4356</v>
      </c>
      <c r="ID205" t="s">
        <v>4356</v>
      </c>
      <c r="IE205" t="s">
        <v>4356</v>
      </c>
      <c r="IF205" t="s">
        <v>4356</v>
      </c>
      <c r="IG205" t="s">
        <v>4356</v>
      </c>
      <c r="IH205" t="s">
        <v>4356</v>
      </c>
      <c r="II205" t="s">
        <v>4356</v>
      </c>
      <c r="IJ205" t="s">
        <v>4356</v>
      </c>
      <c r="IK205" t="s">
        <v>4356</v>
      </c>
      <c r="IL205" t="s">
        <v>4356</v>
      </c>
      <c r="IM205" t="s">
        <v>4356</v>
      </c>
      <c r="IN205" t="s">
        <v>4356</v>
      </c>
      <c r="IO205" t="s">
        <v>4356</v>
      </c>
      <c r="IP205" t="s">
        <v>4356</v>
      </c>
      <c r="IQ205" t="s">
        <v>4356</v>
      </c>
      <c r="IR205" t="s">
        <v>4356</v>
      </c>
      <c r="IS205" t="s">
        <v>4356</v>
      </c>
      <c r="IT205" t="s">
        <v>4356</v>
      </c>
      <c r="IU205" t="s">
        <v>4356</v>
      </c>
      <c r="IV205" t="s">
        <v>4356</v>
      </c>
      <c r="IW205" t="s">
        <v>4356</v>
      </c>
      <c r="IX205" t="s">
        <v>4356</v>
      </c>
      <c r="IY205" t="s">
        <v>4356</v>
      </c>
      <c r="IZ205" t="s">
        <v>4356</v>
      </c>
      <c r="JA205" t="s">
        <v>4356</v>
      </c>
      <c r="JB205" t="s">
        <v>4356</v>
      </c>
      <c r="JC205" t="s">
        <v>4356</v>
      </c>
      <c r="JD205" t="s">
        <v>4356</v>
      </c>
      <c r="JE205" t="s">
        <v>4356</v>
      </c>
      <c r="JF205" t="s">
        <v>4356</v>
      </c>
      <c r="JG205" t="s">
        <v>4356</v>
      </c>
      <c r="JH205" t="s">
        <v>4356</v>
      </c>
      <c r="JI205" t="s">
        <v>4356</v>
      </c>
      <c r="JJ205" t="s">
        <v>4356</v>
      </c>
      <c r="JK205" t="s">
        <v>4356</v>
      </c>
      <c r="JL205" t="s">
        <v>4356</v>
      </c>
      <c r="JM205" t="s">
        <v>4356</v>
      </c>
      <c r="JN205" t="s">
        <v>4356</v>
      </c>
      <c r="JO205" t="s">
        <v>4356</v>
      </c>
      <c r="JP205" t="s">
        <v>4356</v>
      </c>
      <c r="JQ205" t="s">
        <v>4356</v>
      </c>
      <c r="JR205" t="s">
        <v>4356</v>
      </c>
      <c r="JS205" t="s">
        <v>4356</v>
      </c>
      <c r="JT205" t="s">
        <v>4356</v>
      </c>
      <c r="JU205" t="s">
        <v>4356</v>
      </c>
    </row>
    <row r="206" spans="50:281" x14ac:dyDescent="0.3">
      <c r="BU206" t="s">
        <v>4384</v>
      </c>
      <c r="BV206" t="s">
        <v>4384</v>
      </c>
      <c r="BW206" t="s">
        <v>4384</v>
      </c>
      <c r="BX206" t="s">
        <v>4384</v>
      </c>
      <c r="BY206" t="s">
        <v>4384</v>
      </c>
      <c r="BZ206" t="s">
        <v>4384</v>
      </c>
      <c r="CA206" t="s">
        <v>4384</v>
      </c>
      <c r="CB206" t="s">
        <v>4384</v>
      </c>
      <c r="CC206" t="s">
        <v>4384</v>
      </c>
      <c r="CD206" t="s">
        <v>4384</v>
      </c>
      <c r="CE206" t="s">
        <v>4384</v>
      </c>
      <c r="CF206" t="s">
        <v>4384</v>
      </c>
      <c r="CG206" t="s">
        <v>4384</v>
      </c>
      <c r="CH206" t="s">
        <v>4381</v>
      </c>
      <c r="CI206" t="s">
        <v>4381</v>
      </c>
      <c r="CJ206" t="s">
        <v>4381</v>
      </c>
      <c r="CK206" t="s">
        <v>4381</v>
      </c>
      <c r="CL206" t="s">
        <v>4381</v>
      </c>
      <c r="CM206" t="s">
        <v>4381</v>
      </c>
      <c r="CN206" t="s">
        <v>4381</v>
      </c>
      <c r="CO206" t="s">
        <v>4381</v>
      </c>
      <c r="CP206" t="s">
        <v>4381</v>
      </c>
      <c r="CQ206" t="s">
        <v>4381</v>
      </c>
      <c r="CR206" t="s">
        <v>4381</v>
      </c>
      <c r="DA206" t="s">
        <v>4385</v>
      </c>
      <c r="DB206" t="s">
        <v>4385</v>
      </c>
      <c r="DC206" t="s">
        <v>4385</v>
      </c>
      <c r="DD206" t="s">
        <v>4385</v>
      </c>
      <c r="DE206" t="s">
        <v>4385</v>
      </c>
      <c r="DF206" t="s">
        <v>4385</v>
      </c>
      <c r="DG206" t="s">
        <v>4385</v>
      </c>
      <c r="DH206" t="s">
        <v>4385</v>
      </c>
      <c r="DI206" t="s">
        <v>4385</v>
      </c>
      <c r="DJ206" t="s">
        <v>4385</v>
      </c>
      <c r="DK206" t="s">
        <v>4385</v>
      </c>
      <c r="DL206" t="s">
        <v>4385</v>
      </c>
      <c r="DM206" t="s">
        <v>4385</v>
      </c>
      <c r="DN206" t="s">
        <v>4385</v>
      </c>
      <c r="DO206" t="s">
        <v>4385</v>
      </c>
      <c r="DP206" t="s">
        <v>4385</v>
      </c>
      <c r="DQ206" t="s">
        <v>4385</v>
      </c>
      <c r="DR206" t="s">
        <v>4385</v>
      </c>
      <c r="DS206" t="s">
        <v>4385</v>
      </c>
      <c r="DT206" t="s">
        <v>4356</v>
      </c>
      <c r="DU206" t="s">
        <v>4356</v>
      </c>
      <c r="DV206" t="s">
        <v>4356</v>
      </c>
      <c r="DW206" t="s">
        <v>4356</v>
      </c>
      <c r="DX206" t="s">
        <v>4356</v>
      </c>
      <c r="DY206" t="s">
        <v>4356</v>
      </c>
      <c r="DZ206" t="s">
        <v>4356</v>
      </c>
      <c r="EA206" t="s">
        <v>4356</v>
      </c>
      <c r="EB206" t="s">
        <v>4356</v>
      </c>
      <c r="EC206" t="s">
        <v>4356</v>
      </c>
      <c r="ED206" t="s">
        <v>4356</v>
      </c>
      <c r="EE206" t="s">
        <v>4356</v>
      </c>
      <c r="EF206" t="s">
        <v>4356</v>
      </c>
      <c r="EG206" t="s">
        <v>4356</v>
      </c>
      <c r="EH206" t="s">
        <v>4356</v>
      </c>
      <c r="EI206" t="s">
        <v>4356</v>
      </c>
      <c r="EJ206" t="s">
        <v>4356</v>
      </c>
      <c r="EK206" t="s">
        <v>4356</v>
      </c>
      <c r="EL206" t="s">
        <v>4356</v>
      </c>
      <c r="EM206" t="s">
        <v>4356</v>
      </c>
      <c r="EN206" t="s">
        <v>4356</v>
      </c>
      <c r="EO206" t="s">
        <v>4356</v>
      </c>
      <c r="EP206" t="s">
        <v>4356</v>
      </c>
      <c r="EQ206" t="s">
        <v>4356</v>
      </c>
      <c r="ER206" t="s">
        <v>4356</v>
      </c>
      <c r="ES206" t="s">
        <v>4356</v>
      </c>
      <c r="ET206" t="s">
        <v>4356</v>
      </c>
      <c r="EU206" t="s">
        <v>4356</v>
      </c>
      <c r="EV206" t="s">
        <v>4356</v>
      </c>
      <c r="EW206" t="s">
        <v>4356</v>
      </c>
      <c r="EX206" t="s">
        <v>4356</v>
      </c>
      <c r="EY206" t="s">
        <v>4356</v>
      </c>
      <c r="EZ206" t="s">
        <v>4356</v>
      </c>
      <c r="FA206" t="s">
        <v>4356</v>
      </c>
      <c r="FB206" t="s">
        <v>4356</v>
      </c>
      <c r="FC206" t="s">
        <v>4356</v>
      </c>
      <c r="FD206" t="s">
        <v>4356</v>
      </c>
      <c r="FE206" t="s">
        <v>4356</v>
      </c>
      <c r="FF206" t="s">
        <v>4356</v>
      </c>
      <c r="FG206" t="s">
        <v>4356</v>
      </c>
      <c r="FH206" t="s">
        <v>4356</v>
      </c>
      <c r="FI206" t="s">
        <v>4356</v>
      </c>
      <c r="FJ206" t="s">
        <v>4356</v>
      </c>
      <c r="FK206" t="s">
        <v>4356</v>
      </c>
      <c r="FL206" t="s">
        <v>4356</v>
      </c>
      <c r="FM206" t="s">
        <v>4356</v>
      </c>
      <c r="FN206" t="s">
        <v>4356</v>
      </c>
      <c r="FO206" t="s">
        <v>4356</v>
      </c>
      <c r="FP206" t="s">
        <v>4356</v>
      </c>
      <c r="FQ206" t="s">
        <v>4356</v>
      </c>
      <c r="FR206" t="s">
        <v>4356</v>
      </c>
      <c r="FS206" t="s">
        <v>4356</v>
      </c>
      <c r="FT206" t="s">
        <v>4356</v>
      </c>
      <c r="FU206" t="s">
        <v>4356</v>
      </c>
      <c r="FV206" t="s">
        <v>4356</v>
      </c>
      <c r="FW206" t="s">
        <v>4356</v>
      </c>
      <c r="FX206" t="s">
        <v>4356</v>
      </c>
      <c r="FY206" t="s">
        <v>4356</v>
      </c>
      <c r="FZ206" t="s">
        <v>4356</v>
      </c>
      <c r="GA206" t="s">
        <v>4356</v>
      </c>
      <c r="GB206" t="s">
        <v>4356</v>
      </c>
      <c r="GC206" t="s">
        <v>4356</v>
      </c>
      <c r="GD206" t="s">
        <v>4356</v>
      </c>
      <c r="GE206" t="s">
        <v>4356</v>
      </c>
      <c r="GF206" t="s">
        <v>4356</v>
      </c>
      <c r="GG206" t="s">
        <v>4356</v>
      </c>
      <c r="GH206" t="s">
        <v>4356</v>
      </c>
      <c r="GI206" t="s">
        <v>4356</v>
      </c>
      <c r="GJ206" t="s">
        <v>4356</v>
      </c>
      <c r="GK206" t="s">
        <v>4356</v>
      </c>
      <c r="GL206" t="s">
        <v>4356</v>
      </c>
      <c r="GM206" t="s">
        <v>4356</v>
      </c>
      <c r="GN206" t="s">
        <v>4356</v>
      </c>
      <c r="GO206" t="s">
        <v>4356</v>
      </c>
      <c r="GP206" t="s">
        <v>4356</v>
      </c>
      <c r="GQ206" t="s">
        <v>4356</v>
      </c>
      <c r="GR206" t="s">
        <v>4356</v>
      </c>
      <c r="GS206" t="s">
        <v>4356</v>
      </c>
      <c r="GT206" t="s">
        <v>4356</v>
      </c>
      <c r="GU206" t="s">
        <v>4356</v>
      </c>
      <c r="GV206" t="s">
        <v>4356</v>
      </c>
      <c r="GW206" t="s">
        <v>4356</v>
      </c>
      <c r="GX206" t="s">
        <v>4356</v>
      </c>
      <c r="GY206" t="s">
        <v>4356</v>
      </c>
      <c r="GZ206" t="s">
        <v>4356</v>
      </c>
      <c r="HA206" t="s">
        <v>4356</v>
      </c>
      <c r="HB206" t="s">
        <v>4356</v>
      </c>
      <c r="HC206" t="s">
        <v>4356</v>
      </c>
      <c r="HD206" t="s">
        <v>4356</v>
      </c>
      <c r="HE206" t="s">
        <v>4356</v>
      </c>
      <c r="HF206" t="s">
        <v>4356</v>
      </c>
      <c r="HG206" t="s">
        <v>4356</v>
      </c>
      <c r="HH206" t="s">
        <v>4356</v>
      </c>
      <c r="HI206" t="s">
        <v>4356</v>
      </c>
      <c r="HJ206" t="s">
        <v>4356</v>
      </c>
      <c r="HK206" t="s">
        <v>4356</v>
      </c>
      <c r="HL206" t="s">
        <v>4356</v>
      </c>
      <c r="HM206" t="s">
        <v>4356</v>
      </c>
      <c r="HN206" t="s">
        <v>4356</v>
      </c>
      <c r="HO206" t="s">
        <v>4356</v>
      </c>
      <c r="HP206" t="s">
        <v>4356</v>
      </c>
      <c r="HQ206" t="s">
        <v>4356</v>
      </c>
      <c r="HR206" t="s">
        <v>4356</v>
      </c>
      <c r="HS206" t="s">
        <v>4356</v>
      </c>
      <c r="HT206" t="s">
        <v>4356</v>
      </c>
      <c r="HU206" t="s">
        <v>4356</v>
      </c>
      <c r="HV206" t="s">
        <v>4356</v>
      </c>
      <c r="HW206" t="s">
        <v>4356</v>
      </c>
      <c r="HX206" t="s">
        <v>4356</v>
      </c>
      <c r="HY206" t="s">
        <v>4356</v>
      </c>
      <c r="HZ206" t="s">
        <v>4356</v>
      </c>
      <c r="IA206" t="s">
        <v>4356</v>
      </c>
      <c r="IB206" t="s">
        <v>4356</v>
      </c>
      <c r="IC206" t="s">
        <v>4356</v>
      </c>
      <c r="ID206" t="s">
        <v>4356</v>
      </c>
      <c r="IE206" t="s">
        <v>4356</v>
      </c>
      <c r="IF206" t="s">
        <v>4356</v>
      </c>
      <c r="IG206" t="s">
        <v>4356</v>
      </c>
      <c r="IH206" t="s">
        <v>4356</v>
      </c>
      <c r="II206" t="s">
        <v>4356</v>
      </c>
      <c r="IJ206" t="s">
        <v>4356</v>
      </c>
      <c r="IK206" t="s">
        <v>4356</v>
      </c>
      <c r="IL206" t="s">
        <v>4356</v>
      </c>
      <c r="IM206" t="s">
        <v>4356</v>
      </c>
      <c r="IN206" t="s">
        <v>4356</v>
      </c>
      <c r="IO206" t="s">
        <v>4356</v>
      </c>
      <c r="IP206" t="s">
        <v>4356</v>
      </c>
      <c r="IQ206" t="s">
        <v>4356</v>
      </c>
      <c r="IR206" t="s">
        <v>4356</v>
      </c>
      <c r="IS206" t="s">
        <v>4356</v>
      </c>
      <c r="IT206" t="s">
        <v>4356</v>
      </c>
      <c r="IU206" t="s">
        <v>4356</v>
      </c>
      <c r="IV206" t="s">
        <v>4356</v>
      </c>
      <c r="IW206" t="s">
        <v>4356</v>
      </c>
      <c r="IX206" t="s">
        <v>4356</v>
      </c>
      <c r="IY206" t="s">
        <v>4356</v>
      </c>
      <c r="IZ206" t="s">
        <v>4356</v>
      </c>
      <c r="JA206" t="s">
        <v>4356</v>
      </c>
      <c r="JB206" t="s">
        <v>4356</v>
      </c>
      <c r="JC206" t="s">
        <v>4356</v>
      </c>
      <c r="JD206" t="s">
        <v>4356</v>
      </c>
      <c r="JE206" t="s">
        <v>4356</v>
      </c>
      <c r="JF206" t="s">
        <v>4356</v>
      </c>
      <c r="JG206" t="s">
        <v>4356</v>
      </c>
      <c r="JH206" t="s">
        <v>4356</v>
      </c>
      <c r="JI206" t="s">
        <v>4356</v>
      </c>
      <c r="JJ206" t="s">
        <v>4356</v>
      </c>
      <c r="JK206" t="s">
        <v>4356</v>
      </c>
      <c r="JL206" t="s">
        <v>4356</v>
      </c>
      <c r="JM206" t="s">
        <v>4356</v>
      </c>
      <c r="JN206" t="s">
        <v>4356</v>
      </c>
      <c r="JO206" t="s">
        <v>4356</v>
      </c>
      <c r="JP206" t="s">
        <v>4356</v>
      </c>
      <c r="JQ206" t="s">
        <v>4356</v>
      </c>
      <c r="JR206" t="s">
        <v>4356</v>
      </c>
      <c r="JS206" t="s">
        <v>4356</v>
      </c>
      <c r="JT206" t="s">
        <v>4356</v>
      </c>
      <c r="JU206" t="s">
        <v>4356</v>
      </c>
    </row>
    <row r="207" spans="50:281" x14ac:dyDescent="0.3">
      <c r="BW207" t="s">
        <v>4384</v>
      </c>
      <c r="BX207" t="s">
        <v>4384</v>
      </c>
      <c r="BY207" t="s">
        <v>4384</v>
      </c>
      <c r="BZ207" t="s">
        <v>4384</v>
      </c>
      <c r="CA207" t="s">
        <v>4384</v>
      </c>
      <c r="CB207" t="s">
        <v>4384</v>
      </c>
      <c r="CC207" t="s">
        <v>4384</v>
      </c>
      <c r="CD207" t="s">
        <v>4384</v>
      </c>
      <c r="CE207" t="s">
        <v>4384</v>
      </c>
      <c r="CF207" t="s">
        <v>4384</v>
      </c>
      <c r="CG207" t="s">
        <v>4384</v>
      </c>
      <c r="CH207" t="s">
        <v>4381</v>
      </c>
      <c r="CI207" t="s">
        <v>4381</v>
      </c>
      <c r="CJ207" t="s">
        <v>4381</v>
      </c>
      <c r="CK207" t="s">
        <v>4381</v>
      </c>
      <c r="CL207" t="s">
        <v>4381</v>
      </c>
      <c r="CM207" t="s">
        <v>4381</v>
      </c>
      <c r="CN207" t="s">
        <v>4381</v>
      </c>
      <c r="CO207" t="s">
        <v>4381</v>
      </c>
      <c r="CP207" t="s">
        <v>4381</v>
      </c>
      <c r="CQ207" t="s">
        <v>4381</v>
      </c>
      <c r="CR207" t="s">
        <v>4381</v>
      </c>
      <c r="CS207" t="s">
        <v>4381</v>
      </c>
      <c r="CZ207" t="s">
        <v>4385</v>
      </c>
      <c r="DA207" t="s">
        <v>4385</v>
      </c>
      <c r="DB207" t="s">
        <v>4385</v>
      </c>
      <c r="DC207" t="s">
        <v>4385</v>
      </c>
      <c r="DD207" t="s">
        <v>4385</v>
      </c>
      <c r="DE207" t="s">
        <v>4385</v>
      </c>
      <c r="DF207" t="s">
        <v>4385</v>
      </c>
      <c r="DG207" t="s">
        <v>4385</v>
      </c>
      <c r="DH207" t="s">
        <v>4385</v>
      </c>
      <c r="DI207" t="s">
        <v>4385</v>
      </c>
      <c r="DJ207" t="s">
        <v>4385</v>
      </c>
      <c r="DK207" t="s">
        <v>4385</v>
      </c>
      <c r="DL207" t="s">
        <v>4385</v>
      </c>
      <c r="DM207" t="s">
        <v>4385</v>
      </c>
      <c r="DN207" t="s">
        <v>4385</v>
      </c>
      <c r="DO207" t="s">
        <v>4385</v>
      </c>
      <c r="DP207" t="s">
        <v>4385</v>
      </c>
      <c r="DQ207" t="s">
        <v>4385</v>
      </c>
      <c r="DR207" t="s">
        <v>4385</v>
      </c>
      <c r="DS207" t="s">
        <v>4385</v>
      </c>
      <c r="DT207" t="s">
        <v>4385</v>
      </c>
      <c r="DU207" t="s">
        <v>4356</v>
      </c>
      <c r="DV207" t="s">
        <v>4356</v>
      </c>
      <c r="DW207" t="s">
        <v>4356</v>
      </c>
      <c r="DX207" t="s">
        <v>4356</v>
      </c>
      <c r="DY207" t="s">
        <v>4356</v>
      </c>
      <c r="DZ207" t="s">
        <v>4356</v>
      </c>
      <c r="EA207" t="s">
        <v>4356</v>
      </c>
      <c r="EB207" t="s">
        <v>4356</v>
      </c>
      <c r="EC207" t="s">
        <v>4356</v>
      </c>
      <c r="ED207" t="s">
        <v>4356</v>
      </c>
      <c r="EE207" t="s">
        <v>4356</v>
      </c>
      <c r="EF207" t="s">
        <v>4356</v>
      </c>
      <c r="EG207" t="s">
        <v>4356</v>
      </c>
      <c r="EH207" t="s">
        <v>4356</v>
      </c>
      <c r="EI207" t="s">
        <v>4356</v>
      </c>
      <c r="EJ207" t="s">
        <v>4356</v>
      </c>
      <c r="EK207" t="s">
        <v>4356</v>
      </c>
      <c r="EL207" t="s">
        <v>4356</v>
      </c>
      <c r="EM207" t="s">
        <v>4356</v>
      </c>
      <c r="EN207" t="s">
        <v>4356</v>
      </c>
      <c r="EO207" t="s">
        <v>4356</v>
      </c>
      <c r="EP207" t="s">
        <v>4356</v>
      </c>
      <c r="EQ207" t="s">
        <v>4356</v>
      </c>
      <c r="ER207" t="s">
        <v>4356</v>
      </c>
      <c r="ES207" t="s">
        <v>4356</v>
      </c>
      <c r="ET207" t="s">
        <v>4356</v>
      </c>
      <c r="EU207" t="s">
        <v>4356</v>
      </c>
      <c r="EV207" t="s">
        <v>4356</v>
      </c>
      <c r="EW207" t="s">
        <v>4356</v>
      </c>
      <c r="EX207" t="s">
        <v>4356</v>
      </c>
      <c r="EY207" t="s">
        <v>4356</v>
      </c>
      <c r="EZ207" t="s">
        <v>4356</v>
      </c>
      <c r="FA207" t="s">
        <v>4356</v>
      </c>
      <c r="FB207" t="s">
        <v>4356</v>
      </c>
      <c r="FC207" t="s">
        <v>4356</v>
      </c>
      <c r="FD207" t="s">
        <v>4356</v>
      </c>
      <c r="FE207" t="s">
        <v>4356</v>
      </c>
      <c r="FF207" t="s">
        <v>4356</v>
      </c>
      <c r="FG207" t="s">
        <v>4356</v>
      </c>
      <c r="FH207" t="s">
        <v>4356</v>
      </c>
      <c r="FI207" t="s">
        <v>4356</v>
      </c>
      <c r="FJ207" t="s">
        <v>4356</v>
      </c>
      <c r="FK207" t="s">
        <v>4356</v>
      </c>
      <c r="FL207" t="s">
        <v>4356</v>
      </c>
      <c r="FM207" t="s">
        <v>4356</v>
      </c>
      <c r="FN207" t="s">
        <v>4356</v>
      </c>
      <c r="FO207" t="s">
        <v>4356</v>
      </c>
      <c r="FP207" t="s">
        <v>4356</v>
      </c>
      <c r="FQ207" t="s">
        <v>4356</v>
      </c>
      <c r="FR207" t="s">
        <v>4356</v>
      </c>
      <c r="FS207" t="s">
        <v>4356</v>
      </c>
      <c r="FT207" t="s">
        <v>4356</v>
      </c>
      <c r="FU207" t="s">
        <v>4356</v>
      </c>
      <c r="FV207" t="s">
        <v>4356</v>
      </c>
      <c r="FW207" t="s">
        <v>4356</v>
      </c>
      <c r="FX207" t="s">
        <v>4356</v>
      </c>
      <c r="FY207" t="s">
        <v>4356</v>
      </c>
      <c r="FZ207" t="s">
        <v>4356</v>
      </c>
      <c r="GA207" t="s">
        <v>4356</v>
      </c>
      <c r="GB207" t="s">
        <v>4356</v>
      </c>
      <c r="GC207" t="s">
        <v>4356</v>
      </c>
      <c r="GD207" t="s">
        <v>4356</v>
      </c>
      <c r="GE207" t="s">
        <v>4356</v>
      </c>
      <c r="GF207" t="s">
        <v>4356</v>
      </c>
      <c r="GG207" t="s">
        <v>4356</v>
      </c>
      <c r="GH207" t="s">
        <v>4356</v>
      </c>
      <c r="GI207" t="s">
        <v>4356</v>
      </c>
      <c r="GJ207" t="s">
        <v>4356</v>
      </c>
      <c r="GK207" t="s">
        <v>4356</v>
      </c>
      <c r="GL207" t="s">
        <v>4356</v>
      </c>
      <c r="GM207" t="s">
        <v>4356</v>
      </c>
      <c r="GN207" t="s">
        <v>4356</v>
      </c>
      <c r="GO207" t="s">
        <v>4356</v>
      </c>
      <c r="GP207" t="s">
        <v>4356</v>
      </c>
      <c r="GQ207" t="s">
        <v>4356</v>
      </c>
      <c r="GR207" t="s">
        <v>4356</v>
      </c>
      <c r="GS207" t="s">
        <v>4356</v>
      </c>
      <c r="GT207" t="s">
        <v>4356</v>
      </c>
      <c r="GU207" t="s">
        <v>4356</v>
      </c>
      <c r="GV207" t="s">
        <v>4356</v>
      </c>
      <c r="GW207" t="s">
        <v>4356</v>
      </c>
      <c r="GX207" t="s">
        <v>4356</v>
      </c>
      <c r="GY207" t="s">
        <v>4356</v>
      </c>
      <c r="GZ207" t="s">
        <v>4356</v>
      </c>
      <c r="HA207" t="s">
        <v>4356</v>
      </c>
      <c r="HB207" t="s">
        <v>4356</v>
      </c>
      <c r="HC207" t="s">
        <v>4356</v>
      </c>
      <c r="HD207" t="s">
        <v>4356</v>
      </c>
      <c r="HE207" t="s">
        <v>4356</v>
      </c>
      <c r="HF207" t="s">
        <v>4356</v>
      </c>
      <c r="HG207" t="s">
        <v>4356</v>
      </c>
      <c r="HH207" t="s">
        <v>4356</v>
      </c>
      <c r="HI207" t="s">
        <v>4356</v>
      </c>
      <c r="HJ207" t="s">
        <v>4356</v>
      </c>
      <c r="HK207" t="s">
        <v>4356</v>
      </c>
      <c r="HL207" t="s">
        <v>4356</v>
      </c>
      <c r="HM207" t="s">
        <v>4356</v>
      </c>
      <c r="HN207" t="s">
        <v>4356</v>
      </c>
      <c r="HO207" t="s">
        <v>4356</v>
      </c>
      <c r="HP207" t="s">
        <v>4356</v>
      </c>
      <c r="HQ207" t="s">
        <v>4356</v>
      </c>
      <c r="HR207" t="s">
        <v>4356</v>
      </c>
      <c r="HS207" t="s">
        <v>4356</v>
      </c>
      <c r="HT207" t="s">
        <v>4356</v>
      </c>
      <c r="HU207" t="s">
        <v>4356</v>
      </c>
      <c r="HV207" t="s">
        <v>4356</v>
      </c>
      <c r="HW207" t="s">
        <v>4356</v>
      </c>
      <c r="HX207" t="s">
        <v>4356</v>
      </c>
      <c r="HY207" t="s">
        <v>4356</v>
      </c>
      <c r="HZ207" t="s">
        <v>4356</v>
      </c>
      <c r="IA207" t="s">
        <v>4356</v>
      </c>
      <c r="IB207" t="s">
        <v>4356</v>
      </c>
      <c r="IC207" t="s">
        <v>4356</v>
      </c>
      <c r="ID207" t="s">
        <v>4356</v>
      </c>
      <c r="IE207" t="s">
        <v>4356</v>
      </c>
      <c r="IF207" t="s">
        <v>4356</v>
      </c>
      <c r="IG207" t="s">
        <v>4356</v>
      </c>
      <c r="IH207" t="s">
        <v>4356</v>
      </c>
      <c r="II207" t="s">
        <v>4356</v>
      </c>
      <c r="IJ207" t="s">
        <v>4356</v>
      </c>
      <c r="IK207" t="s">
        <v>4356</v>
      </c>
      <c r="IL207" t="s">
        <v>4356</v>
      </c>
      <c r="IM207" t="s">
        <v>4356</v>
      </c>
      <c r="IN207" t="s">
        <v>4356</v>
      </c>
      <c r="IO207" t="s">
        <v>4356</v>
      </c>
      <c r="IP207" t="s">
        <v>4356</v>
      </c>
      <c r="IQ207" t="s">
        <v>4356</v>
      </c>
      <c r="IR207" t="s">
        <v>4356</v>
      </c>
      <c r="IS207" t="s">
        <v>4356</v>
      </c>
      <c r="IT207" t="s">
        <v>4356</v>
      </c>
      <c r="IU207" t="s">
        <v>4356</v>
      </c>
      <c r="IV207" t="s">
        <v>4356</v>
      </c>
      <c r="IW207" t="s">
        <v>4356</v>
      </c>
      <c r="IX207" t="s">
        <v>4356</v>
      </c>
      <c r="IY207" t="s">
        <v>4356</v>
      </c>
      <c r="IZ207" t="s">
        <v>4356</v>
      </c>
      <c r="JA207" t="s">
        <v>4356</v>
      </c>
      <c r="JB207" t="s">
        <v>4356</v>
      </c>
      <c r="JC207" t="s">
        <v>4356</v>
      </c>
      <c r="JD207" t="s">
        <v>4356</v>
      </c>
      <c r="JE207" t="s">
        <v>4356</v>
      </c>
      <c r="JF207" t="s">
        <v>4356</v>
      </c>
      <c r="JG207" t="s">
        <v>4356</v>
      </c>
      <c r="JH207" t="s">
        <v>4356</v>
      </c>
      <c r="JI207" t="s">
        <v>4356</v>
      </c>
      <c r="JJ207" t="s">
        <v>4356</v>
      </c>
      <c r="JK207" t="s">
        <v>4356</v>
      </c>
      <c r="JL207" t="s">
        <v>4356</v>
      </c>
      <c r="JM207" t="s">
        <v>4356</v>
      </c>
      <c r="JN207" t="s">
        <v>4356</v>
      </c>
      <c r="JO207" t="s">
        <v>4356</v>
      </c>
      <c r="JP207" t="s">
        <v>4356</v>
      </c>
      <c r="JQ207" t="s">
        <v>4356</v>
      </c>
      <c r="JR207" t="s">
        <v>4356</v>
      </c>
      <c r="JS207" t="s">
        <v>4356</v>
      </c>
      <c r="JT207" t="s">
        <v>4356</v>
      </c>
      <c r="JU207" t="s">
        <v>4356</v>
      </c>
    </row>
    <row r="208" spans="50:281" x14ac:dyDescent="0.3">
      <c r="BZ208" t="s">
        <v>4384</v>
      </c>
      <c r="CA208" t="s">
        <v>4384</v>
      </c>
      <c r="CB208" t="s">
        <v>4384</v>
      </c>
      <c r="CC208" t="s">
        <v>4384</v>
      </c>
      <c r="CD208" t="s">
        <v>4384</v>
      </c>
      <c r="CE208" t="s">
        <v>4384</v>
      </c>
      <c r="CF208" t="s">
        <v>4384</v>
      </c>
      <c r="CG208" t="s">
        <v>4384</v>
      </c>
      <c r="CH208" t="s">
        <v>4381</v>
      </c>
      <c r="CI208" t="s">
        <v>4381</v>
      </c>
      <c r="CJ208" t="s">
        <v>4381</v>
      </c>
      <c r="CK208" t="s">
        <v>4381</v>
      </c>
      <c r="CL208" t="s">
        <v>4381</v>
      </c>
      <c r="CM208" t="s">
        <v>4381</v>
      </c>
      <c r="CN208" t="s">
        <v>4381</v>
      </c>
      <c r="CO208" t="s">
        <v>4381</v>
      </c>
      <c r="CP208" t="s">
        <v>4381</v>
      </c>
      <c r="CQ208" t="s">
        <v>4381</v>
      </c>
      <c r="CR208" t="s">
        <v>4381</v>
      </c>
      <c r="CS208" t="s">
        <v>4381</v>
      </c>
      <c r="CT208" t="s">
        <v>4381</v>
      </c>
      <c r="CU208" t="s">
        <v>4381</v>
      </c>
      <c r="DA208" t="s">
        <v>4385</v>
      </c>
      <c r="DB208" t="s">
        <v>4385</v>
      </c>
      <c r="DC208" t="s">
        <v>4385</v>
      </c>
      <c r="DD208" t="s">
        <v>4385</v>
      </c>
      <c r="DE208" t="s">
        <v>4385</v>
      </c>
      <c r="DF208" t="s">
        <v>4385</v>
      </c>
      <c r="DG208" t="s">
        <v>4385</v>
      </c>
      <c r="DH208" t="s">
        <v>4385</v>
      </c>
      <c r="DI208" t="s">
        <v>4385</v>
      </c>
      <c r="DJ208" t="s">
        <v>4385</v>
      </c>
      <c r="DK208" t="s">
        <v>4385</v>
      </c>
      <c r="DL208" t="s">
        <v>4385</v>
      </c>
      <c r="DM208" t="s">
        <v>4385</v>
      </c>
      <c r="DN208" t="s">
        <v>4385</v>
      </c>
      <c r="DO208" t="s">
        <v>4385</v>
      </c>
      <c r="DP208" t="s">
        <v>4385</v>
      </c>
      <c r="DQ208" t="s">
        <v>4385</v>
      </c>
      <c r="DR208" t="s">
        <v>4385</v>
      </c>
      <c r="DS208" t="s">
        <v>4356</v>
      </c>
      <c r="DT208" t="s">
        <v>4356</v>
      </c>
      <c r="DU208" t="s">
        <v>4356</v>
      </c>
      <c r="DV208" t="s">
        <v>4356</v>
      </c>
      <c r="DW208" t="s">
        <v>4356</v>
      </c>
      <c r="DX208" t="s">
        <v>4356</v>
      </c>
      <c r="DY208" t="s">
        <v>4356</v>
      </c>
      <c r="DZ208" t="s">
        <v>4356</v>
      </c>
      <c r="EA208" t="s">
        <v>4356</v>
      </c>
      <c r="EB208" t="s">
        <v>4356</v>
      </c>
      <c r="EC208" t="s">
        <v>4356</v>
      </c>
      <c r="ED208" t="s">
        <v>4356</v>
      </c>
      <c r="EE208" t="s">
        <v>4356</v>
      </c>
      <c r="EF208" t="s">
        <v>4356</v>
      </c>
      <c r="EG208" t="s">
        <v>4356</v>
      </c>
      <c r="EH208" t="s">
        <v>4356</v>
      </c>
      <c r="EI208" t="s">
        <v>4356</v>
      </c>
      <c r="EJ208" t="s">
        <v>4356</v>
      </c>
      <c r="EK208" t="s">
        <v>4356</v>
      </c>
      <c r="EL208" t="s">
        <v>4356</v>
      </c>
      <c r="EM208" t="s">
        <v>4356</v>
      </c>
      <c r="EN208" t="s">
        <v>4356</v>
      </c>
      <c r="EO208" t="s">
        <v>4356</v>
      </c>
      <c r="EP208" t="s">
        <v>4356</v>
      </c>
      <c r="EQ208" t="s">
        <v>4356</v>
      </c>
      <c r="ER208" t="s">
        <v>4356</v>
      </c>
      <c r="ES208" t="s">
        <v>4356</v>
      </c>
      <c r="ET208" t="s">
        <v>4356</v>
      </c>
      <c r="EU208" t="s">
        <v>4356</v>
      </c>
      <c r="EV208" t="s">
        <v>4356</v>
      </c>
      <c r="EW208" t="s">
        <v>4356</v>
      </c>
      <c r="EX208" t="s">
        <v>4356</v>
      </c>
      <c r="EY208" t="s">
        <v>4356</v>
      </c>
      <c r="EZ208" t="s">
        <v>4356</v>
      </c>
      <c r="FA208" t="s">
        <v>4356</v>
      </c>
      <c r="FB208" t="s">
        <v>4356</v>
      </c>
      <c r="FC208" t="s">
        <v>4356</v>
      </c>
      <c r="FD208" t="s">
        <v>4356</v>
      </c>
      <c r="FE208" t="s">
        <v>4356</v>
      </c>
      <c r="FF208" t="s">
        <v>4356</v>
      </c>
      <c r="FG208" t="s">
        <v>4356</v>
      </c>
      <c r="FH208" t="s">
        <v>4356</v>
      </c>
      <c r="FI208" t="s">
        <v>4356</v>
      </c>
      <c r="FJ208" t="s">
        <v>4356</v>
      </c>
      <c r="FK208" t="s">
        <v>4356</v>
      </c>
      <c r="FL208" t="s">
        <v>4356</v>
      </c>
      <c r="FM208" t="s">
        <v>4356</v>
      </c>
      <c r="FN208" t="s">
        <v>4356</v>
      </c>
      <c r="FO208" t="s">
        <v>4356</v>
      </c>
      <c r="FP208" t="s">
        <v>4356</v>
      </c>
      <c r="FQ208" t="s">
        <v>4356</v>
      </c>
      <c r="FR208" t="s">
        <v>4356</v>
      </c>
      <c r="FS208" t="s">
        <v>4356</v>
      </c>
      <c r="FT208" t="s">
        <v>4356</v>
      </c>
      <c r="FU208" t="s">
        <v>4356</v>
      </c>
      <c r="FV208" t="s">
        <v>4356</v>
      </c>
      <c r="FW208" t="s">
        <v>4356</v>
      </c>
      <c r="FX208" t="s">
        <v>4356</v>
      </c>
      <c r="FY208" t="s">
        <v>4356</v>
      </c>
      <c r="FZ208" t="s">
        <v>4356</v>
      </c>
      <c r="GA208" t="s">
        <v>4356</v>
      </c>
      <c r="GB208" t="s">
        <v>4356</v>
      </c>
      <c r="GC208" t="s">
        <v>4356</v>
      </c>
      <c r="GD208" t="s">
        <v>4356</v>
      </c>
      <c r="GE208" t="s">
        <v>4356</v>
      </c>
      <c r="GF208" t="s">
        <v>4356</v>
      </c>
      <c r="GG208" t="s">
        <v>4356</v>
      </c>
      <c r="GH208" t="s">
        <v>4356</v>
      </c>
      <c r="GI208" t="s">
        <v>4356</v>
      </c>
      <c r="GJ208" t="s">
        <v>4356</v>
      </c>
      <c r="GK208" t="s">
        <v>4356</v>
      </c>
      <c r="GL208" t="s">
        <v>4356</v>
      </c>
      <c r="GM208" t="s">
        <v>4356</v>
      </c>
      <c r="GN208" t="s">
        <v>4356</v>
      </c>
      <c r="GO208" t="s">
        <v>4356</v>
      </c>
      <c r="GP208" t="s">
        <v>4356</v>
      </c>
      <c r="GQ208" t="s">
        <v>4356</v>
      </c>
      <c r="GR208" t="s">
        <v>4356</v>
      </c>
      <c r="GS208" t="s">
        <v>4356</v>
      </c>
      <c r="GT208" t="s">
        <v>4356</v>
      </c>
      <c r="GU208" t="s">
        <v>4356</v>
      </c>
      <c r="GV208" t="s">
        <v>4356</v>
      </c>
      <c r="GW208" t="s">
        <v>4356</v>
      </c>
      <c r="GX208" t="s">
        <v>4356</v>
      </c>
      <c r="GY208" t="s">
        <v>4356</v>
      </c>
      <c r="GZ208" t="s">
        <v>4356</v>
      </c>
      <c r="HA208" t="s">
        <v>4356</v>
      </c>
      <c r="HB208" t="s">
        <v>4356</v>
      </c>
      <c r="HC208" t="s">
        <v>4356</v>
      </c>
      <c r="HD208" t="s">
        <v>4356</v>
      </c>
      <c r="HE208" t="s">
        <v>4356</v>
      </c>
      <c r="HF208" t="s">
        <v>4356</v>
      </c>
      <c r="HG208" t="s">
        <v>4356</v>
      </c>
      <c r="HH208" t="s">
        <v>4356</v>
      </c>
      <c r="HI208" t="s">
        <v>4356</v>
      </c>
      <c r="HJ208" t="s">
        <v>4356</v>
      </c>
      <c r="HK208" t="s">
        <v>4356</v>
      </c>
      <c r="HL208" t="s">
        <v>4356</v>
      </c>
      <c r="HM208" t="s">
        <v>4356</v>
      </c>
      <c r="HN208" t="s">
        <v>4356</v>
      </c>
      <c r="HO208" t="s">
        <v>4356</v>
      </c>
      <c r="HP208" t="s">
        <v>4356</v>
      </c>
      <c r="HQ208" t="s">
        <v>4356</v>
      </c>
      <c r="HR208" t="s">
        <v>4356</v>
      </c>
      <c r="HS208" t="s">
        <v>4356</v>
      </c>
      <c r="HT208" t="s">
        <v>4356</v>
      </c>
      <c r="HU208" t="s">
        <v>4356</v>
      </c>
      <c r="HV208" t="s">
        <v>4356</v>
      </c>
      <c r="HW208" t="s">
        <v>4356</v>
      </c>
      <c r="HX208" t="s">
        <v>4356</v>
      </c>
      <c r="HY208" t="s">
        <v>4356</v>
      </c>
      <c r="HZ208" t="s">
        <v>4356</v>
      </c>
      <c r="IA208" t="s">
        <v>4356</v>
      </c>
      <c r="IB208" t="s">
        <v>4356</v>
      </c>
      <c r="IC208" t="s">
        <v>4356</v>
      </c>
      <c r="ID208" t="s">
        <v>4356</v>
      </c>
      <c r="IE208" t="s">
        <v>4356</v>
      </c>
      <c r="IF208" t="s">
        <v>4356</v>
      </c>
      <c r="IG208" t="s">
        <v>4356</v>
      </c>
      <c r="IH208" t="s">
        <v>4356</v>
      </c>
      <c r="II208" t="s">
        <v>4356</v>
      </c>
      <c r="IJ208" t="s">
        <v>4356</v>
      </c>
      <c r="IK208" t="s">
        <v>4356</v>
      </c>
      <c r="IL208" t="s">
        <v>4356</v>
      </c>
      <c r="IM208" t="s">
        <v>4356</v>
      </c>
      <c r="IN208" t="s">
        <v>4356</v>
      </c>
      <c r="IO208" t="s">
        <v>4356</v>
      </c>
      <c r="IP208" t="s">
        <v>4356</v>
      </c>
      <c r="IQ208" t="s">
        <v>4356</v>
      </c>
      <c r="IR208" t="s">
        <v>4356</v>
      </c>
      <c r="IS208" t="s">
        <v>4356</v>
      </c>
      <c r="IT208" t="s">
        <v>4356</v>
      </c>
      <c r="IU208" t="s">
        <v>4356</v>
      </c>
      <c r="IV208" t="s">
        <v>4356</v>
      </c>
      <c r="IW208" t="s">
        <v>4356</v>
      </c>
      <c r="IX208" t="s">
        <v>4356</v>
      </c>
      <c r="IY208" t="s">
        <v>4356</v>
      </c>
      <c r="IZ208" t="s">
        <v>4356</v>
      </c>
      <c r="JA208" t="s">
        <v>4356</v>
      </c>
      <c r="JB208" t="s">
        <v>4356</v>
      </c>
      <c r="JC208" t="s">
        <v>4356</v>
      </c>
      <c r="JD208" t="s">
        <v>4356</v>
      </c>
      <c r="JE208" t="s">
        <v>4356</v>
      </c>
      <c r="JF208" t="s">
        <v>4356</v>
      </c>
      <c r="JG208" t="s">
        <v>4356</v>
      </c>
      <c r="JH208" t="s">
        <v>4356</v>
      </c>
      <c r="JI208" t="s">
        <v>4356</v>
      </c>
      <c r="JJ208" t="s">
        <v>4356</v>
      </c>
      <c r="JK208" t="s">
        <v>4356</v>
      </c>
      <c r="JL208" t="s">
        <v>4356</v>
      </c>
      <c r="JM208" t="s">
        <v>4356</v>
      </c>
      <c r="JN208" t="s">
        <v>4356</v>
      </c>
      <c r="JO208" t="s">
        <v>4356</v>
      </c>
      <c r="JP208" t="s">
        <v>4356</v>
      </c>
      <c r="JQ208" t="s">
        <v>4356</v>
      </c>
      <c r="JR208" t="s">
        <v>4356</v>
      </c>
      <c r="JS208" t="s">
        <v>4356</v>
      </c>
      <c r="JT208" t="s">
        <v>4356</v>
      </c>
      <c r="JU208" t="s">
        <v>4356</v>
      </c>
    </row>
    <row r="209" spans="2:281" x14ac:dyDescent="0.3">
      <c r="T209" t="s">
        <v>4386</v>
      </c>
      <c r="U209" t="s">
        <v>4386</v>
      </c>
      <c r="V209" t="s">
        <v>4386</v>
      </c>
      <c r="W209" t="s">
        <v>4386</v>
      </c>
      <c r="X209" t="s">
        <v>4386</v>
      </c>
      <c r="Y209" t="s">
        <v>4386</v>
      </c>
      <c r="Z209" t="s">
        <v>4386</v>
      </c>
      <c r="CB209" t="s">
        <v>4384</v>
      </c>
      <c r="CC209" t="s">
        <v>4384</v>
      </c>
      <c r="CD209" t="s">
        <v>4384</v>
      </c>
      <c r="CE209" t="s">
        <v>4384</v>
      </c>
      <c r="CF209" t="s">
        <v>4384</v>
      </c>
      <c r="CG209" t="s">
        <v>4384</v>
      </c>
      <c r="CH209" t="s">
        <v>4384</v>
      </c>
      <c r="CI209" t="s">
        <v>4381</v>
      </c>
      <c r="CJ209" t="s">
        <v>4381</v>
      </c>
      <c r="CK209" t="s">
        <v>4381</v>
      </c>
      <c r="CL209" t="s">
        <v>4381</v>
      </c>
      <c r="CM209" t="s">
        <v>4381</v>
      </c>
      <c r="CN209" t="s">
        <v>4381</v>
      </c>
      <c r="CO209" t="s">
        <v>4381</v>
      </c>
      <c r="CP209" t="s">
        <v>4381</v>
      </c>
      <c r="CQ209" t="s">
        <v>4381</v>
      </c>
      <c r="CR209" t="s">
        <v>4381</v>
      </c>
      <c r="CS209" t="s">
        <v>4381</v>
      </c>
      <c r="CT209" t="s">
        <v>4381</v>
      </c>
      <c r="CU209" t="s">
        <v>4381</v>
      </c>
      <c r="CV209" t="s">
        <v>4381</v>
      </c>
      <c r="CW209" t="s">
        <v>4381</v>
      </c>
      <c r="DC209" t="s">
        <v>4385</v>
      </c>
      <c r="DD209" t="s">
        <v>4385</v>
      </c>
      <c r="DE209" t="s">
        <v>4385</v>
      </c>
      <c r="DF209" t="s">
        <v>4385</v>
      </c>
      <c r="DG209" t="s">
        <v>4385</v>
      </c>
      <c r="DH209" t="s">
        <v>4385</v>
      </c>
      <c r="DI209" t="s">
        <v>4385</v>
      </c>
      <c r="DJ209" t="s">
        <v>4385</v>
      </c>
      <c r="DK209" t="s">
        <v>4385</v>
      </c>
      <c r="DL209" t="s">
        <v>4385</v>
      </c>
      <c r="DM209" t="s">
        <v>4385</v>
      </c>
      <c r="DN209" t="s">
        <v>4385</v>
      </c>
      <c r="DO209" t="s">
        <v>4385</v>
      </c>
      <c r="DP209" t="s">
        <v>4385</v>
      </c>
      <c r="DQ209" t="s">
        <v>4385</v>
      </c>
      <c r="DR209" t="s">
        <v>4356</v>
      </c>
      <c r="DS209" t="s">
        <v>4356</v>
      </c>
      <c r="DT209" t="s">
        <v>4356</v>
      </c>
      <c r="DU209" t="s">
        <v>4356</v>
      </c>
      <c r="DV209" t="s">
        <v>4356</v>
      </c>
      <c r="DW209" t="s">
        <v>4356</v>
      </c>
      <c r="DX209" t="s">
        <v>4356</v>
      </c>
      <c r="DY209" t="s">
        <v>4356</v>
      </c>
      <c r="DZ209" t="s">
        <v>4356</v>
      </c>
      <c r="EA209" t="s">
        <v>4356</v>
      </c>
      <c r="EB209" t="s">
        <v>4356</v>
      </c>
      <c r="EC209" t="s">
        <v>4356</v>
      </c>
      <c r="ED209" t="s">
        <v>4356</v>
      </c>
      <c r="EE209" t="s">
        <v>4356</v>
      </c>
      <c r="EF209" t="s">
        <v>4356</v>
      </c>
      <c r="EG209" t="s">
        <v>4356</v>
      </c>
      <c r="EH209" t="s">
        <v>4356</v>
      </c>
      <c r="EI209" t="s">
        <v>4356</v>
      </c>
      <c r="EJ209" t="s">
        <v>4356</v>
      </c>
      <c r="EK209" t="s">
        <v>4356</v>
      </c>
      <c r="EL209" t="s">
        <v>4356</v>
      </c>
      <c r="EM209" t="s">
        <v>4356</v>
      </c>
      <c r="EN209" t="s">
        <v>4356</v>
      </c>
      <c r="EO209" t="s">
        <v>4356</v>
      </c>
      <c r="EP209" t="s">
        <v>4356</v>
      </c>
      <c r="EQ209" t="s">
        <v>4356</v>
      </c>
      <c r="ER209" t="s">
        <v>4356</v>
      </c>
      <c r="ES209" t="s">
        <v>4356</v>
      </c>
      <c r="ET209" t="s">
        <v>4356</v>
      </c>
      <c r="EU209" t="s">
        <v>4356</v>
      </c>
      <c r="EV209" t="s">
        <v>4356</v>
      </c>
      <c r="EW209" t="s">
        <v>4356</v>
      </c>
      <c r="EX209" t="s">
        <v>4356</v>
      </c>
      <c r="EY209" t="s">
        <v>4356</v>
      </c>
      <c r="EZ209" t="s">
        <v>4356</v>
      </c>
      <c r="FA209" t="s">
        <v>4356</v>
      </c>
      <c r="FB209" t="s">
        <v>4356</v>
      </c>
      <c r="FC209" t="s">
        <v>4356</v>
      </c>
      <c r="FD209" t="s">
        <v>4356</v>
      </c>
      <c r="FE209" t="s">
        <v>4356</v>
      </c>
      <c r="FF209" t="s">
        <v>4356</v>
      </c>
      <c r="FG209" t="s">
        <v>4356</v>
      </c>
      <c r="FH209" t="s">
        <v>4356</v>
      </c>
      <c r="FI209" t="s">
        <v>4356</v>
      </c>
      <c r="FJ209" t="s">
        <v>4356</v>
      </c>
      <c r="FK209" t="s">
        <v>4356</v>
      </c>
      <c r="FL209" t="s">
        <v>4356</v>
      </c>
      <c r="FM209" t="s">
        <v>4356</v>
      </c>
      <c r="FN209" t="s">
        <v>4356</v>
      </c>
      <c r="FO209" t="s">
        <v>4356</v>
      </c>
      <c r="FP209" t="s">
        <v>4356</v>
      </c>
      <c r="FQ209" t="s">
        <v>4356</v>
      </c>
      <c r="FR209" t="s">
        <v>4356</v>
      </c>
      <c r="FS209" t="s">
        <v>4356</v>
      </c>
      <c r="FT209" t="s">
        <v>4356</v>
      </c>
      <c r="FU209" t="s">
        <v>4356</v>
      </c>
      <c r="FV209" t="s">
        <v>4356</v>
      </c>
      <c r="FW209" t="s">
        <v>4356</v>
      </c>
      <c r="FX209" t="s">
        <v>4356</v>
      </c>
      <c r="FY209" t="s">
        <v>4356</v>
      </c>
      <c r="FZ209" t="s">
        <v>4356</v>
      </c>
      <c r="GA209" t="s">
        <v>4356</v>
      </c>
      <c r="GB209" t="s">
        <v>4356</v>
      </c>
      <c r="GC209" t="s">
        <v>4356</v>
      </c>
      <c r="GD209" t="s">
        <v>4356</v>
      </c>
      <c r="GE209" t="s">
        <v>4356</v>
      </c>
      <c r="GF209" t="s">
        <v>4356</v>
      </c>
      <c r="GG209" t="s">
        <v>4356</v>
      </c>
      <c r="GH209" t="s">
        <v>4356</v>
      </c>
      <c r="GI209" t="s">
        <v>4356</v>
      </c>
      <c r="GJ209" t="s">
        <v>4356</v>
      </c>
      <c r="GK209" t="s">
        <v>4356</v>
      </c>
      <c r="GL209" t="s">
        <v>4356</v>
      </c>
      <c r="GM209" t="s">
        <v>4356</v>
      </c>
      <c r="GN209" t="s">
        <v>4356</v>
      </c>
      <c r="GO209" t="s">
        <v>4356</v>
      </c>
      <c r="GP209" t="s">
        <v>4356</v>
      </c>
      <c r="GQ209" t="s">
        <v>4356</v>
      </c>
      <c r="GR209" t="s">
        <v>4356</v>
      </c>
      <c r="GS209" t="s">
        <v>4356</v>
      </c>
      <c r="GT209" t="s">
        <v>4356</v>
      </c>
      <c r="GU209" t="s">
        <v>4356</v>
      </c>
      <c r="GV209" t="s">
        <v>4356</v>
      </c>
      <c r="GW209" t="s">
        <v>4356</v>
      </c>
      <c r="GX209" t="s">
        <v>4356</v>
      </c>
      <c r="GY209" t="s">
        <v>4356</v>
      </c>
      <c r="GZ209" t="s">
        <v>4356</v>
      </c>
      <c r="HA209" t="s">
        <v>4356</v>
      </c>
      <c r="HB209" t="s">
        <v>4356</v>
      </c>
      <c r="HC209" t="s">
        <v>4356</v>
      </c>
      <c r="HD209" t="s">
        <v>4356</v>
      </c>
      <c r="HE209" t="s">
        <v>4356</v>
      </c>
      <c r="HF209" t="s">
        <v>4356</v>
      </c>
      <c r="HG209" t="s">
        <v>4356</v>
      </c>
      <c r="HH209" t="s">
        <v>4356</v>
      </c>
      <c r="HI209" t="s">
        <v>4356</v>
      </c>
      <c r="HJ209" t="s">
        <v>4356</v>
      </c>
      <c r="HK209" t="s">
        <v>4356</v>
      </c>
      <c r="HL209" t="s">
        <v>4356</v>
      </c>
      <c r="HM209" t="s">
        <v>4356</v>
      </c>
      <c r="HN209" t="s">
        <v>4356</v>
      </c>
      <c r="HO209" t="s">
        <v>4356</v>
      </c>
      <c r="HP209" t="s">
        <v>4356</v>
      </c>
      <c r="HQ209" t="s">
        <v>4356</v>
      </c>
      <c r="HR209" t="s">
        <v>4356</v>
      </c>
      <c r="HS209" t="s">
        <v>4356</v>
      </c>
      <c r="HT209" t="s">
        <v>4356</v>
      </c>
      <c r="HU209" t="s">
        <v>4356</v>
      </c>
      <c r="HV209" t="s">
        <v>4356</v>
      </c>
      <c r="HW209" t="s">
        <v>4356</v>
      </c>
      <c r="HX209" t="s">
        <v>4356</v>
      </c>
      <c r="HY209" t="s">
        <v>4356</v>
      </c>
      <c r="HZ209" t="s">
        <v>4356</v>
      </c>
      <c r="IA209" t="s">
        <v>4356</v>
      </c>
      <c r="IB209" t="s">
        <v>4356</v>
      </c>
      <c r="IC209" t="s">
        <v>4356</v>
      </c>
      <c r="ID209" t="s">
        <v>4356</v>
      </c>
      <c r="IE209" t="s">
        <v>4356</v>
      </c>
      <c r="IF209" t="s">
        <v>4356</v>
      </c>
      <c r="IG209" t="s">
        <v>4356</v>
      </c>
      <c r="IH209" t="s">
        <v>4356</v>
      </c>
      <c r="II209" t="s">
        <v>4356</v>
      </c>
      <c r="IJ209" t="s">
        <v>4356</v>
      </c>
      <c r="IK209" t="s">
        <v>4356</v>
      </c>
      <c r="IL209" t="s">
        <v>4356</v>
      </c>
      <c r="IM209" t="s">
        <v>4356</v>
      </c>
      <c r="IN209" t="s">
        <v>4356</v>
      </c>
      <c r="IO209" t="s">
        <v>4356</v>
      </c>
      <c r="IP209" t="s">
        <v>4356</v>
      </c>
      <c r="IQ209" t="s">
        <v>4356</v>
      </c>
      <c r="IR209" t="s">
        <v>4356</v>
      </c>
      <c r="IS209" t="s">
        <v>4356</v>
      </c>
      <c r="IT209" t="s">
        <v>4356</v>
      </c>
      <c r="IU209" t="s">
        <v>4356</v>
      </c>
      <c r="IV209" t="s">
        <v>4356</v>
      </c>
      <c r="IW209" t="s">
        <v>4356</v>
      </c>
      <c r="IX209" t="s">
        <v>4356</v>
      </c>
      <c r="IY209" t="s">
        <v>4356</v>
      </c>
      <c r="IZ209" t="s">
        <v>4356</v>
      </c>
      <c r="JA209" t="s">
        <v>4356</v>
      </c>
      <c r="JB209" t="s">
        <v>4356</v>
      </c>
      <c r="JC209" t="s">
        <v>4356</v>
      </c>
      <c r="JD209" t="s">
        <v>4356</v>
      </c>
      <c r="JE209" t="s">
        <v>4356</v>
      </c>
      <c r="JF209" t="s">
        <v>4356</v>
      </c>
      <c r="JG209" t="s">
        <v>4356</v>
      </c>
      <c r="JH209" t="s">
        <v>4356</v>
      </c>
      <c r="JI209" t="s">
        <v>4356</v>
      </c>
      <c r="JJ209" t="s">
        <v>4356</v>
      </c>
      <c r="JK209" t="s">
        <v>4356</v>
      </c>
      <c r="JL209" t="s">
        <v>4356</v>
      </c>
      <c r="JM209" t="s">
        <v>4356</v>
      </c>
      <c r="JN209" t="s">
        <v>4356</v>
      </c>
      <c r="JO209" t="s">
        <v>4356</v>
      </c>
      <c r="JP209" t="s">
        <v>4356</v>
      </c>
      <c r="JQ209" t="s">
        <v>4356</v>
      </c>
      <c r="JR209" t="s">
        <v>4356</v>
      </c>
      <c r="JS209" t="s">
        <v>4356</v>
      </c>
      <c r="JT209" t="s">
        <v>4356</v>
      </c>
      <c r="JU209" t="s">
        <v>4356</v>
      </c>
    </row>
    <row r="210" spans="2:281" x14ac:dyDescent="0.3">
      <c r="R210" t="s">
        <v>4386</v>
      </c>
      <c r="S210" t="s">
        <v>4386</v>
      </c>
      <c r="T210" t="s">
        <v>4386</v>
      </c>
      <c r="U210" t="s">
        <v>4386</v>
      </c>
      <c r="V210" t="s">
        <v>4386</v>
      </c>
      <c r="W210" t="s">
        <v>4386</v>
      </c>
      <c r="X210" t="s">
        <v>4386</v>
      </c>
      <c r="Y210" t="s">
        <v>4386</v>
      </c>
      <c r="Z210" t="s">
        <v>4386</v>
      </c>
      <c r="AA210" t="s">
        <v>4386</v>
      </c>
      <c r="AB210" t="s">
        <v>4386</v>
      </c>
      <c r="AC210" t="s">
        <v>4386</v>
      </c>
      <c r="AD210" t="s">
        <v>4386</v>
      </c>
      <c r="CD210" t="s">
        <v>4384</v>
      </c>
      <c r="CE210" t="s">
        <v>4384</v>
      </c>
      <c r="CF210" t="s">
        <v>4384</v>
      </c>
      <c r="CG210" t="s">
        <v>4384</v>
      </c>
      <c r="CH210" t="s">
        <v>4384</v>
      </c>
      <c r="CI210" t="s">
        <v>4384</v>
      </c>
      <c r="CJ210" t="s">
        <v>4384</v>
      </c>
      <c r="CK210" t="s">
        <v>4381</v>
      </c>
      <c r="CL210" t="s">
        <v>4381</v>
      </c>
      <c r="CM210" t="s">
        <v>4381</v>
      </c>
      <c r="CN210" t="s">
        <v>4381</v>
      </c>
      <c r="CO210" t="s">
        <v>4381</v>
      </c>
      <c r="CP210" t="s">
        <v>4381</v>
      </c>
      <c r="CQ210" t="s">
        <v>4381</v>
      </c>
      <c r="CR210" t="s">
        <v>4381</v>
      </c>
      <c r="CS210" t="s">
        <v>4381</v>
      </c>
      <c r="CT210" t="s">
        <v>4381</v>
      </c>
      <c r="CU210" t="s">
        <v>4381</v>
      </c>
      <c r="CV210" t="s">
        <v>4381</v>
      </c>
      <c r="CW210" t="s">
        <v>4381</v>
      </c>
      <c r="CX210" t="s">
        <v>4381</v>
      </c>
      <c r="CY210" t="s">
        <v>4381</v>
      </c>
      <c r="DE210" t="s">
        <v>4385</v>
      </c>
      <c r="DF210" t="s">
        <v>4385</v>
      </c>
      <c r="DG210" t="s">
        <v>4385</v>
      </c>
      <c r="DH210" t="s">
        <v>4385</v>
      </c>
      <c r="DI210" t="s">
        <v>4385</v>
      </c>
      <c r="DJ210" t="s">
        <v>4385</v>
      </c>
      <c r="DK210" t="s">
        <v>4385</v>
      </c>
      <c r="DL210" t="s">
        <v>4385</v>
      </c>
      <c r="DM210" t="s">
        <v>4385</v>
      </c>
      <c r="DN210" t="s">
        <v>4385</v>
      </c>
      <c r="DO210" t="s">
        <v>4385</v>
      </c>
      <c r="DP210" t="s">
        <v>4385</v>
      </c>
      <c r="DQ210" t="s">
        <v>4385</v>
      </c>
      <c r="DR210" t="s">
        <v>4385</v>
      </c>
      <c r="DS210" t="s">
        <v>4356</v>
      </c>
      <c r="DT210" t="s">
        <v>4356</v>
      </c>
      <c r="DU210" t="s">
        <v>4356</v>
      </c>
      <c r="DV210" t="s">
        <v>4356</v>
      </c>
      <c r="DW210" t="s">
        <v>4356</v>
      </c>
      <c r="DX210" t="s">
        <v>4356</v>
      </c>
      <c r="DY210" t="s">
        <v>4356</v>
      </c>
      <c r="DZ210" t="s">
        <v>4356</v>
      </c>
      <c r="EA210" t="s">
        <v>4356</v>
      </c>
      <c r="EB210" t="s">
        <v>4356</v>
      </c>
      <c r="EF210" t="s">
        <v>4356</v>
      </c>
      <c r="EG210" t="s">
        <v>4356</v>
      </c>
      <c r="EH210" t="s">
        <v>4356</v>
      </c>
      <c r="EI210" t="s">
        <v>4356</v>
      </c>
      <c r="EJ210" t="s">
        <v>4356</v>
      </c>
      <c r="EK210" t="s">
        <v>4356</v>
      </c>
      <c r="EL210" t="s">
        <v>4356</v>
      </c>
      <c r="EM210" t="s">
        <v>4356</v>
      </c>
      <c r="EN210" t="s">
        <v>4356</v>
      </c>
      <c r="EO210" t="s">
        <v>4356</v>
      </c>
      <c r="EP210" t="s">
        <v>4356</v>
      </c>
      <c r="EQ210" t="s">
        <v>4356</v>
      </c>
      <c r="ER210" t="s">
        <v>4356</v>
      </c>
      <c r="ES210" t="s">
        <v>4356</v>
      </c>
      <c r="ET210" t="s">
        <v>4356</v>
      </c>
      <c r="EU210" t="s">
        <v>4356</v>
      </c>
      <c r="EV210" t="s">
        <v>4356</v>
      </c>
      <c r="EW210" t="s">
        <v>4356</v>
      </c>
      <c r="EX210" t="s">
        <v>4356</v>
      </c>
      <c r="EY210" t="s">
        <v>4356</v>
      </c>
      <c r="EZ210" t="s">
        <v>4356</v>
      </c>
      <c r="FA210" t="s">
        <v>4356</v>
      </c>
      <c r="FB210" t="s">
        <v>4356</v>
      </c>
      <c r="FC210" t="s">
        <v>4356</v>
      </c>
      <c r="FD210" t="s">
        <v>4356</v>
      </c>
      <c r="FE210" t="s">
        <v>4356</v>
      </c>
      <c r="FF210" t="s">
        <v>4356</v>
      </c>
      <c r="FG210" t="s">
        <v>4356</v>
      </c>
      <c r="FH210" t="s">
        <v>4356</v>
      </c>
      <c r="FI210" t="s">
        <v>4356</v>
      </c>
      <c r="FJ210" t="s">
        <v>4356</v>
      </c>
      <c r="FK210" t="s">
        <v>4356</v>
      </c>
      <c r="FL210" t="s">
        <v>4356</v>
      </c>
      <c r="FM210" t="s">
        <v>4356</v>
      </c>
      <c r="FN210" t="s">
        <v>4356</v>
      </c>
      <c r="FO210" t="s">
        <v>4356</v>
      </c>
      <c r="FP210" t="s">
        <v>4356</v>
      </c>
      <c r="FQ210" t="s">
        <v>4356</v>
      </c>
      <c r="FR210" t="s">
        <v>4356</v>
      </c>
      <c r="FS210" t="s">
        <v>4356</v>
      </c>
      <c r="FT210" t="s">
        <v>4356</v>
      </c>
      <c r="FU210" t="s">
        <v>4356</v>
      </c>
      <c r="FV210" t="s">
        <v>4356</v>
      </c>
      <c r="FW210" t="s">
        <v>4356</v>
      </c>
      <c r="FX210" t="s">
        <v>4356</v>
      </c>
      <c r="FY210" t="s">
        <v>4356</v>
      </c>
      <c r="FZ210" t="s">
        <v>4356</v>
      </c>
      <c r="GA210" t="s">
        <v>4356</v>
      </c>
      <c r="GB210" t="s">
        <v>4356</v>
      </c>
      <c r="GC210" t="s">
        <v>4356</v>
      </c>
      <c r="GD210" t="s">
        <v>4356</v>
      </c>
      <c r="GE210" t="s">
        <v>4356</v>
      </c>
      <c r="GF210" t="s">
        <v>4356</v>
      </c>
      <c r="GG210" t="s">
        <v>4356</v>
      </c>
      <c r="GH210" t="s">
        <v>4356</v>
      </c>
      <c r="GI210" t="s">
        <v>4356</v>
      </c>
      <c r="GJ210" t="s">
        <v>4356</v>
      </c>
      <c r="GK210" t="s">
        <v>4356</v>
      </c>
      <c r="GL210" t="s">
        <v>4356</v>
      </c>
      <c r="GM210" t="s">
        <v>4356</v>
      </c>
      <c r="GN210" t="s">
        <v>4356</v>
      </c>
      <c r="GO210" t="s">
        <v>4356</v>
      </c>
      <c r="GP210" t="s">
        <v>4356</v>
      </c>
      <c r="GQ210" t="s">
        <v>4356</v>
      </c>
      <c r="GR210" t="s">
        <v>4356</v>
      </c>
      <c r="GS210" t="s">
        <v>4356</v>
      </c>
      <c r="GT210" t="s">
        <v>4356</v>
      </c>
      <c r="GU210" t="s">
        <v>4356</v>
      </c>
      <c r="GV210" t="s">
        <v>4356</v>
      </c>
      <c r="GW210" t="s">
        <v>4356</v>
      </c>
      <c r="GX210" t="s">
        <v>4356</v>
      </c>
      <c r="GY210" t="s">
        <v>4356</v>
      </c>
      <c r="GZ210" t="s">
        <v>4356</v>
      </c>
      <c r="HA210" t="s">
        <v>4356</v>
      </c>
      <c r="HB210" t="s">
        <v>4356</v>
      </c>
      <c r="HC210" t="s">
        <v>4356</v>
      </c>
      <c r="HD210" t="s">
        <v>4356</v>
      </c>
      <c r="HE210" t="s">
        <v>4356</v>
      </c>
      <c r="HF210" t="s">
        <v>4356</v>
      </c>
      <c r="HG210" t="s">
        <v>4356</v>
      </c>
      <c r="HH210" t="s">
        <v>4356</v>
      </c>
      <c r="HI210" t="s">
        <v>4356</v>
      </c>
      <c r="HJ210" t="s">
        <v>4356</v>
      </c>
      <c r="HK210" t="s">
        <v>4356</v>
      </c>
      <c r="HL210" t="s">
        <v>4356</v>
      </c>
      <c r="HM210" t="s">
        <v>4356</v>
      </c>
      <c r="HN210" t="s">
        <v>4356</v>
      </c>
      <c r="HO210" t="s">
        <v>4356</v>
      </c>
      <c r="HP210" t="s">
        <v>4356</v>
      </c>
      <c r="HQ210" t="s">
        <v>4356</v>
      </c>
      <c r="HR210" t="s">
        <v>4356</v>
      </c>
      <c r="HS210" t="s">
        <v>4356</v>
      </c>
      <c r="HT210" t="s">
        <v>4356</v>
      </c>
      <c r="HU210" t="s">
        <v>4356</v>
      </c>
      <c r="HV210" t="s">
        <v>4356</v>
      </c>
      <c r="HW210" t="s">
        <v>4356</v>
      </c>
      <c r="HX210" t="s">
        <v>4356</v>
      </c>
      <c r="HY210" t="s">
        <v>4356</v>
      </c>
      <c r="HZ210" t="s">
        <v>4356</v>
      </c>
      <c r="IA210" t="s">
        <v>4356</v>
      </c>
      <c r="IB210" t="s">
        <v>4356</v>
      </c>
      <c r="IC210" t="s">
        <v>4356</v>
      </c>
      <c r="ID210" t="s">
        <v>4356</v>
      </c>
      <c r="IE210" t="s">
        <v>4356</v>
      </c>
      <c r="IF210" t="s">
        <v>4356</v>
      </c>
      <c r="IG210" t="s">
        <v>4356</v>
      </c>
      <c r="IH210" t="s">
        <v>4356</v>
      </c>
      <c r="II210" t="s">
        <v>4356</v>
      </c>
      <c r="IJ210" t="s">
        <v>4356</v>
      </c>
      <c r="IK210" t="s">
        <v>4356</v>
      </c>
      <c r="IL210" t="s">
        <v>4356</v>
      </c>
      <c r="IM210" t="s">
        <v>4356</v>
      </c>
      <c r="IN210" t="s">
        <v>4356</v>
      </c>
      <c r="IO210" t="s">
        <v>4356</v>
      </c>
      <c r="IP210" t="s">
        <v>4356</v>
      </c>
      <c r="IQ210" t="s">
        <v>4356</v>
      </c>
      <c r="IR210" t="s">
        <v>4356</v>
      </c>
      <c r="IS210" t="s">
        <v>4356</v>
      </c>
      <c r="IT210" t="s">
        <v>4356</v>
      </c>
      <c r="IU210" t="s">
        <v>4356</v>
      </c>
      <c r="IV210" t="s">
        <v>4356</v>
      </c>
      <c r="IW210" t="s">
        <v>4356</v>
      </c>
      <c r="IX210" t="s">
        <v>4356</v>
      </c>
      <c r="IY210" t="s">
        <v>4356</v>
      </c>
      <c r="IZ210" t="s">
        <v>4356</v>
      </c>
      <c r="JA210" t="s">
        <v>4356</v>
      </c>
      <c r="JB210" t="s">
        <v>4356</v>
      </c>
      <c r="JC210" t="s">
        <v>4356</v>
      </c>
      <c r="JD210" t="s">
        <v>4356</v>
      </c>
      <c r="JE210" t="s">
        <v>4356</v>
      </c>
      <c r="JF210" t="s">
        <v>4356</v>
      </c>
      <c r="JG210" t="s">
        <v>4356</v>
      </c>
      <c r="JH210" t="s">
        <v>4356</v>
      </c>
      <c r="JI210" t="s">
        <v>4356</v>
      </c>
      <c r="JJ210" t="s">
        <v>4356</v>
      </c>
      <c r="JK210" t="s">
        <v>4356</v>
      </c>
      <c r="JL210" t="s">
        <v>4356</v>
      </c>
      <c r="JM210" t="s">
        <v>4356</v>
      </c>
      <c r="JN210" t="s">
        <v>4356</v>
      </c>
      <c r="JO210" t="s">
        <v>4356</v>
      </c>
      <c r="JP210" t="s">
        <v>4356</v>
      </c>
      <c r="JQ210" t="s">
        <v>4356</v>
      </c>
      <c r="JR210" t="s">
        <v>4356</v>
      </c>
      <c r="JS210" t="s">
        <v>4356</v>
      </c>
      <c r="JT210" t="s">
        <v>4356</v>
      </c>
      <c r="JU210" t="s">
        <v>4356</v>
      </c>
    </row>
    <row r="211" spans="2:281" x14ac:dyDescent="0.3">
      <c r="O211" t="s">
        <v>4386</v>
      </c>
      <c r="P211" t="s">
        <v>4386</v>
      </c>
      <c r="Q211" t="s">
        <v>4386</v>
      </c>
      <c r="R211" t="s">
        <v>4386</v>
      </c>
      <c r="S211" t="s">
        <v>4386</v>
      </c>
      <c r="T211" t="s">
        <v>4386</v>
      </c>
      <c r="U211" t="s">
        <v>4386</v>
      </c>
      <c r="V211" t="s">
        <v>4386</v>
      </c>
      <c r="W211" t="s">
        <v>4386</v>
      </c>
      <c r="X211" t="s">
        <v>4386</v>
      </c>
      <c r="Y211" t="s">
        <v>4386</v>
      </c>
      <c r="Z211" t="s">
        <v>4386</v>
      </c>
      <c r="AA211" t="s">
        <v>4386</v>
      </c>
      <c r="AB211" t="s">
        <v>4386</v>
      </c>
      <c r="AC211" t="s">
        <v>4386</v>
      </c>
      <c r="AD211" t="s">
        <v>4386</v>
      </c>
      <c r="AE211" t="s">
        <v>4386</v>
      </c>
      <c r="AF211" t="s">
        <v>4386</v>
      </c>
      <c r="CF211" t="s">
        <v>4384</v>
      </c>
      <c r="CG211" t="s">
        <v>4384</v>
      </c>
      <c r="CH211" t="s">
        <v>4384</v>
      </c>
      <c r="CI211" t="s">
        <v>4384</v>
      </c>
      <c r="CJ211" t="s">
        <v>4384</v>
      </c>
      <c r="CK211" t="s">
        <v>4381</v>
      </c>
      <c r="CL211" t="s">
        <v>4381</v>
      </c>
      <c r="CM211" t="s">
        <v>4381</v>
      </c>
      <c r="CN211" t="s">
        <v>4381</v>
      </c>
      <c r="CO211" t="s">
        <v>4381</v>
      </c>
      <c r="CP211" t="s">
        <v>4381</v>
      </c>
      <c r="CQ211" t="s">
        <v>4381</v>
      </c>
      <c r="CR211" t="s">
        <v>4381</v>
      </c>
      <c r="CS211" t="s">
        <v>4381</v>
      </c>
      <c r="CT211" t="s">
        <v>4381</v>
      </c>
      <c r="CU211" t="s">
        <v>4381</v>
      </c>
      <c r="CV211" t="s">
        <v>4381</v>
      </c>
      <c r="CW211" t="s">
        <v>4381</v>
      </c>
      <c r="CX211" t="s">
        <v>4381</v>
      </c>
      <c r="CY211" t="s">
        <v>4381</v>
      </c>
      <c r="CZ211" t="s">
        <v>4381</v>
      </c>
      <c r="DG211" t="s">
        <v>4385</v>
      </c>
      <c r="DH211" t="s">
        <v>4385</v>
      </c>
      <c r="DI211" t="s">
        <v>4385</v>
      </c>
      <c r="DJ211" t="s">
        <v>4385</v>
      </c>
      <c r="DK211" t="s">
        <v>4385</v>
      </c>
      <c r="DL211" t="s">
        <v>4385</v>
      </c>
      <c r="DM211" t="s">
        <v>4385</v>
      </c>
      <c r="DN211" t="s">
        <v>4385</v>
      </c>
      <c r="DO211" t="s">
        <v>4385</v>
      </c>
      <c r="DP211" t="s">
        <v>4385</v>
      </c>
      <c r="DQ211" t="s">
        <v>4385</v>
      </c>
      <c r="DR211" t="s">
        <v>4356</v>
      </c>
      <c r="DS211" t="s">
        <v>4356</v>
      </c>
      <c r="DT211" t="s">
        <v>4356</v>
      </c>
      <c r="DU211" t="s">
        <v>4356</v>
      </c>
      <c r="DV211" t="s">
        <v>4356</v>
      </c>
      <c r="DW211" t="s">
        <v>4356</v>
      </c>
      <c r="DX211" t="s">
        <v>4356</v>
      </c>
      <c r="DY211" t="s">
        <v>4356</v>
      </c>
      <c r="DZ211" t="s">
        <v>4356</v>
      </c>
      <c r="EA211" t="s">
        <v>4356</v>
      </c>
      <c r="EE211" t="s">
        <v>4356</v>
      </c>
      <c r="EF211" t="s">
        <v>4356</v>
      </c>
      <c r="EG211" t="s">
        <v>4356</v>
      </c>
      <c r="EH211" t="s">
        <v>4356</v>
      </c>
      <c r="EM211" t="s">
        <v>4356</v>
      </c>
      <c r="EN211" t="s">
        <v>4356</v>
      </c>
      <c r="EO211" t="s">
        <v>4356</v>
      </c>
      <c r="EP211" t="s">
        <v>4356</v>
      </c>
      <c r="EQ211" t="s">
        <v>4356</v>
      </c>
      <c r="ER211" t="s">
        <v>4356</v>
      </c>
      <c r="ES211" t="s">
        <v>4356</v>
      </c>
      <c r="ET211" t="s">
        <v>4356</v>
      </c>
      <c r="EU211" t="s">
        <v>4356</v>
      </c>
      <c r="EV211" t="s">
        <v>4356</v>
      </c>
      <c r="EW211" t="s">
        <v>4356</v>
      </c>
      <c r="EX211" t="s">
        <v>4356</v>
      </c>
      <c r="EY211" t="s">
        <v>4356</v>
      </c>
      <c r="EZ211" t="s">
        <v>4356</v>
      </c>
      <c r="FA211" t="s">
        <v>4356</v>
      </c>
      <c r="FB211" t="s">
        <v>4356</v>
      </c>
      <c r="FC211" t="s">
        <v>4356</v>
      </c>
      <c r="FD211" t="s">
        <v>4356</v>
      </c>
      <c r="FE211" t="s">
        <v>4356</v>
      </c>
      <c r="FF211" t="s">
        <v>4356</v>
      </c>
      <c r="FG211" t="s">
        <v>4356</v>
      </c>
      <c r="FH211" t="s">
        <v>4356</v>
      </c>
      <c r="FI211" t="s">
        <v>4356</v>
      </c>
      <c r="FJ211" t="s">
        <v>4356</v>
      </c>
      <c r="FK211" t="s">
        <v>4356</v>
      </c>
      <c r="FL211" t="s">
        <v>4356</v>
      </c>
      <c r="FM211" t="s">
        <v>4356</v>
      </c>
      <c r="FN211" t="s">
        <v>4356</v>
      </c>
      <c r="FO211" t="s">
        <v>4356</v>
      </c>
      <c r="FP211" t="s">
        <v>4356</v>
      </c>
      <c r="FQ211" t="s">
        <v>4356</v>
      </c>
      <c r="FR211" t="s">
        <v>4356</v>
      </c>
      <c r="FS211" t="s">
        <v>4356</v>
      </c>
      <c r="FT211" t="s">
        <v>4356</v>
      </c>
      <c r="FU211" t="s">
        <v>4356</v>
      </c>
      <c r="FV211" t="s">
        <v>4356</v>
      </c>
      <c r="FW211" t="s">
        <v>4356</v>
      </c>
      <c r="FX211" t="s">
        <v>4356</v>
      </c>
      <c r="FY211" t="s">
        <v>4356</v>
      </c>
      <c r="FZ211" t="s">
        <v>4356</v>
      </c>
      <c r="GA211" t="s">
        <v>4356</v>
      </c>
      <c r="GB211" t="s">
        <v>4356</v>
      </c>
      <c r="GC211" t="s">
        <v>4356</v>
      </c>
      <c r="GD211" t="s">
        <v>4356</v>
      </c>
      <c r="GE211" t="s">
        <v>4356</v>
      </c>
      <c r="GF211" t="s">
        <v>4356</v>
      </c>
      <c r="GG211" t="s">
        <v>4356</v>
      </c>
      <c r="GH211" t="s">
        <v>4356</v>
      </c>
      <c r="GI211" t="s">
        <v>4356</v>
      </c>
      <c r="GJ211" t="s">
        <v>4356</v>
      </c>
      <c r="GK211" t="s">
        <v>4356</v>
      </c>
      <c r="GL211" t="s">
        <v>4356</v>
      </c>
      <c r="GM211" t="s">
        <v>4356</v>
      </c>
      <c r="GN211" t="s">
        <v>4356</v>
      </c>
      <c r="GO211" t="s">
        <v>4356</v>
      </c>
      <c r="GP211" t="s">
        <v>4356</v>
      </c>
      <c r="GQ211" t="s">
        <v>4356</v>
      </c>
      <c r="GR211" t="s">
        <v>4356</v>
      </c>
      <c r="GS211" t="s">
        <v>4356</v>
      </c>
      <c r="GT211" t="s">
        <v>4356</v>
      </c>
      <c r="GU211" t="s">
        <v>4356</v>
      </c>
      <c r="GV211" t="s">
        <v>4356</v>
      </c>
      <c r="GW211" t="s">
        <v>4356</v>
      </c>
      <c r="GX211" t="s">
        <v>4356</v>
      </c>
      <c r="GY211" t="s">
        <v>4356</v>
      </c>
      <c r="GZ211" t="s">
        <v>4356</v>
      </c>
      <c r="HA211" t="s">
        <v>4356</v>
      </c>
      <c r="HB211" t="s">
        <v>4356</v>
      </c>
      <c r="HC211" t="s">
        <v>4356</v>
      </c>
      <c r="HD211" t="s">
        <v>4356</v>
      </c>
      <c r="HE211" t="s">
        <v>4356</v>
      </c>
      <c r="HF211" t="s">
        <v>4356</v>
      </c>
      <c r="HG211" t="s">
        <v>4356</v>
      </c>
      <c r="HH211" t="s">
        <v>4356</v>
      </c>
      <c r="HI211" t="s">
        <v>4356</v>
      </c>
      <c r="HJ211" t="s">
        <v>4356</v>
      </c>
      <c r="HK211" t="s">
        <v>4356</v>
      </c>
      <c r="HL211" t="s">
        <v>4356</v>
      </c>
      <c r="HM211" t="s">
        <v>4356</v>
      </c>
      <c r="HN211" t="s">
        <v>4356</v>
      </c>
      <c r="HO211" t="s">
        <v>4356</v>
      </c>
      <c r="HP211" t="s">
        <v>4356</v>
      </c>
      <c r="HQ211" t="s">
        <v>4356</v>
      </c>
      <c r="HR211" t="s">
        <v>4356</v>
      </c>
      <c r="HS211" t="s">
        <v>4356</v>
      </c>
      <c r="HT211" t="s">
        <v>4356</v>
      </c>
      <c r="HU211" t="s">
        <v>4356</v>
      </c>
      <c r="HV211" t="s">
        <v>4356</v>
      </c>
      <c r="HW211" t="s">
        <v>4356</v>
      </c>
      <c r="HX211" t="s">
        <v>4356</v>
      </c>
      <c r="HY211" t="s">
        <v>4356</v>
      </c>
      <c r="HZ211" t="s">
        <v>4356</v>
      </c>
      <c r="IA211" t="s">
        <v>4356</v>
      </c>
      <c r="IB211" t="s">
        <v>4356</v>
      </c>
      <c r="IC211" t="s">
        <v>4356</v>
      </c>
      <c r="ID211" t="s">
        <v>4356</v>
      </c>
      <c r="IE211" t="s">
        <v>4356</v>
      </c>
      <c r="IF211" t="s">
        <v>4356</v>
      </c>
      <c r="IG211" t="s">
        <v>4356</v>
      </c>
      <c r="IH211" t="s">
        <v>4356</v>
      </c>
      <c r="II211" t="s">
        <v>4356</v>
      </c>
      <c r="IJ211" t="s">
        <v>4356</v>
      </c>
      <c r="IK211" t="s">
        <v>4356</v>
      </c>
      <c r="IL211" t="s">
        <v>4356</v>
      </c>
      <c r="IM211" t="s">
        <v>4356</v>
      </c>
      <c r="IN211" t="s">
        <v>4356</v>
      </c>
      <c r="IO211" t="s">
        <v>4356</v>
      </c>
      <c r="IP211" t="s">
        <v>4356</v>
      </c>
      <c r="IQ211" t="s">
        <v>4356</v>
      </c>
      <c r="IR211" t="s">
        <v>4356</v>
      </c>
      <c r="IS211" t="s">
        <v>4356</v>
      </c>
      <c r="IT211" t="s">
        <v>4356</v>
      </c>
      <c r="IU211" t="s">
        <v>4356</v>
      </c>
      <c r="IV211" t="s">
        <v>4356</v>
      </c>
      <c r="IW211" t="s">
        <v>4356</v>
      </c>
      <c r="IX211" t="s">
        <v>4356</v>
      </c>
      <c r="IY211" t="s">
        <v>4356</v>
      </c>
      <c r="IZ211" t="s">
        <v>4356</v>
      </c>
      <c r="JA211" t="s">
        <v>4356</v>
      </c>
      <c r="JB211" t="s">
        <v>4356</v>
      </c>
      <c r="JC211" t="s">
        <v>4356</v>
      </c>
      <c r="JD211" t="s">
        <v>4356</v>
      </c>
      <c r="JE211" t="s">
        <v>4356</v>
      </c>
      <c r="JF211" t="s">
        <v>4356</v>
      </c>
      <c r="JG211" t="s">
        <v>4356</v>
      </c>
      <c r="JH211" t="s">
        <v>4356</v>
      </c>
      <c r="JI211" t="s">
        <v>4356</v>
      </c>
      <c r="JJ211" t="s">
        <v>4356</v>
      </c>
      <c r="JK211" t="s">
        <v>4356</v>
      </c>
      <c r="JL211" t="s">
        <v>4356</v>
      </c>
      <c r="JM211" t="s">
        <v>4356</v>
      </c>
      <c r="JN211" t="s">
        <v>4356</v>
      </c>
      <c r="JO211" t="s">
        <v>4356</v>
      </c>
      <c r="JP211" t="s">
        <v>4356</v>
      </c>
      <c r="JQ211" t="s">
        <v>4356</v>
      </c>
      <c r="JR211" t="s">
        <v>4356</v>
      </c>
      <c r="JS211" t="s">
        <v>4356</v>
      </c>
      <c r="JT211" t="s">
        <v>4356</v>
      </c>
      <c r="JU211" t="s">
        <v>4356</v>
      </c>
    </row>
    <row r="212" spans="2:281" x14ac:dyDescent="0.3">
      <c r="R212" t="s">
        <v>4386</v>
      </c>
      <c r="S212" t="s">
        <v>4386</v>
      </c>
      <c r="T212" t="s">
        <v>4386</v>
      </c>
      <c r="U212" t="s">
        <v>4386</v>
      </c>
      <c r="V212" t="s">
        <v>4386</v>
      </c>
      <c r="W212" t="s">
        <v>4386</v>
      </c>
      <c r="X212" t="s">
        <v>4386</v>
      </c>
      <c r="Y212" t="s">
        <v>4386</v>
      </c>
      <c r="Z212" t="s">
        <v>4386</v>
      </c>
      <c r="AA212" t="s">
        <v>4386</v>
      </c>
      <c r="AB212" t="s">
        <v>4386</v>
      </c>
      <c r="AC212" t="s">
        <v>4386</v>
      </c>
      <c r="AD212" t="s">
        <v>4386</v>
      </c>
      <c r="AE212" t="s">
        <v>4386</v>
      </c>
      <c r="AF212" t="s">
        <v>4386</v>
      </c>
      <c r="AG212" t="s">
        <v>4386</v>
      </c>
      <c r="CG212" t="s">
        <v>4384</v>
      </c>
      <c r="CH212" t="s">
        <v>4384</v>
      </c>
      <c r="CI212" t="s">
        <v>4384</v>
      </c>
      <c r="CJ212" t="s">
        <v>4384</v>
      </c>
      <c r="CK212" t="s">
        <v>4384</v>
      </c>
      <c r="CL212" t="s">
        <v>4381</v>
      </c>
      <c r="CM212" t="s">
        <v>4381</v>
      </c>
      <c r="CN212" t="s">
        <v>4381</v>
      </c>
      <c r="CO212" t="s">
        <v>4381</v>
      </c>
      <c r="CP212" t="s">
        <v>4381</v>
      </c>
      <c r="CQ212" t="s">
        <v>4381</v>
      </c>
      <c r="CR212" t="s">
        <v>4381</v>
      </c>
      <c r="CS212" t="s">
        <v>4381</v>
      </c>
      <c r="CT212" t="s">
        <v>4381</v>
      </c>
      <c r="CU212" t="s">
        <v>4381</v>
      </c>
      <c r="CV212" t="s">
        <v>4381</v>
      </c>
      <c r="CW212" t="s">
        <v>4381</v>
      </c>
      <c r="CX212" t="s">
        <v>4381</v>
      </c>
      <c r="CY212" t="s">
        <v>4381</v>
      </c>
      <c r="CZ212" t="s">
        <v>4381</v>
      </c>
      <c r="DI212" t="s">
        <v>4385</v>
      </c>
      <c r="DJ212" t="s">
        <v>4385</v>
      </c>
      <c r="DK212" t="s">
        <v>4385</v>
      </c>
      <c r="DL212" t="s">
        <v>4385</v>
      </c>
      <c r="DM212" t="s">
        <v>4385</v>
      </c>
      <c r="DN212" t="s">
        <v>4385</v>
      </c>
      <c r="DO212" t="s">
        <v>4385</v>
      </c>
      <c r="DP212" t="s">
        <v>4385</v>
      </c>
      <c r="DQ212" t="s">
        <v>4385</v>
      </c>
      <c r="DR212" t="s">
        <v>4356</v>
      </c>
      <c r="DS212" t="s">
        <v>4356</v>
      </c>
      <c r="DT212" t="s">
        <v>4356</v>
      </c>
      <c r="DU212" t="s">
        <v>4356</v>
      </c>
      <c r="DV212" t="s">
        <v>4356</v>
      </c>
      <c r="DW212" t="s">
        <v>4356</v>
      </c>
      <c r="DX212" t="s">
        <v>4356</v>
      </c>
      <c r="DY212" t="s">
        <v>4356</v>
      </c>
      <c r="DZ212" t="s">
        <v>4356</v>
      </c>
      <c r="EA212" t="s">
        <v>4356</v>
      </c>
      <c r="EL212" t="s">
        <v>4356</v>
      </c>
      <c r="EM212" t="s">
        <v>4356</v>
      </c>
      <c r="EN212" t="s">
        <v>4356</v>
      </c>
      <c r="EO212" t="s">
        <v>4356</v>
      </c>
      <c r="EP212" t="s">
        <v>4356</v>
      </c>
      <c r="EQ212" t="s">
        <v>4356</v>
      </c>
      <c r="ER212" t="s">
        <v>4356</v>
      </c>
      <c r="ES212" t="s">
        <v>4356</v>
      </c>
      <c r="ET212" t="s">
        <v>4356</v>
      </c>
      <c r="EU212" t="s">
        <v>4356</v>
      </c>
      <c r="EV212" t="s">
        <v>4356</v>
      </c>
      <c r="EW212" t="s">
        <v>4356</v>
      </c>
      <c r="EX212" t="s">
        <v>4356</v>
      </c>
      <c r="EY212" t="s">
        <v>4356</v>
      </c>
      <c r="EZ212" t="s">
        <v>4356</v>
      </c>
      <c r="FA212" t="s">
        <v>4356</v>
      </c>
      <c r="FB212" t="s">
        <v>4356</v>
      </c>
      <c r="FC212" t="s">
        <v>4356</v>
      </c>
      <c r="FD212" t="s">
        <v>4356</v>
      </c>
      <c r="FE212" t="s">
        <v>4356</v>
      </c>
      <c r="FF212" t="s">
        <v>4356</v>
      </c>
      <c r="FG212" t="s">
        <v>4356</v>
      </c>
      <c r="FH212" t="s">
        <v>4356</v>
      </c>
      <c r="FI212" t="s">
        <v>4356</v>
      </c>
      <c r="FJ212" t="s">
        <v>4356</v>
      </c>
      <c r="FK212" t="s">
        <v>4356</v>
      </c>
      <c r="FL212" t="s">
        <v>4356</v>
      </c>
      <c r="FM212" t="s">
        <v>4356</v>
      </c>
      <c r="FN212" t="s">
        <v>4356</v>
      </c>
      <c r="FO212" t="s">
        <v>4356</v>
      </c>
      <c r="FP212" t="s">
        <v>4356</v>
      </c>
      <c r="FQ212" t="s">
        <v>4356</v>
      </c>
      <c r="FR212" t="s">
        <v>4356</v>
      </c>
      <c r="FS212" t="s">
        <v>4356</v>
      </c>
      <c r="FT212" t="s">
        <v>4356</v>
      </c>
      <c r="FU212" t="s">
        <v>4356</v>
      </c>
      <c r="FV212" t="s">
        <v>4356</v>
      </c>
      <c r="FW212" t="s">
        <v>4356</v>
      </c>
      <c r="FX212" t="s">
        <v>4356</v>
      </c>
      <c r="FY212" t="s">
        <v>4356</v>
      </c>
      <c r="FZ212" t="s">
        <v>4356</v>
      </c>
      <c r="GA212" t="s">
        <v>4356</v>
      </c>
      <c r="GB212" t="s">
        <v>4356</v>
      </c>
      <c r="GC212" t="s">
        <v>4356</v>
      </c>
      <c r="GD212" t="s">
        <v>4356</v>
      </c>
      <c r="GE212" t="s">
        <v>4356</v>
      </c>
      <c r="GF212" t="s">
        <v>4356</v>
      </c>
      <c r="GG212" t="s">
        <v>4356</v>
      </c>
      <c r="GH212" t="s">
        <v>4356</v>
      </c>
      <c r="GI212" t="s">
        <v>4356</v>
      </c>
      <c r="GJ212" t="s">
        <v>4356</v>
      </c>
      <c r="GK212" t="s">
        <v>4356</v>
      </c>
      <c r="GL212" t="s">
        <v>4356</v>
      </c>
      <c r="GM212" t="s">
        <v>4356</v>
      </c>
      <c r="GN212" t="s">
        <v>4356</v>
      </c>
      <c r="GO212" t="s">
        <v>4356</v>
      </c>
      <c r="GP212" t="s">
        <v>4356</v>
      </c>
      <c r="GQ212" t="s">
        <v>4356</v>
      </c>
      <c r="GR212" t="s">
        <v>4356</v>
      </c>
      <c r="GS212" t="s">
        <v>4356</v>
      </c>
      <c r="GT212" t="s">
        <v>4356</v>
      </c>
      <c r="GU212" t="s">
        <v>4356</v>
      </c>
      <c r="GV212" t="s">
        <v>4356</v>
      </c>
      <c r="GW212" t="s">
        <v>4356</v>
      </c>
      <c r="GX212" t="s">
        <v>4356</v>
      </c>
      <c r="GY212" t="s">
        <v>4356</v>
      </c>
      <c r="GZ212" t="s">
        <v>4356</v>
      </c>
      <c r="HA212" t="s">
        <v>4356</v>
      </c>
      <c r="HB212" t="s">
        <v>4356</v>
      </c>
      <c r="HC212" t="s">
        <v>4356</v>
      </c>
      <c r="HD212" t="s">
        <v>4356</v>
      </c>
      <c r="HE212" t="s">
        <v>4356</v>
      </c>
      <c r="HF212" t="s">
        <v>4356</v>
      </c>
      <c r="HG212" t="s">
        <v>4356</v>
      </c>
      <c r="HH212" t="s">
        <v>4356</v>
      </c>
      <c r="HI212" t="s">
        <v>4356</v>
      </c>
      <c r="HJ212" t="s">
        <v>4356</v>
      </c>
      <c r="HK212" t="s">
        <v>4356</v>
      </c>
      <c r="HL212" t="s">
        <v>4356</v>
      </c>
      <c r="HM212" t="s">
        <v>4356</v>
      </c>
      <c r="HN212" t="s">
        <v>4356</v>
      </c>
      <c r="HO212" t="s">
        <v>4356</v>
      </c>
      <c r="HP212" t="s">
        <v>4356</v>
      </c>
      <c r="HQ212" t="s">
        <v>4356</v>
      </c>
      <c r="HR212" t="s">
        <v>4356</v>
      </c>
      <c r="HS212" t="s">
        <v>4356</v>
      </c>
      <c r="HT212" t="s">
        <v>4356</v>
      </c>
      <c r="HU212" t="s">
        <v>4356</v>
      </c>
      <c r="HV212" t="s">
        <v>4356</v>
      </c>
      <c r="HW212" t="s">
        <v>4356</v>
      </c>
      <c r="HX212" t="s">
        <v>4356</v>
      </c>
      <c r="HY212" t="s">
        <v>4356</v>
      </c>
      <c r="HZ212" t="s">
        <v>4356</v>
      </c>
      <c r="IA212" t="s">
        <v>4356</v>
      </c>
      <c r="IB212" t="s">
        <v>4356</v>
      </c>
      <c r="IC212" t="s">
        <v>4356</v>
      </c>
      <c r="ID212" t="s">
        <v>4356</v>
      </c>
      <c r="IE212" t="s">
        <v>4356</v>
      </c>
      <c r="IF212" t="s">
        <v>4356</v>
      </c>
      <c r="IG212" t="s">
        <v>4356</v>
      </c>
      <c r="IH212" t="s">
        <v>4356</v>
      </c>
      <c r="II212" t="s">
        <v>4356</v>
      </c>
      <c r="IJ212" t="s">
        <v>4356</v>
      </c>
      <c r="IK212" t="s">
        <v>4356</v>
      </c>
      <c r="IL212" t="s">
        <v>4356</v>
      </c>
      <c r="IM212" t="s">
        <v>4356</v>
      </c>
      <c r="IN212" t="s">
        <v>4356</v>
      </c>
      <c r="IO212" t="s">
        <v>4356</v>
      </c>
      <c r="IP212" t="s">
        <v>4356</v>
      </c>
      <c r="IQ212" t="s">
        <v>4356</v>
      </c>
      <c r="IR212" t="s">
        <v>4356</v>
      </c>
      <c r="IS212" t="s">
        <v>4356</v>
      </c>
      <c r="IT212" t="s">
        <v>4356</v>
      </c>
      <c r="IU212" t="s">
        <v>4356</v>
      </c>
      <c r="IV212" t="s">
        <v>4356</v>
      </c>
      <c r="IW212" t="s">
        <v>4356</v>
      </c>
      <c r="IX212" t="s">
        <v>4356</v>
      </c>
      <c r="IY212" t="s">
        <v>4356</v>
      </c>
      <c r="IZ212" t="s">
        <v>4356</v>
      </c>
      <c r="JA212" t="s">
        <v>4356</v>
      </c>
      <c r="JB212" t="s">
        <v>4356</v>
      </c>
      <c r="JC212" t="s">
        <v>4356</v>
      </c>
      <c r="JD212" t="s">
        <v>4356</v>
      </c>
      <c r="JE212" t="s">
        <v>4356</v>
      </c>
      <c r="JF212" t="s">
        <v>4356</v>
      </c>
      <c r="JG212" t="s">
        <v>4356</v>
      </c>
      <c r="JH212" t="s">
        <v>4356</v>
      </c>
      <c r="JI212" t="s">
        <v>4356</v>
      </c>
      <c r="JJ212" t="s">
        <v>4356</v>
      </c>
      <c r="JK212" t="s">
        <v>4356</v>
      </c>
      <c r="JL212" t="s">
        <v>4356</v>
      </c>
      <c r="JM212" t="s">
        <v>4356</v>
      </c>
      <c r="JN212" t="s">
        <v>4356</v>
      </c>
      <c r="JO212" t="s">
        <v>4356</v>
      </c>
      <c r="JP212" t="s">
        <v>4356</v>
      </c>
      <c r="JQ212" t="s">
        <v>4356</v>
      </c>
      <c r="JR212" t="s">
        <v>4356</v>
      </c>
      <c r="JS212" t="s">
        <v>4356</v>
      </c>
      <c r="JT212" t="s">
        <v>4356</v>
      </c>
      <c r="JU212" t="s">
        <v>4356</v>
      </c>
    </row>
    <row r="213" spans="2:281" x14ac:dyDescent="0.3">
      <c r="N213" t="s">
        <v>4386</v>
      </c>
      <c r="O213" t="s">
        <v>4386</v>
      </c>
      <c r="P213" t="s">
        <v>4386</v>
      </c>
      <c r="Q213" t="s">
        <v>4386</v>
      </c>
      <c r="R213" t="s">
        <v>4386</v>
      </c>
      <c r="S213" t="s">
        <v>4386</v>
      </c>
      <c r="T213" t="s">
        <v>4386</v>
      </c>
      <c r="U213" t="s">
        <v>4386</v>
      </c>
      <c r="V213" t="s">
        <v>4386</v>
      </c>
      <c r="W213" t="s">
        <v>4386</v>
      </c>
      <c r="X213" t="s">
        <v>4386</v>
      </c>
      <c r="Y213" t="s">
        <v>4386</v>
      </c>
      <c r="Z213" t="s">
        <v>4386</v>
      </c>
      <c r="AA213" t="s">
        <v>4386</v>
      </c>
      <c r="AB213" t="s">
        <v>4386</v>
      </c>
      <c r="AC213" t="s">
        <v>4386</v>
      </c>
      <c r="AD213" t="s">
        <v>4386</v>
      </c>
      <c r="AE213" t="s">
        <v>4386</v>
      </c>
      <c r="AF213" t="s">
        <v>4386</v>
      </c>
      <c r="CH213" t="s">
        <v>4384</v>
      </c>
      <c r="CI213" t="s">
        <v>4384</v>
      </c>
      <c r="CJ213" t="s">
        <v>4384</v>
      </c>
      <c r="CK213" t="s">
        <v>4384</v>
      </c>
      <c r="CL213" t="s">
        <v>4384</v>
      </c>
      <c r="CM213" t="s">
        <v>4381</v>
      </c>
      <c r="CN213" t="s">
        <v>4381</v>
      </c>
      <c r="CO213" t="s">
        <v>4381</v>
      </c>
      <c r="CP213" t="s">
        <v>4381</v>
      </c>
      <c r="CQ213" t="s">
        <v>4381</v>
      </c>
      <c r="CR213" t="s">
        <v>4381</v>
      </c>
      <c r="CS213" t="s">
        <v>4381</v>
      </c>
      <c r="CT213" t="s">
        <v>4381</v>
      </c>
      <c r="CU213" t="s">
        <v>4381</v>
      </c>
      <c r="CV213" t="s">
        <v>4381</v>
      </c>
      <c r="CW213" t="s">
        <v>4381</v>
      </c>
      <c r="CX213" t="s">
        <v>4381</v>
      </c>
      <c r="CY213" t="s">
        <v>4381</v>
      </c>
      <c r="CZ213" t="s">
        <v>4381</v>
      </c>
      <c r="DA213" t="s">
        <v>4381</v>
      </c>
      <c r="DB213" t="s">
        <v>4381</v>
      </c>
      <c r="DG213" t="s">
        <v>4385</v>
      </c>
      <c r="DH213" t="s">
        <v>4385</v>
      </c>
      <c r="DI213" t="s">
        <v>4385</v>
      </c>
      <c r="DJ213" t="s">
        <v>4385</v>
      </c>
      <c r="DK213" t="s">
        <v>4385</v>
      </c>
      <c r="DL213" t="s">
        <v>4385</v>
      </c>
      <c r="DM213" t="s">
        <v>4385</v>
      </c>
      <c r="DN213" t="s">
        <v>4385</v>
      </c>
      <c r="DO213" t="s">
        <v>4385</v>
      </c>
      <c r="DP213" t="s">
        <v>4385</v>
      </c>
      <c r="DQ213" t="s">
        <v>4385</v>
      </c>
      <c r="DR213" t="s">
        <v>4356</v>
      </c>
      <c r="DS213" t="s">
        <v>4356</v>
      </c>
      <c r="DT213" t="s">
        <v>4356</v>
      </c>
      <c r="DU213" t="s">
        <v>4356</v>
      </c>
      <c r="DV213" t="s">
        <v>4356</v>
      </c>
      <c r="DW213" t="s">
        <v>4356</v>
      </c>
      <c r="DX213" t="s">
        <v>4356</v>
      </c>
      <c r="DY213" t="s">
        <v>4356</v>
      </c>
      <c r="DZ213" t="s">
        <v>4356</v>
      </c>
      <c r="EA213" t="s">
        <v>4356</v>
      </c>
      <c r="EM213" t="s">
        <v>4356</v>
      </c>
      <c r="EN213" t="s">
        <v>4356</v>
      </c>
      <c r="EO213" t="s">
        <v>4356</v>
      </c>
      <c r="EP213" t="s">
        <v>4356</v>
      </c>
      <c r="EQ213" t="s">
        <v>4356</v>
      </c>
      <c r="ER213" t="s">
        <v>4356</v>
      </c>
      <c r="ES213" t="s">
        <v>4356</v>
      </c>
      <c r="ET213" t="s">
        <v>4356</v>
      </c>
      <c r="EU213" t="s">
        <v>4356</v>
      </c>
      <c r="EV213" t="s">
        <v>4356</v>
      </c>
      <c r="EW213" t="s">
        <v>4356</v>
      </c>
      <c r="EX213" t="s">
        <v>4356</v>
      </c>
      <c r="EY213" t="s">
        <v>4356</v>
      </c>
      <c r="EZ213" t="s">
        <v>4356</v>
      </c>
      <c r="FA213" t="s">
        <v>4356</v>
      </c>
      <c r="FB213" t="s">
        <v>4356</v>
      </c>
      <c r="FC213" t="s">
        <v>4356</v>
      </c>
      <c r="FD213" t="s">
        <v>4356</v>
      </c>
      <c r="FE213" t="s">
        <v>4356</v>
      </c>
      <c r="FF213" t="s">
        <v>4356</v>
      </c>
      <c r="FG213" t="s">
        <v>4356</v>
      </c>
      <c r="FH213" t="s">
        <v>4356</v>
      </c>
      <c r="FI213" t="s">
        <v>4356</v>
      </c>
      <c r="FJ213" t="s">
        <v>4356</v>
      </c>
      <c r="FK213" t="s">
        <v>4356</v>
      </c>
      <c r="FL213" t="s">
        <v>4356</v>
      </c>
      <c r="FM213" t="s">
        <v>4356</v>
      </c>
      <c r="FN213" t="s">
        <v>4356</v>
      </c>
      <c r="FO213" t="s">
        <v>4356</v>
      </c>
      <c r="FP213" t="s">
        <v>4356</v>
      </c>
      <c r="FQ213" t="s">
        <v>4356</v>
      </c>
      <c r="FR213" t="s">
        <v>4356</v>
      </c>
      <c r="FS213" t="s">
        <v>4356</v>
      </c>
      <c r="FT213" t="s">
        <v>4356</v>
      </c>
      <c r="FU213" t="s">
        <v>4356</v>
      </c>
      <c r="FV213" t="s">
        <v>4356</v>
      </c>
      <c r="FW213" t="s">
        <v>4356</v>
      </c>
      <c r="FX213" t="s">
        <v>4356</v>
      </c>
      <c r="FY213" t="s">
        <v>4356</v>
      </c>
      <c r="FZ213" t="s">
        <v>4356</v>
      </c>
      <c r="GA213" t="s">
        <v>4356</v>
      </c>
      <c r="GB213" t="s">
        <v>4356</v>
      </c>
      <c r="GC213" t="s">
        <v>4356</v>
      </c>
      <c r="GD213" t="s">
        <v>4356</v>
      </c>
      <c r="GE213" t="s">
        <v>4356</v>
      </c>
      <c r="GF213" t="s">
        <v>4356</v>
      </c>
      <c r="GG213" t="s">
        <v>4356</v>
      </c>
      <c r="GH213" t="s">
        <v>4356</v>
      </c>
      <c r="GI213" t="s">
        <v>4356</v>
      </c>
      <c r="GJ213" t="s">
        <v>4356</v>
      </c>
      <c r="GK213" t="s">
        <v>4356</v>
      </c>
      <c r="GL213" t="s">
        <v>4356</v>
      </c>
      <c r="GM213" t="s">
        <v>4356</v>
      </c>
      <c r="GN213" t="s">
        <v>4356</v>
      </c>
      <c r="GO213" t="s">
        <v>4356</v>
      </c>
      <c r="GP213" t="s">
        <v>4356</v>
      </c>
      <c r="GQ213" t="s">
        <v>4356</v>
      </c>
      <c r="GR213" t="s">
        <v>4356</v>
      </c>
      <c r="GS213" t="s">
        <v>4356</v>
      </c>
      <c r="GT213" t="s">
        <v>4356</v>
      </c>
      <c r="GU213" t="s">
        <v>4356</v>
      </c>
      <c r="GV213" t="s">
        <v>4356</v>
      </c>
      <c r="GW213" t="s">
        <v>4356</v>
      </c>
      <c r="GX213" t="s">
        <v>4356</v>
      </c>
      <c r="GY213" t="s">
        <v>4356</v>
      </c>
      <c r="GZ213" t="s">
        <v>4356</v>
      </c>
      <c r="HA213" t="s">
        <v>4356</v>
      </c>
      <c r="HB213" t="s">
        <v>4356</v>
      </c>
      <c r="HC213" t="s">
        <v>4356</v>
      </c>
      <c r="HD213" t="s">
        <v>4356</v>
      </c>
      <c r="HE213" t="s">
        <v>4356</v>
      </c>
      <c r="HF213" t="s">
        <v>4356</v>
      </c>
      <c r="HG213" t="s">
        <v>4356</v>
      </c>
      <c r="HH213" t="s">
        <v>4356</v>
      </c>
      <c r="HI213" t="s">
        <v>4356</v>
      </c>
      <c r="HJ213" t="s">
        <v>4356</v>
      </c>
      <c r="HK213" t="s">
        <v>4356</v>
      </c>
      <c r="HL213" t="s">
        <v>4356</v>
      </c>
      <c r="HM213" t="s">
        <v>4356</v>
      </c>
      <c r="HN213" t="s">
        <v>4356</v>
      </c>
      <c r="HO213" t="s">
        <v>4356</v>
      </c>
      <c r="HP213" t="s">
        <v>4356</v>
      </c>
      <c r="HQ213" t="s">
        <v>4356</v>
      </c>
      <c r="HR213" t="s">
        <v>4356</v>
      </c>
      <c r="HS213" t="s">
        <v>4356</v>
      </c>
      <c r="HT213" t="s">
        <v>4356</v>
      </c>
      <c r="HU213" t="s">
        <v>4356</v>
      </c>
      <c r="HV213" t="s">
        <v>4356</v>
      </c>
      <c r="HW213" t="s">
        <v>4356</v>
      </c>
      <c r="HX213" t="s">
        <v>4356</v>
      </c>
      <c r="HY213" t="s">
        <v>4356</v>
      </c>
      <c r="HZ213" t="s">
        <v>4356</v>
      </c>
      <c r="IA213" t="s">
        <v>4356</v>
      </c>
      <c r="IB213" t="s">
        <v>4356</v>
      </c>
      <c r="IC213" t="s">
        <v>4356</v>
      </c>
      <c r="ID213" t="s">
        <v>4356</v>
      </c>
      <c r="IE213" t="s">
        <v>4356</v>
      </c>
      <c r="IF213" t="s">
        <v>4356</v>
      </c>
      <c r="IG213" t="s">
        <v>4356</v>
      </c>
      <c r="IH213" t="s">
        <v>4356</v>
      </c>
      <c r="II213" t="s">
        <v>4356</v>
      </c>
      <c r="IJ213" t="s">
        <v>4356</v>
      </c>
      <c r="IK213" t="s">
        <v>4356</v>
      </c>
      <c r="IL213" t="s">
        <v>4356</v>
      </c>
      <c r="IM213" t="s">
        <v>4356</v>
      </c>
      <c r="IN213" t="s">
        <v>4356</v>
      </c>
      <c r="IO213" t="s">
        <v>4356</v>
      </c>
      <c r="IP213" t="s">
        <v>4356</v>
      </c>
      <c r="IQ213" t="s">
        <v>4356</v>
      </c>
      <c r="IR213" t="s">
        <v>4356</v>
      </c>
      <c r="IS213" t="s">
        <v>4356</v>
      </c>
      <c r="IT213" t="s">
        <v>4356</v>
      </c>
      <c r="IU213" t="s">
        <v>4356</v>
      </c>
      <c r="IV213" t="s">
        <v>4356</v>
      </c>
      <c r="IW213" t="s">
        <v>4356</v>
      </c>
      <c r="IX213" t="s">
        <v>4356</v>
      </c>
      <c r="IY213" t="s">
        <v>4356</v>
      </c>
      <c r="IZ213" t="s">
        <v>4356</v>
      </c>
      <c r="JA213" t="s">
        <v>4356</v>
      </c>
      <c r="JB213" t="s">
        <v>4356</v>
      </c>
      <c r="JC213" t="s">
        <v>4356</v>
      </c>
      <c r="JD213" t="s">
        <v>4356</v>
      </c>
      <c r="JE213" t="s">
        <v>4356</v>
      </c>
      <c r="JF213" t="s">
        <v>4356</v>
      </c>
      <c r="JG213" t="s">
        <v>4356</v>
      </c>
      <c r="JH213" t="s">
        <v>4356</v>
      </c>
      <c r="JI213" t="s">
        <v>4356</v>
      </c>
      <c r="JJ213" t="s">
        <v>4356</v>
      </c>
      <c r="JK213" t="s">
        <v>4356</v>
      </c>
      <c r="JL213" t="s">
        <v>4356</v>
      </c>
      <c r="JM213" t="s">
        <v>4356</v>
      </c>
      <c r="JN213" t="s">
        <v>4356</v>
      </c>
      <c r="JO213" t="s">
        <v>4356</v>
      </c>
      <c r="JP213" t="s">
        <v>4356</v>
      </c>
      <c r="JQ213" t="s">
        <v>4356</v>
      </c>
      <c r="JR213" t="s">
        <v>4356</v>
      </c>
      <c r="JS213" t="s">
        <v>4356</v>
      </c>
      <c r="JT213" t="s">
        <v>4356</v>
      </c>
      <c r="JU213" t="s">
        <v>4356</v>
      </c>
    </row>
    <row r="214" spans="2:281" x14ac:dyDescent="0.3">
      <c r="O214" t="s">
        <v>4386</v>
      </c>
      <c r="P214" t="s">
        <v>4386</v>
      </c>
      <c r="Q214" t="s">
        <v>4386</v>
      </c>
      <c r="AB214" t="s">
        <v>4386</v>
      </c>
      <c r="AC214" t="s">
        <v>4386</v>
      </c>
      <c r="AD214" t="s">
        <v>4386</v>
      </c>
      <c r="AE214" t="s">
        <v>4386</v>
      </c>
      <c r="AF214" t="s">
        <v>4386</v>
      </c>
      <c r="CJ214" t="s">
        <v>4384</v>
      </c>
      <c r="CK214" t="s">
        <v>4384</v>
      </c>
      <c r="CL214" t="s">
        <v>4384</v>
      </c>
      <c r="CM214" t="s">
        <v>4384</v>
      </c>
      <c r="CN214" t="s">
        <v>4381</v>
      </c>
      <c r="CO214" t="s">
        <v>4381</v>
      </c>
      <c r="CP214" t="s">
        <v>4381</v>
      </c>
      <c r="CQ214" t="s">
        <v>4381</v>
      </c>
      <c r="CR214" t="s">
        <v>4381</v>
      </c>
      <c r="CS214" t="s">
        <v>4381</v>
      </c>
      <c r="CT214" t="s">
        <v>4381</v>
      </c>
      <c r="CU214" t="s">
        <v>4381</v>
      </c>
      <c r="CV214" t="s">
        <v>4381</v>
      </c>
      <c r="CW214" t="s">
        <v>4381</v>
      </c>
      <c r="CX214" t="s">
        <v>4381</v>
      </c>
      <c r="CY214" t="s">
        <v>4381</v>
      </c>
      <c r="CZ214" t="s">
        <v>4381</v>
      </c>
      <c r="DA214" t="s">
        <v>4381</v>
      </c>
      <c r="DB214" t="s">
        <v>4381</v>
      </c>
      <c r="DC214" t="s">
        <v>4381</v>
      </c>
      <c r="DD214" t="s">
        <v>4381</v>
      </c>
      <c r="DE214" t="s">
        <v>4385</v>
      </c>
      <c r="DF214" t="s">
        <v>4385</v>
      </c>
      <c r="DG214" t="s">
        <v>4385</v>
      </c>
      <c r="DH214" t="s">
        <v>4385</v>
      </c>
      <c r="DI214" t="s">
        <v>4385</v>
      </c>
      <c r="DJ214" t="s">
        <v>4385</v>
      </c>
      <c r="DK214" t="s">
        <v>4385</v>
      </c>
      <c r="DL214" t="s">
        <v>4385</v>
      </c>
      <c r="DM214" t="s">
        <v>4385</v>
      </c>
      <c r="DN214" t="s">
        <v>4385</v>
      </c>
      <c r="DO214" t="s">
        <v>4385</v>
      </c>
      <c r="DP214" t="s">
        <v>4385</v>
      </c>
      <c r="DQ214" t="s">
        <v>4385</v>
      </c>
      <c r="DR214" t="s">
        <v>4356</v>
      </c>
      <c r="DS214" t="s">
        <v>4356</v>
      </c>
      <c r="DT214" t="s">
        <v>4356</v>
      </c>
      <c r="DU214" t="s">
        <v>4356</v>
      </c>
      <c r="DV214" t="s">
        <v>4356</v>
      </c>
      <c r="DW214" t="s">
        <v>4356</v>
      </c>
      <c r="DX214" t="s">
        <v>4356</v>
      </c>
      <c r="DY214" t="s">
        <v>4356</v>
      </c>
      <c r="EF214" t="s">
        <v>4356</v>
      </c>
      <c r="EG214" t="s">
        <v>4356</v>
      </c>
      <c r="EH214" t="s">
        <v>4356</v>
      </c>
      <c r="EI214" t="s">
        <v>4356</v>
      </c>
      <c r="EJ214" t="s">
        <v>4356</v>
      </c>
      <c r="EK214" t="s">
        <v>4356</v>
      </c>
      <c r="EO214" t="s">
        <v>4356</v>
      </c>
      <c r="EP214" t="s">
        <v>4356</v>
      </c>
      <c r="EQ214" t="s">
        <v>4356</v>
      </c>
      <c r="ER214" t="s">
        <v>4356</v>
      </c>
      <c r="ET214" t="s">
        <v>4356</v>
      </c>
      <c r="EU214" t="s">
        <v>4356</v>
      </c>
      <c r="EV214" t="s">
        <v>4356</v>
      </c>
      <c r="EW214" t="s">
        <v>4356</v>
      </c>
      <c r="EX214" t="s">
        <v>4356</v>
      </c>
      <c r="EY214" t="s">
        <v>4356</v>
      </c>
      <c r="EZ214" t="s">
        <v>4356</v>
      </c>
      <c r="FA214" t="s">
        <v>4356</v>
      </c>
      <c r="FB214" t="s">
        <v>4356</v>
      </c>
      <c r="FC214" t="s">
        <v>4356</v>
      </c>
      <c r="FD214" t="s">
        <v>4356</v>
      </c>
      <c r="FE214" t="s">
        <v>4356</v>
      </c>
      <c r="FF214" t="s">
        <v>4356</v>
      </c>
      <c r="FG214" t="s">
        <v>4356</v>
      </c>
      <c r="FH214" t="s">
        <v>4356</v>
      </c>
      <c r="FI214" t="s">
        <v>4356</v>
      </c>
      <c r="FJ214" t="s">
        <v>4356</v>
      </c>
      <c r="FK214" t="s">
        <v>4356</v>
      </c>
      <c r="FL214" t="s">
        <v>4356</v>
      </c>
      <c r="FM214" t="s">
        <v>4356</v>
      </c>
      <c r="FN214" t="s">
        <v>4356</v>
      </c>
      <c r="FO214" t="s">
        <v>4356</v>
      </c>
      <c r="FP214" t="s">
        <v>4356</v>
      </c>
      <c r="FQ214" t="s">
        <v>4356</v>
      </c>
      <c r="FR214" t="s">
        <v>4356</v>
      </c>
      <c r="FS214" t="s">
        <v>4356</v>
      </c>
      <c r="FT214" t="s">
        <v>4356</v>
      </c>
      <c r="FU214" t="s">
        <v>4356</v>
      </c>
      <c r="FV214" t="s">
        <v>4356</v>
      </c>
      <c r="FW214" t="s">
        <v>4356</v>
      </c>
      <c r="FX214" t="s">
        <v>4356</v>
      </c>
      <c r="FY214" t="s">
        <v>4356</v>
      </c>
      <c r="FZ214" t="s">
        <v>4356</v>
      </c>
      <c r="GA214" t="s">
        <v>4356</v>
      </c>
      <c r="GB214" t="s">
        <v>4356</v>
      </c>
      <c r="GC214" t="s">
        <v>4356</v>
      </c>
      <c r="GD214" t="s">
        <v>4356</v>
      </c>
      <c r="GE214" t="s">
        <v>4356</v>
      </c>
      <c r="GF214" t="s">
        <v>4356</v>
      </c>
      <c r="GG214" t="s">
        <v>4356</v>
      </c>
      <c r="GH214" t="s">
        <v>4356</v>
      </c>
      <c r="GI214" t="s">
        <v>4356</v>
      </c>
      <c r="GJ214" t="s">
        <v>4356</v>
      </c>
      <c r="GK214" t="s">
        <v>4356</v>
      </c>
      <c r="GL214" t="s">
        <v>4356</v>
      </c>
      <c r="GM214" t="s">
        <v>4356</v>
      </c>
      <c r="GN214" t="s">
        <v>4356</v>
      </c>
      <c r="GO214" t="s">
        <v>4356</v>
      </c>
      <c r="GP214" t="s">
        <v>4356</v>
      </c>
      <c r="GQ214" t="s">
        <v>4356</v>
      </c>
      <c r="GR214" t="s">
        <v>4356</v>
      </c>
      <c r="GS214" t="s">
        <v>4356</v>
      </c>
      <c r="GT214" t="s">
        <v>4356</v>
      </c>
      <c r="GU214" t="s">
        <v>4356</v>
      </c>
      <c r="GV214" t="s">
        <v>4356</v>
      </c>
      <c r="GW214" t="s">
        <v>4356</v>
      </c>
      <c r="GY214" t="s">
        <v>4356</v>
      </c>
      <c r="GZ214" t="s">
        <v>4356</v>
      </c>
      <c r="HA214" t="s">
        <v>4356</v>
      </c>
      <c r="HB214" t="s">
        <v>4356</v>
      </c>
      <c r="HC214" t="s">
        <v>4356</v>
      </c>
      <c r="HD214" t="s">
        <v>4356</v>
      </c>
      <c r="HE214" t="s">
        <v>4356</v>
      </c>
      <c r="HF214" t="s">
        <v>4356</v>
      </c>
      <c r="HG214" t="s">
        <v>4356</v>
      </c>
      <c r="HH214" t="s">
        <v>4356</v>
      </c>
      <c r="HI214" t="s">
        <v>4356</v>
      </c>
      <c r="HJ214" t="s">
        <v>4356</v>
      </c>
      <c r="HK214" t="s">
        <v>4356</v>
      </c>
      <c r="HL214" t="s">
        <v>4356</v>
      </c>
      <c r="HM214" t="s">
        <v>4356</v>
      </c>
      <c r="HN214" t="s">
        <v>4356</v>
      </c>
      <c r="HO214" t="s">
        <v>4356</v>
      </c>
      <c r="HP214" t="s">
        <v>4356</v>
      </c>
      <c r="HQ214" t="s">
        <v>4356</v>
      </c>
      <c r="HR214" t="s">
        <v>4356</v>
      </c>
      <c r="HS214" t="s">
        <v>4356</v>
      </c>
      <c r="HT214" t="s">
        <v>4356</v>
      </c>
      <c r="HU214" t="s">
        <v>4356</v>
      </c>
      <c r="HV214" t="s">
        <v>4356</v>
      </c>
      <c r="HW214" t="s">
        <v>4356</v>
      </c>
      <c r="HX214" t="s">
        <v>4356</v>
      </c>
      <c r="HY214" t="s">
        <v>4356</v>
      </c>
      <c r="HZ214" t="s">
        <v>4356</v>
      </c>
      <c r="IA214" t="s">
        <v>4356</v>
      </c>
      <c r="IB214" t="s">
        <v>4356</v>
      </c>
      <c r="IC214" t="s">
        <v>4356</v>
      </c>
      <c r="ID214" t="s">
        <v>4356</v>
      </c>
      <c r="IE214" t="s">
        <v>4356</v>
      </c>
      <c r="IF214" t="s">
        <v>4356</v>
      </c>
      <c r="IG214" t="s">
        <v>4356</v>
      </c>
      <c r="IH214" t="s">
        <v>4356</v>
      </c>
      <c r="II214" t="s">
        <v>4356</v>
      </c>
      <c r="IJ214" t="s">
        <v>4356</v>
      </c>
      <c r="IK214" t="s">
        <v>4356</v>
      </c>
      <c r="IL214" t="s">
        <v>4356</v>
      </c>
      <c r="IM214" t="s">
        <v>4356</v>
      </c>
      <c r="IN214" t="s">
        <v>4356</v>
      </c>
      <c r="IO214" t="s">
        <v>4356</v>
      </c>
      <c r="IP214" t="s">
        <v>4356</v>
      </c>
      <c r="IQ214" t="s">
        <v>4356</v>
      </c>
      <c r="IR214" t="s">
        <v>4356</v>
      </c>
      <c r="IS214" t="s">
        <v>4356</v>
      </c>
      <c r="IT214" t="s">
        <v>4356</v>
      </c>
      <c r="IU214" t="s">
        <v>4356</v>
      </c>
      <c r="IV214" t="s">
        <v>4356</v>
      </c>
      <c r="IW214" t="s">
        <v>4356</v>
      </c>
      <c r="IX214" t="s">
        <v>4356</v>
      </c>
      <c r="IY214" t="s">
        <v>4356</v>
      </c>
      <c r="IZ214" t="s">
        <v>4356</v>
      </c>
      <c r="JA214" t="s">
        <v>4356</v>
      </c>
      <c r="JB214" t="s">
        <v>4356</v>
      </c>
      <c r="JC214" t="s">
        <v>4356</v>
      </c>
      <c r="JD214" t="s">
        <v>4356</v>
      </c>
      <c r="JE214" t="s">
        <v>4356</v>
      </c>
      <c r="JF214" t="s">
        <v>4356</v>
      </c>
      <c r="JG214" t="s">
        <v>4356</v>
      </c>
      <c r="JH214" t="s">
        <v>4356</v>
      </c>
      <c r="JI214" t="s">
        <v>4356</v>
      </c>
      <c r="JJ214" t="s">
        <v>4356</v>
      </c>
      <c r="JK214" t="s">
        <v>4356</v>
      </c>
      <c r="JL214" t="s">
        <v>4356</v>
      </c>
      <c r="JM214" t="s">
        <v>4356</v>
      </c>
      <c r="JN214" t="s">
        <v>4356</v>
      </c>
      <c r="JO214" t="s">
        <v>4356</v>
      </c>
      <c r="JP214" t="s">
        <v>4356</v>
      </c>
      <c r="JQ214" t="s">
        <v>4356</v>
      </c>
      <c r="JR214" t="s">
        <v>4356</v>
      </c>
      <c r="JS214" t="s">
        <v>4356</v>
      </c>
      <c r="JT214" t="s">
        <v>4356</v>
      </c>
      <c r="JU214" t="s">
        <v>4356</v>
      </c>
    </row>
    <row r="215" spans="2:281" x14ac:dyDescent="0.3">
      <c r="CK215" t="s">
        <v>4384</v>
      </c>
      <c r="CL215" t="s">
        <v>4384</v>
      </c>
      <c r="CM215" t="s">
        <v>4384</v>
      </c>
      <c r="CN215" t="s">
        <v>4384</v>
      </c>
      <c r="CO215" t="s">
        <v>4381</v>
      </c>
      <c r="CP215" t="s">
        <v>4381</v>
      </c>
      <c r="CQ215" t="s">
        <v>4381</v>
      </c>
      <c r="CR215" t="s">
        <v>4381</v>
      </c>
      <c r="CS215" t="s">
        <v>4381</v>
      </c>
      <c r="CT215" t="s">
        <v>4381</v>
      </c>
      <c r="CU215" t="s">
        <v>4381</v>
      </c>
      <c r="CV215" t="s">
        <v>4381</v>
      </c>
      <c r="CW215" t="s">
        <v>4381</v>
      </c>
      <c r="CX215" t="s">
        <v>4381</v>
      </c>
      <c r="CY215" t="s">
        <v>4381</v>
      </c>
      <c r="CZ215" t="s">
        <v>4381</v>
      </c>
      <c r="DA215" t="s">
        <v>4381</v>
      </c>
      <c r="DB215" t="s">
        <v>4381</v>
      </c>
      <c r="DC215" t="s">
        <v>4381</v>
      </c>
      <c r="DD215" t="s">
        <v>4381</v>
      </c>
      <c r="DE215" t="s">
        <v>4385</v>
      </c>
      <c r="DF215" t="s">
        <v>4385</v>
      </c>
      <c r="DG215" t="s">
        <v>4385</v>
      </c>
      <c r="DH215" t="s">
        <v>4385</v>
      </c>
      <c r="DI215" t="s">
        <v>4385</v>
      </c>
      <c r="DJ215" t="s">
        <v>4385</v>
      </c>
      <c r="DK215" t="s">
        <v>4385</v>
      </c>
      <c r="DL215" t="s">
        <v>4385</v>
      </c>
      <c r="DM215" t="s">
        <v>4385</v>
      </c>
      <c r="DN215" t="s">
        <v>4385</v>
      </c>
      <c r="DO215" t="s">
        <v>4385</v>
      </c>
      <c r="DP215" t="s">
        <v>4385</v>
      </c>
      <c r="DQ215" t="s">
        <v>4356</v>
      </c>
      <c r="DR215" t="s">
        <v>4356</v>
      </c>
      <c r="DS215" t="s">
        <v>4356</v>
      </c>
      <c r="DT215" t="s">
        <v>4356</v>
      </c>
      <c r="DU215" t="s">
        <v>4356</v>
      </c>
      <c r="DV215" t="s">
        <v>4356</v>
      </c>
      <c r="DW215" t="s">
        <v>4356</v>
      </c>
      <c r="DX215" t="s">
        <v>4356</v>
      </c>
      <c r="DY215" t="s">
        <v>4356</v>
      </c>
      <c r="DZ215" t="s">
        <v>4356</v>
      </c>
      <c r="EA215" t="s">
        <v>4356</v>
      </c>
      <c r="EB215" t="s">
        <v>4356</v>
      </c>
      <c r="EC215" t="s">
        <v>4356</v>
      </c>
      <c r="ED215" t="s">
        <v>4356</v>
      </c>
      <c r="EE215" t="s">
        <v>4356</v>
      </c>
      <c r="EF215" t="s">
        <v>4356</v>
      </c>
      <c r="EG215" t="s">
        <v>4356</v>
      </c>
      <c r="EH215" t="s">
        <v>4356</v>
      </c>
      <c r="EI215" t="s">
        <v>4356</v>
      </c>
      <c r="EJ215" t="s">
        <v>4356</v>
      </c>
      <c r="EK215" t="s">
        <v>4356</v>
      </c>
      <c r="EL215" t="s">
        <v>4356</v>
      </c>
      <c r="EM215" t="s">
        <v>4356</v>
      </c>
      <c r="EU215" t="s">
        <v>4356</v>
      </c>
      <c r="EV215" t="s">
        <v>4356</v>
      </c>
      <c r="EW215" t="s">
        <v>4356</v>
      </c>
      <c r="EZ215" t="s">
        <v>4356</v>
      </c>
      <c r="FA215" t="s">
        <v>4356</v>
      </c>
      <c r="FB215" t="s">
        <v>4356</v>
      </c>
      <c r="FC215" t="s">
        <v>4356</v>
      </c>
      <c r="FD215" t="s">
        <v>4356</v>
      </c>
      <c r="FE215" t="s">
        <v>4356</v>
      </c>
      <c r="FF215" t="s">
        <v>4356</v>
      </c>
      <c r="FG215" t="s">
        <v>4356</v>
      </c>
      <c r="FH215" t="s">
        <v>4356</v>
      </c>
      <c r="FI215" t="s">
        <v>4356</v>
      </c>
      <c r="FJ215" t="s">
        <v>4356</v>
      </c>
      <c r="FK215" t="s">
        <v>4356</v>
      </c>
      <c r="FL215" t="s">
        <v>4356</v>
      </c>
      <c r="FM215" t="s">
        <v>4356</v>
      </c>
      <c r="FN215" t="s">
        <v>4356</v>
      </c>
      <c r="FO215" t="s">
        <v>4356</v>
      </c>
      <c r="FP215" t="s">
        <v>4356</v>
      </c>
      <c r="FQ215" t="s">
        <v>4356</v>
      </c>
      <c r="FR215" t="s">
        <v>4356</v>
      </c>
      <c r="FS215" t="s">
        <v>4356</v>
      </c>
      <c r="FT215" t="s">
        <v>4356</v>
      </c>
      <c r="FU215" t="s">
        <v>4356</v>
      </c>
      <c r="FV215" t="s">
        <v>4356</v>
      </c>
      <c r="FW215" t="s">
        <v>4356</v>
      </c>
      <c r="FX215" t="s">
        <v>4356</v>
      </c>
      <c r="FY215" t="s">
        <v>4356</v>
      </c>
      <c r="FZ215" t="s">
        <v>4356</v>
      </c>
      <c r="GA215" t="s">
        <v>4356</v>
      </c>
      <c r="GB215" t="s">
        <v>4356</v>
      </c>
      <c r="GC215" t="s">
        <v>4356</v>
      </c>
      <c r="GD215" t="s">
        <v>4356</v>
      </c>
      <c r="GE215" t="s">
        <v>4356</v>
      </c>
      <c r="GF215" t="s">
        <v>4356</v>
      </c>
      <c r="GG215" t="s">
        <v>4356</v>
      </c>
      <c r="GH215" t="s">
        <v>4356</v>
      </c>
      <c r="GI215" t="s">
        <v>4356</v>
      </c>
      <c r="GJ215" t="s">
        <v>4356</v>
      </c>
      <c r="GK215" t="s">
        <v>4356</v>
      </c>
      <c r="GL215" t="s">
        <v>4356</v>
      </c>
      <c r="GM215" t="s">
        <v>4356</v>
      </c>
      <c r="GN215" t="s">
        <v>4356</v>
      </c>
      <c r="GO215" t="s">
        <v>4356</v>
      </c>
      <c r="GP215" t="s">
        <v>4356</v>
      </c>
      <c r="GQ215" t="s">
        <v>4356</v>
      </c>
      <c r="GR215" t="s">
        <v>4356</v>
      </c>
      <c r="GS215" t="s">
        <v>4356</v>
      </c>
      <c r="GT215" t="s">
        <v>4356</v>
      </c>
      <c r="GU215" t="s">
        <v>4356</v>
      </c>
      <c r="GV215" t="s">
        <v>4356</v>
      </c>
      <c r="GW215" t="s">
        <v>4356</v>
      </c>
      <c r="HB215" t="s">
        <v>4356</v>
      </c>
      <c r="HC215" t="s">
        <v>4356</v>
      </c>
      <c r="HD215" t="s">
        <v>4356</v>
      </c>
      <c r="HE215" t="s">
        <v>4356</v>
      </c>
      <c r="HF215" t="s">
        <v>4356</v>
      </c>
      <c r="HG215" t="s">
        <v>4356</v>
      </c>
      <c r="HH215" t="s">
        <v>4356</v>
      </c>
      <c r="HI215" t="s">
        <v>4356</v>
      </c>
      <c r="HJ215" t="s">
        <v>4356</v>
      </c>
      <c r="HK215" t="s">
        <v>4356</v>
      </c>
      <c r="HL215" t="s">
        <v>4356</v>
      </c>
      <c r="HM215" t="s">
        <v>4356</v>
      </c>
      <c r="HN215" t="s">
        <v>4356</v>
      </c>
      <c r="HO215" t="s">
        <v>4356</v>
      </c>
      <c r="HP215" t="s">
        <v>4356</v>
      </c>
      <c r="HQ215" t="s">
        <v>4356</v>
      </c>
      <c r="HR215" t="s">
        <v>4356</v>
      </c>
      <c r="HS215" t="s">
        <v>4356</v>
      </c>
      <c r="HT215" t="s">
        <v>4356</v>
      </c>
      <c r="HU215" t="s">
        <v>4356</v>
      </c>
      <c r="HV215" t="s">
        <v>4356</v>
      </c>
      <c r="HW215" t="s">
        <v>4356</v>
      </c>
      <c r="HX215" t="s">
        <v>4356</v>
      </c>
      <c r="HY215" t="s">
        <v>4356</v>
      </c>
      <c r="HZ215" t="s">
        <v>4356</v>
      </c>
      <c r="IA215" t="s">
        <v>4356</v>
      </c>
      <c r="IB215" t="s">
        <v>4356</v>
      </c>
      <c r="IC215" t="s">
        <v>4356</v>
      </c>
      <c r="ID215" t="s">
        <v>4356</v>
      </c>
      <c r="IE215" t="s">
        <v>4356</v>
      </c>
      <c r="IF215" t="s">
        <v>4356</v>
      </c>
      <c r="IG215" t="s">
        <v>4356</v>
      </c>
      <c r="IH215" t="s">
        <v>4356</v>
      </c>
      <c r="II215" t="s">
        <v>4356</v>
      </c>
      <c r="IJ215" t="s">
        <v>4356</v>
      </c>
      <c r="IK215" t="s">
        <v>4356</v>
      </c>
      <c r="IL215" t="s">
        <v>4356</v>
      </c>
      <c r="IM215" t="s">
        <v>4356</v>
      </c>
      <c r="IN215" t="s">
        <v>4356</v>
      </c>
      <c r="IO215" t="s">
        <v>4356</v>
      </c>
      <c r="IP215" t="s">
        <v>4356</v>
      </c>
      <c r="IQ215" t="s">
        <v>4356</v>
      </c>
      <c r="IR215" t="s">
        <v>4356</v>
      </c>
      <c r="IS215" t="s">
        <v>4356</v>
      </c>
      <c r="IT215" t="s">
        <v>4356</v>
      </c>
      <c r="IU215" t="s">
        <v>4356</v>
      </c>
      <c r="IV215" t="s">
        <v>4356</v>
      </c>
      <c r="IW215" t="s">
        <v>4356</v>
      </c>
      <c r="IX215" t="s">
        <v>4356</v>
      </c>
      <c r="IY215" t="s">
        <v>4356</v>
      </c>
      <c r="IZ215" t="s">
        <v>4356</v>
      </c>
      <c r="JA215" t="s">
        <v>4356</v>
      </c>
      <c r="JB215" t="s">
        <v>4356</v>
      </c>
      <c r="JC215" t="s">
        <v>4356</v>
      </c>
      <c r="JD215" t="s">
        <v>4356</v>
      </c>
      <c r="JE215" t="s">
        <v>4356</v>
      </c>
      <c r="JF215" t="s">
        <v>4356</v>
      </c>
      <c r="JG215" t="s">
        <v>4356</v>
      </c>
      <c r="JH215" t="s">
        <v>4356</v>
      </c>
      <c r="JI215" t="s">
        <v>4356</v>
      </c>
      <c r="JJ215" t="s">
        <v>4356</v>
      </c>
      <c r="JK215" t="s">
        <v>4356</v>
      </c>
      <c r="JL215" t="s">
        <v>4356</v>
      </c>
      <c r="JM215" t="s">
        <v>4356</v>
      </c>
      <c r="JN215" t="s">
        <v>4356</v>
      </c>
      <c r="JO215" t="s">
        <v>4356</v>
      </c>
      <c r="JP215" t="s">
        <v>4356</v>
      </c>
      <c r="JQ215" t="s">
        <v>4356</v>
      </c>
      <c r="JR215" t="s">
        <v>4356</v>
      </c>
      <c r="JS215" t="s">
        <v>4356</v>
      </c>
      <c r="JT215" t="s">
        <v>4356</v>
      </c>
      <c r="JU215" t="s">
        <v>4356</v>
      </c>
    </row>
    <row r="216" spans="2:281" x14ac:dyDescent="0.3">
      <c r="CL216" t="s">
        <v>4384</v>
      </c>
      <c r="CM216" t="s">
        <v>4384</v>
      </c>
      <c r="CN216" t="s">
        <v>4384</v>
      </c>
      <c r="CO216" t="s">
        <v>4384</v>
      </c>
      <c r="CP216" t="s">
        <v>4381</v>
      </c>
      <c r="CQ216" t="s">
        <v>4381</v>
      </c>
      <c r="CR216" t="s">
        <v>4381</v>
      </c>
      <c r="CS216" t="s">
        <v>4381</v>
      </c>
      <c r="CT216" t="s">
        <v>4381</v>
      </c>
      <c r="CU216" t="s">
        <v>4381</v>
      </c>
      <c r="CV216" t="s">
        <v>4381</v>
      </c>
      <c r="CW216" t="s">
        <v>4381</v>
      </c>
      <c r="CX216" t="s">
        <v>4381</v>
      </c>
      <c r="CY216" t="s">
        <v>4381</v>
      </c>
      <c r="CZ216" t="s">
        <v>4381</v>
      </c>
      <c r="DA216" t="s">
        <v>4381</v>
      </c>
      <c r="DB216" t="s">
        <v>4381</v>
      </c>
      <c r="DC216" t="s">
        <v>4381</v>
      </c>
      <c r="DD216" t="s">
        <v>4381</v>
      </c>
      <c r="DE216" t="s">
        <v>4385</v>
      </c>
      <c r="DF216" t="s">
        <v>4385</v>
      </c>
      <c r="DG216" t="s">
        <v>4385</v>
      </c>
      <c r="DH216" t="s">
        <v>4385</v>
      </c>
      <c r="DI216" t="s">
        <v>4385</v>
      </c>
      <c r="DJ216" t="s">
        <v>4385</v>
      </c>
      <c r="DK216" t="s">
        <v>4385</v>
      </c>
      <c r="DL216" t="s">
        <v>4385</v>
      </c>
      <c r="DM216" t="s">
        <v>4385</v>
      </c>
      <c r="DN216" t="s">
        <v>4385</v>
      </c>
      <c r="DO216" t="s">
        <v>4385</v>
      </c>
      <c r="DP216" t="s">
        <v>4385</v>
      </c>
      <c r="DQ216" t="s">
        <v>4356</v>
      </c>
      <c r="DR216" t="s">
        <v>4356</v>
      </c>
      <c r="DS216" t="s">
        <v>4356</v>
      </c>
      <c r="DT216" t="s">
        <v>4356</v>
      </c>
      <c r="DU216" t="s">
        <v>4356</v>
      </c>
      <c r="DV216" t="s">
        <v>4356</v>
      </c>
      <c r="DW216" t="s">
        <v>4356</v>
      </c>
      <c r="DX216" t="s">
        <v>4356</v>
      </c>
      <c r="DY216" t="s">
        <v>4356</v>
      </c>
      <c r="DZ216" t="s">
        <v>4356</v>
      </c>
      <c r="EA216" t="s">
        <v>4356</v>
      </c>
      <c r="EB216" t="s">
        <v>4356</v>
      </c>
      <c r="EC216" t="s">
        <v>4356</v>
      </c>
      <c r="ED216" t="s">
        <v>4356</v>
      </c>
      <c r="EE216" t="s">
        <v>4356</v>
      </c>
      <c r="EF216" t="s">
        <v>4356</v>
      </c>
      <c r="EG216" t="s">
        <v>4356</v>
      </c>
      <c r="EH216" t="s">
        <v>4356</v>
      </c>
      <c r="EI216" t="s">
        <v>4356</v>
      </c>
      <c r="EJ216" t="s">
        <v>4356</v>
      </c>
      <c r="EK216" t="s">
        <v>4356</v>
      </c>
      <c r="EL216" t="s">
        <v>4356</v>
      </c>
      <c r="EM216" t="s">
        <v>4356</v>
      </c>
      <c r="ET216" t="s">
        <v>4356</v>
      </c>
      <c r="EU216" t="s">
        <v>4356</v>
      </c>
      <c r="EV216" t="s">
        <v>4356</v>
      </c>
      <c r="FB216" t="s">
        <v>4356</v>
      </c>
      <c r="FC216" t="s">
        <v>4356</v>
      </c>
      <c r="FD216" t="s">
        <v>4356</v>
      </c>
      <c r="FE216" t="s">
        <v>4356</v>
      </c>
      <c r="FF216" t="s">
        <v>4356</v>
      </c>
      <c r="FG216" t="s">
        <v>4356</v>
      </c>
      <c r="FH216" t="s">
        <v>4356</v>
      </c>
      <c r="FI216" t="s">
        <v>4356</v>
      </c>
      <c r="FJ216" t="s">
        <v>4356</v>
      </c>
      <c r="FK216" t="s">
        <v>4356</v>
      </c>
      <c r="FL216" t="s">
        <v>4356</v>
      </c>
      <c r="FM216" t="s">
        <v>4356</v>
      </c>
      <c r="FN216" t="s">
        <v>4356</v>
      </c>
      <c r="FO216" t="s">
        <v>4356</v>
      </c>
      <c r="FP216" t="s">
        <v>4356</v>
      </c>
      <c r="FQ216" t="s">
        <v>4356</v>
      </c>
      <c r="FR216" t="s">
        <v>4356</v>
      </c>
      <c r="FS216" t="s">
        <v>4356</v>
      </c>
      <c r="FT216" t="s">
        <v>4356</v>
      </c>
      <c r="FU216" t="s">
        <v>4356</v>
      </c>
      <c r="FV216" t="s">
        <v>4356</v>
      </c>
      <c r="FW216" t="s">
        <v>4356</v>
      </c>
      <c r="FX216" t="s">
        <v>4356</v>
      </c>
      <c r="FY216" t="s">
        <v>4356</v>
      </c>
      <c r="FZ216" t="s">
        <v>4356</v>
      </c>
      <c r="GA216" t="s">
        <v>4356</v>
      </c>
      <c r="GB216" t="s">
        <v>4356</v>
      </c>
      <c r="GC216" t="s">
        <v>4356</v>
      </c>
      <c r="GD216" t="s">
        <v>4356</v>
      </c>
      <c r="GE216" t="s">
        <v>4356</v>
      </c>
      <c r="GF216" t="s">
        <v>4356</v>
      </c>
      <c r="GG216" t="s">
        <v>4356</v>
      </c>
      <c r="GH216" t="s">
        <v>4356</v>
      </c>
      <c r="GI216" t="s">
        <v>4356</v>
      </c>
      <c r="GJ216" t="s">
        <v>4356</v>
      </c>
      <c r="GK216" t="s">
        <v>4356</v>
      </c>
      <c r="GL216" t="s">
        <v>4356</v>
      </c>
      <c r="GM216" t="s">
        <v>4356</v>
      </c>
      <c r="GN216" t="s">
        <v>4356</v>
      </c>
      <c r="GO216" t="s">
        <v>4356</v>
      </c>
      <c r="GP216" t="s">
        <v>4356</v>
      </c>
      <c r="GQ216" t="s">
        <v>4356</v>
      </c>
      <c r="GR216" t="s">
        <v>4356</v>
      </c>
      <c r="GS216" t="s">
        <v>4356</v>
      </c>
      <c r="GT216" t="s">
        <v>4356</v>
      </c>
      <c r="GU216" t="s">
        <v>4356</v>
      </c>
      <c r="GV216" t="s">
        <v>4356</v>
      </c>
      <c r="GW216" t="s">
        <v>4356</v>
      </c>
      <c r="GX216" t="s">
        <v>4356</v>
      </c>
      <c r="HB216" t="s">
        <v>4356</v>
      </c>
      <c r="HC216" t="s">
        <v>4356</v>
      </c>
      <c r="HD216" t="s">
        <v>4356</v>
      </c>
      <c r="HE216" t="s">
        <v>4356</v>
      </c>
      <c r="HF216" t="s">
        <v>4356</v>
      </c>
      <c r="HG216" t="s">
        <v>4356</v>
      </c>
      <c r="HH216" t="s">
        <v>4356</v>
      </c>
      <c r="HI216" t="s">
        <v>4356</v>
      </c>
      <c r="HJ216" t="s">
        <v>4356</v>
      </c>
      <c r="HK216" t="s">
        <v>4356</v>
      </c>
      <c r="HL216" t="s">
        <v>4356</v>
      </c>
      <c r="HM216" t="s">
        <v>4356</v>
      </c>
      <c r="HN216" t="s">
        <v>4356</v>
      </c>
      <c r="HO216" t="s">
        <v>4356</v>
      </c>
      <c r="HP216" t="s">
        <v>4356</v>
      </c>
      <c r="HQ216" t="s">
        <v>4356</v>
      </c>
      <c r="HR216" t="s">
        <v>4356</v>
      </c>
      <c r="HS216" t="s">
        <v>4356</v>
      </c>
      <c r="HT216" t="s">
        <v>4356</v>
      </c>
      <c r="HU216" t="s">
        <v>4356</v>
      </c>
      <c r="HV216" t="s">
        <v>4356</v>
      </c>
      <c r="HW216" t="s">
        <v>4356</v>
      </c>
      <c r="HX216" t="s">
        <v>4356</v>
      </c>
      <c r="HY216" t="s">
        <v>4356</v>
      </c>
      <c r="HZ216" t="s">
        <v>4356</v>
      </c>
      <c r="IA216" t="s">
        <v>4356</v>
      </c>
      <c r="IB216" t="s">
        <v>4356</v>
      </c>
      <c r="IC216" t="s">
        <v>4356</v>
      </c>
      <c r="ID216" t="s">
        <v>4356</v>
      </c>
      <c r="IE216" t="s">
        <v>4356</v>
      </c>
      <c r="IF216" t="s">
        <v>4356</v>
      </c>
      <c r="IG216" t="s">
        <v>4356</v>
      </c>
      <c r="IH216" t="s">
        <v>4356</v>
      </c>
      <c r="II216" t="s">
        <v>4356</v>
      </c>
      <c r="IJ216" t="s">
        <v>4356</v>
      </c>
      <c r="IK216" t="s">
        <v>4356</v>
      </c>
      <c r="IL216" t="s">
        <v>4356</v>
      </c>
      <c r="IM216" t="s">
        <v>4356</v>
      </c>
      <c r="IN216" t="s">
        <v>4356</v>
      </c>
      <c r="IO216" t="s">
        <v>4356</v>
      </c>
      <c r="IP216" t="s">
        <v>4356</v>
      </c>
      <c r="IQ216" t="s">
        <v>4356</v>
      </c>
      <c r="IR216" t="s">
        <v>4356</v>
      </c>
      <c r="IS216" t="s">
        <v>4356</v>
      </c>
      <c r="IT216" t="s">
        <v>4356</v>
      </c>
      <c r="IU216" t="s">
        <v>4356</v>
      </c>
      <c r="IV216" t="s">
        <v>4356</v>
      </c>
      <c r="IW216" t="s">
        <v>4356</v>
      </c>
      <c r="IX216" t="s">
        <v>4356</v>
      </c>
      <c r="IY216" t="s">
        <v>4356</v>
      </c>
      <c r="IZ216" t="s">
        <v>4356</v>
      </c>
      <c r="JA216" t="s">
        <v>4356</v>
      </c>
      <c r="JB216" t="s">
        <v>4356</v>
      </c>
      <c r="JC216" t="s">
        <v>4356</v>
      </c>
      <c r="JD216" t="s">
        <v>4356</v>
      </c>
      <c r="JE216" t="s">
        <v>4356</v>
      </c>
      <c r="JF216" t="s">
        <v>4356</v>
      </c>
      <c r="JG216" t="s">
        <v>4356</v>
      </c>
      <c r="JH216" t="s">
        <v>4356</v>
      </c>
      <c r="JI216" t="s">
        <v>4356</v>
      </c>
      <c r="JJ216" t="s">
        <v>4356</v>
      </c>
      <c r="JK216" t="s">
        <v>4356</v>
      </c>
      <c r="JL216" t="s">
        <v>4356</v>
      </c>
      <c r="JM216" t="s">
        <v>4356</v>
      </c>
      <c r="JN216" t="s">
        <v>4356</v>
      </c>
      <c r="JO216" t="s">
        <v>4356</v>
      </c>
      <c r="JP216" t="s">
        <v>4356</v>
      </c>
      <c r="JQ216" t="s">
        <v>4356</v>
      </c>
      <c r="JR216" t="s">
        <v>4356</v>
      </c>
      <c r="JS216" t="s">
        <v>4356</v>
      </c>
      <c r="JT216" t="s">
        <v>4356</v>
      </c>
      <c r="JU216" t="s">
        <v>4356</v>
      </c>
    </row>
    <row r="217" spans="2:281" x14ac:dyDescent="0.3">
      <c r="CM217" t="s">
        <v>4384</v>
      </c>
      <c r="CN217" t="s">
        <v>4384</v>
      </c>
      <c r="CO217" t="s">
        <v>4384</v>
      </c>
      <c r="CP217" t="s">
        <v>4384</v>
      </c>
      <c r="CQ217" t="s">
        <v>4381</v>
      </c>
      <c r="CR217" t="s">
        <v>4381</v>
      </c>
      <c r="CS217" t="s">
        <v>4381</v>
      </c>
      <c r="CT217" t="s">
        <v>4381</v>
      </c>
      <c r="CU217" t="s">
        <v>4381</v>
      </c>
      <c r="CV217" t="s">
        <v>4381</v>
      </c>
      <c r="CW217" t="s">
        <v>4381</v>
      </c>
      <c r="CX217" t="s">
        <v>4381</v>
      </c>
      <c r="CY217" t="s">
        <v>4381</v>
      </c>
      <c r="CZ217" t="s">
        <v>4381</v>
      </c>
      <c r="DA217" t="s">
        <v>4381</v>
      </c>
      <c r="DB217" t="s">
        <v>4381</v>
      </c>
      <c r="DC217" t="s">
        <v>4381</v>
      </c>
      <c r="DD217" t="s">
        <v>4381</v>
      </c>
      <c r="DE217" t="s">
        <v>4385</v>
      </c>
      <c r="DF217" t="s">
        <v>4385</v>
      </c>
      <c r="DG217" t="s">
        <v>4385</v>
      </c>
      <c r="DH217" t="s">
        <v>4385</v>
      </c>
      <c r="DI217" t="s">
        <v>4385</v>
      </c>
      <c r="DJ217" t="s">
        <v>4385</v>
      </c>
      <c r="DK217" t="s">
        <v>4385</v>
      </c>
      <c r="DL217" t="s">
        <v>4385</v>
      </c>
      <c r="DM217" t="s">
        <v>4385</v>
      </c>
      <c r="DN217" t="s">
        <v>4385</v>
      </c>
      <c r="DO217" t="s">
        <v>4385</v>
      </c>
      <c r="DP217" t="s">
        <v>4385</v>
      </c>
      <c r="DQ217" t="s">
        <v>4385</v>
      </c>
      <c r="DR217" t="s">
        <v>4356</v>
      </c>
      <c r="DS217" t="s">
        <v>4356</v>
      </c>
      <c r="DT217" t="s">
        <v>4356</v>
      </c>
      <c r="DU217" t="s">
        <v>4356</v>
      </c>
      <c r="DV217" t="s">
        <v>4356</v>
      </c>
      <c r="DW217" t="s">
        <v>4356</v>
      </c>
      <c r="DX217" t="s">
        <v>4356</v>
      </c>
      <c r="DY217" t="s">
        <v>4356</v>
      </c>
      <c r="DZ217" t="s">
        <v>4356</v>
      </c>
      <c r="EA217" t="s">
        <v>4356</v>
      </c>
      <c r="EB217" t="s">
        <v>4356</v>
      </c>
      <c r="EC217" t="s">
        <v>4356</v>
      </c>
      <c r="ED217" t="s">
        <v>4356</v>
      </c>
      <c r="EE217" t="s">
        <v>4356</v>
      </c>
      <c r="EF217" t="s">
        <v>4356</v>
      </c>
      <c r="EG217" t="s">
        <v>4356</v>
      </c>
      <c r="EH217" t="s">
        <v>4356</v>
      </c>
      <c r="EI217" t="s">
        <v>4356</v>
      </c>
      <c r="EJ217" t="s">
        <v>4356</v>
      </c>
      <c r="EK217" t="s">
        <v>4356</v>
      </c>
      <c r="EL217" t="s">
        <v>4356</v>
      </c>
      <c r="ET217" t="s">
        <v>4356</v>
      </c>
      <c r="EU217" t="s">
        <v>4356</v>
      </c>
      <c r="EV217" t="s">
        <v>4356</v>
      </c>
      <c r="EW217" t="s">
        <v>4356</v>
      </c>
      <c r="EX217" t="s">
        <v>4356</v>
      </c>
      <c r="EY217" t="s">
        <v>4356</v>
      </c>
      <c r="FD217" t="s">
        <v>4356</v>
      </c>
      <c r="FE217" t="s">
        <v>4356</v>
      </c>
      <c r="FF217" t="s">
        <v>4356</v>
      </c>
      <c r="FG217" t="s">
        <v>4356</v>
      </c>
      <c r="FH217" t="s">
        <v>4356</v>
      </c>
      <c r="FI217" t="s">
        <v>4356</v>
      </c>
      <c r="FJ217" t="s">
        <v>4356</v>
      </c>
      <c r="FK217" t="s">
        <v>4356</v>
      </c>
      <c r="FL217" t="s">
        <v>4356</v>
      </c>
      <c r="FM217" t="s">
        <v>4356</v>
      </c>
      <c r="FN217" t="s">
        <v>4356</v>
      </c>
      <c r="FO217" t="s">
        <v>4356</v>
      </c>
      <c r="FP217" t="s">
        <v>4356</v>
      </c>
      <c r="FQ217" t="s">
        <v>4356</v>
      </c>
      <c r="FR217" t="s">
        <v>4356</v>
      </c>
      <c r="FS217" t="s">
        <v>4356</v>
      </c>
      <c r="FT217" t="s">
        <v>4356</v>
      </c>
      <c r="FU217" t="s">
        <v>4356</v>
      </c>
      <c r="FV217" t="s">
        <v>4356</v>
      </c>
      <c r="FW217" t="s">
        <v>4356</v>
      </c>
      <c r="FX217" t="s">
        <v>4356</v>
      </c>
      <c r="FY217" t="s">
        <v>4356</v>
      </c>
      <c r="FZ217" t="s">
        <v>4356</v>
      </c>
      <c r="GA217" t="s">
        <v>4356</v>
      </c>
      <c r="GB217" t="s">
        <v>4356</v>
      </c>
      <c r="GC217" t="s">
        <v>4356</v>
      </c>
      <c r="GD217" t="s">
        <v>4356</v>
      </c>
      <c r="GE217" t="s">
        <v>4356</v>
      </c>
      <c r="GF217" t="s">
        <v>4356</v>
      </c>
      <c r="GG217" t="s">
        <v>4356</v>
      </c>
      <c r="GH217" t="s">
        <v>4356</v>
      </c>
      <c r="GI217" t="s">
        <v>4356</v>
      </c>
      <c r="GJ217" t="s">
        <v>4356</v>
      </c>
      <c r="GK217" t="s">
        <v>4356</v>
      </c>
      <c r="GL217" t="s">
        <v>4356</v>
      </c>
      <c r="GM217" t="s">
        <v>4356</v>
      </c>
      <c r="GN217" t="s">
        <v>4356</v>
      </c>
      <c r="GO217" t="s">
        <v>4356</v>
      </c>
      <c r="GP217" t="s">
        <v>4356</v>
      </c>
      <c r="GQ217" t="s">
        <v>4356</v>
      </c>
      <c r="GR217" t="s">
        <v>4356</v>
      </c>
      <c r="GS217" t="s">
        <v>4356</v>
      </c>
      <c r="GT217" t="s">
        <v>4356</v>
      </c>
      <c r="GU217" t="s">
        <v>4356</v>
      </c>
      <c r="GV217" t="s">
        <v>4356</v>
      </c>
      <c r="GW217" t="s">
        <v>4356</v>
      </c>
      <c r="GX217" t="s">
        <v>4356</v>
      </c>
      <c r="GY217" t="s">
        <v>4356</v>
      </c>
      <c r="HD217" t="s">
        <v>4356</v>
      </c>
      <c r="HE217" t="s">
        <v>4356</v>
      </c>
      <c r="HF217" t="s">
        <v>4356</v>
      </c>
      <c r="HG217" t="s">
        <v>4356</v>
      </c>
      <c r="HH217" t="s">
        <v>4356</v>
      </c>
      <c r="HI217" t="s">
        <v>4356</v>
      </c>
      <c r="HJ217" t="s">
        <v>4356</v>
      </c>
      <c r="HK217" t="s">
        <v>4356</v>
      </c>
      <c r="HL217" t="s">
        <v>4356</v>
      </c>
      <c r="HM217" t="s">
        <v>4356</v>
      </c>
      <c r="HN217" t="s">
        <v>4356</v>
      </c>
      <c r="HO217" t="s">
        <v>4356</v>
      </c>
      <c r="HP217" t="s">
        <v>4356</v>
      </c>
      <c r="HQ217" t="s">
        <v>4356</v>
      </c>
      <c r="HR217" t="s">
        <v>4356</v>
      </c>
      <c r="HS217" t="s">
        <v>4356</v>
      </c>
      <c r="HT217" t="s">
        <v>4356</v>
      </c>
      <c r="HU217" t="s">
        <v>4356</v>
      </c>
      <c r="HV217" t="s">
        <v>4356</v>
      </c>
      <c r="HW217" t="s">
        <v>4356</v>
      </c>
      <c r="HX217" t="s">
        <v>4356</v>
      </c>
      <c r="HY217" t="s">
        <v>4356</v>
      </c>
      <c r="HZ217" t="s">
        <v>4356</v>
      </c>
      <c r="IA217" t="s">
        <v>4356</v>
      </c>
      <c r="IB217" t="s">
        <v>4356</v>
      </c>
      <c r="IC217" t="s">
        <v>4356</v>
      </c>
      <c r="ID217" t="s">
        <v>4356</v>
      </c>
      <c r="IE217" t="s">
        <v>4356</v>
      </c>
      <c r="IF217" t="s">
        <v>4356</v>
      </c>
      <c r="IG217" t="s">
        <v>4356</v>
      </c>
      <c r="IH217" t="s">
        <v>4356</v>
      </c>
      <c r="II217" t="s">
        <v>4356</v>
      </c>
      <c r="IJ217" t="s">
        <v>4356</v>
      </c>
      <c r="IK217" t="s">
        <v>4356</v>
      </c>
      <c r="IL217" t="s">
        <v>4356</v>
      </c>
      <c r="IM217" t="s">
        <v>4356</v>
      </c>
      <c r="IN217" t="s">
        <v>4356</v>
      </c>
      <c r="IO217" t="s">
        <v>4356</v>
      </c>
      <c r="IP217" t="s">
        <v>4356</v>
      </c>
      <c r="IQ217" t="s">
        <v>4356</v>
      </c>
      <c r="IR217" t="s">
        <v>4356</v>
      </c>
      <c r="IS217" t="s">
        <v>4356</v>
      </c>
      <c r="IT217" t="s">
        <v>4356</v>
      </c>
      <c r="IU217" t="s">
        <v>4356</v>
      </c>
      <c r="IV217" t="s">
        <v>4356</v>
      </c>
      <c r="IW217" t="s">
        <v>4356</v>
      </c>
      <c r="IX217" t="s">
        <v>4356</v>
      </c>
      <c r="IY217" t="s">
        <v>4356</v>
      </c>
      <c r="IZ217" t="s">
        <v>4356</v>
      </c>
      <c r="JA217" t="s">
        <v>4356</v>
      </c>
      <c r="JB217" t="s">
        <v>4356</v>
      </c>
      <c r="JC217" t="s">
        <v>4356</v>
      </c>
      <c r="JD217" t="s">
        <v>4356</v>
      </c>
      <c r="JE217" t="s">
        <v>4356</v>
      </c>
      <c r="JF217" t="s">
        <v>4356</v>
      </c>
      <c r="JG217" t="s">
        <v>4356</v>
      </c>
      <c r="JH217" t="s">
        <v>4356</v>
      </c>
      <c r="JI217" t="s">
        <v>4356</v>
      </c>
      <c r="JJ217" t="s">
        <v>4356</v>
      </c>
      <c r="JK217" t="s">
        <v>4356</v>
      </c>
      <c r="JL217" t="s">
        <v>4356</v>
      </c>
      <c r="JM217" t="s">
        <v>4356</v>
      </c>
      <c r="JN217" t="s">
        <v>4356</v>
      </c>
      <c r="JO217" t="s">
        <v>4356</v>
      </c>
      <c r="JP217" t="s">
        <v>4356</v>
      </c>
      <c r="JQ217" t="s">
        <v>4356</v>
      </c>
      <c r="JR217" t="s">
        <v>4356</v>
      </c>
      <c r="JS217" t="s">
        <v>4356</v>
      </c>
      <c r="JT217" t="s">
        <v>4356</v>
      </c>
      <c r="JU217" t="s">
        <v>4356</v>
      </c>
    </row>
    <row r="218" spans="2:281" x14ac:dyDescent="0.3">
      <c r="B218" t="s">
        <v>4387</v>
      </c>
      <c r="CO218" t="s">
        <v>4384</v>
      </c>
      <c r="CP218" t="s">
        <v>4384</v>
      </c>
      <c r="CQ218" t="s">
        <v>4384</v>
      </c>
      <c r="CR218" t="s">
        <v>4384</v>
      </c>
      <c r="CS218" t="s">
        <v>4384</v>
      </c>
      <c r="CT218" t="s">
        <v>4381</v>
      </c>
      <c r="CU218" t="s">
        <v>4381</v>
      </c>
      <c r="CV218" t="s">
        <v>4381</v>
      </c>
      <c r="CW218" t="s">
        <v>4381</v>
      </c>
      <c r="CX218" t="s">
        <v>4381</v>
      </c>
      <c r="CY218" t="s">
        <v>4381</v>
      </c>
      <c r="CZ218" t="s">
        <v>4381</v>
      </c>
      <c r="DA218" t="s">
        <v>4381</v>
      </c>
      <c r="DB218" t="s">
        <v>4381</v>
      </c>
      <c r="DC218" t="s">
        <v>4381</v>
      </c>
      <c r="DD218" t="s">
        <v>4385</v>
      </c>
      <c r="DE218" t="s">
        <v>4385</v>
      </c>
      <c r="DF218" t="s">
        <v>4385</v>
      </c>
      <c r="DG218" t="s">
        <v>4385</v>
      </c>
      <c r="DH218" t="s">
        <v>4385</v>
      </c>
      <c r="DI218" t="s">
        <v>4385</v>
      </c>
      <c r="DJ218" t="s">
        <v>4385</v>
      </c>
      <c r="DK218" t="s">
        <v>4385</v>
      </c>
      <c r="DL218" t="s">
        <v>4385</v>
      </c>
      <c r="DM218" t="s">
        <v>4385</v>
      </c>
      <c r="DN218" t="s">
        <v>4385</v>
      </c>
      <c r="DO218" t="s">
        <v>4356</v>
      </c>
      <c r="DP218" t="s">
        <v>4356</v>
      </c>
      <c r="DQ218" t="s">
        <v>4356</v>
      </c>
      <c r="DR218" t="s">
        <v>4356</v>
      </c>
      <c r="DS218" t="s">
        <v>4356</v>
      </c>
      <c r="DT218" t="s">
        <v>4356</v>
      </c>
      <c r="DU218" t="s">
        <v>4356</v>
      </c>
      <c r="DV218" t="s">
        <v>4356</v>
      </c>
      <c r="DW218" t="s">
        <v>4356</v>
      </c>
      <c r="DX218" t="s">
        <v>4356</v>
      </c>
      <c r="DY218" t="s">
        <v>4356</v>
      </c>
      <c r="DZ218" t="s">
        <v>4356</v>
      </c>
      <c r="EA218" t="s">
        <v>4356</v>
      </c>
      <c r="EB218" t="s">
        <v>4356</v>
      </c>
      <c r="EC218" t="s">
        <v>4356</v>
      </c>
      <c r="ED218" t="s">
        <v>4356</v>
      </c>
      <c r="EE218" t="s">
        <v>4356</v>
      </c>
      <c r="EF218" t="s">
        <v>4356</v>
      </c>
      <c r="EG218" t="s">
        <v>4356</v>
      </c>
      <c r="EH218" t="s">
        <v>4356</v>
      </c>
      <c r="EI218" t="s">
        <v>4356</v>
      </c>
      <c r="ET218" t="s">
        <v>4356</v>
      </c>
      <c r="EU218" t="s">
        <v>4356</v>
      </c>
      <c r="EV218" t="s">
        <v>4356</v>
      </c>
      <c r="EW218" t="s">
        <v>4356</v>
      </c>
      <c r="EX218" t="s">
        <v>4356</v>
      </c>
      <c r="FH218" t="s">
        <v>4356</v>
      </c>
      <c r="FI218" t="s">
        <v>4356</v>
      </c>
      <c r="FJ218" t="s">
        <v>4356</v>
      </c>
      <c r="FK218" t="s">
        <v>4356</v>
      </c>
      <c r="FL218" t="s">
        <v>4356</v>
      </c>
      <c r="FP218" t="s">
        <v>4356</v>
      </c>
      <c r="FQ218" t="s">
        <v>4356</v>
      </c>
      <c r="FR218" t="s">
        <v>4356</v>
      </c>
      <c r="FS218" t="s">
        <v>4356</v>
      </c>
      <c r="FT218" t="s">
        <v>4356</v>
      </c>
      <c r="FU218" t="s">
        <v>4356</v>
      </c>
      <c r="FV218" t="s">
        <v>4356</v>
      </c>
      <c r="FW218" t="s">
        <v>4356</v>
      </c>
      <c r="FX218" t="s">
        <v>4356</v>
      </c>
      <c r="FY218" t="s">
        <v>4356</v>
      </c>
      <c r="FZ218" t="s">
        <v>4356</v>
      </c>
      <c r="GA218" t="s">
        <v>4356</v>
      </c>
      <c r="GB218" t="s">
        <v>4356</v>
      </c>
      <c r="GC218" t="s">
        <v>4356</v>
      </c>
      <c r="GD218" t="s">
        <v>4356</v>
      </c>
      <c r="GE218" t="s">
        <v>4356</v>
      </c>
      <c r="GF218" t="s">
        <v>4356</v>
      </c>
      <c r="GG218" t="s">
        <v>4356</v>
      </c>
      <c r="GH218" t="s">
        <v>4356</v>
      </c>
      <c r="GI218" t="s">
        <v>4356</v>
      </c>
      <c r="GJ218" t="s">
        <v>4356</v>
      </c>
      <c r="GK218" t="s">
        <v>4356</v>
      </c>
      <c r="GL218" t="s">
        <v>4356</v>
      </c>
      <c r="GM218" t="s">
        <v>4356</v>
      </c>
      <c r="GN218" t="s">
        <v>4356</v>
      </c>
      <c r="GO218" t="s">
        <v>4356</v>
      </c>
      <c r="GQ218" t="s">
        <v>4356</v>
      </c>
      <c r="GR218" t="s">
        <v>4356</v>
      </c>
      <c r="GS218" t="s">
        <v>4356</v>
      </c>
      <c r="GT218" t="s">
        <v>4356</v>
      </c>
      <c r="GU218" t="s">
        <v>4356</v>
      </c>
      <c r="GV218" t="s">
        <v>4356</v>
      </c>
      <c r="GW218" t="s">
        <v>4356</v>
      </c>
      <c r="GX218" t="s">
        <v>4356</v>
      </c>
      <c r="GY218" t="s">
        <v>4356</v>
      </c>
      <c r="GZ218" t="s">
        <v>4356</v>
      </c>
      <c r="HC218" t="s">
        <v>4356</v>
      </c>
      <c r="HD218" t="s">
        <v>4356</v>
      </c>
      <c r="HE218" t="s">
        <v>4356</v>
      </c>
      <c r="HF218" t="s">
        <v>4356</v>
      </c>
      <c r="HG218" t="s">
        <v>4356</v>
      </c>
      <c r="HH218" t="s">
        <v>4356</v>
      </c>
      <c r="HI218" t="s">
        <v>4356</v>
      </c>
      <c r="HJ218" t="s">
        <v>4356</v>
      </c>
      <c r="HK218" t="s">
        <v>4356</v>
      </c>
      <c r="HL218" t="s">
        <v>4356</v>
      </c>
      <c r="HM218" t="s">
        <v>4356</v>
      </c>
      <c r="HN218" t="s">
        <v>4356</v>
      </c>
      <c r="HO218" t="s">
        <v>4356</v>
      </c>
      <c r="HP218" t="s">
        <v>4356</v>
      </c>
      <c r="HQ218" t="s">
        <v>4356</v>
      </c>
      <c r="HR218" t="s">
        <v>4356</v>
      </c>
      <c r="HS218" t="s">
        <v>4356</v>
      </c>
      <c r="HT218" t="s">
        <v>4356</v>
      </c>
      <c r="HU218" t="s">
        <v>4356</v>
      </c>
      <c r="HV218" t="s">
        <v>4356</v>
      </c>
      <c r="HW218" t="s">
        <v>4356</v>
      </c>
      <c r="HX218" t="s">
        <v>4356</v>
      </c>
      <c r="HY218" t="s">
        <v>4356</v>
      </c>
      <c r="HZ218" t="s">
        <v>4356</v>
      </c>
      <c r="IA218" t="s">
        <v>4356</v>
      </c>
      <c r="IB218" t="s">
        <v>4356</v>
      </c>
      <c r="IC218" t="s">
        <v>4356</v>
      </c>
      <c r="ID218" t="s">
        <v>4356</v>
      </c>
      <c r="IE218" t="s">
        <v>4356</v>
      </c>
      <c r="IF218" t="s">
        <v>4356</v>
      </c>
      <c r="IG218" t="s">
        <v>4356</v>
      </c>
      <c r="IH218" t="s">
        <v>4356</v>
      </c>
      <c r="II218" t="s">
        <v>4356</v>
      </c>
      <c r="IJ218" t="s">
        <v>4356</v>
      </c>
      <c r="IK218" t="s">
        <v>4356</v>
      </c>
      <c r="IL218" t="s">
        <v>4356</v>
      </c>
      <c r="IM218" t="s">
        <v>4356</v>
      </c>
      <c r="IN218" t="s">
        <v>4356</v>
      </c>
      <c r="IO218" t="s">
        <v>4356</v>
      </c>
      <c r="IP218" t="s">
        <v>4356</v>
      </c>
      <c r="IQ218" t="s">
        <v>4356</v>
      </c>
      <c r="IR218" t="s">
        <v>4356</v>
      </c>
      <c r="IS218" t="s">
        <v>4356</v>
      </c>
      <c r="IT218" t="s">
        <v>4356</v>
      </c>
      <c r="IU218" t="s">
        <v>4356</v>
      </c>
      <c r="IV218" t="s">
        <v>4356</v>
      </c>
      <c r="IW218" t="s">
        <v>4356</v>
      </c>
      <c r="IX218" t="s">
        <v>4356</v>
      </c>
      <c r="IY218" t="s">
        <v>4356</v>
      </c>
      <c r="IZ218" t="s">
        <v>4356</v>
      </c>
      <c r="JA218" t="s">
        <v>4356</v>
      </c>
      <c r="JB218" t="s">
        <v>4356</v>
      </c>
      <c r="JC218" t="s">
        <v>4356</v>
      </c>
      <c r="JD218" t="s">
        <v>4356</v>
      </c>
      <c r="JE218" t="s">
        <v>4356</v>
      </c>
      <c r="JF218" t="s">
        <v>4356</v>
      </c>
      <c r="JG218" t="s">
        <v>4356</v>
      </c>
      <c r="JH218" t="s">
        <v>4356</v>
      </c>
      <c r="JI218" t="s">
        <v>4356</v>
      </c>
      <c r="JJ218" t="s">
        <v>4356</v>
      </c>
      <c r="JK218" t="s">
        <v>4356</v>
      </c>
      <c r="JL218" t="s">
        <v>4356</v>
      </c>
      <c r="JM218" t="s">
        <v>4356</v>
      </c>
      <c r="JN218" t="s">
        <v>4356</v>
      </c>
      <c r="JO218" t="s">
        <v>4356</v>
      </c>
      <c r="JP218" t="s">
        <v>4356</v>
      </c>
      <c r="JQ218" t="s">
        <v>4356</v>
      </c>
      <c r="JR218" t="s">
        <v>4356</v>
      </c>
      <c r="JS218" t="s">
        <v>4356</v>
      </c>
      <c r="JT218" t="s">
        <v>4356</v>
      </c>
      <c r="JU218" t="s">
        <v>4356</v>
      </c>
    </row>
    <row r="219" spans="2:281" x14ac:dyDescent="0.3">
      <c r="B219" t="s">
        <v>4387</v>
      </c>
      <c r="C219" t="s">
        <v>4387</v>
      </c>
      <c r="D219" t="s">
        <v>4387</v>
      </c>
      <c r="E219" t="s">
        <v>4387</v>
      </c>
      <c r="F219" t="s">
        <v>4387</v>
      </c>
      <c r="G219" t="s">
        <v>4387</v>
      </c>
      <c r="CR219" t="s">
        <v>4384</v>
      </c>
      <c r="CS219" t="s">
        <v>4384</v>
      </c>
      <c r="CT219" t="s">
        <v>4384</v>
      </c>
      <c r="CU219" t="s">
        <v>4384</v>
      </c>
      <c r="CV219" t="s">
        <v>4384</v>
      </c>
      <c r="CW219" t="s">
        <v>4384</v>
      </c>
      <c r="CX219" t="s">
        <v>4381</v>
      </c>
      <c r="CY219" t="s">
        <v>4381</v>
      </c>
      <c r="CZ219" t="s">
        <v>4381</v>
      </c>
      <c r="DA219" t="s">
        <v>4385</v>
      </c>
      <c r="DB219" t="s">
        <v>4385</v>
      </c>
      <c r="DC219" t="s">
        <v>4385</v>
      </c>
      <c r="DD219" t="s">
        <v>4385</v>
      </c>
      <c r="DE219" t="s">
        <v>4385</v>
      </c>
      <c r="DF219" t="s">
        <v>4385</v>
      </c>
      <c r="DG219" t="s">
        <v>4384</v>
      </c>
      <c r="DH219" t="s">
        <v>4385</v>
      </c>
      <c r="DI219" t="s">
        <v>4385</v>
      </c>
      <c r="DJ219" t="s">
        <v>4385</v>
      </c>
      <c r="DK219" t="s">
        <v>4385</v>
      </c>
      <c r="DL219" t="s">
        <v>4385</v>
      </c>
      <c r="DM219" t="s">
        <v>4385</v>
      </c>
      <c r="DN219" t="s">
        <v>4385</v>
      </c>
      <c r="DO219" t="s">
        <v>4356</v>
      </c>
      <c r="DP219" t="s">
        <v>4356</v>
      </c>
      <c r="DQ219" t="s">
        <v>4356</v>
      </c>
      <c r="DR219" t="s">
        <v>4356</v>
      </c>
      <c r="DS219" t="s">
        <v>4356</v>
      </c>
      <c r="DT219" t="s">
        <v>4356</v>
      </c>
      <c r="DU219" t="s">
        <v>4356</v>
      </c>
      <c r="DV219" t="s">
        <v>4356</v>
      </c>
      <c r="DW219" t="s">
        <v>4356</v>
      </c>
      <c r="DX219" t="s">
        <v>4356</v>
      </c>
      <c r="DY219" t="s">
        <v>4356</v>
      </c>
      <c r="DZ219" t="s">
        <v>4356</v>
      </c>
      <c r="EA219" t="s">
        <v>4356</v>
      </c>
      <c r="EB219" t="s">
        <v>4356</v>
      </c>
      <c r="EC219" t="s">
        <v>4356</v>
      </c>
      <c r="ED219" t="s">
        <v>4356</v>
      </c>
      <c r="EE219" t="s">
        <v>4356</v>
      </c>
      <c r="EF219" t="s">
        <v>4356</v>
      </c>
      <c r="FM219" t="s">
        <v>4356</v>
      </c>
      <c r="FN219" t="s">
        <v>4356</v>
      </c>
      <c r="FW219" t="s">
        <v>4356</v>
      </c>
      <c r="GB219" t="s">
        <v>4356</v>
      </c>
      <c r="GC219" t="s">
        <v>4356</v>
      </c>
      <c r="GD219" t="s">
        <v>4356</v>
      </c>
      <c r="GE219" t="s">
        <v>4356</v>
      </c>
      <c r="GF219" t="s">
        <v>4356</v>
      </c>
      <c r="GG219" t="s">
        <v>4356</v>
      </c>
      <c r="GH219" t="s">
        <v>4356</v>
      </c>
      <c r="GI219" t="s">
        <v>4356</v>
      </c>
      <c r="GJ219" t="s">
        <v>4356</v>
      </c>
      <c r="GK219" t="s">
        <v>4356</v>
      </c>
      <c r="GL219" t="s">
        <v>4356</v>
      </c>
      <c r="GR219" t="s">
        <v>4356</v>
      </c>
      <c r="GS219" t="s">
        <v>4356</v>
      </c>
      <c r="GT219" t="s">
        <v>4356</v>
      </c>
      <c r="GU219" t="s">
        <v>4356</v>
      </c>
      <c r="GV219" t="s">
        <v>4356</v>
      </c>
      <c r="GW219" t="s">
        <v>4356</v>
      </c>
      <c r="GX219" t="s">
        <v>4356</v>
      </c>
      <c r="GY219" t="s">
        <v>4356</v>
      </c>
      <c r="HD219" t="s">
        <v>4356</v>
      </c>
      <c r="HE219" t="s">
        <v>4356</v>
      </c>
      <c r="HF219" t="s">
        <v>4356</v>
      </c>
      <c r="HG219" t="s">
        <v>4356</v>
      </c>
      <c r="HH219" t="s">
        <v>4356</v>
      </c>
      <c r="HI219" t="s">
        <v>4356</v>
      </c>
      <c r="HJ219" t="s">
        <v>4356</v>
      </c>
      <c r="HK219" t="s">
        <v>4356</v>
      </c>
      <c r="HL219" t="s">
        <v>4356</v>
      </c>
      <c r="HM219" t="s">
        <v>4356</v>
      </c>
      <c r="HN219" t="s">
        <v>4356</v>
      </c>
      <c r="HO219" t="s">
        <v>4356</v>
      </c>
      <c r="HP219" t="s">
        <v>4356</v>
      </c>
      <c r="HQ219" t="s">
        <v>4356</v>
      </c>
      <c r="HR219" t="s">
        <v>4356</v>
      </c>
      <c r="HS219" t="s">
        <v>4356</v>
      </c>
      <c r="HT219" t="s">
        <v>4356</v>
      </c>
      <c r="HU219" t="s">
        <v>4356</v>
      </c>
      <c r="HV219" t="s">
        <v>4356</v>
      </c>
      <c r="HW219" t="s">
        <v>4356</v>
      </c>
      <c r="HX219" t="s">
        <v>4356</v>
      </c>
      <c r="HY219" t="s">
        <v>4356</v>
      </c>
      <c r="HZ219" t="s">
        <v>4356</v>
      </c>
      <c r="IA219" t="s">
        <v>4356</v>
      </c>
      <c r="IB219" t="s">
        <v>4356</v>
      </c>
      <c r="IC219" t="s">
        <v>4356</v>
      </c>
      <c r="ID219" t="s">
        <v>4356</v>
      </c>
      <c r="IE219" t="s">
        <v>4356</v>
      </c>
      <c r="IF219" t="s">
        <v>4356</v>
      </c>
      <c r="IG219" t="s">
        <v>4356</v>
      </c>
      <c r="IH219" t="s">
        <v>4356</v>
      </c>
      <c r="II219" t="s">
        <v>4356</v>
      </c>
      <c r="IJ219" t="s">
        <v>4356</v>
      </c>
      <c r="IK219" t="s">
        <v>4356</v>
      </c>
      <c r="IL219" t="s">
        <v>4356</v>
      </c>
      <c r="IM219" t="s">
        <v>4356</v>
      </c>
      <c r="IN219" t="s">
        <v>4356</v>
      </c>
      <c r="IO219" t="s">
        <v>4356</v>
      </c>
      <c r="IP219" t="s">
        <v>4356</v>
      </c>
      <c r="IQ219" t="s">
        <v>4356</v>
      </c>
      <c r="IR219" t="s">
        <v>4356</v>
      </c>
      <c r="IS219" t="s">
        <v>4356</v>
      </c>
      <c r="IT219" t="s">
        <v>4356</v>
      </c>
      <c r="IU219" t="s">
        <v>4356</v>
      </c>
      <c r="IV219" t="s">
        <v>4356</v>
      </c>
      <c r="IW219" t="s">
        <v>4356</v>
      </c>
      <c r="IX219" t="s">
        <v>4356</v>
      </c>
      <c r="IY219" t="s">
        <v>4356</v>
      </c>
      <c r="IZ219" t="s">
        <v>4356</v>
      </c>
      <c r="JA219" t="s">
        <v>4356</v>
      </c>
      <c r="JB219" t="s">
        <v>4356</v>
      </c>
      <c r="JC219" t="s">
        <v>4356</v>
      </c>
      <c r="JD219" t="s">
        <v>4356</v>
      </c>
      <c r="JE219" t="s">
        <v>4356</v>
      </c>
      <c r="JF219" t="s">
        <v>4356</v>
      </c>
      <c r="JG219" t="s">
        <v>4356</v>
      </c>
      <c r="JH219" t="s">
        <v>4356</v>
      </c>
      <c r="JI219" t="s">
        <v>4356</v>
      </c>
      <c r="JJ219" t="s">
        <v>4356</v>
      </c>
      <c r="JK219" t="s">
        <v>4356</v>
      </c>
      <c r="JL219" t="s">
        <v>4356</v>
      </c>
      <c r="JM219" t="s">
        <v>4356</v>
      </c>
      <c r="JN219" t="s">
        <v>4356</v>
      </c>
      <c r="JO219" t="s">
        <v>4356</v>
      </c>
      <c r="JP219" t="s">
        <v>4356</v>
      </c>
      <c r="JQ219" t="s">
        <v>4356</v>
      </c>
      <c r="JR219" t="s">
        <v>4356</v>
      </c>
      <c r="JS219" t="s">
        <v>4356</v>
      </c>
      <c r="JT219" t="s">
        <v>4356</v>
      </c>
      <c r="JU219" t="s">
        <v>4356</v>
      </c>
    </row>
    <row r="220" spans="2:281" x14ac:dyDescent="0.3">
      <c r="B220" t="s">
        <v>4387</v>
      </c>
      <c r="C220" t="s">
        <v>4387</v>
      </c>
      <c r="D220" t="s">
        <v>4387</v>
      </c>
      <c r="E220" t="s">
        <v>4387</v>
      </c>
      <c r="F220" t="s">
        <v>4387</v>
      </c>
      <c r="G220" t="s">
        <v>4387</v>
      </c>
      <c r="H220" t="s">
        <v>4387</v>
      </c>
      <c r="I220" t="s">
        <v>4387</v>
      </c>
      <c r="J220" t="s">
        <v>4387</v>
      </c>
      <c r="K220" t="s">
        <v>4387</v>
      </c>
      <c r="CT220" t="s">
        <v>4384</v>
      </c>
      <c r="CU220" t="s">
        <v>4384</v>
      </c>
      <c r="CV220" t="s">
        <v>4384</v>
      </c>
      <c r="CW220" t="s">
        <v>4384</v>
      </c>
      <c r="CX220" t="s">
        <v>4384</v>
      </c>
      <c r="CY220" t="s">
        <v>4384</v>
      </c>
      <c r="CZ220" t="s">
        <v>4385</v>
      </c>
      <c r="DA220" t="s">
        <v>4384</v>
      </c>
      <c r="DB220" t="s">
        <v>4384</v>
      </c>
      <c r="DC220" t="s">
        <v>4384</v>
      </c>
      <c r="DD220" t="s">
        <v>4384</v>
      </c>
      <c r="DE220" t="s">
        <v>4384</v>
      </c>
      <c r="DF220" t="s">
        <v>4384</v>
      </c>
      <c r="DG220" t="s">
        <v>4384</v>
      </c>
      <c r="DH220" t="s">
        <v>4384</v>
      </c>
      <c r="DI220" t="s">
        <v>4384</v>
      </c>
      <c r="DJ220" t="s">
        <v>4385</v>
      </c>
      <c r="DK220" t="s">
        <v>4385</v>
      </c>
      <c r="DL220" t="s">
        <v>4385</v>
      </c>
      <c r="DM220" t="s">
        <v>4385</v>
      </c>
      <c r="DN220" t="s">
        <v>4385</v>
      </c>
      <c r="DO220" t="s">
        <v>4384</v>
      </c>
      <c r="DP220" t="s">
        <v>4384</v>
      </c>
      <c r="DQ220" t="s">
        <v>4384</v>
      </c>
      <c r="DR220" t="s">
        <v>4356</v>
      </c>
      <c r="DS220" t="s">
        <v>4356</v>
      </c>
      <c r="DT220" t="s">
        <v>4356</v>
      </c>
      <c r="DU220" t="s">
        <v>4356</v>
      </c>
      <c r="DV220" t="s">
        <v>4356</v>
      </c>
      <c r="DW220" t="s">
        <v>4356</v>
      </c>
      <c r="DX220" t="s">
        <v>4356</v>
      </c>
      <c r="DY220" t="s">
        <v>4356</v>
      </c>
      <c r="DZ220" t="s">
        <v>4356</v>
      </c>
      <c r="GA220" t="s">
        <v>4356</v>
      </c>
      <c r="GB220" t="s">
        <v>4356</v>
      </c>
      <c r="GC220" t="s">
        <v>4356</v>
      </c>
      <c r="GD220" t="s">
        <v>4356</v>
      </c>
      <c r="GE220" t="s">
        <v>4356</v>
      </c>
      <c r="GF220" t="s">
        <v>4356</v>
      </c>
      <c r="GG220" t="s">
        <v>4356</v>
      </c>
      <c r="GH220" t="s">
        <v>4356</v>
      </c>
      <c r="GI220" t="s">
        <v>4356</v>
      </c>
      <c r="GP220" t="s">
        <v>4356</v>
      </c>
      <c r="GQ220" t="s">
        <v>4356</v>
      </c>
      <c r="GR220" t="s">
        <v>4356</v>
      </c>
      <c r="GS220" t="s">
        <v>4356</v>
      </c>
      <c r="GT220" t="s">
        <v>4356</v>
      </c>
      <c r="GU220" t="s">
        <v>4356</v>
      </c>
      <c r="GV220" t="s">
        <v>4356</v>
      </c>
      <c r="GW220" t="s">
        <v>4356</v>
      </c>
      <c r="GX220" t="s">
        <v>4356</v>
      </c>
      <c r="HB220" t="s">
        <v>4356</v>
      </c>
      <c r="HC220" t="s">
        <v>4356</v>
      </c>
      <c r="HD220" t="s">
        <v>4356</v>
      </c>
      <c r="HE220" t="s">
        <v>4356</v>
      </c>
      <c r="HF220" t="s">
        <v>4356</v>
      </c>
      <c r="HG220" t="s">
        <v>4356</v>
      </c>
      <c r="HH220" t="s">
        <v>4356</v>
      </c>
      <c r="HI220" t="s">
        <v>4356</v>
      </c>
      <c r="HJ220" t="s">
        <v>4356</v>
      </c>
      <c r="HK220" t="s">
        <v>4356</v>
      </c>
      <c r="HL220" t="s">
        <v>4356</v>
      </c>
      <c r="HM220" t="s">
        <v>4356</v>
      </c>
      <c r="HN220" t="s">
        <v>4356</v>
      </c>
      <c r="HO220" t="s">
        <v>4356</v>
      </c>
      <c r="HP220" t="s">
        <v>4356</v>
      </c>
      <c r="HQ220" t="s">
        <v>4356</v>
      </c>
      <c r="HR220" t="s">
        <v>4356</v>
      </c>
      <c r="HS220" t="s">
        <v>4356</v>
      </c>
      <c r="HT220" t="s">
        <v>4356</v>
      </c>
      <c r="HU220" t="s">
        <v>4356</v>
      </c>
      <c r="HV220" t="s">
        <v>4356</v>
      </c>
      <c r="HW220" t="s">
        <v>4356</v>
      </c>
      <c r="HX220" t="s">
        <v>4356</v>
      </c>
      <c r="HY220" t="s">
        <v>4356</v>
      </c>
      <c r="HZ220" t="s">
        <v>4356</v>
      </c>
      <c r="IA220" t="s">
        <v>4356</v>
      </c>
      <c r="IB220" t="s">
        <v>4356</v>
      </c>
      <c r="IC220" t="s">
        <v>4356</v>
      </c>
      <c r="ID220" t="s">
        <v>4356</v>
      </c>
      <c r="IE220" t="s">
        <v>4356</v>
      </c>
      <c r="IF220" t="s">
        <v>4356</v>
      </c>
      <c r="IG220" t="s">
        <v>4356</v>
      </c>
      <c r="IH220" t="s">
        <v>4356</v>
      </c>
      <c r="II220" t="s">
        <v>4356</v>
      </c>
      <c r="IJ220" t="s">
        <v>4356</v>
      </c>
      <c r="IK220" t="s">
        <v>4356</v>
      </c>
      <c r="IL220" t="s">
        <v>4356</v>
      </c>
      <c r="IM220" t="s">
        <v>4356</v>
      </c>
      <c r="IN220" t="s">
        <v>4356</v>
      </c>
      <c r="IO220" t="s">
        <v>4356</v>
      </c>
      <c r="IP220" t="s">
        <v>4356</v>
      </c>
      <c r="IQ220" t="s">
        <v>4356</v>
      </c>
      <c r="IR220" t="s">
        <v>4356</v>
      </c>
      <c r="IS220" t="s">
        <v>4356</v>
      </c>
      <c r="IT220" t="s">
        <v>4356</v>
      </c>
      <c r="IU220" t="s">
        <v>4356</v>
      </c>
      <c r="IV220" t="s">
        <v>4356</v>
      </c>
      <c r="IW220" t="s">
        <v>4356</v>
      </c>
      <c r="IX220" t="s">
        <v>4356</v>
      </c>
      <c r="IY220" t="s">
        <v>4356</v>
      </c>
      <c r="IZ220" t="s">
        <v>4356</v>
      </c>
      <c r="JA220" t="s">
        <v>4356</v>
      </c>
      <c r="JB220" t="s">
        <v>4356</v>
      </c>
      <c r="JC220" t="s">
        <v>4356</v>
      </c>
      <c r="JD220" t="s">
        <v>4356</v>
      </c>
      <c r="JE220" t="s">
        <v>4356</v>
      </c>
      <c r="JF220" t="s">
        <v>4356</v>
      </c>
      <c r="JG220" t="s">
        <v>4356</v>
      </c>
      <c r="JH220" t="s">
        <v>4356</v>
      </c>
      <c r="JI220" t="s">
        <v>4356</v>
      </c>
      <c r="JJ220" t="s">
        <v>4356</v>
      </c>
      <c r="JK220" t="s">
        <v>4356</v>
      </c>
      <c r="JL220" t="s">
        <v>4356</v>
      </c>
      <c r="JM220" t="s">
        <v>4356</v>
      </c>
      <c r="JN220" t="s">
        <v>4356</v>
      </c>
      <c r="JO220" t="s">
        <v>4356</v>
      </c>
      <c r="JP220" t="s">
        <v>4356</v>
      </c>
      <c r="JQ220" t="s">
        <v>4356</v>
      </c>
      <c r="JR220" t="s">
        <v>4356</v>
      </c>
      <c r="JS220" t="s">
        <v>4356</v>
      </c>
      <c r="JT220" t="s">
        <v>4356</v>
      </c>
      <c r="JU220" t="s">
        <v>4356</v>
      </c>
    </row>
    <row r="221" spans="2:281" x14ac:dyDescent="0.3">
      <c r="B221" t="s">
        <v>4387</v>
      </c>
      <c r="C221" t="s">
        <v>4387</v>
      </c>
      <c r="D221" t="s">
        <v>4387</v>
      </c>
      <c r="E221" t="s">
        <v>4387</v>
      </c>
      <c r="F221" t="s">
        <v>4387</v>
      </c>
      <c r="G221" t="s">
        <v>4387</v>
      </c>
      <c r="H221" t="s">
        <v>4387</v>
      </c>
      <c r="I221" t="s">
        <v>4387</v>
      </c>
      <c r="J221" t="s">
        <v>4387</v>
      </c>
      <c r="K221" t="s">
        <v>4387</v>
      </c>
      <c r="L221" t="s">
        <v>4387</v>
      </c>
      <c r="M221" t="s">
        <v>4387</v>
      </c>
      <c r="N221" t="s">
        <v>4387</v>
      </c>
      <c r="CV221" t="s">
        <v>4384</v>
      </c>
      <c r="CW221" t="s">
        <v>4384</v>
      </c>
      <c r="CX221" t="s">
        <v>4384</v>
      </c>
      <c r="CY221" t="s">
        <v>4384</v>
      </c>
      <c r="CZ221" t="s">
        <v>4384</v>
      </c>
      <c r="DA221" t="s">
        <v>4384</v>
      </c>
      <c r="DB221" t="s">
        <v>4384</v>
      </c>
      <c r="DC221" t="s">
        <v>4384</v>
      </c>
      <c r="DD221" t="s">
        <v>4384</v>
      </c>
      <c r="DE221" t="s">
        <v>4384</v>
      </c>
      <c r="DF221" t="s">
        <v>4384</v>
      </c>
      <c r="DG221" t="s">
        <v>4384</v>
      </c>
      <c r="DH221" t="s">
        <v>4384</v>
      </c>
      <c r="DI221" t="s">
        <v>4384</v>
      </c>
      <c r="DJ221" t="s">
        <v>4385</v>
      </c>
      <c r="DK221" t="s">
        <v>4385</v>
      </c>
      <c r="DL221" t="s">
        <v>4385</v>
      </c>
      <c r="DM221" t="s">
        <v>4385</v>
      </c>
      <c r="DN221" t="s">
        <v>4385</v>
      </c>
      <c r="DO221" t="s">
        <v>4385</v>
      </c>
      <c r="DP221" t="s">
        <v>4384</v>
      </c>
      <c r="DQ221" t="s">
        <v>4384</v>
      </c>
      <c r="DR221" t="s">
        <v>4384</v>
      </c>
      <c r="DS221" t="s">
        <v>4384</v>
      </c>
      <c r="DU221" t="s">
        <v>4356</v>
      </c>
      <c r="DV221" t="s">
        <v>4356</v>
      </c>
      <c r="GA221" t="s">
        <v>4356</v>
      </c>
      <c r="GB221" t="s">
        <v>4356</v>
      </c>
      <c r="GN221" t="s">
        <v>4356</v>
      </c>
      <c r="GO221" t="s">
        <v>4356</v>
      </c>
      <c r="GP221" t="s">
        <v>4356</v>
      </c>
      <c r="GQ221" t="s">
        <v>4356</v>
      </c>
      <c r="GR221" t="s">
        <v>4356</v>
      </c>
      <c r="GS221" t="s">
        <v>4356</v>
      </c>
      <c r="GT221" t="s">
        <v>4356</v>
      </c>
      <c r="GU221" t="s">
        <v>4356</v>
      </c>
      <c r="GV221" t="s">
        <v>4356</v>
      </c>
      <c r="GW221" t="s">
        <v>4356</v>
      </c>
      <c r="GX221" t="s">
        <v>4356</v>
      </c>
      <c r="HA221" t="s">
        <v>4356</v>
      </c>
      <c r="HB221" t="s">
        <v>4356</v>
      </c>
      <c r="HC221" t="s">
        <v>4356</v>
      </c>
      <c r="HD221" t="s">
        <v>4356</v>
      </c>
      <c r="HE221" t="s">
        <v>4356</v>
      </c>
      <c r="HF221" t="s">
        <v>4356</v>
      </c>
      <c r="HG221" t="s">
        <v>4356</v>
      </c>
      <c r="HH221" t="s">
        <v>4356</v>
      </c>
      <c r="HI221" t="s">
        <v>4356</v>
      </c>
      <c r="HJ221" t="s">
        <v>4356</v>
      </c>
      <c r="HK221" t="s">
        <v>4356</v>
      </c>
      <c r="HL221" t="s">
        <v>4356</v>
      </c>
      <c r="HM221" t="s">
        <v>4356</v>
      </c>
      <c r="HN221" t="s">
        <v>4356</v>
      </c>
      <c r="HO221" t="s">
        <v>4356</v>
      </c>
      <c r="HP221" t="s">
        <v>4356</v>
      </c>
      <c r="HQ221" t="s">
        <v>4356</v>
      </c>
      <c r="HR221" t="s">
        <v>4356</v>
      </c>
      <c r="HS221" t="s">
        <v>4356</v>
      </c>
      <c r="HT221" t="s">
        <v>4356</v>
      </c>
      <c r="HU221" t="s">
        <v>4356</v>
      </c>
      <c r="HV221" t="s">
        <v>4356</v>
      </c>
      <c r="HW221" t="s">
        <v>4356</v>
      </c>
      <c r="HX221" t="s">
        <v>4356</v>
      </c>
      <c r="HY221" t="s">
        <v>4356</v>
      </c>
      <c r="HZ221" t="s">
        <v>4356</v>
      </c>
      <c r="IA221" t="s">
        <v>4356</v>
      </c>
      <c r="IB221" t="s">
        <v>4356</v>
      </c>
      <c r="IC221" t="s">
        <v>4356</v>
      </c>
      <c r="ID221" t="s">
        <v>4356</v>
      </c>
      <c r="IE221" t="s">
        <v>4356</v>
      </c>
      <c r="IF221" t="s">
        <v>4356</v>
      </c>
      <c r="IG221" t="s">
        <v>4356</v>
      </c>
      <c r="IH221" t="s">
        <v>4356</v>
      </c>
      <c r="II221" t="s">
        <v>4356</v>
      </c>
      <c r="IJ221" t="s">
        <v>4356</v>
      </c>
      <c r="IK221" t="s">
        <v>4356</v>
      </c>
      <c r="IL221" t="s">
        <v>4356</v>
      </c>
      <c r="IM221" t="s">
        <v>4356</v>
      </c>
      <c r="IN221" t="s">
        <v>4356</v>
      </c>
      <c r="IO221" t="s">
        <v>4356</v>
      </c>
      <c r="IP221" t="s">
        <v>4356</v>
      </c>
      <c r="IQ221" t="s">
        <v>4356</v>
      </c>
      <c r="IR221" t="s">
        <v>4356</v>
      </c>
      <c r="IS221" t="s">
        <v>4356</v>
      </c>
      <c r="IT221" t="s">
        <v>4356</v>
      </c>
      <c r="IU221" t="s">
        <v>4356</v>
      </c>
      <c r="IV221" t="s">
        <v>4356</v>
      </c>
      <c r="IW221" t="s">
        <v>4356</v>
      </c>
      <c r="IX221" t="s">
        <v>4356</v>
      </c>
      <c r="IY221" t="s">
        <v>4356</v>
      </c>
      <c r="IZ221" t="s">
        <v>4356</v>
      </c>
      <c r="JA221" t="s">
        <v>4356</v>
      </c>
      <c r="JB221" t="s">
        <v>4356</v>
      </c>
      <c r="JC221" t="s">
        <v>4356</v>
      </c>
      <c r="JD221" t="s">
        <v>4356</v>
      </c>
      <c r="JE221" t="s">
        <v>4356</v>
      </c>
      <c r="JF221" t="s">
        <v>4356</v>
      </c>
      <c r="JG221" t="s">
        <v>4356</v>
      </c>
      <c r="JH221" t="s">
        <v>4356</v>
      </c>
      <c r="JI221" t="s">
        <v>4356</v>
      </c>
      <c r="JJ221" t="s">
        <v>4356</v>
      </c>
      <c r="JK221" t="s">
        <v>4356</v>
      </c>
      <c r="JL221" t="s">
        <v>4356</v>
      </c>
      <c r="JM221" t="s">
        <v>4356</v>
      </c>
      <c r="JN221" t="s">
        <v>4356</v>
      </c>
      <c r="JO221" t="s">
        <v>4356</v>
      </c>
      <c r="JP221" t="s">
        <v>4356</v>
      </c>
      <c r="JQ221" t="s">
        <v>4356</v>
      </c>
      <c r="JR221" t="s">
        <v>4356</v>
      </c>
      <c r="JS221" t="s">
        <v>4356</v>
      </c>
      <c r="JT221" t="s">
        <v>4356</v>
      </c>
      <c r="JU221" t="s">
        <v>4356</v>
      </c>
    </row>
    <row r="222" spans="2:281" x14ac:dyDescent="0.3">
      <c r="B222" t="s">
        <v>4387</v>
      </c>
      <c r="C222" t="s">
        <v>4387</v>
      </c>
      <c r="D222" t="s">
        <v>4387</v>
      </c>
      <c r="E222" t="s">
        <v>4387</v>
      </c>
      <c r="F222" t="s">
        <v>4387</v>
      </c>
      <c r="G222" t="s">
        <v>4387</v>
      </c>
      <c r="H222" t="s">
        <v>4387</v>
      </c>
      <c r="DD222" t="s">
        <v>4384</v>
      </c>
      <c r="DE222" t="s">
        <v>4384</v>
      </c>
      <c r="DF222" t="s">
        <v>4384</v>
      </c>
      <c r="DG222" t="s">
        <v>4384</v>
      </c>
      <c r="DH222" t="s">
        <v>4384</v>
      </c>
      <c r="DI222" t="s">
        <v>4384</v>
      </c>
      <c r="DJ222" t="s">
        <v>4384</v>
      </c>
      <c r="DK222" t="s">
        <v>4384</v>
      </c>
      <c r="DL222" t="s">
        <v>4384</v>
      </c>
      <c r="DM222" t="s">
        <v>4384</v>
      </c>
      <c r="DN222" t="s">
        <v>4384</v>
      </c>
      <c r="DO222" t="s">
        <v>4384</v>
      </c>
      <c r="DP222" t="s">
        <v>4384</v>
      </c>
      <c r="DQ222" t="s">
        <v>4384</v>
      </c>
      <c r="DR222" t="s">
        <v>4384</v>
      </c>
      <c r="GN222" t="s">
        <v>4356</v>
      </c>
      <c r="GO222" t="s">
        <v>4356</v>
      </c>
      <c r="GP222" t="s">
        <v>4356</v>
      </c>
      <c r="GQ222" t="s">
        <v>4356</v>
      </c>
      <c r="GR222" t="s">
        <v>4356</v>
      </c>
      <c r="GS222" t="s">
        <v>4356</v>
      </c>
      <c r="GT222" t="s">
        <v>4356</v>
      </c>
      <c r="GU222" t="s">
        <v>4356</v>
      </c>
      <c r="GV222" t="s">
        <v>4356</v>
      </c>
      <c r="GW222" t="s">
        <v>4356</v>
      </c>
      <c r="GX222" t="s">
        <v>4356</v>
      </c>
      <c r="GY222" t="s">
        <v>4356</v>
      </c>
      <c r="HB222" t="s">
        <v>4356</v>
      </c>
      <c r="HC222" t="s">
        <v>4356</v>
      </c>
      <c r="HD222" t="s">
        <v>4356</v>
      </c>
      <c r="HE222" t="s">
        <v>4356</v>
      </c>
      <c r="HF222" t="s">
        <v>4356</v>
      </c>
      <c r="HG222" t="s">
        <v>4356</v>
      </c>
      <c r="HH222" t="s">
        <v>4356</v>
      </c>
      <c r="HI222" t="s">
        <v>4356</v>
      </c>
      <c r="HJ222" t="s">
        <v>4356</v>
      </c>
      <c r="HK222" t="s">
        <v>4356</v>
      </c>
      <c r="HL222" t="s">
        <v>4356</v>
      </c>
      <c r="HM222" t="s">
        <v>4356</v>
      </c>
      <c r="HN222" t="s">
        <v>4356</v>
      </c>
      <c r="HO222" t="s">
        <v>4356</v>
      </c>
      <c r="HP222" t="s">
        <v>4356</v>
      </c>
      <c r="HQ222" t="s">
        <v>4356</v>
      </c>
      <c r="HR222" t="s">
        <v>4356</v>
      </c>
      <c r="HS222" t="s">
        <v>4356</v>
      </c>
      <c r="HT222" t="s">
        <v>4356</v>
      </c>
      <c r="HU222" t="s">
        <v>4356</v>
      </c>
      <c r="HV222" t="s">
        <v>4356</v>
      </c>
      <c r="HW222" t="s">
        <v>4356</v>
      </c>
      <c r="HX222" t="s">
        <v>4356</v>
      </c>
      <c r="HY222" t="s">
        <v>4356</v>
      </c>
      <c r="HZ222" t="s">
        <v>4356</v>
      </c>
      <c r="IA222" t="s">
        <v>4356</v>
      </c>
      <c r="IB222" t="s">
        <v>4356</v>
      </c>
      <c r="IC222" t="s">
        <v>4356</v>
      </c>
      <c r="ID222" t="s">
        <v>4356</v>
      </c>
      <c r="IE222" t="s">
        <v>4356</v>
      </c>
      <c r="IF222" t="s">
        <v>4356</v>
      </c>
      <c r="IG222" t="s">
        <v>4356</v>
      </c>
      <c r="IH222" t="s">
        <v>4356</v>
      </c>
      <c r="II222" t="s">
        <v>4356</v>
      </c>
      <c r="IJ222" t="s">
        <v>4356</v>
      </c>
      <c r="IK222" t="s">
        <v>4356</v>
      </c>
      <c r="IL222" t="s">
        <v>4356</v>
      </c>
      <c r="IM222" t="s">
        <v>4356</v>
      </c>
      <c r="IN222" t="s">
        <v>4356</v>
      </c>
      <c r="IO222" t="s">
        <v>4356</v>
      </c>
      <c r="IP222" t="s">
        <v>4356</v>
      </c>
      <c r="IQ222" t="s">
        <v>4356</v>
      </c>
      <c r="IR222" t="s">
        <v>4356</v>
      </c>
      <c r="IS222" t="s">
        <v>4356</v>
      </c>
      <c r="IT222" t="s">
        <v>4356</v>
      </c>
      <c r="IU222" t="s">
        <v>4356</v>
      </c>
      <c r="IV222" t="s">
        <v>4356</v>
      </c>
      <c r="IW222" t="s">
        <v>4356</v>
      </c>
      <c r="IX222" t="s">
        <v>4356</v>
      </c>
      <c r="IY222" t="s">
        <v>4356</v>
      </c>
      <c r="IZ222" t="s">
        <v>4356</v>
      </c>
      <c r="JA222" t="s">
        <v>4356</v>
      </c>
      <c r="JB222" t="s">
        <v>4356</v>
      </c>
      <c r="JC222" t="s">
        <v>4356</v>
      </c>
      <c r="JD222" t="s">
        <v>4356</v>
      </c>
      <c r="JE222" t="s">
        <v>4356</v>
      </c>
      <c r="JF222" t="s">
        <v>4356</v>
      </c>
      <c r="JG222" t="s">
        <v>4356</v>
      </c>
      <c r="JH222" t="s">
        <v>4356</v>
      </c>
      <c r="JI222" t="s">
        <v>4356</v>
      </c>
      <c r="JJ222" t="s">
        <v>4356</v>
      </c>
      <c r="JK222" t="s">
        <v>4356</v>
      </c>
      <c r="JL222" t="s">
        <v>4356</v>
      </c>
      <c r="JM222" t="s">
        <v>4356</v>
      </c>
      <c r="JN222" t="s">
        <v>4356</v>
      </c>
      <c r="JO222" t="s">
        <v>4356</v>
      </c>
      <c r="JP222" t="s">
        <v>4356</v>
      </c>
      <c r="JQ222" t="s">
        <v>4356</v>
      </c>
      <c r="JR222" t="s">
        <v>4356</v>
      </c>
      <c r="JS222" t="s">
        <v>4356</v>
      </c>
      <c r="JT222" t="s">
        <v>4356</v>
      </c>
      <c r="JU222" t="s">
        <v>4356</v>
      </c>
    </row>
    <row r="223" spans="2:281" x14ac:dyDescent="0.3">
      <c r="B223" t="s">
        <v>4387</v>
      </c>
      <c r="C223" t="s">
        <v>4387</v>
      </c>
      <c r="D223" t="s">
        <v>4387</v>
      </c>
      <c r="E223" t="s">
        <v>4387</v>
      </c>
      <c r="F223" t="s">
        <v>4387</v>
      </c>
      <c r="G223" t="s">
        <v>4387</v>
      </c>
      <c r="H223" t="s">
        <v>4387</v>
      </c>
      <c r="I223" t="s">
        <v>4387</v>
      </c>
      <c r="J223" t="s">
        <v>4387</v>
      </c>
      <c r="K223" t="s">
        <v>4387</v>
      </c>
      <c r="N223" t="s">
        <v>4387</v>
      </c>
      <c r="O223" t="s">
        <v>4387</v>
      </c>
      <c r="P223" t="s">
        <v>4387</v>
      </c>
      <c r="Q223" t="s">
        <v>4387</v>
      </c>
      <c r="DF223" t="s">
        <v>4384</v>
      </c>
      <c r="DG223" t="s">
        <v>4384</v>
      </c>
      <c r="DH223" t="s">
        <v>4384</v>
      </c>
      <c r="DI223" t="s">
        <v>4384</v>
      </c>
      <c r="DJ223" t="s">
        <v>4384</v>
      </c>
      <c r="DK223" t="s">
        <v>4384</v>
      </c>
      <c r="DL223" t="s">
        <v>4384</v>
      </c>
      <c r="DM223" t="s">
        <v>4384</v>
      </c>
      <c r="DN223" t="s">
        <v>4384</v>
      </c>
      <c r="DO223" t="s">
        <v>4384</v>
      </c>
      <c r="DP223" t="s">
        <v>4384</v>
      </c>
      <c r="DQ223" t="s">
        <v>4384</v>
      </c>
      <c r="FN223" t="s">
        <v>4356</v>
      </c>
      <c r="FO223" t="s">
        <v>4356</v>
      </c>
      <c r="FP223" t="s">
        <v>4356</v>
      </c>
      <c r="FQ223" t="s">
        <v>4356</v>
      </c>
      <c r="FR223" t="s">
        <v>4356</v>
      </c>
      <c r="FS223" t="s">
        <v>4356</v>
      </c>
      <c r="FT223" t="s">
        <v>4356</v>
      </c>
      <c r="GM223" t="s">
        <v>4356</v>
      </c>
      <c r="GN223" t="s">
        <v>4356</v>
      </c>
      <c r="GO223" t="s">
        <v>4356</v>
      </c>
      <c r="GP223" t="s">
        <v>4356</v>
      </c>
      <c r="GQ223" t="s">
        <v>4356</v>
      </c>
      <c r="GR223" t="s">
        <v>4356</v>
      </c>
      <c r="GS223" t="s">
        <v>4356</v>
      </c>
      <c r="GT223" t="s">
        <v>4356</v>
      </c>
      <c r="GU223" t="s">
        <v>4356</v>
      </c>
      <c r="GV223" t="s">
        <v>4356</v>
      </c>
      <c r="GW223" t="s">
        <v>4356</v>
      </c>
      <c r="GX223" t="s">
        <v>4356</v>
      </c>
      <c r="HB223" t="s">
        <v>4356</v>
      </c>
      <c r="HC223" t="s">
        <v>4356</v>
      </c>
      <c r="HD223" t="s">
        <v>4356</v>
      </c>
      <c r="HE223" t="s">
        <v>4356</v>
      </c>
      <c r="HF223" t="s">
        <v>4356</v>
      </c>
      <c r="HG223" t="s">
        <v>4356</v>
      </c>
      <c r="HH223" t="s">
        <v>4356</v>
      </c>
      <c r="HI223" t="s">
        <v>4356</v>
      </c>
      <c r="HJ223" t="s">
        <v>4356</v>
      </c>
      <c r="HK223" t="s">
        <v>4356</v>
      </c>
      <c r="HL223" t="s">
        <v>4356</v>
      </c>
      <c r="HM223" t="s">
        <v>4356</v>
      </c>
      <c r="HN223" t="s">
        <v>4356</v>
      </c>
      <c r="HO223" t="s">
        <v>4356</v>
      </c>
      <c r="HP223" t="s">
        <v>4356</v>
      </c>
      <c r="HQ223" t="s">
        <v>4356</v>
      </c>
      <c r="HR223" t="s">
        <v>4356</v>
      </c>
      <c r="HS223" t="s">
        <v>4356</v>
      </c>
      <c r="HT223" t="s">
        <v>4356</v>
      </c>
      <c r="HU223" t="s">
        <v>4356</v>
      </c>
      <c r="HV223" t="s">
        <v>4356</v>
      </c>
      <c r="HW223" t="s">
        <v>4356</v>
      </c>
      <c r="HX223" t="s">
        <v>4356</v>
      </c>
      <c r="HY223" t="s">
        <v>4356</v>
      </c>
      <c r="HZ223" t="s">
        <v>4356</v>
      </c>
      <c r="IA223" t="s">
        <v>4356</v>
      </c>
      <c r="IB223" t="s">
        <v>4356</v>
      </c>
      <c r="IC223" t="s">
        <v>4356</v>
      </c>
      <c r="ID223" t="s">
        <v>4356</v>
      </c>
      <c r="IE223" t="s">
        <v>4356</v>
      </c>
      <c r="IF223" t="s">
        <v>4356</v>
      </c>
      <c r="IG223" t="s">
        <v>4356</v>
      </c>
      <c r="IH223" t="s">
        <v>4356</v>
      </c>
      <c r="II223" t="s">
        <v>4356</v>
      </c>
      <c r="IJ223" t="s">
        <v>4356</v>
      </c>
      <c r="IK223" t="s">
        <v>4356</v>
      </c>
      <c r="IL223" t="s">
        <v>4356</v>
      </c>
      <c r="IM223" t="s">
        <v>4356</v>
      </c>
      <c r="IN223" t="s">
        <v>4356</v>
      </c>
      <c r="IO223" t="s">
        <v>4356</v>
      </c>
      <c r="IP223" t="s">
        <v>4356</v>
      </c>
      <c r="IQ223" t="s">
        <v>4356</v>
      </c>
      <c r="IR223" t="s">
        <v>4356</v>
      </c>
      <c r="IS223" t="s">
        <v>4356</v>
      </c>
      <c r="IT223" t="s">
        <v>4356</v>
      </c>
      <c r="IU223" t="s">
        <v>4356</v>
      </c>
      <c r="IV223" t="s">
        <v>4356</v>
      </c>
      <c r="IW223" t="s">
        <v>4356</v>
      </c>
      <c r="IX223" t="s">
        <v>4356</v>
      </c>
      <c r="IY223" t="s">
        <v>4356</v>
      </c>
      <c r="IZ223" t="s">
        <v>4356</v>
      </c>
      <c r="JA223" t="s">
        <v>4356</v>
      </c>
      <c r="JB223" t="s">
        <v>4356</v>
      </c>
      <c r="JC223" t="s">
        <v>4356</v>
      </c>
      <c r="JD223" t="s">
        <v>4356</v>
      </c>
      <c r="JE223" t="s">
        <v>4356</v>
      </c>
      <c r="JF223" t="s">
        <v>4356</v>
      </c>
      <c r="JG223" t="s">
        <v>4356</v>
      </c>
      <c r="JH223" t="s">
        <v>4356</v>
      </c>
      <c r="JI223" t="s">
        <v>4356</v>
      </c>
      <c r="JJ223" t="s">
        <v>4356</v>
      </c>
      <c r="JK223" t="s">
        <v>4356</v>
      </c>
      <c r="JL223" t="s">
        <v>4356</v>
      </c>
      <c r="JM223" t="s">
        <v>4356</v>
      </c>
      <c r="JN223" t="s">
        <v>4356</v>
      </c>
      <c r="JO223" t="s">
        <v>4356</v>
      </c>
      <c r="JP223" t="s">
        <v>4356</v>
      </c>
      <c r="JQ223" t="s">
        <v>4356</v>
      </c>
      <c r="JR223" t="s">
        <v>4356</v>
      </c>
      <c r="JS223" t="s">
        <v>4356</v>
      </c>
      <c r="JT223" t="s">
        <v>4356</v>
      </c>
      <c r="JU223" t="s">
        <v>4356</v>
      </c>
    </row>
    <row r="224" spans="2:281" x14ac:dyDescent="0.3">
      <c r="B224" t="s">
        <v>4387</v>
      </c>
      <c r="C224" t="s">
        <v>4387</v>
      </c>
      <c r="D224" t="s">
        <v>4387</v>
      </c>
      <c r="E224" t="s">
        <v>4387</v>
      </c>
      <c r="F224" t="s">
        <v>4387</v>
      </c>
      <c r="G224" t="s">
        <v>4387</v>
      </c>
      <c r="H224" t="s">
        <v>4387</v>
      </c>
      <c r="I224" t="s">
        <v>4387</v>
      </c>
      <c r="J224" t="s">
        <v>4387</v>
      </c>
      <c r="L224" t="s">
        <v>4387</v>
      </c>
      <c r="M224" t="s">
        <v>4387</v>
      </c>
      <c r="N224" t="s">
        <v>4387</v>
      </c>
      <c r="O224" t="s">
        <v>4387</v>
      </c>
      <c r="P224" t="s">
        <v>4387</v>
      </c>
      <c r="Q224" t="s">
        <v>4387</v>
      </c>
      <c r="FL224" t="s">
        <v>4356</v>
      </c>
      <c r="FM224" t="s">
        <v>4356</v>
      </c>
      <c r="FN224" t="s">
        <v>4356</v>
      </c>
      <c r="FO224" t="s">
        <v>4356</v>
      </c>
      <c r="FP224" t="s">
        <v>4356</v>
      </c>
      <c r="FQ224" t="s">
        <v>4356</v>
      </c>
      <c r="FR224" t="s">
        <v>4356</v>
      </c>
      <c r="GN224" t="s">
        <v>4356</v>
      </c>
      <c r="GO224" t="s">
        <v>4356</v>
      </c>
      <c r="GP224" t="s">
        <v>4356</v>
      </c>
      <c r="GQ224" t="s">
        <v>4356</v>
      </c>
      <c r="GR224" t="s">
        <v>4356</v>
      </c>
      <c r="GS224" t="s">
        <v>4356</v>
      </c>
      <c r="GT224" t="s">
        <v>4356</v>
      </c>
      <c r="GU224" t="s">
        <v>4356</v>
      </c>
      <c r="GV224" t="s">
        <v>4356</v>
      </c>
      <c r="GW224" t="s">
        <v>4356</v>
      </c>
      <c r="HA224" t="s">
        <v>4356</v>
      </c>
      <c r="HB224" t="s">
        <v>4356</v>
      </c>
      <c r="HC224" t="s">
        <v>4356</v>
      </c>
      <c r="HD224" t="s">
        <v>4356</v>
      </c>
      <c r="HE224" t="s">
        <v>4356</v>
      </c>
      <c r="HG224" t="s">
        <v>4356</v>
      </c>
      <c r="HH224" t="s">
        <v>4356</v>
      </c>
      <c r="HI224" t="s">
        <v>4356</v>
      </c>
      <c r="HJ224" t="s">
        <v>4356</v>
      </c>
      <c r="HK224" t="s">
        <v>4356</v>
      </c>
      <c r="HL224" t="s">
        <v>4356</v>
      </c>
      <c r="HM224" t="s">
        <v>4356</v>
      </c>
      <c r="HN224" t="s">
        <v>4356</v>
      </c>
      <c r="HO224" t="s">
        <v>4356</v>
      </c>
      <c r="HP224" t="s">
        <v>4356</v>
      </c>
      <c r="HQ224" t="s">
        <v>4356</v>
      </c>
      <c r="HR224" t="s">
        <v>4356</v>
      </c>
      <c r="HS224" t="s">
        <v>4356</v>
      </c>
      <c r="HT224" t="s">
        <v>4356</v>
      </c>
      <c r="HU224" t="s">
        <v>4356</v>
      </c>
      <c r="HV224" t="s">
        <v>4356</v>
      </c>
      <c r="HW224" t="s">
        <v>4356</v>
      </c>
      <c r="HX224" t="s">
        <v>4356</v>
      </c>
      <c r="HY224" t="s">
        <v>4356</v>
      </c>
      <c r="HZ224" t="s">
        <v>4356</v>
      </c>
      <c r="IA224" t="s">
        <v>4356</v>
      </c>
      <c r="IB224" t="s">
        <v>4356</v>
      </c>
      <c r="IC224" t="s">
        <v>4356</v>
      </c>
      <c r="ID224" t="s">
        <v>4356</v>
      </c>
      <c r="IE224" t="s">
        <v>4356</v>
      </c>
      <c r="IF224" t="s">
        <v>4356</v>
      </c>
      <c r="IG224" t="s">
        <v>4356</v>
      </c>
      <c r="IH224" t="s">
        <v>4356</v>
      </c>
      <c r="II224" t="s">
        <v>4356</v>
      </c>
      <c r="IJ224" t="s">
        <v>4356</v>
      </c>
      <c r="IK224" t="s">
        <v>4356</v>
      </c>
      <c r="IL224" t="s">
        <v>4356</v>
      </c>
      <c r="IM224" t="s">
        <v>4356</v>
      </c>
      <c r="IN224" t="s">
        <v>4356</v>
      </c>
      <c r="IO224" t="s">
        <v>4356</v>
      </c>
      <c r="IP224" t="s">
        <v>4356</v>
      </c>
      <c r="IQ224" t="s">
        <v>4356</v>
      </c>
      <c r="IR224" t="s">
        <v>4356</v>
      </c>
      <c r="IS224" t="s">
        <v>4356</v>
      </c>
      <c r="IT224" t="s">
        <v>4356</v>
      </c>
      <c r="IU224" t="s">
        <v>4356</v>
      </c>
      <c r="IV224" t="s">
        <v>4356</v>
      </c>
      <c r="IW224" t="s">
        <v>4356</v>
      </c>
      <c r="IX224" t="s">
        <v>4356</v>
      </c>
      <c r="IY224" t="s">
        <v>4356</v>
      </c>
      <c r="IZ224" t="s">
        <v>4356</v>
      </c>
      <c r="JA224" t="s">
        <v>4356</v>
      </c>
      <c r="JB224" t="s">
        <v>4356</v>
      </c>
      <c r="JC224" t="s">
        <v>4356</v>
      </c>
      <c r="JD224" t="s">
        <v>4356</v>
      </c>
      <c r="JE224" t="s">
        <v>4356</v>
      </c>
      <c r="JF224" t="s">
        <v>4356</v>
      </c>
      <c r="JG224" t="s">
        <v>4356</v>
      </c>
      <c r="JH224" t="s">
        <v>4356</v>
      </c>
      <c r="JI224" t="s">
        <v>4356</v>
      </c>
      <c r="JJ224" t="s">
        <v>4356</v>
      </c>
      <c r="JK224" t="s">
        <v>4356</v>
      </c>
      <c r="JL224" t="s">
        <v>4356</v>
      </c>
      <c r="JM224" t="s">
        <v>4356</v>
      </c>
      <c r="JN224" t="s">
        <v>4356</v>
      </c>
      <c r="JO224" t="s">
        <v>4356</v>
      </c>
      <c r="JP224" t="s">
        <v>4356</v>
      </c>
      <c r="JQ224" t="s">
        <v>4356</v>
      </c>
      <c r="JR224" t="s">
        <v>4356</v>
      </c>
      <c r="JS224" t="s">
        <v>4356</v>
      </c>
      <c r="JT224" t="s">
        <v>4356</v>
      </c>
      <c r="JU224" t="s">
        <v>4356</v>
      </c>
    </row>
    <row r="225" spans="2:281" x14ac:dyDescent="0.3">
      <c r="B225" t="s">
        <v>4387</v>
      </c>
      <c r="C225" t="s">
        <v>4387</v>
      </c>
      <c r="D225" t="s">
        <v>4387</v>
      </c>
      <c r="E225" t="s">
        <v>4387</v>
      </c>
      <c r="F225" t="s">
        <v>4387</v>
      </c>
      <c r="G225" t="s">
        <v>4387</v>
      </c>
      <c r="H225" t="s">
        <v>4387</v>
      </c>
      <c r="I225" t="s">
        <v>4387</v>
      </c>
      <c r="J225" t="s">
        <v>4387</v>
      </c>
      <c r="K225" t="s">
        <v>4387</v>
      </c>
      <c r="L225" t="s">
        <v>4387</v>
      </c>
      <c r="M225" t="s">
        <v>4387</v>
      </c>
      <c r="N225" t="s">
        <v>4387</v>
      </c>
      <c r="O225" t="s">
        <v>4387</v>
      </c>
      <c r="P225" t="s">
        <v>4387</v>
      </c>
      <c r="FI225" t="s">
        <v>4356</v>
      </c>
      <c r="FJ225" t="s">
        <v>4356</v>
      </c>
      <c r="FK225" t="s">
        <v>4356</v>
      </c>
      <c r="FL225" t="s">
        <v>4356</v>
      </c>
      <c r="FM225" t="s">
        <v>4356</v>
      </c>
      <c r="FN225" t="s">
        <v>4356</v>
      </c>
      <c r="FO225" t="s">
        <v>4356</v>
      </c>
      <c r="FP225" t="s">
        <v>4356</v>
      </c>
      <c r="GP225" t="s">
        <v>4356</v>
      </c>
      <c r="GQ225" t="s">
        <v>4356</v>
      </c>
      <c r="GR225" t="s">
        <v>4356</v>
      </c>
      <c r="GS225" t="s">
        <v>4356</v>
      </c>
      <c r="GT225" t="s">
        <v>4356</v>
      </c>
      <c r="GU225" t="s">
        <v>4356</v>
      </c>
      <c r="GV225" t="s">
        <v>4356</v>
      </c>
      <c r="GW225" t="s">
        <v>4356</v>
      </c>
      <c r="HB225" t="s">
        <v>4356</v>
      </c>
      <c r="HC225" t="s">
        <v>4356</v>
      </c>
      <c r="HD225" t="s">
        <v>4356</v>
      </c>
      <c r="HF225" t="s">
        <v>4356</v>
      </c>
      <c r="HG225" t="s">
        <v>4356</v>
      </c>
      <c r="HH225" t="s">
        <v>4356</v>
      </c>
      <c r="HI225" t="s">
        <v>4356</v>
      </c>
      <c r="HJ225" t="s">
        <v>4356</v>
      </c>
      <c r="HK225" t="s">
        <v>4356</v>
      </c>
      <c r="HL225" t="s">
        <v>4356</v>
      </c>
      <c r="HM225" t="s">
        <v>4356</v>
      </c>
      <c r="HN225" t="s">
        <v>4356</v>
      </c>
      <c r="HO225" t="s">
        <v>4356</v>
      </c>
      <c r="HP225" t="s">
        <v>4356</v>
      </c>
      <c r="HQ225" t="s">
        <v>4356</v>
      </c>
      <c r="HR225" t="s">
        <v>4356</v>
      </c>
      <c r="HS225" t="s">
        <v>4356</v>
      </c>
      <c r="HT225" t="s">
        <v>4356</v>
      </c>
      <c r="HU225" t="s">
        <v>4356</v>
      </c>
      <c r="HV225" t="s">
        <v>4356</v>
      </c>
      <c r="HW225" t="s">
        <v>4356</v>
      </c>
      <c r="HX225" t="s">
        <v>4356</v>
      </c>
      <c r="HY225" t="s">
        <v>4356</v>
      </c>
      <c r="HZ225" t="s">
        <v>4356</v>
      </c>
      <c r="IA225" t="s">
        <v>4356</v>
      </c>
      <c r="IB225" t="s">
        <v>4356</v>
      </c>
      <c r="IC225" t="s">
        <v>4356</v>
      </c>
      <c r="ID225" t="s">
        <v>4356</v>
      </c>
      <c r="IE225" t="s">
        <v>4356</v>
      </c>
      <c r="IF225" t="s">
        <v>4356</v>
      </c>
      <c r="IG225" t="s">
        <v>4356</v>
      </c>
      <c r="IH225" t="s">
        <v>4356</v>
      </c>
      <c r="II225" t="s">
        <v>4356</v>
      </c>
      <c r="IJ225" t="s">
        <v>4356</v>
      </c>
      <c r="IK225" t="s">
        <v>4356</v>
      </c>
      <c r="IL225" t="s">
        <v>4356</v>
      </c>
      <c r="IM225" t="s">
        <v>4356</v>
      </c>
      <c r="IN225" t="s">
        <v>4356</v>
      </c>
      <c r="IO225" t="s">
        <v>4356</v>
      </c>
      <c r="IP225" t="s">
        <v>4356</v>
      </c>
      <c r="IQ225" t="s">
        <v>4356</v>
      </c>
      <c r="IR225" t="s">
        <v>4356</v>
      </c>
      <c r="IS225" t="s">
        <v>4356</v>
      </c>
      <c r="IT225" t="s">
        <v>4356</v>
      </c>
      <c r="IU225" t="s">
        <v>4356</v>
      </c>
      <c r="IV225" t="s">
        <v>4356</v>
      </c>
      <c r="IW225" t="s">
        <v>4356</v>
      </c>
      <c r="IX225" t="s">
        <v>4356</v>
      </c>
      <c r="IY225" t="s">
        <v>4356</v>
      </c>
      <c r="IZ225" t="s">
        <v>4356</v>
      </c>
      <c r="JA225" t="s">
        <v>4356</v>
      </c>
      <c r="JB225" t="s">
        <v>4356</v>
      </c>
      <c r="JC225" t="s">
        <v>4356</v>
      </c>
      <c r="JD225" t="s">
        <v>4356</v>
      </c>
      <c r="JE225" t="s">
        <v>4356</v>
      </c>
      <c r="JF225" t="s">
        <v>4356</v>
      </c>
      <c r="JG225" t="s">
        <v>4356</v>
      </c>
      <c r="JH225" t="s">
        <v>4356</v>
      </c>
      <c r="JI225" t="s">
        <v>4356</v>
      </c>
      <c r="JJ225" t="s">
        <v>4356</v>
      </c>
      <c r="JK225" t="s">
        <v>4356</v>
      </c>
      <c r="JL225" t="s">
        <v>4356</v>
      </c>
      <c r="JM225" t="s">
        <v>4356</v>
      </c>
      <c r="JN225" t="s">
        <v>4356</v>
      </c>
      <c r="JO225" t="s">
        <v>4356</v>
      </c>
      <c r="JP225" t="s">
        <v>4356</v>
      </c>
      <c r="JQ225" t="s">
        <v>4356</v>
      </c>
      <c r="JR225" t="s">
        <v>4356</v>
      </c>
      <c r="JS225" t="s">
        <v>4356</v>
      </c>
      <c r="JT225" t="s">
        <v>4356</v>
      </c>
      <c r="JU225" t="s">
        <v>4356</v>
      </c>
    </row>
    <row r="226" spans="2:281" x14ac:dyDescent="0.3">
      <c r="B226" t="s">
        <v>4387</v>
      </c>
      <c r="C226" t="s">
        <v>4387</v>
      </c>
      <c r="D226" t="s">
        <v>4387</v>
      </c>
      <c r="E226" t="s">
        <v>4387</v>
      </c>
      <c r="F226" t="s">
        <v>4387</v>
      </c>
      <c r="G226" t="s">
        <v>4387</v>
      </c>
      <c r="H226" t="s">
        <v>4387</v>
      </c>
      <c r="I226" t="s">
        <v>4387</v>
      </c>
      <c r="J226" t="s">
        <v>4387</v>
      </c>
      <c r="K226" t="s">
        <v>4387</v>
      </c>
      <c r="L226" t="s">
        <v>4387</v>
      </c>
      <c r="FK226" t="s">
        <v>4356</v>
      </c>
      <c r="FL226" t="s">
        <v>4356</v>
      </c>
      <c r="FM226" t="s">
        <v>4356</v>
      </c>
      <c r="FN226" t="s">
        <v>4356</v>
      </c>
      <c r="FO226" t="s">
        <v>4356</v>
      </c>
      <c r="FP226" t="s">
        <v>4356</v>
      </c>
      <c r="GR226" t="s">
        <v>4356</v>
      </c>
      <c r="GS226" t="s">
        <v>4356</v>
      </c>
      <c r="GT226" t="s">
        <v>4356</v>
      </c>
      <c r="GU226" t="s">
        <v>4356</v>
      </c>
      <c r="GV226" t="s">
        <v>4356</v>
      </c>
      <c r="GW226" t="s">
        <v>4356</v>
      </c>
      <c r="GX226" t="s">
        <v>4356</v>
      </c>
      <c r="GY226" t="s">
        <v>4356</v>
      </c>
      <c r="HD226" t="s">
        <v>4356</v>
      </c>
      <c r="HI226" t="s">
        <v>4356</v>
      </c>
      <c r="HJ226" t="s">
        <v>4356</v>
      </c>
      <c r="HK226" t="s">
        <v>4356</v>
      </c>
      <c r="HL226" t="s">
        <v>4356</v>
      </c>
      <c r="HM226" t="s">
        <v>4356</v>
      </c>
      <c r="HP226" t="s">
        <v>4356</v>
      </c>
      <c r="HQ226" t="s">
        <v>4356</v>
      </c>
      <c r="HR226" t="s">
        <v>4356</v>
      </c>
      <c r="HS226" t="s">
        <v>4356</v>
      </c>
      <c r="HT226" t="s">
        <v>4356</v>
      </c>
      <c r="HU226" t="s">
        <v>4356</v>
      </c>
      <c r="HV226" t="s">
        <v>4356</v>
      </c>
      <c r="HW226" t="s">
        <v>4356</v>
      </c>
      <c r="HX226" t="s">
        <v>4356</v>
      </c>
      <c r="HY226" t="s">
        <v>4356</v>
      </c>
      <c r="HZ226" t="s">
        <v>4356</v>
      </c>
      <c r="IA226" t="s">
        <v>4356</v>
      </c>
      <c r="IB226" t="s">
        <v>4356</v>
      </c>
      <c r="IC226" t="s">
        <v>4356</v>
      </c>
      <c r="ID226" t="s">
        <v>4356</v>
      </c>
      <c r="IE226" t="s">
        <v>4356</v>
      </c>
      <c r="IF226" t="s">
        <v>4356</v>
      </c>
      <c r="IG226" t="s">
        <v>4356</v>
      </c>
      <c r="IH226" t="s">
        <v>4356</v>
      </c>
      <c r="II226" t="s">
        <v>4356</v>
      </c>
      <c r="IJ226" t="s">
        <v>4356</v>
      </c>
      <c r="IK226" t="s">
        <v>4356</v>
      </c>
      <c r="IL226" t="s">
        <v>4356</v>
      </c>
      <c r="IM226" t="s">
        <v>4356</v>
      </c>
      <c r="IN226" t="s">
        <v>4356</v>
      </c>
      <c r="IO226" t="s">
        <v>4356</v>
      </c>
      <c r="IP226" t="s">
        <v>4356</v>
      </c>
      <c r="IQ226" t="s">
        <v>4356</v>
      </c>
      <c r="IR226" t="s">
        <v>4356</v>
      </c>
      <c r="IS226" t="s">
        <v>4356</v>
      </c>
      <c r="IT226" t="s">
        <v>4356</v>
      </c>
      <c r="IU226" t="s">
        <v>4356</v>
      </c>
      <c r="IV226" t="s">
        <v>4356</v>
      </c>
      <c r="IW226" t="s">
        <v>4356</v>
      </c>
      <c r="IX226" t="s">
        <v>4356</v>
      </c>
      <c r="IY226" t="s">
        <v>4356</v>
      </c>
      <c r="IZ226" t="s">
        <v>4356</v>
      </c>
      <c r="JA226" t="s">
        <v>4356</v>
      </c>
      <c r="JB226" t="s">
        <v>4356</v>
      </c>
      <c r="JC226" t="s">
        <v>4356</v>
      </c>
      <c r="JD226" t="s">
        <v>4356</v>
      </c>
      <c r="JE226" t="s">
        <v>4356</v>
      </c>
      <c r="JF226" t="s">
        <v>4356</v>
      </c>
      <c r="JG226" t="s">
        <v>4356</v>
      </c>
      <c r="JH226" t="s">
        <v>4356</v>
      </c>
      <c r="JI226" t="s">
        <v>4356</v>
      </c>
      <c r="JJ226" t="s">
        <v>4356</v>
      </c>
      <c r="JK226" t="s">
        <v>4356</v>
      </c>
      <c r="JL226" t="s">
        <v>4356</v>
      </c>
      <c r="JM226" t="s">
        <v>4356</v>
      </c>
      <c r="JN226" t="s">
        <v>4356</v>
      </c>
      <c r="JO226" t="s">
        <v>4356</v>
      </c>
      <c r="JP226" t="s">
        <v>4356</v>
      </c>
      <c r="JQ226" t="s">
        <v>4356</v>
      </c>
      <c r="JR226" t="s">
        <v>4356</v>
      </c>
      <c r="JS226" t="s">
        <v>4356</v>
      </c>
      <c r="JT226" t="s">
        <v>4356</v>
      </c>
      <c r="JU226" t="s">
        <v>4356</v>
      </c>
    </row>
    <row r="227" spans="2:281" x14ac:dyDescent="0.3">
      <c r="B227" t="s">
        <v>4387</v>
      </c>
      <c r="C227" t="s">
        <v>4387</v>
      </c>
      <c r="D227" t="s">
        <v>4387</v>
      </c>
      <c r="E227" t="s">
        <v>4387</v>
      </c>
      <c r="F227" t="s">
        <v>4387</v>
      </c>
      <c r="G227" t="s">
        <v>4387</v>
      </c>
      <c r="H227" t="s">
        <v>4387</v>
      </c>
      <c r="I227" t="s">
        <v>4387</v>
      </c>
      <c r="J227" t="s">
        <v>4387</v>
      </c>
      <c r="K227" t="s">
        <v>4387</v>
      </c>
      <c r="L227" t="s">
        <v>4387</v>
      </c>
      <c r="M227" t="s">
        <v>4387</v>
      </c>
      <c r="N227" t="s">
        <v>4387</v>
      </c>
      <c r="O227" t="s">
        <v>4387</v>
      </c>
      <c r="P227" t="s">
        <v>4387</v>
      </c>
      <c r="FK227" t="s">
        <v>4356</v>
      </c>
      <c r="FL227" t="s">
        <v>4356</v>
      </c>
      <c r="FM227" t="s">
        <v>4356</v>
      </c>
      <c r="FN227" t="s">
        <v>4356</v>
      </c>
      <c r="FO227" t="s">
        <v>4356</v>
      </c>
      <c r="FP227" t="s">
        <v>4356</v>
      </c>
      <c r="FQ227" t="s">
        <v>4356</v>
      </c>
      <c r="GR227" t="s">
        <v>4356</v>
      </c>
      <c r="GS227" t="s">
        <v>4356</v>
      </c>
      <c r="GT227" t="s">
        <v>4356</v>
      </c>
      <c r="GU227" t="s">
        <v>4356</v>
      </c>
      <c r="GV227" t="s">
        <v>4356</v>
      </c>
      <c r="GW227" t="s">
        <v>4356</v>
      </c>
      <c r="GX227" t="s">
        <v>4356</v>
      </c>
      <c r="HC227" t="s">
        <v>4356</v>
      </c>
      <c r="HD227" t="s">
        <v>4356</v>
      </c>
      <c r="HO227" t="s">
        <v>4356</v>
      </c>
      <c r="HP227" t="s">
        <v>4356</v>
      </c>
      <c r="HQ227" t="s">
        <v>4356</v>
      </c>
      <c r="HR227" t="s">
        <v>4356</v>
      </c>
      <c r="HS227" t="s">
        <v>4356</v>
      </c>
      <c r="HT227" t="s">
        <v>4356</v>
      </c>
      <c r="HU227" t="s">
        <v>4356</v>
      </c>
      <c r="HV227" t="s">
        <v>4356</v>
      </c>
      <c r="HW227" t="s">
        <v>4356</v>
      </c>
      <c r="HX227" t="s">
        <v>4356</v>
      </c>
      <c r="HY227" t="s">
        <v>4356</v>
      </c>
      <c r="HZ227" t="s">
        <v>4356</v>
      </c>
      <c r="IA227" t="s">
        <v>4356</v>
      </c>
      <c r="IB227" t="s">
        <v>4356</v>
      </c>
      <c r="IC227" t="s">
        <v>4356</v>
      </c>
      <c r="ID227" t="s">
        <v>4356</v>
      </c>
      <c r="IE227" t="s">
        <v>4356</v>
      </c>
      <c r="IF227" t="s">
        <v>4356</v>
      </c>
      <c r="IG227" t="s">
        <v>4356</v>
      </c>
      <c r="IH227" t="s">
        <v>4356</v>
      </c>
      <c r="II227" t="s">
        <v>4356</v>
      </c>
      <c r="IJ227" t="s">
        <v>4356</v>
      </c>
      <c r="IK227" t="s">
        <v>4356</v>
      </c>
      <c r="IL227" t="s">
        <v>4356</v>
      </c>
      <c r="IM227" t="s">
        <v>4356</v>
      </c>
      <c r="IN227" t="s">
        <v>4356</v>
      </c>
      <c r="IO227" t="s">
        <v>4356</v>
      </c>
      <c r="IP227" t="s">
        <v>4356</v>
      </c>
      <c r="IQ227" t="s">
        <v>4356</v>
      </c>
      <c r="IR227" t="s">
        <v>4356</v>
      </c>
      <c r="IS227" t="s">
        <v>4356</v>
      </c>
      <c r="IT227" t="s">
        <v>4356</v>
      </c>
      <c r="IU227" t="s">
        <v>4356</v>
      </c>
      <c r="IV227" t="s">
        <v>4356</v>
      </c>
      <c r="IW227" t="s">
        <v>4356</v>
      </c>
      <c r="IX227" t="s">
        <v>4356</v>
      </c>
      <c r="IY227" t="s">
        <v>4356</v>
      </c>
      <c r="IZ227" t="s">
        <v>4356</v>
      </c>
      <c r="JA227" t="s">
        <v>4356</v>
      </c>
      <c r="JB227" t="s">
        <v>4356</v>
      </c>
      <c r="JC227" t="s">
        <v>4356</v>
      </c>
      <c r="JD227" t="s">
        <v>4356</v>
      </c>
      <c r="JE227" t="s">
        <v>4356</v>
      </c>
      <c r="JF227" t="s">
        <v>4356</v>
      </c>
      <c r="JG227" t="s">
        <v>4356</v>
      </c>
      <c r="JH227" t="s">
        <v>4356</v>
      </c>
      <c r="JI227" t="s">
        <v>4356</v>
      </c>
      <c r="JJ227" t="s">
        <v>4356</v>
      </c>
      <c r="JK227" t="s">
        <v>4356</v>
      </c>
      <c r="JL227" t="s">
        <v>4356</v>
      </c>
      <c r="JM227" t="s">
        <v>4356</v>
      </c>
      <c r="JN227" t="s">
        <v>4356</v>
      </c>
      <c r="JO227" t="s">
        <v>4356</v>
      </c>
      <c r="JP227" t="s">
        <v>4356</v>
      </c>
      <c r="JQ227" t="s">
        <v>4356</v>
      </c>
      <c r="JR227" t="s">
        <v>4356</v>
      </c>
      <c r="JS227" t="s">
        <v>4356</v>
      </c>
      <c r="JT227" t="s">
        <v>4356</v>
      </c>
      <c r="JU227" t="s">
        <v>4356</v>
      </c>
    </row>
    <row r="228" spans="2:281" x14ac:dyDescent="0.3">
      <c r="B228" t="s">
        <v>4387</v>
      </c>
      <c r="C228" t="s">
        <v>4387</v>
      </c>
      <c r="D228" t="s">
        <v>4387</v>
      </c>
      <c r="E228" t="s">
        <v>4387</v>
      </c>
      <c r="F228" t="s">
        <v>4387</v>
      </c>
      <c r="G228" t="s">
        <v>4387</v>
      </c>
      <c r="H228" t="s">
        <v>4387</v>
      </c>
      <c r="I228" t="s">
        <v>4387</v>
      </c>
      <c r="J228" t="s">
        <v>4387</v>
      </c>
      <c r="K228" t="s">
        <v>4387</v>
      </c>
      <c r="L228" t="s">
        <v>4387</v>
      </c>
      <c r="M228" t="s">
        <v>4387</v>
      </c>
      <c r="N228" t="s">
        <v>4387</v>
      </c>
      <c r="FM228" t="s">
        <v>4356</v>
      </c>
      <c r="FN228" t="s">
        <v>4356</v>
      </c>
      <c r="FO228" t="s">
        <v>4356</v>
      </c>
      <c r="FP228" t="s">
        <v>4356</v>
      </c>
      <c r="FQ228" t="s">
        <v>4356</v>
      </c>
      <c r="FR228" t="s">
        <v>4356</v>
      </c>
      <c r="FS228" t="s">
        <v>4356</v>
      </c>
      <c r="HO228" t="s">
        <v>4356</v>
      </c>
      <c r="HP228" t="s">
        <v>4356</v>
      </c>
      <c r="HQ228" t="s">
        <v>4356</v>
      </c>
      <c r="HR228" t="s">
        <v>4356</v>
      </c>
      <c r="HS228" t="s">
        <v>4356</v>
      </c>
      <c r="HT228" t="s">
        <v>4356</v>
      </c>
      <c r="HU228" t="s">
        <v>4356</v>
      </c>
      <c r="HV228" t="s">
        <v>4356</v>
      </c>
      <c r="HW228" t="s">
        <v>4356</v>
      </c>
      <c r="HX228" t="s">
        <v>4356</v>
      </c>
      <c r="HY228" t="s">
        <v>4356</v>
      </c>
      <c r="HZ228" t="s">
        <v>4356</v>
      </c>
      <c r="IA228" t="s">
        <v>4356</v>
      </c>
      <c r="IB228" t="s">
        <v>4356</v>
      </c>
      <c r="IC228" t="s">
        <v>4356</v>
      </c>
      <c r="ID228" t="s">
        <v>4356</v>
      </c>
      <c r="IE228" t="s">
        <v>4356</v>
      </c>
      <c r="IF228" t="s">
        <v>4356</v>
      </c>
      <c r="IG228" t="s">
        <v>4356</v>
      </c>
      <c r="IH228" t="s">
        <v>4356</v>
      </c>
      <c r="II228" t="s">
        <v>4356</v>
      </c>
      <c r="IJ228" t="s">
        <v>4356</v>
      </c>
      <c r="IK228" t="s">
        <v>4356</v>
      </c>
      <c r="IL228" t="s">
        <v>4356</v>
      </c>
      <c r="IM228" t="s">
        <v>4356</v>
      </c>
      <c r="IN228" t="s">
        <v>4356</v>
      </c>
      <c r="IO228" t="s">
        <v>4356</v>
      </c>
      <c r="IP228" t="s">
        <v>4356</v>
      </c>
      <c r="IQ228" t="s">
        <v>4356</v>
      </c>
      <c r="IR228" t="s">
        <v>4356</v>
      </c>
      <c r="IS228" t="s">
        <v>4356</v>
      </c>
      <c r="IT228" t="s">
        <v>4356</v>
      </c>
      <c r="IU228" t="s">
        <v>4356</v>
      </c>
      <c r="IV228" t="s">
        <v>4356</v>
      </c>
      <c r="IW228" t="s">
        <v>4356</v>
      </c>
      <c r="IX228" t="s">
        <v>4356</v>
      </c>
      <c r="IY228" t="s">
        <v>4356</v>
      </c>
      <c r="IZ228" t="s">
        <v>4356</v>
      </c>
      <c r="JA228" t="s">
        <v>4356</v>
      </c>
      <c r="JB228" t="s">
        <v>4356</v>
      </c>
      <c r="JC228" t="s">
        <v>4356</v>
      </c>
      <c r="JD228" t="s">
        <v>4356</v>
      </c>
      <c r="JE228" t="s">
        <v>4356</v>
      </c>
      <c r="JF228" t="s">
        <v>4356</v>
      </c>
      <c r="JG228" t="s">
        <v>4356</v>
      </c>
      <c r="JH228" t="s">
        <v>4356</v>
      </c>
      <c r="JI228" t="s">
        <v>4356</v>
      </c>
      <c r="JJ228" t="s">
        <v>4356</v>
      </c>
      <c r="JK228" t="s">
        <v>4356</v>
      </c>
      <c r="JL228" t="s">
        <v>4356</v>
      </c>
      <c r="JM228" t="s">
        <v>4356</v>
      </c>
      <c r="JN228" t="s">
        <v>4356</v>
      </c>
      <c r="JO228" t="s">
        <v>4356</v>
      </c>
      <c r="JP228" t="s">
        <v>4356</v>
      </c>
      <c r="JQ228" t="s">
        <v>4356</v>
      </c>
      <c r="JR228" t="s">
        <v>4356</v>
      </c>
      <c r="JS228" t="s">
        <v>4356</v>
      </c>
      <c r="JT228" t="s">
        <v>4356</v>
      </c>
      <c r="JU228" t="s">
        <v>4356</v>
      </c>
    </row>
    <row r="229" spans="2:281" x14ac:dyDescent="0.3">
      <c r="B229" t="s">
        <v>4387</v>
      </c>
      <c r="C229" t="s">
        <v>4387</v>
      </c>
      <c r="D229" t="s">
        <v>4387</v>
      </c>
      <c r="E229" t="s">
        <v>4387</v>
      </c>
      <c r="F229" t="s">
        <v>4387</v>
      </c>
      <c r="G229" t="s">
        <v>4387</v>
      </c>
      <c r="H229" t="s">
        <v>4387</v>
      </c>
      <c r="I229" t="s">
        <v>4387</v>
      </c>
      <c r="J229" t="s">
        <v>4387</v>
      </c>
      <c r="K229" t="s">
        <v>4387</v>
      </c>
      <c r="L229" t="s">
        <v>4387</v>
      </c>
      <c r="M229" t="s">
        <v>4387</v>
      </c>
      <c r="N229" t="s">
        <v>4387</v>
      </c>
      <c r="O229" t="s">
        <v>4387</v>
      </c>
      <c r="P229" t="s">
        <v>4387</v>
      </c>
      <c r="Q229" t="s">
        <v>4387</v>
      </c>
      <c r="R229" t="s">
        <v>4387</v>
      </c>
      <c r="S229" t="s">
        <v>4387</v>
      </c>
      <c r="T229" t="s">
        <v>4387</v>
      </c>
      <c r="FM229" t="s">
        <v>4356</v>
      </c>
      <c r="FN229" t="s">
        <v>4356</v>
      </c>
      <c r="FO229" t="s">
        <v>4356</v>
      </c>
      <c r="FP229" t="s">
        <v>4356</v>
      </c>
      <c r="FQ229" t="s">
        <v>4356</v>
      </c>
      <c r="FR229" t="s">
        <v>4356</v>
      </c>
      <c r="FS229" t="s">
        <v>4356</v>
      </c>
      <c r="FT229" t="s">
        <v>4356</v>
      </c>
      <c r="HQ229" t="s">
        <v>4356</v>
      </c>
      <c r="HR229" t="s">
        <v>4356</v>
      </c>
      <c r="HS229" t="s">
        <v>4356</v>
      </c>
      <c r="HT229" t="s">
        <v>4356</v>
      </c>
      <c r="HU229" t="s">
        <v>4356</v>
      </c>
      <c r="HV229" t="s">
        <v>4356</v>
      </c>
      <c r="HW229" t="s">
        <v>4356</v>
      </c>
      <c r="HX229" t="s">
        <v>4356</v>
      </c>
      <c r="HY229" t="s">
        <v>4356</v>
      </c>
      <c r="HZ229" t="s">
        <v>4356</v>
      </c>
      <c r="IA229" t="s">
        <v>4356</v>
      </c>
      <c r="IB229" t="s">
        <v>4356</v>
      </c>
      <c r="IC229" t="s">
        <v>4356</v>
      </c>
      <c r="ID229" t="s">
        <v>4356</v>
      </c>
      <c r="IE229" t="s">
        <v>4356</v>
      </c>
      <c r="IF229" t="s">
        <v>4356</v>
      </c>
      <c r="IG229" t="s">
        <v>4356</v>
      </c>
      <c r="IH229" t="s">
        <v>4356</v>
      </c>
      <c r="II229" t="s">
        <v>4356</v>
      </c>
      <c r="IJ229" t="s">
        <v>4356</v>
      </c>
      <c r="IK229" t="s">
        <v>4356</v>
      </c>
      <c r="IL229" t="s">
        <v>4356</v>
      </c>
      <c r="IM229" t="s">
        <v>4356</v>
      </c>
      <c r="IN229" t="s">
        <v>4356</v>
      </c>
      <c r="IO229" t="s">
        <v>4356</v>
      </c>
      <c r="IP229" t="s">
        <v>4356</v>
      </c>
      <c r="IQ229" t="s">
        <v>4356</v>
      </c>
      <c r="IR229" t="s">
        <v>4356</v>
      </c>
      <c r="IS229" t="s">
        <v>4356</v>
      </c>
      <c r="IT229" t="s">
        <v>4356</v>
      </c>
      <c r="IU229" t="s">
        <v>4356</v>
      </c>
      <c r="IV229" t="s">
        <v>4356</v>
      </c>
      <c r="IW229" t="s">
        <v>4356</v>
      </c>
      <c r="IX229" t="s">
        <v>4356</v>
      </c>
      <c r="IY229" t="s">
        <v>4356</v>
      </c>
      <c r="IZ229" t="s">
        <v>4356</v>
      </c>
      <c r="JA229" t="s">
        <v>4356</v>
      </c>
      <c r="JB229" t="s">
        <v>4356</v>
      </c>
      <c r="JC229" t="s">
        <v>4356</v>
      </c>
      <c r="JD229" t="s">
        <v>4356</v>
      </c>
      <c r="JE229" t="s">
        <v>4356</v>
      </c>
      <c r="JF229" t="s">
        <v>4356</v>
      </c>
      <c r="JG229" t="s">
        <v>4356</v>
      </c>
      <c r="JH229" t="s">
        <v>4356</v>
      </c>
      <c r="JI229" t="s">
        <v>4356</v>
      </c>
      <c r="JJ229" t="s">
        <v>4356</v>
      </c>
      <c r="JK229" t="s">
        <v>4356</v>
      </c>
      <c r="JL229" t="s">
        <v>4356</v>
      </c>
      <c r="JM229" t="s">
        <v>4356</v>
      </c>
      <c r="JN229" t="s">
        <v>4356</v>
      </c>
      <c r="JO229" t="s">
        <v>4356</v>
      </c>
      <c r="JP229" t="s">
        <v>4356</v>
      </c>
      <c r="JQ229" t="s">
        <v>4356</v>
      </c>
      <c r="JR229" t="s">
        <v>4356</v>
      </c>
      <c r="JS229" t="s">
        <v>4356</v>
      </c>
      <c r="JT229" t="s">
        <v>4356</v>
      </c>
      <c r="JU229" t="s">
        <v>4356</v>
      </c>
    </row>
    <row r="230" spans="2:281" x14ac:dyDescent="0.3">
      <c r="B230" t="s">
        <v>4387</v>
      </c>
      <c r="C230" t="s">
        <v>4387</v>
      </c>
      <c r="D230" t="s">
        <v>4387</v>
      </c>
      <c r="E230" t="s">
        <v>4387</v>
      </c>
      <c r="F230" t="s">
        <v>4387</v>
      </c>
      <c r="G230" t="s">
        <v>4387</v>
      </c>
      <c r="H230" t="s">
        <v>4387</v>
      </c>
      <c r="I230" t="s">
        <v>4387</v>
      </c>
      <c r="J230" t="s">
        <v>4387</v>
      </c>
      <c r="K230" t="s">
        <v>4387</v>
      </c>
      <c r="L230" t="s">
        <v>4387</v>
      </c>
      <c r="M230" t="s">
        <v>4387</v>
      </c>
      <c r="N230" t="s">
        <v>4387</v>
      </c>
      <c r="O230" t="s">
        <v>4387</v>
      </c>
      <c r="P230" t="s">
        <v>4387</v>
      </c>
      <c r="Q230" t="s">
        <v>4387</v>
      </c>
      <c r="R230" t="s">
        <v>4387</v>
      </c>
      <c r="S230" t="s">
        <v>4387</v>
      </c>
      <c r="FP230" t="s">
        <v>4356</v>
      </c>
      <c r="FQ230" t="s">
        <v>4356</v>
      </c>
      <c r="FR230" t="s">
        <v>4356</v>
      </c>
      <c r="FS230" t="s">
        <v>4356</v>
      </c>
      <c r="FT230" t="s">
        <v>4356</v>
      </c>
      <c r="FU230" t="s">
        <v>4356</v>
      </c>
      <c r="FV230" t="s">
        <v>4356</v>
      </c>
      <c r="IA230" t="s">
        <v>4356</v>
      </c>
      <c r="IB230" t="s">
        <v>4356</v>
      </c>
      <c r="IC230" t="s">
        <v>4356</v>
      </c>
      <c r="ID230" t="s">
        <v>4356</v>
      </c>
      <c r="IE230" t="s">
        <v>4356</v>
      </c>
      <c r="IF230" t="s">
        <v>4356</v>
      </c>
      <c r="IG230" t="s">
        <v>4356</v>
      </c>
      <c r="IH230" t="s">
        <v>4356</v>
      </c>
      <c r="II230" t="s">
        <v>4356</v>
      </c>
      <c r="IJ230" t="s">
        <v>4356</v>
      </c>
      <c r="IK230" t="s">
        <v>4356</v>
      </c>
      <c r="IL230" t="s">
        <v>4356</v>
      </c>
      <c r="IM230" t="s">
        <v>4356</v>
      </c>
      <c r="IN230" t="s">
        <v>4356</v>
      </c>
      <c r="IO230" t="s">
        <v>4356</v>
      </c>
      <c r="IP230" t="s">
        <v>4356</v>
      </c>
      <c r="IQ230" t="s">
        <v>4356</v>
      </c>
      <c r="IR230" t="s">
        <v>4356</v>
      </c>
      <c r="IS230" t="s">
        <v>4356</v>
      </c>
      <c r="IT230" t="s">
        <v>4356</v>
      </c>
      <c r="IU230" t="s">
        <v>4356</v>
      </c>
      <c r="IV230" t="s">
        <v>4356</v>
      </c>
      <c r="IW230" t="s">
        <v>4356</v>
      </c>
      <c r="IX230" t="s">
        <v>4356</v>
      </c>
      <c r="IY230" t="s">
        <v>4356</v>
      </c>
      <c r="IZ230" t="s">
        <v>4356</v>
      </c>
      <c r="JA230" t="s">
        <v>4356</v>
      </c>
      <c r="JB230" t="s">
        <v>4356</v>
      </c>
      <c r="JC230" t="s">
        <v>4356</v>
      </c>
      <c r="JD230" t="s">
        <v>4356</v>
      </c>
      <c r="JE230" t="s">
        <v>4356</v>
      </c>
      <c r="JF230" t="s">
        <v>4356</v>
      </c>
      <c r="JG230" t="s">
        <v>4356</v>
      </c>
      <c r="JH230" t="s">
        <v>4356</v>
      </c>
      <c r="JI230" t="s">
        <v>4356</v>
      </c>
      <c r="JJ230" t="s">
        <v>4356</v>
      </c>
      <c r="JK230" t="s">
        <v>4356</v>
      </c>
      <c r="JL230" t="s">
        <v>4356</v>
      </c>
      <c r="JM230" t="s">
        <v>4356</v>
      </c>
      <c r="JN230" t="s">
        <v>4356</v>
      </c>
      <c r="JO230" t="s">
        <v>4356</v>
      </c>
      <c r="JP230" t="s">
        <v>4356</v>
      </c>
      <c r="JQ230" t="s">
        <v>4356</v>
      </c>
      <c r="JR230" t="s">
        <v>4356</v>
      </c>
      <c r="JS230" t="s">
        <v>4356</v>
      </c>
      <c r="JT230" t="s">
        <v>4356</v>
      </c>
    </row>
    <row r="231" spans="2:281" x14ac:dyDescent="0.3">
      <c r="B231" t="s">
        <v>4387</v>
      </c>
      <c r="C231" t="s">
        <v>4387</v>
      </c>
      <c r="D231" t="s">
        <v>4387</v>
      </c>
      <c r="E231" t="s">
        <v>4387</v>
      </c>
      <c r="F231" t="s">
        <v>4387</v>
      </c>
      <c r="G231" t="s">
        <v>4387</v>
      </c>
      <c r="H231" t="s">
        <v>4387</v>
      </c>
      <c r="I231" t="s">
        <v>4387</v>
      </c>
      <c r="J231" t="s">
        <v>4387</v>
      </c>
      <c r="K231" t="s">
        <v>4387</v>
      </c>
      <c r="L231" t="s">
        <v>4387</v>
      </c>
      <c r="M231" t="s">
        <v>4387</v>
      </c>
      <c r="N231" t="s">
        <v>4387</v>
      </c>
      <c r="O231" t="s">
        <v>4387</v>
      </c>
      <c r="P231" t="s">
        <v>4387</v>
      </c>
      <c r="Q231" t="s">
        <v>4387</v>
      </c>
      <c r="R231" t="s">
        <v>4387</v>
      </c>
      <c r="S231" t="s">
        <v>4387</v>
      </c>
      <c r="T231" t="s">
        <v>4387</v>
      </c>
      <c r="U231" t="s">
        <v>4387</v>
      </c>
      <c r="FR231" t="s">
        <v>4356</v>
      </c>
      <c r="FS231" t="s">
        <v>4356</v>
      </c>
      <c r="FT231" t="s">
        <v>4356</v>
      </c>
      <c r="FU231" t="s">
        <v>4356</v>
      </c>
      <c r="FV231" t="s">
        <v>4356</v>
      </c>
      <c r="FW231" t="s">
        <v>4356</v>
      </c>
      <c r="FX231" t="s">
        <v>4356</v>
      </c>
      <c r="FY231" t="s">
        <v>4356</v>
      </c>
      <c r="IA231" t="s">
        <v>4356</v>
      </c>
      <c r="IB231" t="s">
        <v>4356</v>
      </c>
      <c r="IC231" t="s">
        <v>4356</v>
      </c>
      <c r="ID231" t="s">
        <v>4356</v>
      </c>
      <c r="IE231" t="s">
        <v>4356</v>
      </c>
      <c r="IF231" t="s">
        <v>4356</v>
      </c>
      <c r="IG231" t="s">
        <v>4356</v>
      </c>
      <c r="IH231" t="s">
        <v>4356</v>
      </c>
      <c r="II231" t="s">
        <v>4356</v>
      </c>
      <c r="IJ231" t="s">
        <v>4356</v>
      </c>
      <c r="IK231" t="s">
        <v>4356</v>
      </c>
      <c r="IL231" t="s">
        <v>4356</v>
      </c>
      <c r="IM231" t="s">
        <v>4356</v>
      </c>
      <c r="IN231" t="s">
        <v>4356</v>
      </c>
      <c r="IO231" t="s">
        <v>4356</v>
      </c>
      <c r="IP231" t="s">
        <v>4356</v>
      </c>
      <c r="IQ231" t="s">
        <v>4356</v>
      </c>
      <c r="IR231" t="s">
        <v>4356</v>
      </c>
      <c r="IS231" t="s">
        <v>4356</v>
      </c>
      <c r="IT231" t="s">
        <v>4356</v>
      </c>
      <c r="IU231" t="s">
        <v>4356</v>
      </c>
      <c r="IV231" t="s">
        <v>4356</v>
      </c>
      <c r="IW231" t="s">
        <v>4356</v>
      </c>
      <c r="IX231" t="s">
        <v>4356</v>
      </c>
      <c r="IY231" t="s">
        <v>4356</v>
      </c>
      <c r="IZ231" t="s">
        <v>4356</v>
      </c>
      <c r="JA231" t="s">
        <v>4356</v>
      </c>
      <c r="JB231" t="s">
        <v>4356</v>
      </c>
      <c r="JC231" t="s">
        <v>4356</v>
      </c>
      <c r="JD231" t="s">
        <v>4356</v>
      </c>
      <c r="JE231" t="s">
        <v>4356</v>
      </c>
      <c r="JF231" t="s">
        <v>4356</v>
      </c>
      <c r="JG231" t="s">
        <v>4356</v>
      </c>
      <c r="JH231" t="s">
        <v>4356</v>
      </c>
      <c r="JI231" t="s">
        <v>4356</v>
      </c>
      <c r="JJ231" t="s">
        <v>4356</v>
      </c>
      <c r="JK231" t="s">
        <v>4356</v>
      </c>
      <c r="JL231" t="s">
        <v>4356</v>
      </c>
      <c r="JM231" t="s">
        <v>4356</v>
      </c>
      <c r="JN231" t="s">
        <v>4356</v>
      </c>
      <c r="JO231" t="s">
        <v>4356</v>
      </c>
      <c r="JP231" t="s">
        <v>4356</v>
      </c>
      <c r="JQ231" t="s">
        <v>4356</v>
      </c>
      <c r="JR231" t="s">
        <v>4356</v>
      </c>
      <c r="JS231" t="s">
        <v>4356</v>
      </c>
      <c r="JT231" t="s">
        <v>4356</v>
      </c>
      <c r="JU231" t="s">
        <v>4356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98E43-B94F-4720-ACB4-2A8DC0D395FD}">
  <dimension ref="A1:S1209"/>
  <sheetViews>
    <sheetView workbookViewId="0"/>
  </sheetViews>
  <sheetFormatPr defaultRowHeight="14.4" x14ac:dyDescent="0.3"/>
  <sheetData>
    <row r="1" spans="1:19" x14ac:dyDescent="0.3">
      <c r="A1" s="33" t="s">
        <v>4306</v>
      </c>
      <c r="B1" s="33" t="s">
        <v>4495</v>
      </c>
      <c r="C1" s="33" t="s">
        <v>4486</v>
      </c>
      <c r="D1" s="33" t="s">
        <v>4487</v>
      </c>
      <c r="E1" s="33" t="s">
        <v>4488</v>
      </c>
      <c r="F1" s="33" t="s">
        <v>4489</v>
      </c>
      <c r="G1" s="33" t="s">
        <v>4496</v>
      </c>
      <c r="H1" s="33" t="s">
        <v>4497</v>
      </c>
      <c r="I1" s="33" t="s">
        <v>4498</v>
      </c>
      <c r="J1" s="33" t="s">
        <v>4499</v>
      </c>
      <c r="K1" s="33" t="s">
        <v>4500</v>
      </c>
      <c r="L1" s="33" t="s">
        <v>4501</v>
      </c>
      <c r="M1" s="33" t="s">
        <v>4502</v>
      </c>
      <c r="N1" s="33" t="s">
        <v>4503</v>
      </c>
      <c r="O1" s="33" t="s">
        <v>4504</v>
      </c>
      <c r="P1" s="33" t="s">
        <v>4505</v>
      </c>
      <c r="Q1" s="33" t="s">
        <v>4506</v>
      </c>
      <c r="S1" s="33" t="s">
        <v>4507</v>
      </c>
    </row>
    <row r="2" spans="1:19" x14ac:dyDescent="0.3">
      <c r="A2">
        <f>INT((ROW()-2)/151)+1</f>
        <v>1</v>
      </c>
      <c r="B2">
        <f>MOD(ROW()-2,151)</f>
        <v>0</v>
      </c>
      <c r="C2" cm="1">
        <f t="array" ref="C2">IFERROR(INDEX('TRIP MANAGER'!$O$18:$O$25,$A2),"")</f>
        <v>-25.938960000000002</v>
      </c>
      <c r="D2" cm="1">
        <f t="array" ref="D2">IFERROR(INDEX('TRIP MANAGER'!$P$18:$P$25,$A2),"")</f>
        <v>27.926639999999999</v>
      </c>
      <c r="E2" cm="1">
        <f t="array" ref="E2">IFERROR(INDEX('TRIP MANAGER'!$Q$18:$Q$25,$A2),"")</f>
        <v>12.133699999999999</v>
      </c>
      <c r="F2" cm="1">
        <f t="array" ref="F2">IFERROR(INDEX('TRIP MANAGER'!$R$18:$R$25,$A2),"")</f>
        <v>15.034000000000001</v>
      </c>
      <c r="G2" cm="1">
        <f t="array" ref="G2">IFERROR(INDEX('TRIP MANAGER'!$S$18:$S$25,$A2),"")</f>
        <v>0.69965352295446726</v>
      </c>
      <c r="H2">
        <f>$B2/150</f>
        <v>0</v>
      </c>
      <c r="I2">
        <f>IF(OR($G2="",$G2=0),"",SIN((1-$H2)*$G2)/SIN($G2))</f>
        <v>1</v>
      </c>
      <c r="J2">
        <f>IF($I2="","",SIN($H2*$G2)/SIN($G2))</f>
        <v>0</v>
      </c>
      <c r="K2">
        <f>IF($I2="","",$I2*COS(RADIANS($C2))*COS(RADIANS($D2))+$J2*COS(RADIANS($E2))*COS(RADIANS($F2)))</f>
        <v>0.79453983548839602</v>
      </c>
      <c r="L2">
        <f>IF($I2="","",$I2*COS(RADIANS($C2))*SIN(RADIANS($D2))+$J2*COS(RADIANS($E2))*SIN(RADIANS($F2)))</f>
        <v>0.4211602955438537</v>
      </c>
      <c r="M2">
        <f>IF($I2="","",$I2*SIN(RADIANS($C2))+$J2*SIN(RADIANS($E2)))</f>
        <v>-0.43741336888518434</v>
      </c>
      <c r="N2">
        <f>IF($M2="","",DEGREES(ATAN2(SQRT($K2^2+$L2^2),$M2)))</f>
        <v>-25.938960000000002</v>
      </c>
      <c r="O2">
        <f>IF($M2="","",DEGREES(ATAN2($K2,$L2)))</f>
        <v>27.926639999999999</v>
      </c>
      <c r="P2" t="str" cm="1">
        <f t="array" ref="P2">IF($N2="","",IFERROR(IF(INDEX(geo_grid!$B$2:$JU$231,INT(($N2+40)/0.5)+1,INT(($O2+30)/0.5)+1)="","",INDEX(geo_grid!$B$2:$JU$231,INT(($N2+40)/0.5)+1,INT(($O2+30)/0.5)+1)),"OUTSIDE GRID"))</f>
        <v>ZAF</v>
      </c>
      <c r="Q2">
        <f>IF($P2="","",$A2*1000+$B2)</f>
        <v>1000</v>
      </c>
    </row>
    <row r="3" spans="1:19" x14ac:dyDescent="0.3">
      <c r="A3">
        <f t="shared" ref="A3:A66" si="0">INT((ROW()-2)/151)+1</f>
        <v>1</v>
      </c>
      <c r="B3">
        <f t="shared" ref="B3:B66" si="1">MOD(ROW()-2,151)</f>
        <v>1</v>
      </c>
      <c r="C3" cm="1">
        <f t="array" ref="C3">IFERROR(INDEX('TRIP MANAGER'!$O$18:$O$25,$A3),"")</f>
        <v>-25.938960000000002</v>
      </c>
      <c r="D3" cm="1">
        <f t="array" ref="D3">IFERROR(INDEX('TRIP MANAGER'!$P$18:$P$25,$A3),"")</f>
        <v>27.926639999999999</v>
      </c>
      <c r="E3" cm="1">
        <f t="array" ref="E3">IFERROR(INDEX('TRIP MANAGER'!$Q$18:$Q$25,$A3),"")</f>
        <v>12.133699999999999</v>
      </c>
      <c r="F3" cm="1">
        <f t="array" ref="F3">IFERROR(INDEX('TRIP MANAGER'!$R$18:$R$25,$A3),"")</f>
        <v>15.034000000000001</v>
      </c>
      <c r="G3" cm="1">
        <f t="array" ref="G3">IFERROR(INDEX('TRIP MANAGER'!$S$18:$S$25,$A3),"")</f>
        <v>0.69965352295446726</v>
      </c>
      <c r="H3">
        <f t="shared" ref="H3:H66" si="2">$B3/150</f>
        <v>6.6666666666666671E-3</v>
      </c>
      <c r="I3">
        <f t="shared" ref="I3:I66" si="3">IF(OR($G3="",$G3=0),"",SIN((1-$H3)*$G3)/SIN($G3))</f>
        <v>0.99444752681777504</v>
      </c>
      <c r="J3">
        <f t="shared" ref="J3:J66" si="4">IF($I3="","",SIN($H3*$G3)/SIN($G3))</f>
        <v>7.2432964113078096E-3</v>
      </c>
      <c r="K3">
        <f t="shared" ref="K3:K66" si="5">IF($I3="","",$I3*COS(RADIANS($C3))*COS(RADIANS($D3))+$J3*COS(RADIANS($E3))*COS(RADIANS($F3)))</f>
        <v>0.79696726951303265</v>
      </c>
      <c r="L3">
        <f t="shared" ref="L3:L66" si="6">IF($I3="","",$I3*COS(RADIANS($C3))*SIN(RADIANS($D3))+$J3*COS(RADIANS($E3))*SIN(RADIANS($F3)))</f>
        <v>0.42065869479382134</v>
      </c>
      <c r="M3">
        <f t="shared" ref="M3:M66" si="7">IF($I3="","",$I3*SIN(RADIANS($C3))+$J3*SIN(RADIANS($E3)))</f>
        <v>-0.43346214808135192</v>
      </c>
      <c r="N3">
        <f t="shared" ref="N3:N66" si="8">IF($M3="","",DEGREES(ATAN2(SQRT($K3^2+$L3^2),$M3)))</f>
        <v>-25.687478276449394</v>
      </c>
      <c r="O3">
        <f t="shared" ref="O3:O66" si="9">IF($M3="","",DEGREES(ATAN2($K3,$L3)))</f>
        <v>27.826181354552713</v>
      </c>
      <c r="P3" t="str" cm="1">
        <f t="array" ref="P3">IF($N3="","",IFERROR(IF(INDEX(geo_grid!$B$2:$JU$231,INT(($N3+40)/0.5)+1,INT(($O3+30)/0.5)+1)="","",INDEX(geo_grid!$B$2:$JU$231,INT(($N3+40)/0.5)+1,INT(($O3+30)/0.5)+1)),"OUTSIDE GRID"))</f>
        <v>ZAF</v>
      </c>
      <c r="Q3">
        <f t="shared" ref="Q3:Q66" si="10">IF($P3="","",$A3*1000+$B3)</f>
        <v>1001</v>
      </c>
    </row>
    <row r="4" spans="1:19" x14ac:dyDescent="0.3">
      <c r="A4">
        <f t="shared" si="0"/>
        <v>1</v>
      </c>
      <c r="B4">
        <f t="shared" si="1"/>
        <v>2</v>
      </c>
      <c r="C4" cm="1">
        <f t="array" ref="C4">IFERROR(INDEX('TRIP MANAGER'!$O$18:$O$25,$A4),"")</f>
        <v>-25.938960000000002</v>
      </c>
      <c r="D4" cm="1">
        <f t="array" ref="D4">IFERROR(INDEX('TRIP MANAGER'!$P$18:$P$25,$A4),"")</f>
        <v>27.926639999999999</v>
      </c>
      <c r="E4" cm="1">
        <f t="array" ref="E4">IFERROR(INDEX('TRIP MANAGER'!$Q$18:$Q$25,$A4),"")</f>
        <v>12.133699999999999</v>
      </c>
      <c r="F4" cm="1">
        <f t="array" ref="F4">IFERROR(INDEX('TRIP MANAGER'!$R$18:$R$25,$A4),"")</f>
        <v>15.034000000000001</v>
      </c>
      <c r="G4" cm="1">
        <f t="array" ref="G4">IFERROR(INDEX('TRIP MANAGER'!$S$18:$S$25,$A4),"")</f>
        <v>0.69965352295446726</v>
      </c>
      <c r="H4">
        <f t="shared" si="2"/>
        <v>1.3333333333333334E-2</v>
      </c>
      <c r="I4">
        <f t="shared" si="3"/>
        <v>0.9888734182510871</v>
      </c>
      <c r="J4">
        <f t="shared" si="4"/>
        <v>1.4486435236118183E-2</v>
      </c>
      <c r="K4">
        <f t="shared" si="5"/>
        <v>0.79937736457023734</v>
      </c>
      <c r="L4">
        <f t="shared" si="6"/>
        <v>0.42014794211536233</v>
      </c>
      <c r="M4">
        <f t="shared" si="7"/>
        <v>-0.4295014967947931</v>
      </c>
      <c r="N4">
        <f t="shared" si="8"/>
        <v>-25.435928039303636</v>
      </c>
      <c r="O4">
        <f t="shared" si="9"/>
        <v>27.726146050162058</v>
      </c>
      <c r="P4" t="str" cm="1">
        <f t="array" ref="P4">IF($N4="","",IFERROR(IF(INDEX(geo_grid!$B$2:$JU$231,INT(($N4+40)/0.5)+1,INT(($O4+30)/0.5)+1)="","",INDEX(geo_grid!$B$2:$JU$231,INT(($N4+40)/0.5)+1,INT(($O4+30)/0.5)+1)),"OUTSIDE GRID"))</f>
        <v>ZAF</v>
      </c>
      <c r="Q4">
        <f t="shared" si="10"/>
        <v>1002</v>
      </c>
    </row>
    <row r="5" spans="1:19" x14ac:dyDescent="0.3">
      <c r="A5">
        <f t="shared" si="0"/>
        <v>1</v>
      </c>
      <c r="B5">
        <f t="shared" si="1"/>
        <v>3</v>
      </c>
      <c r="C5" cm="1">
        <f t="array" ref="C5">IFERROR(INDEX('TRIP MANAGER'!$O$18:$O$25,$A5),"")</f>
        <v>-25.938960000000002</v>
      </c>
      <c r="D5" cm="1">
        <f t="array" ref="D5">IFERROR(INDEX('TRIP MANAGER'!$P$18:$P$25,$A5),"")</f>
        <v>27.926639999999999</v>
      </c>
      <c r="E5" cm="1">
        <f t="array" ref="E5">IFERROR(INDEX('TRIP MANAGER'!$Q$18:$Q$25,$A5),"")</f>
        <v>12.133699999999999</v>
      </c>
      <c r="F5" cm="1">
        <f t="array" ref="F5">IFERROR(INDEX('TRIP MANAGER'!$R$18:$R$25,$A5),"")</f>
        <v>15.034000000000001</v>
      </c>
      <c r="G5" cm="1">
        <f t="array" ref="G5">IFERROR(INDEX('TRIP MANAGER'!$S$18:$S$25,$A5),"")</f>
        <v>0.69965352295446726</v>
      </c>
      <c r="H5">
        <f t="shared" si="2"/>
        <v>0.02</v>
      </c>
      <c r="I5">
        <f t="shared" si="3"/>
        <v>0.98327779557127426</v>
      </c>
      <c r="J5">
        <f t="shared" si="4"/>
        <v>2.1729258891362162E-2</v>
      </c>
      <c r="K5">
        <f t="shared" si="5"/>
        <v>0.8017700682255362</v>
      </c>
      <c r="L5">
        <f t="shared" si="6"/>
        <v>0.41962804862050662</v>
      </c>
      <c r="M5">
        <f t="shared" si="7"/>
        <v>-0.42553150119417066</v>
      </c>
      <c r="N5">
        <f t="shared" si="8"/>
        <v>-25.184310340924256</v>
      </c>
      <c r="O5">
        <f t="shared" si="9"/>
        <v>27.626527697032337</v>
      </c>
      <c r="P5" t="str" cm="1">
        <f t="array" ref="P5">IF($N5="","",IFERROR(IF(INDEX(geo_grid!$B$2:$JU$231,INT(($N5+40)/0.5)+1,INT(($O5+30)/0.5)+1)="","",INDEX(geo_grid!$B$2:$JU$231,INT(($N5+40)/0.5)+1,INT(($O5+30)/0.5)+1)),"OUTSIDE GRID"))</f>
        <v>ZAF</v>
      </c>
      <c r="Q5">
        <f t="shared" si="10"/>
        <v>1003</v>
      </c>
    </row>
    <row r="6" spans="1:19" x14ac:dyDescent="0.3">
      <c r="A6">
        <f t="shared" si="0"/>
        <v>1</v>
      </c>
      <c r="B6">
        <f t="shared" si="1"/>
        <v>4</v>
      </c>
      <c r="C6" cm="1">
        <f t="array" ref="C6">IFERROR(INDEX('TRIP MANAGER'!$O$18:$O$25,$A6),"")</f>
        <v>-25.938960000000002</v>
      </c>
      <c r="D6" cm="1">
        <f t="array" ref="D6">IFERROR(INDEX('TRIP MANAGER'!$P$18:$P$25,$A6),"")</f>
        <v>27.926639999999999</v>
      </c>
      <c r="E6" cm="1">
        <f t="array" ref="E6">IFERROR(INDEX('TRIP MANAGER'!$Q$18:$Q$25,$A6),"")</f>
        <v>12.133699999999999</v>
      </c>
      <c r="F6" cm="1">
        <f t="array" ref="F6">IFERROR(INDEX('TRIP MANAGER'!$R$18:$R$25,$A6),"")</f>
        <v>15.034000000000001</v>
      </c>
      <c r="G6" cm="1">
        <f t="array" ref="G6">IFERROR(INDEX('TRIP MANAGER'!$S$18:$S$25,$A6),"")</f>
        <v>0.69965352295446726</v>
      </c>
      <c r="H6">
        <f t="shared" si="2"/>
        <v>2.6666666666666668E-2</v>
      </c>
      <c r="I6">
        <f t="shared" si="3"/>
        <v>0.97766078051773941</v>
      </c>
      <c r="J6">
        <f t="shared" si="4"/>
        <v>2.8971609800827677E-2</v>
      </c>
      <c r="K6">
        <f t="shared" si="5"/>
        <v>0.8041453284228256</v>
      </c>
      <c r="L6">
        <f t="shared" si="6"/>
        <v>0.41909902562015316</v>
      </c>
      <c r="M6">
        <f t="shared" si="7"/>
        <v>-0.42155224765144372</v>
      </c>
      <c r="N6">
        <f t="shared" si="8"/>
        <v>-24.932626220016211</v>
      </c>
      <c r="O6">
        <f t="shared" si="9"/>
        <v>27.527319984574895</v>
      </c>
      <c r="P6" t="str" cm="1">
        <f t="array" ref="P6">IF($N6="","",IFERROR(IF(INDEX(geo_grid!$B$2:$JU$231,INT(($N6+40)/0.5)+1,INT(($O6+30)/0.5)+1)="","",INDEX(geo_grid!$B$2:$JU$231,INT(($N6+40)/0.5)+1,INT(($O6+30)/0.5)+1)),"OUTSIDE GRID"))</f>
        <v>ZAF</v>
      </c>
      <c r="Q6">
        <f t="shared" si="10"/>
        <v>1004</v>
      </c>
    </row>
    <row r="7" spans="1:19" x14ac:dyDescent="0.3">
      <c r="A7">
        <f t="shared" si="0"/>
        <v>1</v>
      </c>
      <c r="B7">
        <f t="shared" si="1"/>
        <v>5</v>
      </c>
      <c r="C7" cm="1">
        <f t="array" ref="C7">IFERROR(INDEX('TRIP MANAGER'!$O$18:$O$25,$A7),"")</f>
        <v>-25.938960000000002</v>
      </c>
      <c r="D7" cm="1">
        <f t="array" ref="D7">IFERROR(INDEX('TRIP MANAGER'!$P$18:$P$25,$A7),"")</f>
        <v>27.926639999999999</v>
      </c>
      <c r="E7" cm="1">
        <f t="array" ref="E7">IFERROR(INDEX('TRIP MANAGER'!$Q$18:$Q$25,$A7),"")</f>
        <v>12.133699999999999</v>
      </c>
      <c r="F7" cm="1">
        <f t="array" ref="F7">IFERROR(INDEX('TRIP MANAGER'!$R$18:$R$25,$A7),"")</f>
        <v>15.034000000000001</v>
      </c>
      <c r="G7" cm="1">
        <f t="array" ref="G7">IFERROR(INDEX('TRIP MANAGER'!$S$18:$S$25,$A7),"")</f>
        <v>0.69965352295446726</v>
      </c>
      <c r="H7">
        <f t="shared" si="2"/>
        <v>3.3333333333333333E-2</v>
      </c>
      <c r="I7">
        <f t="shared" si="3"/>
        <v>0.97202249529530127</v>
      </c>
      <c r="J7">
        <f t="shared" si="4"/>
        <v>3.621333039858781E-2</v>
      </c>
      <c r="K7">
        <f t="shared" si="5"/>
        <v>0.80650309348550475</v>
      </c>
      <c r="L7">
        <f t="shared" si="6"/>
        <v>0.41856088462382435</v>
      </c>
      <c r="M7">
        <f t="shared" si="7"/>
        <v>-0.41756382273998871</v>
      </c>
      <c r="N7">
        <f t="shared" si="8"/>
        <v>-24.680876701905397</v>
      </c>
      <c r="O7">
        <f t="shared" si="9"/>
        <v>27.428516679861303</v>
      </c>
      <c r="P7" t="str" cm="1">
        <f t="array" ref="P7">IF($N7="","",IFERROR(IF(INDEX(geo_grid!$B$2:$JU$231,INT(($N7+40)/0.5)+1,INT(($O7+30)/0.5)+1)="","",INDEX(geo_grid!$B$2:$JU$231,INT(($N7+40)/0.5)+1,INT(($O7+30)/0.5)+1)),"OUTSIDE GRID"))</f>
        <v>ZAF</v>
      </c>
      <c r="Q7">
        <f t="shared" si="10"/>
        <v>1005</v>
      </c>
    </row>
    <row r="8" spans="1:19" x14ac:dyDescent="0.3">
      <c r="A8">
        <f t="shared" si="0"/>
        <v>1</v>
      </c>
      <c r="B8">
        <f t="shared" si="1"/>
        <v>6</v>
      </c>
      <c r="C8" cm="1">
        <f t="array" ref="C8">IFERROR(INDEX('TRIP MANAGER'!$O$18:$O$25,$A8),"")</f>
        <v>-25.938960000000002</v>
      </c>
      <c r="D8" cm="1">
        <f t="array" ref="D8">IFERROR(INDEX('TRIP MANAGER'!$P$18:$P$25,$A8),"")</f>
        <v>27.926639999999999</v>
      </c>
      <c r="E8" cm="1">
        <f t="array" ref="E8">IFERROR(INDEX('TRIP MANAGER'!$Q$18:$Q$25,$A8),"")</f>
        <v>12.133699999999999</v>
      </c>
      <c r="F8" cm="1">
        <f t="array" ref="F8">IFERROR(INDEX('TRIP MANAGER'!$R$18:$R$25,$A8),"")</f>
        <v>15.034000000000001</v>
      </c>
      <c r="G8" cm="1">
        <f t="array" ref="G8">IFERROR(INDEX('TRIP MANAGER'!$S$18:$S$25,$A8),"")</f>
        <v>0.69965352295446726</v>
      </c>
      <c r="H8">
        <f t="shared" si="2"/>
        <v>0.04</v>
      </c>
      <c r="I8">
        <f t="shared" si="3"/>
        <v>0.96636306257153703</v>
      </c>
      <c r="J8">
        <f t="shared" si="4"/>
        <v>4.3454263132428811E-2</v>
      </c>
      <c r="K8">
        <f t="shared" si="5"/>
        <v>0.80884331211760074</v>
      </c>
      <c r="L8">
        <f t="shared" si="6"/>
        <v>0.41801363733941532</v>
      </c>
      <c r="M8">
        <f t="shared" si="7"/>
        <v>-0.41356631323271631</v>
      </c>
      <c r="N8">
        <f t="shared" si="8"/>
        <v>-24.429062798810424</v>
      </c>
      <c r="O8">
        <f t="shared" si="9"/>
        <v>27.33011162610606</v>
      </c>
      <c r="P8" t="str" cm="1">
        <f t="array" ref="P8">IF($N8="","",IFERROR(IF(INDEX(geo_grid!$B$2:$JU$231,INT(($N8+40)/0.5)+1,INT(($O8+30)/0.5)+1)="","",INDEX(geo_grid!$B$2:$JU$231,INT(($N8+40)/0.5)+1,INT(($O8+30)/0.5)+1)),"OUTSIDE GRID"))</f>
        <v>ZAF</v>
      </c>
      <c r="Q8">
        <f t="shared" si="10"/>
        <v>1006</v>
      </c>
    </row>
    <row r="9" spans="1:19" x14ac:dyDescent="0.3">
      <c r="A9">
        <f t="shared" si="0"/>
        <v>1</v>
      </c>
      <c r="B9">
        <f t="shared" si="1"/>
        <v>7</v>
      </c>
      <c r="C9" cm="1">
        <f t="array" ref="C9">IFERROR(INDEX('TRIP MANAGER'!$O$18:$O$25,$A9),"")</f>
        <v>-25.938960000000002</v>
      </c>
      <c r="D9" cm="1">
        <f t="array" ref="D9">IFERROR(INDEX('TRIP MANAGER'!$P$18:$P$25,$A9),"")</f>
        <v>27.926639999999999</v>
      </c>
      <c r="E9" cm="1">
        <f t="array" ref="E9">IFERROR(INDEX('TRIP MANAGER'!$Q$18:$Q$25,$A9),"")</f>
        <v>12.133699999999999</v>
      </c>
      <c r="F9" cm="1">
        <f t="array" ref="F9">IFERROR(INDEX('TRIP MANAGER'!$R$18:$R$25,$A9),"")</f>
        <v>15.034000000000001</v>
      </c>
      <c r="G9" cm="1">
        <f t="array" ref="G9">IFERROR(INDEX('TRIP MANAGER'!$S$18:$S$25,$A9),"")</f>
        <v>0.69965352295446726</v>
      </c>
      <c r="H9">
        <f t="shared" si="2"/>
        <v>4.6666666666666669E-2</v>
      </c>
      <c r="I9">
        <f t="shared" si="3"/>
        <v>0.96068260547411255</v>
      </c>
      <c r="J9">
        <f t="shared" si="4"/>
        <v>5.0694250467277845E-2</v>
      </c>
      <c r="K9">
        <f t="shared" si="5"/>
        <v>0.81116593340488374</v>
      </c>
      <c r="L9">
        <f t="shared" si="6"/>
        <v>0.4174572956729391</v>
      </c>
      <c r="M9">
        <f t="shared" si="7"/>
        <v>-0.40955980610018339</v>
      </c>
      <c r="N9">
        <f t="shared" si="8"/>
        <v>-24.17718551010892</v>
      </c>
      <c r="O9">
        <f t="shared" si="9"/>
        <v>27.232098741178149</v>
      </c>
      <c r="P9" t="str" cm="1">
        <f t="array" ref="P9">IF($N9="","",IFERROR(IF(INDEX(geo_grid!$B$2:$JU$231,INT(($N9+40)/0.5)+1,INT(($O9+30)/0.5)+1)="","",INDEX(geo_grid!$B$2:$JU$231,INT(($N9+40)/0.5)+1,INT(($O9+30)/0.5)+1)),"OUTSIDE GRID"))</f>
        <v>ZAF</v>
      </c>
      <c r="Q9">
        <f t="shared" si="10"/>
        <v>1007</v>
      </c>
    </row>
    <row r="10" spans="1:19" x14ac:dyDescent="0.3">
      <c r="A10">
        <f t="shared" si="0"/>
        <v>1</v>
      </c>
      <c r="B10">
        <f t="shared" si="1"/>
        <v>8</v>
      </c>
      <c r="C10" cm="1">
        <f t="array" ref="C10">IFERROR(INDEX('TRIP MANAGER'!$O$18:$O$25,$A10),"")</f>
        <v>-25.938960000000002</v>
      </c>
      <c r="D10" cm="1">
        <f t="array" ref="D10">IFERROR(INDEX('TRIP MANAGER'!$P$18:$P$25,$A10),"")</f>
        <v>27.926639999999999</v>
      </c>
      <c r="E10" cm="1">
        <f t="array" ref="E10">IFERROR(INDEX('TRIP MANAGER'!$Q$18:$Q$25,$A10),"")</f>
        <v>12.133699999999999</v>
      </c>
      <c r="F10" cm="1">
        <f t="array" ref="F10">IFERROR(INDEX('TRIP MANAGER'!$R$18:$R$25,$A10),"")</f>
        <v>15.034000000000001</v>
      </c>
      <c r="G10" cm="1">
        <f t="array" ref="G10">IFERROR(INDEX('TRIP MANAGER'!$S$18:$S$25,$A10),"")</f>
        <v>0.69965352295446726</v>
      </c>
      <c r="H10">
        <f t="shared" si="2"/>
        <v>5.3333333333333337E-2</v>
      </c>
      <c r="I10">
        <f t="shared" si="3"/>
        <v>0.95498124758810399</v>
      </c>
      <c r="J10">
        <f t="shared" si="4"/>
        <v>5.7933134888630361E-2</v>
      </c>
      <c r="K10">
        <f t="shared" si="5"/>
        <v>0.81347090681597523</v>
      </c>
      <c r="L10">
        <f t="shared" si="6"/>
        <v>0.41689187172826819</v>
      </c>
      <c r="M10">
        <f t="shared" si="7"/>
        <v>-0.40554438850870067</v>
      </c>
      <c r="N10">
        <f t="shared" si="8"/>
        <v>-23.925245822598331</v>
      </c>
      <c r="O10">
        <f t="shared" si="9"/>
        <v>27.134472016140769</v>
      </c>
      <c r="P10" t="str" cm="1">
        <f t="array" ref="P10">IF($N10="","",IFERROR(IF(INDEX(geo_grid!$B$2:$JU$231,INT(($N10+40)/0.5)+1,INT(($O10+30)/0.5)+1)="","",INDEX(geo_grid!$B$2:$JU$231,INT(($N10+40)/0.5)+1,INT(($O10+30)/0.5)+1)),"OUTSIDE GRID"))</f>
        <v>ZAF</v>
      </c>
      <c r="Q10">
        <f t="shared" si="10"/>
        <v>1008</v>
      </c>
    </row>
    <row r="11" spans="1:19" x14ac:dyDescent="0.3">
      <c r="A11">
        <f t="shared" si="0"/>
        <v>1</v>
      </c>
      <c r="B11">
        <f t="shared" si="1"/>
        <v>9</v>
      </c>
      <c r="C11" cm="1">
        <f t="array" ref="C11">IFERROR(INDEX('TRIP MANAGER'!$O$18:$O$25,$A11),"")</f>
        <v>-25.938960000000002</v>
      </c>
      <c r="D11" cm="1">
        <f t="array" ref="D11">IFERROR(INDEX('TRIP MANAGER'!$P$18:$P$25,$A11),"")</f>
        <v>27.926639999999999</v>
      </c>
      <c r="E11" cm="1">
        <f t="array" ref="E11">IFERROR(INDEX('TRIP MANAGER'!$Q$18:$Q$25,$A11),"")</f>
        <v>12.133699999999999</v>
      </c>
      <c r="F11" cm="1">
        <f t="array" ref="F11">IFERROR(INDEX('TRIP MANAGER'!$R$18:$R$25,$A11),"")</f>
        <v>15.034000000000001</v>
      </c>
      <c r="G11" cm="1">
        <f t="array" ref="G11">IFERROR(INDEX('TRIP MANAGER'!$S$18:$S$25,$A11),"")</f>
        <v>0.69965352295446726</v>
      </c>
      <c r="H11">
        <f t="shared" si="2"/>
        <v>0.06</v>
      </c>
      <c r="I11">
        <f t="shared" si="3"/>
        <v>0.94925911295330845</v>
      </c>
      <c r="J11">
        <f t="shared" si="4"/>
        <v>6.5170758905976969E-2</v>
      </c>
      <c r="K11">
        <f t="shared" si="5"/>
        <v>0.81575818220344698</v>
      </c>
      <c r="L11">
        <f t="shared" si="6"/>
        <v>0.4163173778068705</v>
      </c>
      <c r="M11">
        <f t="shared" si="7"/>
        <v>-0.40152014781843637</v>
      </c>
      <c r="N11">
        <f t="shared" si="8"/>
        <v>-23.673244710751547</v>
      </c>
      <c r="O11">
        <f t="shared" si="9"/>
        <v>27.037225513818488</v>
      </c>
      <c r="P11" t="str" cm="1">
        <f t="array" ref="P11">IF($N11="","",IFERROR(IF(INDEX(geo_grid!$B$2:$JU$231,INT(($N11+40)/0.5)+1,INT(($O11+30)/0.5)+1)="","",INDEX(geo_grid!$B$2:$JU$231,INT(($N11+40)/0.5)+1,INT(($O11+30)/0.5)+1)),"OUTSIDE GRID"))</f>
        <v>ZAF</v>
      </c>
      <c r="Q11">
        <f t="shared" si="10"/>
        <v>1009</v>
      </c>
    </row>
    <row r="12" spans="1:19" x14ac:dyDescent="0.3">
      <c r="A12">
        <f t="shared" si="0"/>
        <v>1</v>
      </c>
      <c r="B12">
        <f t="shared" si="1"/>
        <v>10</v>
      </c>
      <c r="C12" cm="1">
        <f t="array" ref="C12">IFERROR(INDEX('TRIP MANAGER'!$O$18:$O$25,$A12),"")</f>
        <v>-25.938960000000002</v>
      </c>
      <c r="D12" cm="1">
        <f t="array" ref="D12">IFERROR(INDEX('TRIP MANAGER'!$P$18:$P$25,$A12),"")</f>
        <v>27.926639999999999</v>
      </c>
      <c r="E12" cm="1">
        <f t="array" ref="E12">IFERROR(INDEX('TRIP MANAGER'!$Q$18:$Q$25,$A12),"")</f>
        <v>12.133699999999999</v>
      </c>
      <c r="F12" cm="1">
        <f t="array" ref="F12">IFERROR(INDEX('TRIP MANAGER'!$R$18:$R$25,$A12),"")</f>
        <v>15.034000000000001</v>
      </c>
      <c r="G12" cm="1">
        <f t="array" ref="G12">IFERROR(INDEX('TRIP MANAGER'!$S$18:$S$25,$A12),"")</f>
        <v>0.69965352295446726</v>
      </c>
      <c r="H12">
        <f t="shared" si="2"/>
        <v>6.6666666666666666E-2</v>
      </c>
      <c r="I12">
        <f t="shared" si="3"/>
        <v>0.94351632606154678</v>
      </c>
      <c r="J12">
        <f t="shared" si="4"/>
        <v>7.2406965056229927E-2</v>
      </c>
      <c r="K12">
        <f t="shared" si="5"/>
        <v>0.81802770980491235</v>
      </c>
      <c r="L12">
        <f t="shared" si="6"/>
        <v>0.41573382640754225</v>
      </c>
      <c r="M12">
        <f t="shared" si="7"/>
        <v>-0.39748717158151609</v>
      </c>
      <c r="N12">
        <f t="shared" si="8"/>
        <v>-23.421183136967368</v>
      </c>
      <c r="O12">
        <f t="shared" si="9"/>
        <v>26.9403533673913</v>
      </c>
      <c r="P12" t="str" cm="1">
        <f t="array" ref="P12">IF($N12="","",IFERROR(IF(INDEX(geo_grid!$B$2:$JU$231,INT(($N12+40)/0.5)+1,INT(($O12+30)/0.5)+1)="","",INDEX(geo_grid!$B$2:$JU$231,INT(($N12+40)/0.5)+1,INT(($O12+30)/0.5)+1)),"OUTSIDE GRID"))</f>
        <v>BWA</v>
      </c>
      <c r="Q12">
        <f t="shared" si="10"/>
        <v>1010</v>
      </c>
    </row>
    <row r="13" spans="1:19" x14ac:dyDescent="0.3">
      <c r="A13">
        <f t="shared" si="0"/>
        <v>1</v>
      </c>
      <c r="B13">
        <f t="shared" si="1"/>
        <v>11</v>
      </c>
      <c r="C13" cm="1">
        <f t="array" ref="C13">IFERROR(INDEX('TRIP MANAGER'!$O$18:$O$25,$A13),"")</f>
        <v>-25.938960000000002</v>
      </c>
      <c r="D13" cm="1">
        <f t="array" ref="D13">IFERROR(INDEX('TRIP MANAGER'!$P$18:$P$25,$A13),"")</f>
        <v>27.926639999999999</v>
      </c>
      <c r="E13" cm="1">
        <f t="array" ref="E13">IFERROR(INDEX('TRIP MANAGER'!$Q$18:$Q$25,$A13),"")</f>
        <v>12.133699999999999</v>
      </c>
      <c r="F13" cm="1">
        <f t="array" ref="F13">IFERROR(INDEX('TRIP MANAGER'!$R$18:$R$25,$A13),"")</f>
        <v>15.034000000000001</v>
      </c>
      <c r="G13" cm="1">
        <f t="array" ref="G13">IFERROR(INDEX('TRIP MANAGER'!$S$18:$S$25,$A13),"")</f>
        <v>0.69965352295446726</v>
      </c>
      <c r="H13">
        <f t="shared" si="2"/>
        <v>7.3333333333333334E-2</v>
      </c>
      <c r="I13">
        <f t="shared" si="3"/>
        <v>0.93775301185395299</v>
      </c>
      <c r="J13">
        <f t="shared" si="4"/>
        <v>7.964159590714881E-2</v>
      </c>
      <c r="K13">
        <f t="shared" si="5"/>
        <v>0.82027944024410859</v>
      </c>
      <c r="L13">
        <f t="shared" si="6"/>
        <v>0.41514123022613547</v>
      </c>
      <c r="M13">
        <f t="shared" si="7"/>
        <v>-0.39344554754011707</v>
      </c>
      <c r="N13">
        <f t="shared" si="8"/>
        <v>-23.169062051815928</v>
      </c>
      <c r="O13">
        <f t="shared" si="9"/>
        <v>26.843849779014903</v>
      </c>
      <c r="P13" t="str" cm="1">
        <f t="array" ref="P13">IF($N13="","",IFERROR(IF(INDEX(geo_grid!$B$2:$JU$231,INT(($N13+40)/0.5)+1,INT(($O13+30)/0.5)+1)="","",INDEX(geo_grid!$B$2:$JU$231,INT(($N13+40)/0.5)+1,INT(($O13+30)/0.5)+1)),"OUTSIDE GRID"))</f>
        <v>BWA</v>
      </c>
      <c r="Q13">
        <f t="shared" si="10"/>
        <v>1011</v>
      </c>
    </row>
    <row r="14" spans="1:19" x14ac:dyDescent="0.3">
      <c r="A14">
        <f t="shared" si="0"/>
        <v>1</v>
      </c>
      <c r="B14">
        <f t="shared" si="1"/>
        <v>12</v>
      </c>
      <c r="C14" cm="1">
        <f t="array" ref="C14">IFERROR(INDEX('TRIP MANAGER'!$O$18:$O$25,$A14),"")</f>
        <v>-25.938960000000002</v>
      </c>
      <c r="D14" cm="1">
        <f t="array" ref="D14">IFERROR(INDEX('TRIP MANAGER'!$P$18:$P$25,$A14),"")</f>
        <v>27.926639999999999</v>
      </c>
      <c r="E14" cm="1">
        <f t="array" ref="E14">IFERROR(INDEX('TRIP MANAGER'!$Q$18:$Q$25,$A14),"")</f>
        <v>12.133699999999999</v>
      </c>
      <c r="F14" cm="1">
        <f t="array" ref="F14">IFERROR(INDEX('TRIP MANAGER'!$R$18:$R$25,$A14),"")</f>
        <v>15.034000000000001</v>
      </c>
      <c r="G14" cm="1">
        <f t="array" ref="G14">IFERROR(INDEX('TRIP MANAGER'!$S$18:$S$25,$A14),"")</f>
        <v>0.69965352295446726</v>
      </c>
      <c r="H14">
        <f t="shared" si="2"/>
        <v>0.08</v>
      </c>
      <c r="I14">
        <f t="shared" si="3"/>
        <v>0.93196929571825815</v>
      </c>
      <c r="J14">
        <f t="shared" si="4"/>
        <v>8.6874494060765708E-2</v>
      </c>
      <c r="K14">
        <f t="shared" si="5"/>
        <v>0.82251332453197179</v>
      </c>
      <c r="L14">
        <f t="shared" si="6"/>
        <v>0.41453960215528252</v>
      </c>
      <c r="M14">
        <f t="shared" si="7"/>
        <v>-0.38939536362456023</v>
      </c>
      <c r="N14">
        <f t="shared" si="8"/>
        <v>-22.916882394279309</v>
      </c>
      <c r="O14">
        <f t="shared" si="9"/>
        <v>26.747709018466523</v>
      </c>
      <c r="P14" t="str" cm="1">
        <f t="array" ref="P14">IF($N14="","",IFERROR(IF(INDEX(geo_grid!$B$2:$JU$231,INT(($N14+40)/0.5)+1,INT(($O14+30)/0.5)+1)="","",INDEX(geo_grid!$B$2:$JU$231,INT(($N14+40)/0.5)+1,INT(($O14+30)/0.5)+1)),"OUTSIDE GRID"))</f>
        <v>BWA</v>
      </c>
      <c r="Q14">
        <f t="shared" si="10"/>
        <v>1012</v>
      </c>
    </row>
    <row r="15" spans="1:19" x14ac:dyDescent="0.3">
      <c r="A15">
        <f t="shared" si="0"/>
        <v>1</v>
      </c>
      <c r="B15">
        <f t="shared" si="1"/>
        <v>13</v>
      </c>
      <c r="C15" cm="1">
        <f t="array" ref="C15">IFERROR(INDEX('TRIP MANAGER'!$O$18:$O$25,$A15),"")</f>
        <v>-25.938960000000002</v>
      </c>
      <c r="D15" cm="1">
        <f t="array" ref="D15">IFERROR(INDEX('TRIP MANAGER'!$P$18:$P$25,$A15),"")</f>
        <v>27.926639999999999</v>
      </c>
      <c r="E15" cm="1">
        <f t="array" ref="E15">IFERROR(INDEX('TRIP MANAGER'!$Q$18:$Q$25,$A15),"")</f>
        <v>12.133699999999999</v>
      </c>
      <c r="F15" cm="1">
        <f t="array" ref="F15">IFERROR(INDEX('TRIP MANAGER'!$R$18:$R$25,$A15),"")</f>
        <v>15.034000000000001</v>
      </c>
      <c r="G15" cm="1">
        <f t="array" ref="G15">IFERROR(INDEX('TRIP MANAGER'!$S$18:$S$25,$A15),"")</f>
        <v>0.69965352295446726</v>
      </c>
      <c r="H15">
        <f t="shared" si="2"/>
        <v>8.666666666666667E-2</v>
      </c>
      <c r="I15">
        <f t="shared" si="3"/>
        <v>0.92616530348606074</v>
      </c>
      <c r="J15">
        <f t="shared" si="4"/>
        <v>9.4105502156809601E-2</v>
      </c>
      <c r="K15">
        <f t="shared" si="5"/>
        <v>0.82472931406770145</v>
      </c>
      <c r="L15">
        <f t="shared" si="6"/>
        <v>0.41392895528411494</v>
      </c>
      <c r="M15">
        <f t="shared" si="7"/>
        <v>-0.38533670795139641</v>
      </c>
      <c r="N15">
        <f t="shared" si="8"/>
        <v>-22.664645091987357</v>
      </c>
      <c r="O15">
        <f t="shared" si="9"/>
        <v>26.651925421815815</v>
      </c>
      <c r="P15" t="str" cm="1">
        <f t="array" ref="P15">IF($N15="","",IFERROR(IF(INDEX(geo_grid!$B$2:$JU$231,INT(($N15+40)/0.5)+1,INT(($O15+30)/0.5)+1)="","",INDEX(geo_grid!$B$2:$JU$231,INT(($N15+40)/0.5)+1,INT(($O15+30)/0.5)+1)),"OUTSIDE GRID"))</f>
        <v>BWA</v>
      </c>
      <c r="Q15">
        <f t="shared" si="10"/>
        <v>1013</v>
      </c>
    </row>
    <row r="16" spans="1:19" x14ac:dyDescent="0.3">
      <c r="A16">
        <f t="shared" si="0"/>
        <v>1</v>
      </c>
      <c r="B16">
        <f t="shared" si="1"/>
        <v>14</v>
      </c>
      <c r="C16" cm="1">
        <f t="array" ref="C16">IFERROR(INDEX('TRIP MANAGER'!$O$18:$O$25,$A16),"")</f>
        <v>-25.938960000000002</v>
      </c>
      <c r="D16" cm="1">
        <f t="array" ref="D16">IFERROR(INDEX('TRIP MANAGER'!$P$18:$P$25,$A16),"")</f>
        <v>27.926639999999999</v>
      </c>
      <c r="E16" cm="1">
        <f t="array" ref="E16">IFERROR(INDEX('TRIP MANAGER'!$Q$18:$Q$25,$A16),"")</f>
        <v>12.133699999999999</v>
      </c>
      <c r="F16" cm="1">
        <f t="array" ref="F16">IFERROR(INDEX('TRIP MANAGER'!$R$18:$R$25,$A16),"")</f>
        <v>15.034000000000001</v>
      </c>
      <c r="G16" cm="1">
        <f t="array" ref="G16">IFERROR(INDEX('TRIP MANAGER'!$S$18:$S$25,$A16),"")</f>
        <v>0.69965352295446726</v>
      </c>
      <c r="H16">
        <f t="shared" si="2"/>
        <v>9.3333333333333338E-2</v>
      </c>
      <c r="I16">
        <f t="shared" si="3"/>
        <v>0.92034116143009026</v>
      </c>
      <c r="J16">
        <f t="shared" si="4"/>
        <v>0.10133446287612993</v>
      </c>
      <c r="K16">
        <f t="shared" si="5"/>
        <v>0.82692736063981931</v>
      </c>
      <c r="L16">
        <f t="shared" si="6"/>
        <v>0.41330930289797918</v>
      </c>
      <c r="M16">
        <f t="shared" si="7"/>
        <v>-0.38126966882148972</v>
      </c>
      <c r="N16">
        <f t="shared" si="8"/>
        <v>-22.412351061448877</v>
      </c>
      <c r="O16">
        <f t="shared" si="9"/>
        <v>26.556493390120114</v>
      </c>
      <c r="P16" t="str" cm="1">
        <f t="array" ref="P16">IF($N16="","",IFERROR(IF(INDEX(geo_grid!$B$2:$JU$231,INT(($N16+40)/0.5)+1,INT(($O16+30)/0.5)+1)="","",INDEX(geo_grid!$B$2:$JU$231,INT(($N16+40)/0.5)+1,INT(($O16+30)/0.5)+1)),"OUTSIDE GRID"))</f>
        <v>BWA</v>
      </c>
      <c r="Q16">
        <f t="shared" si="10"/>
        <v>1014</v>
      </c>
    </row>
    <row r="17" spans="1:17" x14ac:dyDescent="0.3">
      <c r="A17">
        <f t="shared" si="0"/>
        <v>1</v>
      </c>
      <c r="B17">
        <f t="shared" si="1"/>
        <v>15</v>
      </c>
      <c r="C17" cm="1">
        <f t="array" ref="C17">IFERROR(INDEX('TRIP MANAGER'!$O$18:$O$25,$A17),"")</f>
        <v>-25.938960000000002</v>
      </c>
      <c r="D17" cm="1">
        <f t="array" ref="D17">IFERROR(INDEX('TRIP MANAGER'!$P$18:$P$25,$A17),"")</f>
        <v>27.926639999999999</v>
      </c>
      <c r="E17" cm="1">
        <f t="array" ref="E17">IFERROR(INDEX('TRIP MANAGER'!$Q$18:$Q$25,$A17),"")</f>
        <v>12.133699999999999</v>
      </c>
      <c r="F17" cm="1">
        <f t="array" ref="F17">IFERROR(INDEX('TRIP MANAGER'!$R$18:$R$25,$A17),"")</f>
        <v>15.034000000000001</v>
      </c>
      <c r="G17" cm="1">
        <f t="array" ref="G17">IFERROR(INDEX('TRIP MANAGER'!$S$18:$S$25,$A17),"")</f>
        <v>0.69965352295446726</v>
      </c>
      <c r="H17">
        <f t="shared" si="2"/>
        <v>0.1</v>
      </c>
      <c r="I17">
        <f t="shared" si="3"/>
        <v>0.91449699626145953</v>
      </c>
      <c r="J17">
        <f t="shared" si="4"/>
        <v>0.10856121894411921</v>
      </c>
      <c r="K17">
        <f t="shared" si="5"/>
        <v>0.82910741642721741</v>
      </c>
      <c r="L17">
        <f t="shared" si="6"/>
        <v>0.41268065847814744</v>
      </c>
      <c r="M17">
        <f t="shared" si="7"/>
        <v>-0.37719433471809632</v>
      </c>
      <c r="N17">
        <f t="shared" si="8"/>
        <v>-22.160001208278331</v>
      </c>
      <c r="O17">
        <f t="shared" si="9"/>
        <v>26.46140738814357</v>
      </c>
      <c r="P17" t="str" cm="1">
        <f t="array" ref="P17">IF($N17="","",IFERROR(IF(INDEX(geo_grid!$B$2:$JU$231,INT(($N17+40)/0.5)+1,INT(($O17+30)/0.5)+1)="","",INDEX(geo_grid!$B$2:$JU$231,INT(($N17+40)/0.5)+1,INT(($O17+30)/0.5)+1)),"OUTSIDE GRID"))</f>
        <v>BWA</v>
      </c>
      <c r="Q17">
        <f t="shared" si="10"/>
        <v>1015</v>
      </c>
    </row>
    <row r="18" spans="1:17" x14ac:dyDescent="0.3">
      <c r="A18">
        <f t="shared" si="0"/>
        <v>1</v>
      </c>
      <c r="B18">
        <f t="shared" si="1"/>
        <v>16</v>
      </c>
      <c r="C18" cm="1">
        <f t="array" ref="C18">IFERROR(INDEX('TRIP MANAGER'!$O$18:$O$25,$A18),"")</f>
        <v>-25.938960000000002</v>
      </c>
      <c r="D18" cm="1">
        <f t="array" ref="D18">IFERROR(INDEX('TRIP MANAGER'!$P$18:$P$25,$A18),"")</f>
        <v>27.926639999999999</v>
      </c>
      <c r="E18" cm="1">
        <f t="array" ref="E18">IFERROR(INDEX('TRIP MANAGER'!$Q$18:$Q$25,$A18),"")</f>
        <v>12.133699999999999</v>
      </c>
      <c r="F18" cm="1">
        <f t="array" ref="F18">IFERROR(INDEX('TRIP MANAGER'!$R$18:$R$25,$A18),"")</f>
        <v>15.034000000000001</v>
      </c>
      <c r="G18" cm="1">
        <f t="array" ref="G18">IFERROR(INDEX('TRIP MANAGER'!$S$18:$S$25,$A18),"")</f>
        <v>0.69965352295446726</v>
      </c>
      <c r="H18">
        <f t="shared" si="2"/>
        <v>0.10666666666666667</v>
      </c>
      <c r="I18">
        <f t="shared" si="3"/>
        <v>0.90863293512690724</v>
      </c>
      <c r="J18">
        <f t="shared" si="4"/>
        <v>0.11578561313413478</v>
      </c>
      <c r="K18">
        <f t="shared" si="5"/>
        <v>0.83126943400019837</v>
      </c>
      <c r="L18">
        <f t="shared" si="6"/>
        <v>0.41204303570152367</v>
      </c>
      <c r="M18">
        <f t="shared" si="7"/>
        <v>-0.37311079430493915</v>
      </c>
      <c r="N18">
        <f t="shared" si="8"/>
        <v>-21.907596427418081</v>
      </c>
      <c r="O18">
        <f t="shared" si="9"/>
        <v>26.366661943099508</v>
      </c>
      <c r="P18" t="str" cm="1">
        <f t="array" ref="P18">IF($N18="","",IFERROR(IF(INDEX(geo_grid!$B$2:$JU$231,INT(($N18+40)/0.5)+1,INT(($O18+30)/0.5)+1)="","",INDEX(geo_grid!$B$2:$JU$231,INT(($N18+40)/0.5)+1,INT(($O18+30)/0.5)+1)),"OUTSIDE GRID"))</f>
        <v>BWA</v>
      </c>
      <c r="Q18">
        <f t="shared" si="10"/>
        <v>1016</v>
      </c>
    </row>
    <row r="19" spans="1:17" x14ac:dyDescent="0.3">
      <c r="A19">
        <f t="shared" si="0"/>
        <v>1</v>
      </c>
      <c r="B19">
        <f t="shared" si="1"/>
        <v>17</v>
      </c>
      <c r="C19" cm="1">
        <f t="array" ref="C19">IFERROR(INDEX('TRIP MANAGER'!$O$18:$O$25,$A19),"")</f>
        <v>-25.938960000000002</v>
      </c>
      <c r="D19" cm="1">
        <f t="array" ref="D19">IFERROR(INDEX('TRIP MANAGER'!$P$18:$P$25,$A19),"")</f>
        <v>27.926639999999999</v>
      </c>
      <c r="E19" cm="1">
        <f t="array" ref="E19">IFERROR(INDEX('TRIP MANAGER'!$Q$18:$Q$25,$A19),"")</f>
        <v>12.133699999999999</v>
      </c>
      <c r="F19" cm="1">
        <f t="array" ref="F19">IFERROR(INDEX('TRIP MANAGER'!$R$18:$R$25,$A19),"")</f>
        <v>15.034000000000001</v>
      </c>
      <c r="G19" cm="1">
        <f t="array" ref="G19">IFERROR(INDEX('TRIP MANAGER'!$S$18:$S$25,$A19),"")</f>
        <v>0.69965352295446726</v>
      </c>
      <c r="H19">
        <f t="shared" si="2"/>
        <v>0.11333333333333333</v>
      </c>
      <c r="I19">
        <f t="shared" si="3"/>
        <v>0.90274910560603316</v>
      </c>
      <c r="J19">
        <f t="shared" si="4"/>
        <v>0.12300748827091944</v>
      </c>
      <c r="K19">
        <f t="shared" si="5"/>
        <v>0.83341336632150775</v>
      </c>
      <c r="L19">
        <f t="shared" si="6"/>
        <v>0.41139644844034734</v>
      </c>
      <c r="M19">
        <f t="shared" si="7"/>
        <v>-0.36901913642427947</v>
      </c>
      <c r="N19">
        <f t="shared" si="8"/>
        <v>-21.655137603356426</v>
      </c>
      <c r="O19">
        <f t="shared" si="9"/>
        <v>26.272251643415611</v>
      </c>
      <c r="P19" t="str" cm="1">
        <f t="array" ref="P19">IF($N19="","",IFERROR(IF(INDEX(geo_grid!$B$2:$JU$231,INT(($N19+40)/0.5)+1,INT(($O19+30)/0.5)+1)="","",INDEX(geo_grid!$B$2:$JU$231,INT(($N19+40)/0.5)+1,INT(($O19+30)/0.5)+1)),"OUTSIDE GRID"))</f>
        <v>BWA</v>
      </c>
      <c r="Q19">
        <f t="shared" si="10"/>
        <v>1017</v>
      </c>
    </row>
    <row r="20" spans="1:17" x14ac:dyDescent="0.3">
      <c r="A20">
        <f t="shared" si="0"/>
        <v>1</v>
      </c>
      <c r="B20">
        <f t="shared" si="1"/>
        <v>18</v>
      </c>
      <c r="C20" cm="1">
        <f t="array" ref="C20">IFERROR(INDEX('TRIP MANAGER'!$O$18:$O$25,$A20),"")</f>
        <v>-25.938960000000002</v>
      </c>
      <c r="D20" cm="1">
        <f t="array" ref="D20">IFERROR(INDEX('TRIP MANAGER'!$P$18:$P$25,$A20),"")</f>
        <v>27.926639999999999</v>
      </c>
      <c r="E20" cm="1">
        <f t="array" ref="E20">IFERROR(INDEX('TRIP MANAGER'!$Q$18:$Q$25,$A20),"")</f>
        <v>12.133699999999999</v>
      </c>
      <c r="F20" cm="1">
        <f t="array" ref="F20">IFERROR(INDEX('TRIP MANAGER'!$R$18:$R$25,$A20),"")</f>
        <v>15.034000000000001</v>
      </c>
      <c r="G20" cm="1">
        <f t="array" ref="G20">IFERROR(INDEX('TRIP MANAGER'!$S$18:$S$25,$A20),"")</f>
        <v>0.69965352295446726</v>
      </c>
      <c r="H20">
        <f t="shared" si="2"/>
        <v>0.12</v>
      </c>
      <c r="I20">
        <f t="shared" si="3"/>
        <v>0.89684563570852127</v>
      </c>
      <c r="J20">
        <f t="shared" si="4"/>
        <v>0.13022668723402092</v>
      </c>
      <c r="K20">
        <f t="shared" si="5"/>
        <v>0.83553916674735695</v>
      </c>
      <c r="L20">
        <f t="shared" si="6"/>
        <v>0.4107409107618904</v>
      </c>
      <c r="M20">
        <f t="shared" si="7"/>
        <v>-0.36491945009498333</v>
      </c>
      <c r="N20">
        <f t="shared" si="8"/>
        <v>-21.402625610341367</v>
      </c>
      <c r="O20">
        <f t="shared" si="9"/>
        <v>26.178171137521165</v>
      </c>
      <c r="P20" t="str" cm="1">
        <f t="array" ref="P20">IF($N20="","",IFERROR(IF(INDEX(geo_grid!$B$2:$JU$231,INT(($N20+40)/0.5)+1,INT(($O20+30)/0.5)+1)="","",INDEX(geo_grid!$B$2:$JU$231,INT(($N20+40)/0.5)+1,INT(($O20+30)/0.5)+1)),"OUTSIDE GRID"))</f>
        <v>BWA</v>
      </c>
      <c r="Q20">
        <f t="shared" si="10"/>
        <v>1018</v>
      </c>
    </row>
    <row r="21" spans="1:17" x14ac:dyDescent="0.3">
      <c r="A21">
        <f t="shared" si="0"/>
        <v>1</v>
      </c>
      <c r="B21">
        <f t="shared" si="1"/>
        <v>19</v>
      </c>
      <c r="C21" cm="1">
        <f t="array" ref="C21">IFERROR(INDEX('TRIP MANAGER'!$O$18:$O$25,$A21),"")</f>
        <v>-25.938960000000002</v>
      </c>
      <c r="D21" cm="1">
        <f t="array" ref="D21">IFERROR(INDEX('TRIP MANAGER'!$P$18:$P$25,$A21),"")</f>
        <v>27.926639999999999</v>
      </c>
      <c r="E21" cm="1">
        <f t="array" ref="E21">IFERROR(INDEX('TRIP MANAGER'!$Q$18:$Q$25,$A21),"")</f>
        <v>12.133699999999999</v>
      </c>
      <c r="F21" cm="1">
        <f t="array" ref="F21">IFERROR(INDEX('TRIP MANAGER'!$R$18:$R$25,$A21),"")</f>
        <v>15.034000000000001</v>
      </c>
      <c r="G21" cm="1">
        <f t="array" ref="G21">IFERROR(INDEX('TRIP MANAGER'!$S$18:$S$25,$A21),"")</f>
        <v>0.69965352295446726</v>
      </c>
      <c r="H21">
        <f t="shared" si="2"/>
        <v>0.12666666666666668</v>
      </c>
      <c r="I21">
        <f t="shared" si="3"/>
        <v>0.89092265387135539</v>
      </c>
      <c r="J21">
        <f t="shared" si="4"/>
        <v>0.13744305296121043</v>
      </c>
      <c r="K21">
        <f t="shared" si="5"/>
        <v>0.8376467890284387</v>
      </c>
      <c r="L21">
        <f t="shared" si="6"/>
        <v>0.4100764369281521</v>
      </c>
      <c r="M21">
        <f t="shared" si="7"/>
        <v>-0.36081182451058541</v>
      </c>
      <c r="N21">
        <f t="shared" si="8"/>
        <v>-21.150061312590346</v>
      </c>
      <c r="O21">
        <f t="shared" si="9"/>
        <v>26.084415132656122</v>
      </c>
      <c r="P21" t="str" cm="1">
        <f t="array" ref="P21">IF($N21="","",IFERROR(IF(INDEX(geo_grid!$B$2:$JU$231,INT(($N21+40)/0.5)+1,INT(($O21+30)/0.5)+1)="","",INDEX(geo_grid!$B$2:$JU$231,INT(($N21+40)/0.5)+1,INT(($O21+30)/0.5)+1)),"OUTSIDE GRID"))</f>
        <v>BWA</v>
      </c>
      <c r="Q21">
        <f t="shared" si="10"/>
        <v>1019</v>
      </c>
    </row>
    <row r="22" spans="1:17" x14ac:dyDescent="0.3">
      <c r="A22">
        <f t="shared" si="0"/>
        <v>1</v>
      </c>
      <c r="B22">
        <f t="shared" si="1"/>
        <v>20</v>
      </c>
      <c r="C22" cm="1">
        <f t="array" ref="C22">IFERROR(INDEX('TRIP MANAGER'!$O$18:$O$25,$A22),"")</f>
        <v>-25.938960000000002</v>
      </c>
      <c r="D22" cm="1">
        <f t="array" ref="D22">IFERROR(INDEX('TRIP MANAGER'!$P$18:$P$25,$A22),"")</f>
        <v>27.926639999999999</v>
      </c>
      <c r="E22" cm="1">
        <f t="array" ref="E22">IFERROR(INDEX('TRIP MANAGER'!$Q$18:$Q$25,$A22),"")</f>
        <v>12.133699999999999</v>
      </c>
      <c r="F22" cm="1">
        <f t="array" ref="F22">IFERROR(INDEX('TRIP MANAGER'!$R$18:$R$25,$A22),"")</f>
        <v>15.034000000000001</v>
      </c>
      <c r="G22" cm="1">
        <f t="array" ref="G22">IFERROR(INDEX('TRIP MANAGER'!$S$18:$S$25,$A22),"")</f>
        <v>0.69965352295446726</v>
      </c>
      <c r="H22">
        <f t="shared" si="2"/>
        <v>0.13333333333333333</v>
      </c>
      <c r="I22">
        <f t="shared" si="3"/>
        <v>0.88498028895602487</v>
      </c>
      <c r="J22">
        <f t="shared" si="4"/>
        <v>0.14465642845189938</v>
      </c>
      <c r="K22">
        <f t="shared" si="5"/>
        <v>0.83973618731093247</v>
      </c>
      <c r="L22">
        <f t="shared" si="6"/>
        <v>0.40940304139554801</v>
      </c>
      <c r="M22">
        <f t="shared" si="7"/>
        <v>-0.35669634903734831</v>
      </c>
      <c r="N22">
        <f t="shared" si="8"/>
        <v>-20.897445564496007</v>
      </c>
      <c r="O22">
        <f t="shared" si="9"/>
        <v>25.990978393701216</v>
      </c>
      <c r="P22" t="str" cm="1">
        <f t="array" ref="P22">IF($N22="","",IFERROR(IF(INDEX(geo_grid!$B$2:$JU$231,INT(($N22+40)/0.5)+1,INT(($O22+30)/0.5)+1)="","",INDEX(geo_grid!$B$2:$JU$231,INT(($N22+40)/0.5)+1,INT(($O22+30)/0.5)+1)),"OUTSIDE GRID"))</f>
        <v>BWA</v>
      </c>
      <c r="Q22">
        <f t="shared" si="10"/>
        <v>1020</v>
      </c>
    </row>
    <row r="23" spans="1:17" x14ac:dyDescent="0.3">
      <c r="A23">
        <f t="shared" si="0"/>
        <v>1</v>
      </c>
      <c r="B23">
        <f t="shared" si="1"/>
        <v>21</v>
      </c>
      <c r="C23" cm="1">
        <f t="array" ref="C23">IFERROR(INDEX('TRIP MANAGER'!$O$18:$O$25,$A23),"")</f>
        <v>-25.938960000000002</v>
      </c>
      <c r="D23" cm="1">
        <f t="array" ref="D23">IFERROR(INDEX('TRIP MANAGER'!$P$18:$P$25,$A23),"")</f>
        <v>27.926639999999999</v>
      </c>
      <c r="E23" cm="1">
        <f t="array" ref="E23">IFERROR(INDEX('TRIP MANAGER'!$Q$18:$Q$25,$A23),"")</f>
        <v>12.133699999999999</v>
      </c>
      <c r="F23" cm="1">
        <f t="array" ref="F23">IFERROR(INDEX('TRIP MANAGER'!$R$18:$R$25,$A23),"")</f>
        <v>15.034000000000001</v>
      </c>
      <c r="G23" cm="1">
        <f t="array" ref="G23">IFERROR(INDEX('TRIP MANAGER'!$S$18:$S$25,$A23),"")</f>
        <v>0.69965352295446726</v>
      </c>
      <c r="H23">
        <f t="shared" si="2"/>
        <v>0.14000000000000001</v>
      </c>
      <c r="I23">
        <f t="shared" si="3"/>
        <v>0.87901867024572056</v>
      </c>
      <c r="J23">
        <f t="shared" si="4"/>
        <v>0.15186665677055547</v>
      </c>
      <c r="K23">
        <f t="shared" si="5"/>
        <v>0.84180731613750237</v>
      </c>
      <c r="L23">
        <f t="shared" si="6"/>
        <v>0.40872073881459603</v>
      </c>
      <c r="M23">
        <f t="shared" si="7"/>
        <v>-0.35257311321231805</v>
      </c>
      <c r="N23">
        <f t="shared" si="8"/>
        <v>-20.644779210828045</v>
      </c>
      <c r="O23">
        <f t="shared" si="9"/>
        <v>25.897855742028781</v>
      </c>
      <c r="P23" t="str" cm="1">
        <f t="array" ref="P23">IF($N23="","",IFERROR(IF(INDEX(geo_grid!$B$2:$JU$231,INT(($N23+40)/0.5)+1,INT(($O23+30)/0.5)+1)="","",INDEX(geo_grid!$B$2:$JU$231,INT(($N23+40)/0.5)+1,INT(($O23+30)/0.5)+1)),"OUTSIDE GRID"))</f>
        <v>BWA</v>
      </c>
      <c r="Q23">
        <f t="shared" si="10"/>
        <v>1021</v>
      </c>
    </row>
    <row r="24" spans="1:17" x14ac:dyDescent="0.3">
      <c r="A24">
        <f t="shared" si="0"/>
        <v>1</v>
      </c>
      <c r="B24">
        <f t="shared" si="1"/>
        <v>22</v>
      </c>
      <c r="C24" cm="1">
        <f t="array" ref="C24">IFERROR(INDEX('TRIP MANAGER'!$O$18:$O$25,$A24),"")</f>
        <v>-25.938960000000002</v>
      </c>
      <c r="D24" cm="1">
        <f t="array" ref="D24">IFERROR(INDEX('TRIP MANAGER'!$P$18:$P$25,$A24),"")</f>
        <v>27.926639999999999</v>
      </c>
      <c r="E24" cm="1">
        <f t="array" ref="E24">IFERROR(INDEX('TRIP MANAGER'!$Q$18:$Q$25,$A24),"")</f>
        <v>12.133699999999999</v>
      </c>
      <c r="F24" cm="1">
        <f t="array" ref="F24">IFERROR(INDEX('TRIP MANAGER'!$R$18:$R$25,$A24),"")</f>
        <v>15.034000000000001</v>
      </c>
      <c r="G24" cm="1">
        <f t="array" ref="G24">IFERROR(INDEX('TRIP MANAGER'!$S$18:$S$25,$A24),"")</f>
        <v>0.69965352295446726</v>
      </c>
      <c r="H24">
        <f t="shared" si="2"/>
        <v>0.14666666666666667</v>
      </c>
      <c r="I24">
        <f t="shared" si="3"/>
        <v>0.87303792744252251</v>
      </c>
      <c r="J24">
        <f t="shared" si="4"/>
        <v>0.15907358105011676</v>
      </c>
      <c r="K24">
        <f t="shared" si="5"/>
        <v>0.84386013044828623</v>
      </c>
      <c r="L24">
        <f t="shared" si="6"/>
        <v>0.40802954402959735</v>
      </c>
      <c r="M24">
        <f t="shared" si="7"/>
        <v>-0.34844220674137649</v>
      </c>
      <c r="N24">
        <f t="shared" si="8"/>
        <v>-20.39206308693133</v>
      </c>
      <c r="O24">
        <f t="shared" si="9"/>
        <v>25.805042054373764</v>
      </c>
      <c r="P24" t="str" cm="1">
        <f t="array" ref="P24">IF($N24="","",IFERROR(IF(INDEX(geo_grid!$B$2:$JU$231,INT(($N24+40)/0.5)+1,INT(($O24+30)/0.5)+1)="","",INDEX(geo_grid!$B$2:$JU$231,INT(($N24+40)/0.5)+1,INT(($O24+30)/0.5)+1)),"OUTSIDE GRID"))</f>
        <v>BWA</v>
      </c>
      <c r="Q24">
        <f t="shared" si="10"/>
        <v>1022</v>
      </c>
    </row>
    <row r="25" spans="1:17" x14ac:dyDescent="0.3">
      <c r="A25">
        <f t="shared" si="0"/>
        <v>1</v>
      </c>
      <c r="B25">
        <f t="shared" si="1"/>
        <v>23</v>
      </c>
      <c r="C25" cm="1">
        <f t="array" ref="C25">IFERROR(INDEX('TRIP MANAGER'!$O$18:$O$25,$A25),"")</f>
        <v>-25.938960000000002</v>
      </c>
      <c r="D25" cm="1">
        <f t="array" ref="D25">IFERROR(INDEX('TRIP MANAGER'!$P$18:$P$25,$A25),"")</f>
        <v>27.926639999999999</v>
      </c>
      <c r="E25" cm="1">
        <f t="array" ref="E25">IFERROR(INDEX('TRIP MANAGER'!$Q$18:$Q$25,$A25),"")</f>
        <v>12.133699999999999</v>
      </c>
      <c r="F25" cm="1">
        <f t="array" ref="F25">IFERROR(INDEX('TRIP MANAGER'!$R$18:$R$25,$A25),"")</f>
        <v>15.034000000000001</v>
      </c>
      <c r="G25" cm="1">
        <f t="array" ref="G25">IFERROR(INDEX('TRIP MANAGER'!$S$18:$S$25,$A25),"")</f>
        <v>0.69965352295446726</v>
      </c>
      <c r="H25">
        <f t="shared" si="2"/>
        <v>0.15333333333333332</v>
      </c>
      <c r="I25">
        <f t="shared" si="3"/>
        <v>0.86703819066457832</v>
      </c>
      <c r="J25">
        <f t="shared" si="4"/>
        <v>0.16627704449540465</v>
      </c>
      <c r="K25">
        <f t="shared" si="5"/>
        <v>0.84589458558187602</v>
      </c>
      <c r="L25">
        <f t="shared" si="6"/>
        <v>0.40732947207831371</v>
      </c>
      <c r="M25">
        <f t="shared" si="7"/>
        <v>-0.34430371949728944</v>
      </c>
      <c r="N25">
        <f t="shared" si="8"/>
        <v>-20.139298018920311</v>
      </c>
      <c r="O25">
        <f t="shared" si="9"/>
        <v>25.71253226172437</v>
      </c>
      <c r="P25" t="str" cm="1">
        <f t="array" ref="P25">IF($N25="","",IFERROR(IF(INDEX(geo_grid!$B$2:$JU$231,INT(($N25+40)/0.5)+1,INT(($O25+30)/0.5)+1)="","",INDEX(geo_grid!$B$2:$JU$231,INT(($N25+40)/0.5)+1,INT(($O25+30)/0.5)+1)),"OUTSIDE GRID"))</f>
        <v>BWA</v>
      </c>
      <c r="Q25">
        <f t="shared" si="10"/>
        <v>1023</v>
      </c>
    </row>
    <row r="26" spans="1:17" x14ac:dyDescent="0.3">
      <c r="A26">
        <f t="shared" si="0"/>
        <v>1</v>
      </c>
      <c r="B26">
        <f t="shared" si="1"/>
        <v>24</v>
      </c>
      <c r="C26" cm="1">
        <f t="array" ref="C26">IFERROR(INDEX('TRIP MANAGER'!$O$18:$O$25,$A26),"")</f>
        <v>-25.938960000000002</v>
      </c>
      <c r="D26" cm="1">
        <f t="array" ref="D26">IFERROR(INDEX('TRIP MANAGER'!$P$18:$P$25,$A26),"")</f>
        <v>27.926639999999999</v>
      </c>
      <c r="E26" cm="1">
        <f t="array" ref="E26">IFERROR(INDEX('TRIP MANAGER'!$Q$18:$Q$25,$A26),"")</f>
        <v>12.133699999999999</v>
      </c>
      <c r="F26" cm="1">
        <f t="array" ref="F26">IFERROR(INDEX('TRIP MANAGER'!$R$18:$R$25,$A26),"")</f>
        <v>15.034000000000001</v>
      </c>
      <c r="G26" cm="1">
        <f t="array" ref="G26">IFERROR(INDEX('TRIP MANAGER'!$S$18:$S$25,$A26),"")</f>
        <v>0.69965352295446726</v>
      </c>
      <c r="H26">
        <f t="shared" si="2"/>
        <v>0.16</v>
      </c>
      <c r="I26">
        <f t="shared" si="3"/>
        <v>0.86101959044327203</v>
      </c>
      <c r="J26">
        <f t="shared" si="4"/>
        <v>0.17347689038653519</v>
      </c>
      <c r="K26">
        <f t="shared" si="5"/>
        <v>0.84791063727628946</v>
      </c>
      <c r="L26">
        <f t="shared" si="6"/>
        <v>0.40662053819164018</v>
      </c>
      <c r="M26">
        <f t="shared" si="7"/>
        <v>-0.34015774151775152</v>
      </c>
      <c r="N26">
        <f t="shared" si="8"/>
        <v>-19.886484823869814</v>
      </c>
      <c r="O26">
        <f t="shared" si="9"/>
        <v>25.620321348232018</v>
      </c>
      <c r="P26" t="str" cm="1">
        <f t="array" ref="P26">IF($N26="","",IFERROR(IF(INDEX(geo_grid!$B$2:$JU$231,INT(($N26+40)/0.5)+1,INT(($O26+30)/0.5)+1)="","",INDEX(geo_grid!$B$2:$JU$231,INT(($N26+40)/0.5)+1,INT(($O26+30)/0.5)+1)),"OUTSIDE GRID"))</f>
        <v>BWA</v>
      </c>
      <c r="Q26">
        <f t="shared" si="10"/>
        <v>1024</v>
      </c>
    </row>
    <row r="27" spans="1:17" x14ac:dyDescent="0.3">
      <c r="A27">
        <f t="shared" si="0"/>
        <v>1</v>
      </c>
      <c r="B27">
        <f t="shared" si="1"/>
        <v>25</v>
      </c>
      <c r="C27" cm="1">
        <f t="array" ref="C27">IFERROR(INDEX('TRIP MANAGER'!$O$18:$O$25,$A27),"")</f>
        <v>-25.938960000000002</v>
      </c>
      <c r="D27" cm="1">
        <f t="array" ref="D27">IFERROR(INDEX('TRIP MANAGER'!$P$18:$P$25,$A27),"")</f>
        <v>27.926639999999999</v>
      </c>
      <c r="E27" cm="1">
        <f t="array" ref="E27">IFERROR(INDEX('TRIP MANAGER'!$Q$18:$Q$25,$A27),"")</f>
        <v>12.133699999999999</v>
      </c>
      <c r="F27" cm="1">
        <f t="array" ref="F27">IFERROR(INDEX('TRIP MANAGER'!$R$18:$R$25,$A27),"")</f>
        <v>15.034000000000001</v>
      </c>
      <c r="G27" cm="1">
        <f t="array" ref="G27">IFERROR(INDEX('TRIP MANAGER'!$S$18:$S$25,$A27),"")</f>
        <v>0.69965352295446726</v>
      </c>
      <c r="H27">
        <f t="shared" si="2"/>
        <v>0.16666666666666666</v>
      </c>
      <c r="I27">
        <f t="shared" si="3"/>
        <v>0.85498225772038361</v>
      </c>
      <c r="J27">
        <f t="shared" si="4"/>
        <v>0.18067296208232836</v>
      </c>
      <c r="K27">
        <f t="shared" si="5"/>
        <v>0.84990824166993251</v>
      </c>
      <c r="L27">
        <f t="shared" si="6"/>
        <v>0.40590275779327334</v>
      </c>
      <c r="M27">
        <f t="shared" si="7"/>
        <v>-0.33600436300342684</v>
      </c>
      <c r="N27">
        <f t="shared" si="8"/>
        <v>-19.633624310002396</v>
      </c>
      <c r="O27">
        <f t="shared" si="9"/>
        <v>25.528404350139994</v>
      </c>
      <c r="P27" t="str" cm="1">
        <f t="array" ref="P27">IF($N27="","",IFERROR(IF(INDEX(geo_grid!$B$2:$JU$231,INT(($N27+40)/0.5)+1,INT(($O27+30)/0.5)+1)="","",INDEX(geo_grid!$B$2:$JU$231,INT(($N27+40)/0.5)+1,INT(($O27+30)/0.5)+1)),"OUTSIDE GRID"))</f>
        <v>BWA</v>
      </c>
      <c r="Q27">
        <f t="shared" si="10"/>
        <v>1025</v>
      </c>
    </row>
    <row r="28" spans="1:17" x14ac:dyDescent="0.3">
      <c r="A28">
        <f t="shared" si="0"/>
        <v>1</v>
      </c>
      <c r="B28">
        <f t="shared" si="1"/>
        <v>26</v>
      </c>
      <c r="C28" cm="1">
        <f t="array" ref="C28">IFERROR(INDEX('TRIP MANAGER'!$O$18:$O$25,$A28),"")</f>
        <v>-25.938960000000002</v>
      </c>
      <c r="D28" cm="1">
        <f t="array" ref="D28">IFERROR(INDEX('TRIP MANAGER'!$P$18:$P$25,$A28),"")</f>
        <v>27.926639999999999</v>
      </c>
      <c r="E28" cm="1">
        <f t="array" ref="E28">IFERROR(INDEX('TRIP MANAGER'!$Q$18:$Q$25,$A28),"")</f>
        <v>12.133699999999999</v>
      </c>
      <c r="F28" cm="1">
        <f t="array" ref="F28">IFERROR(INDEX('TRIP MANAGER'!$R$18:$R$25,$A28),"")</f>
        <v>15.034000000000001</v>
      </c>
      <c r="G28" cm="1">
        <f t="array" ref="G28">IFERROR(INDEX('TRIP MANAGER'!$S$18:$S$25,$A28),"")</f>
        <v>0.69965352295446726</v>
      </c>
      <c r="H28">
        <f t="shared" si="2"/>
        <v>0.17333333333333334</v>
      </c>
      <c r="I28">
        <f t="shared" si="3"/>
        <v>0.8489263238452418</v>
      </c>
      <c r="J28">
        <f t="shared" si="4"/>
        <v>0.18786510302371648</v>
      </c>
      <c r="K28">
        <f t="shared" si="5"/>
        <v>0.85188735530255433</v>
      </c>
      <c r="L28">
        <f t="shared" si="6"/>
        <v>0.40517614649937667</v>
      </c>
      <c r="M28">
        <f t="shared" si="7"/>
        <v>-0.33184367431598727</v>
      </c>
      <c r="N28">
        <f t="shared" si="8"/>
        <v>-19.380717276872243</v>
      </c>
      <c r="O28">
        <f t="shared" si="9"/>
        <v>25.436776354730487</v>
      </c>
      <c r="P28" t="str" cm="1">
        <f t="array" ref="P28">IF($N28="","",IFERROR(IF(INDEX(geo_grid!$B$2:$JU$231,INT(($N28+40)/0.5)+1,INT(($O28+30)/0.5)+1)="","",INDEX(geo_grid!$B$2:$JU$231,INT(($N28+40)/0.5)+1,INT(($O28+30)/0.5)+1)),"OUTSIDE GRID"))</f>
        <v>BWA</v>
      </c>
      <c r="Q28">
        <f t="shared" si="10"/>
        <v>1026</v>
      </c>
    </row>
    <row r="29" spans="1:17" x14ac:dyDescent="0.3">
      <c r="A29">
        <f t="shared" si="0"/>
        <v>1</v>
      </c>
      <c r="B29">
        <f t="shared" si="1"/>
        <v>27</v>
      </c>
      <c r="C29" cm="1">
        <f t="array" ref="C29">IFERROR(INDEX('TRIP MANAGER'!$O$18:$O$25,$A29),"")</f>
        <v>-25.938960000000002</v>
      </c>
      <c r="D29" cm="1">
        <f t="array" ref="D29">IFERROR(INDEX('TRIP MANAGER'!$P$18:$P$25,$A29),"")</f>
        <v>27.926639999999999</v>
      </c>
      <c r="E29" cm="1">
        <f t="array" ref="E29">IFERROR(INDEX('TRIP MANAGER'!$Q$18:$Q$25,$A29),"")</f>
        <v>12.133699999999999</v>
      </c>
      <c r="F29" cm="1">
        <f t="array" ref="F29">IFERROR(INDEX('TRIP MANAGER'!$R$18:$R$25,$A29),"")</f>
        <v>15.034000000000001</v>
      </c>
      <c r="G29" cm="1">
        <f t="array" ref="G29">IFERROR(INDEX('TRIP MANAGER'!$S$18:$S$25,$A29),"")</f>
        <v>0.69965352295446726</v>
      </c>
      <c r="H29">
        <f t="shared" si="2"/>
        <v>0.18</v>
      </c>
      <c r="I29">
        <f t="shared" si="3"/>
        <v>0.84285192057186464</v>
      </c>
      <c r="J29">
        <f t="shared" si="4"/>
        <v>0.19505315673714987</v>
      </c>
      <c r="K29">
        <f t="shared" si="5"/>
        <v>0.85384793511619239</v>
      </c>
      <c r="L29">
        <f t="shared" si="6"/>
        <v>0.40444072011823984</v>
      </c>
      <c r="M29">
        <f t="shared" si="7"/>
        <v>-0.32767576597614612</v>
      </c>
      <c r="N29">
        <f t="shared" si="8"/>
        <v>-19.127764515545756</v>
      </c>
      <c r="O29">
        <f t="shared" si="9"/>
        <v>25.345432499289487</v>
      </c>
      <c r="P29" t="str" cm="1">
        <f t="array" ref="P29">IF($N29="","",IFERROR(IF(INDEX(geo_grid!$B$2:$JU$231,INT(($N29+40)/0.5)+1,INT(($O29+30)/0.5)+1)="","",INDEX(geo_grid!$B$2:$JU$231,INT(($N29+40)/0.5)+1,INT(($O29+30)/0.5)+1)),"OUTSIDE GRID"))</f>
        <v>BWA</v>
      </c>
      <c r="Q29">
        <f t="shared" si="10"/>
        <v>1027</v>
      </c>
    </row>
    <row r="30" spans="1:17" x14ac:dyDescent="0.3">
      <c r="A30">
        <f t="shared" si="0"/>
        <v>1</v>
      </c>
      <c r="B30">
        <f t="shared" si="1"/>
        <v>28</v>
      </c>
      <c r="C30" cm="1">
        <f t="array" ref="C30">IFERROR(INDEX('TRIP MANAGER'!$O$18:$O$25,$A30),"")</f>
        <v>-25.938960000000002</v>
      </c>
      <c r="D30" cm="1">
        <f t="array" ref="D30">IFERROR(INDEX('TRIP MANAGER'!$P$18:$P$25,$A30),"")</f>
        <v>27.926639999999999</v>
      </c>
      <c r="E30" cm="1">
        <f t="array" ref="E30">IFERROR(INDEX('TRIP MANAGER'!$Q$18:$Q$25,$A30),"")</f>
        <v>12.133699999999999</v>
      </c>
      <c r="F30" cm="1">
        <f t="array" ref="F30">IFERROR(INDEX('TRIP MANAGER'!$R$18:$R$25,$A30),"")</f>
        <v>15.034000000000001</v>
      </c>
      <c r="G30" cm="1">
        <f t="array" ref="G30">IFERROR(INDEX('TRIP MANAGER'!$S$18:$S$25,$A30),"")</f>
        <v>0.69965352295446726</v>
      </c>
      <c r="H30">
        <f t="shared" si="2"/>
        <v>0.18666666666666668</v>
      </c>
      <c r="I30">
        <f t="shared" si="3"/>
        <v>0.83675918005609395</v>
      </c>
      <c r="J30">
        <f t="shared" si="4"/>
        <v>0.20223696683800166</v>
      </c>
      <c r="K30">
        <f t="shared" si="5"/>
        <v>0.85578993845610918</v>
      </c>
      <c r="L30">
        <f t="shared" si="6"/>
        <v>0.40369649464993529</v>
      </c>
      <c r="M30">
        <f t="shared" si="7"/>
        <v>-0.32350072866168844</v>
      </c>
      <c r="N30">
        <f t="shared" si="8"/>
        <v>-18.874766808778865</v>
      </c>
      <c r="O30">
        <f t="shared" si="9"/>
        <v>25.254367970089145</v>
      </c>
      <c r="P30" t="str" cm="1">
        <f t="array" ref="P30">IF($N30="","",IFERROR(IF(INDEX(geo_grid!$B$2:$JU$231,INT(($N30+40)/0.5)+1,INT(($O30+30)/0.5)+1)="","",INDEX(geo_grid!$B$2:$JU$231,INT(($N30+40)/0.5)+1,INT(($O30+30)/0.5)+1)),"OUTSIDE GRID"))</f>
        <v>BWA</v>
      </c>
      <c r="Q30">
        <f t="shared" si="10"/>
        <v>1028</v>
      </c>
    </row>
    <row r="31" spans="1:17" x14ac:dyDescent="0.3">
      <c r="A31">
        <f t="shared" si="0"/>
        <v>1</v>
      </c>
      <c r="B31">
        <f t="shared" si="1"/>
        <v>29</v>
      </c>
      <c r="C31" cm="1">
        <f t="array" ref="C31">IFERROR(INDEX('TRIP MANAGER'!$O$18:$O$25,$A31),"")</f>
        <v>-25.938960000000002</v>
      </c>
      <c r="D31" cm="1">
        <f t="array" ref="D31">IFERROR(INDEX('TRIP MANAGER'!$P$18:$P$25,$A31),"")</f>
        <v>27.926639999999999</v>
      </c>
      <c r="E31" cm="1">
        <f t="array" ref="E31">IFERROR(INDEX('TRIP MANAGER'!$Q$18:$Q$25,$A31),"")</f>
        <v>12.133699999999999</v>
      </c>
      <c r="F31" cm="1">
        <f t="array" ref="F31">IFERROR(INDEX('TRIP MANAGER'!$R$18:$R$25,$A31),"")</f>
        <v>15.034000000000001</v>
      </c>
      <c r="G31" cm="1">
        <f t="array" ref="G31">IFERROR(INDEX('TRIP MANAGER'!$S$18:$S$25,$A31),"")</f>
        <v>0.69965352295446726</v>
      </c>
      <c r="H31">
        <f t="shared" si="2"/>
        <v>0.19333333333333333</v>
      </c>
      <c r="I31">
        <f t="shared" si="3"/>
        <v>0.83064823485272032</v>
      </c>
      <c r="J31">
        <f t="shared" si="4"/>
        <v>0.20941637703396934</v>
      </c>
      <c r="K31">
        <f t="shared" si="5"/>
        <v>0.85771332307172088</v>
      </c>
      <c r="L31">
        <f t="shared" si="6"/>
        <v>0.40294348628597015</v>
      </c>
      <c r="M31">
        <f t="shared" si="7"/>
        <v>-0.31931865320549896</v>
      </c>
      <c r="N31">
        <f t="shared" si="8"/>
        <v>-18.621724931191238</v>
      </c>
      <c r="O31">
        <f t="shared" si="9"/>
        <v>25.163578001387201</v>
      </c>
      <c r="P31" t="str" cm="1">
        <f t="array" ref="P31">IF($N31="","",IFERROR(IF(INDEX(geo_grid!$B$2:$JU$231,INT(($N31+40)/0.5)+1,INT(($O31+30)/0.5)+1)="","",INDEX(geo_grid!$B$2:$JU$231,INT(($N31+40)/0.5)+1,INT(($O31+30)/0.5)+1)),"OUTSIDE GRID"))</f>
        <v>BWA</v>
      </c>
      <c r="Q31">
        <f t="shared" si="10"/>
        <v>1029</v>
      </c>
    </row>
    <row r="32" spans="1:17" x14ac:dyDescent="0.3">
      <c r="A32">
        <f t="shared" si="0"/>
        <v>1</v>
      </c>
      <c r="B32">
        <f t="shared" si="1"/>
        <v>30</v>
      </c>
      <c r="C32" cm="1">
        <f t="array" ref="C32">IFERROR(INDEX('TRIP MANAGER'!$O$18:$O$25,$A32),"")</f>
        <v>-25.938960000000002</v>
      </c>
      <c r="D32" cm="1">
        <f t="array" ref="D32">IFERROR(INDEX('TRIP MANAGER'!$P$18:$P$25,$A32),"")</f>
        <v>27.926639999999999</v>
      </c>
      <c r="E32" cm="1">
        <f t="array" ref="E32">IFERROR(INDEX('TRIP MANAGER'!$Q$18:$Q$25,$A32),"")</f>
        <v>12.133699999999999</v>
      </c>
      <c r="F32" cm="1">
        <f t="array" ref="F32">IFERROR(INDEX('TRIP MANAGER'!$R$18:$R$25,$A32),"")</f>
        <v>15.034000000000001</v>
      </c>
      <c r="G32" cm="1">
        <f t="array" ref="G32">IFERROR(INDEX('TRIP MANAGER'!$S$18:$S$25,$A32),"")</f>
        <v>0.69965352295446726</v>
      </c>
      <c r="H32">
        <f t="shared" si="2"/>
        <v>0.2</v>
      </c>
      <c r="I32">
        <f t="shared" si="3"/>
        <v>0.82451921791259897</v>
      </c>
      <c r="J32">
        <f t="shared" si="4"/>
        <v>0.21659123112847598</v>
      </c>
      <c r="K32">
        <f t="shared" si="5"/>
        <v>0.85961804711751577</v>
      </c>
      <c r="L32">
        <f t="shared" si="6"/>
        <v>0.40218171140893377</v>
      </c>
      <c r="M32">
        <f t="shared" si="7"/>
        <v>-0.31512963059358551</v>
      </c>
      <c r="N32">
        <f t="shared" si="8"/>
        <v>-18.368639649437384</v>
      </c>
      <c r="O32">
        <f t="shared" si="9"/>
        <v>25.07305787444303</v>
      </c>
      <c r="P32" t="str" cm="1">
        <f t="array" ref="P32">IF($N32="","",IFERROR(IF(INDEX(geo_grid!$B$2:$JU$231,INT(($N32+40)/0.5)+1,INT(($O32+30)/0.5)+1)="","",INDEX(geo_grid!$B$2:$JU$231,INT(($N32+40)/0.5)+1,INT(($O32+30)/0.5)+1)),"OUTSIDE GRID"))</f>
        <v>BWA</v>
      </c>
      <c r="Q32">
        <f t="shared" si="10"/>
        <v>1030</v>
      </c>
    </row>
    <row r="33" spans="1:17" x14ac:dyDescent="0.3">
      <c r="A33">
        <f t="shared" si="0"/>
        <v>1</v>
      </c>
      <c r="B33">
        <f t="shared" si="1"/>
        <v>31</v>
      </c>
      <c r="C33" cm="1">
        <f t="array" ref="C33">IFERROR(INDEX('TRIP MANAGER'!$O$18:$O$25,$A33),"")</f>
        <v>-25.938960000000002</v>
      </c>
      <c r="D33" cm="1">
        <f t="array" ref="D33">IFERROR(INDEX('TRIP MANAGER'!$P$18:$P$25,$A33),"")</f>
        <v>27.926639999999999</v>
      </c>
      <c r="E33" cm="1">
        <f t="array" ref="E33">IFERROR(INDEX('TRIP MANAGER'!$Q$18:$Q$25,$A33),"")</f>
        <v>12.133699999999999</v>
      </c>
      <c r="F33" cm="1">
        <f t="array" ref="F33">IFERROR(INDEX('TRIP MANAGER'!$R$18:$R$25,$A33),"")</f>
        <v>15.034000000000001</v>
      </c>
      <c r="G33" cm="1">
        <f t="array" ref="G33">IFERROR(INDEX('TRIP MANAGER'!$S$18:$S$25,$A33),"")</f>
        <v>0.69965352295446726</v>
      </c>
      <c r="H33">
        <f t="shared" si="2"/>
        <v>0.20666666666666667</v>
      </c>
      <c r="I33">
        <f t="shared" si="3"/>
        <v>0.81837226257975637</v>
      </c>
      <c r="J33">
        <f t="shared" si="4"/>
        <v>0.22376137302406773</v>
      </c>
      <c r="K33">
        <f t="shared" si="5"/>
        <v>0.8615040691539646</v>
      </c>
      <c r="L33">
        <f t="shared" si="6"/>
        <v>0.40141118659214126</v>
      </c>
      <c r="M33">
        <f t="shared" si="7"/>
        <v>-0.31093375196309925</v>
      </c>
      <c r="N33">
        <f t="shared" si="8"/>
        <v>-18.115511722374706</v>
      </c>
      <c r="O33">
        <f t="shared" si="9"/>
        <v>24.98280291654995</v>
      </c>
      <c r="P33" t="str" cm="1">
        <f t="array" ref="P33">IF($N33="","",IFERROR(IF(INDEX(geo_grid!$B$2:$JU$231,INT(($N33+40)/0.5)+1,INT(($O33+30)/0.5)+1)="","",INDEX(geo_grid!$B$2:$JU$231,INT(($N33+40)/0.5)+1,INT(($O33+30)/0.5)+1)),"OUTSIDE GRID"))</f>
        <v>BWA</v>
      </c>
      <c r="Q33">
        <f t="shared" si="10"/>
        <v>1031</v>
      </c>
    </row>
    <row r="34" spans="1:17" x14ac:dyDescent="0.3">
      <c r="A34">
        <f t="shared" si="0"/>
        <v>1</v>
      </c>
      <c r="B34">
        <f t="shared" si="1"/>
        <v>32</v>
      </c>
      <c r="C34" cm="1">
        <f t="array" ref="C34">IFERROR(INDEX('TRIP MANAGER'!$O$18:$O$25,$A34),"")</f>
        <v>-25.938960000000002</v>
      </c>
      <c r="D34" cm="1">
        <f t="array" ref="D34">IFERROR(INDEX('TRIP MANAGER'!$P$18:$P$25,$A34),"")</f>
        <v>27.926639999999999</v>
      </c>
      <c r="E34" cm="1">
        <f t="array" ref="E34">IFERROR(INDEX('TRIP MANAGER'!$Q$18:$Q$25,$A34),"")</f>
        <v>12.133699999999999</v>
      </c>
      <c r="F34" cm="1">
        <f t="array" ref="F34">IFERROR(INDEX('TRIP MANAGER'!$R$18:$R$25,$A34),"")</f>
        <v>15.034000000000001</v>
      </c>
      <c r="G34" cm="1">
        <f t="array" ref="G34">IFERROR(INDEX('TRIP MANAGER'!$S$18:$S$25,$A34),"")</f>
        <v>0.69965352295446726</v>
      </c>
      <c r="H34">
        <f t="shared" si="2"/>
        <v>0.21333333333333335</v>
      </c>
      <c r="I34">
        <f t="shared" si="3"/>
        <v>0.81220750258849095</v>
      </c>
      <c r="J34">
        <f t="shared" si="4"/>
        <v>0.23092664672581048</v>
      </c>
      <c r="K34">
        <f t="shared" si="5"/>
        <v>0.86337134814842309</v>
      </c>
      <c r="L34">
        <f t="shared" si="6"/>
        <v>0.40063192859927321</v>
      </c>
      <c r="M34">
        <f t="shared" si="7"/>
        <v>-0.30673110860035235</v>
      </c>
      <c r="N34">
        <f t="shared" si="8"/>
        <v>-17.862341901228714</v>
      </c>
      <c r="O34">
        <f t="shared" si="9"/>
        <v>24.892808500083341</v>
      </c>
      <c r="P34" t="str" cm="1">
        <f t="array" ref="P34">IF($N34="","",IFERROR(IF(INDEX(geo_grid!$B$2:$JU$231,INT(($N34+40)/0.5)+1,INT(($O34+30)/0.5)+1)="","",INDEX(geo_grid!$B$2:$JU$231,INT(($N34+40)/0.5)+1,INT(($O34+30)/0.5)+1)),"OUTSIDE GRID"))</f>
        <v>NAM</v>
      </c>
      <c r="Q34">
        <f t="shared" si="10"/>
        <v>1032</v>
      </c>
    </row>
    <row r="35" spans="1:17" x14ac:dyDescent="0.3">
      <c r="A35">
        <f t="shared" si="0"/>
        <v>1</v>
      </c>
      <c r="B35">
        <f t="shared" si="1"/>
        <v>33</v>
      </c>
      <c r="C35" cm="1">
        <f t="array" ref="C35">IFERROR(INDEX('TRIP MANAGER'!$O$18:$O$25,$A35),"")</f>
        <v>-25.938960000000002</v>
      </c>
      <c r="D35" cm="1">
        <f t="array" ref="D35">IFERROR(INDEX('TRIP MANAGER'!$P$18:$P$25,$A35),"")</f>
        <v>27.926639999999999</v>
      </c>
      <c r="E35" cm="1">
        <f t="array" ref="E35">IFERROR(INDEX('TRIP MANAGER'!$Q$18:$Q$25,$A35),"")</f>
        <v>12.133699999999999</v>
      </c>
      <c r="F35" cm="1">
        <f t="array" ref="F35">IFERROR(INDEX('TRIP MANAGER'!$R$18:$R$25,$A35),"")</f>
        <v>15.034000000000001</v>
      </c>
      <c r="G35" cm="1">
        <f t="array" ref="G35">IFERROR(INDEX('TRIP MANAGER'!$S$18:$S$25,$A35),"")</f>
        <v>0.69965352295446726</v>
      </c>
      <c r="H35">
        <f t="shared" si="2"/>
        <v>0.22</v>
      </c>
      <c r="I35">
        <f t="shared" si="3"/>
        <v>0.80602507206046192</v>
      </c>
      <c r="J35">
        <f t="shared" si="4"/>
        <v>0.23808689634468322</v>
      </c>
      <c r="K35">
        <f t="shared" si="5"/>
        <v>0.86521984347602388</v>
      </c>
      <c r="L35">
        <f t="shared" si="6"/>
        <v>0.39984395438401077</v>
      </c>
      <c r="M35">
        <f t="shared" si="7"/>
        <v>-0.30252179193883166</v>
      </c>
      <c r="N35">
        <f t="shared" si="8"/>
        <v>-17.609130929755295</v>
      </c>
      <c r="O35">
        <f t="shared" si="9"/>
        <v>24.803070041564283</v>
      </c>
      <c r="P35" t="str" cm="1">
        <f t="array" ref="P35">IF($N35="","",IFERROR(IF(INDEX(geo_grid!$B$2:$JU$231,INT(($N35+40)/0.5)+1,INT(($O35+30)/0.5)+1)="","",INDEX(geo_grid!$B$2:$JU$231,INT(($N35+40)/0.5)+1,INT(($O35+30)/0.5)+1)),"OUTSIDE GRID"))</f>
        <v>NAM</v>
      </c>
      <c r="Q35">
        <f t="shared" si="10"/>
        <v>1033</v>
      </c>
    </row>
    <row r="36" spans="1:17" x14ac:dyDescent="0.3">
      <c r="A36">
        <f t="shared" si="0"/>
        <v>1</v>
      </c>
      <c r="B36">
        <f t="shared" si="1"/>
        <v>34</v>
      </c>
      <c r="C36" cm="1">
        <f t="array" ref="C36">IFERROR(INDEX('TRIP MANAGER'!$O$18:$O$25,$A36),"")</f>
        <v>-25.938960000000002</v>
      </c>
      <c r="D36" cm="1">
        <f t="array" ref="D36">IFERROR(INDEX('TRIP MANAGER'!$P$18:$P$25,$A36),"")</f>
        <v>27.926639999999999</v>
      </c>
      <c r="E36" cm="1">
        <f t="array" ref="E36">IFERROR(INDEX('TRIP MANAGER'!$Q$18:$Q$25,$A36),"")</f>
        <v>12.133699999999999</v>
      </c>
      <c r="F36" cm="1">
        <f t="array" ref="F36">IFERROR(INDEX('TRIP MANAGER'!$R$18:$R$25,$A36),"")</f>
        <v>15.034000000000001</v>
      </c>
      <c r="G36" cm="1">
        <f t="array" ref="G36">IFERROR(INDEX('TRIP MANAGER'!$S$18:$S$25,$A36),"")</f>
        <v>0.69965352295446726</v>
      </c>
      <c r="H36">
        <f t="shared" si="2"/>
        <v>0.22666666666666666</v>
      </c>
      <c r="I36">
        <f t="shared" si="3"/>
        <v>0.79982510550177244</v>
      </c>
      <c r="J36">
        <f t="shared" si="4"/>
        <v>0.24524196610096982</v>
      </c>
      <c r="K36">
        <f t="shared" si="5"/>
        <v>0.86704951492056026</v>
      </c>
      <c r="L36">
        <f t="shared" si="6"/>
        <v>0.39904728108966692</v>
      </c>
      <c r="M36">
        <f t="shared" si="7"/>
        <v>-0.29830589355720982</v>
      </c>
      <c r="N36">
        <f t="shared" si="8"/>
        <v>-17.35587954440031</v>
      </c>
      <c r="O36">
        <f t="shared" si="9"/>
        <v>24.713583000738264</v>
      </c>
      <c r="P36" t="str" cm="1">
        <f t="array" ref="P36">IF($N36="","",IFERROR(IF(INDEX(geo_grid!$B$2:$JU$231,INT(($N36+40)/0.5)+1,INT(($O36+30)/0.5)+1)="","",INDEX(geo_grid!$B$2:$JU$231,INT(($N36+40)/0.5)+1,INT(($O36+30)/0.5)+1)),"OUTSIDE GRID"))</f>
        <v>ZMB</v>
      </c>
      <c r="Q36">
        <f t="shared" si="10"/>
        <v>1034</v>
      </c>
    </row>
    <row r="37" spans="1:17" x14ac:dyDescent="0.3">
      <c r="A37">
        <f t="shared" si="0"/>
        <v>1</v>
      </c>
      <c r="B37">
        <f t="shared" si="1"/>
        <v>35</v>
      </c>
      <c r="C37" cm="1">
        <f t="array" ref="C37">IFERROR(INDEX('TRIP MANAGER'!$O$18:$O$25,$A37),"")</f>
        <v>-25.938960000000002</v>
      </c>
      <c r="D37" cm="1">
        <f t="array" ref="D37">IFERROR(INDEX('TRIP MANAGER'!$P$18:$P$25,$A37),"")</f>
        <v>27.926639999999999</v>
      </c>
      <c r="E37" cm="1">
        <f t="array" ref="E37">IFERROR(INDEX('TRIP MANAGER'!$Q$18:$Q$25,$A37),"")</f>
        <v>12.133699999999999</v>
      </c>
      <c r="F37" cm="1">
        <f t="array" ref="F37">IFERROR(INDEX('TRIP MANAGER'!$R$18:$R$25,$A37),"")</f>
        <v>15.034000000000001</v>
      </c>
      <c r="G37" cm="1">
        <f t="array" ref="G37">IFERROR(INDEX('TRIP MANAGER'!$S$18:$S$25,$A37),"")</f>
        <v>0.69965352295446726</v>
      </c>
      <c r="H37">
        <f t="shared" si="2"/>
        <v>0.23333333333333334</v>
      </c>
      <c r="I37">
        <f t="shared" si="3"/>
        <v>0.79360773780004223</v>
      </c>
      <c r="J37">
        <f t="shared" si="4"/>
        <v>0.25239170032764841</v>
      </c>
      <c r="K37">
        <f t="shared" si="5"/>
        <v>0.86886032267536195</v>
      </c>
      <c r="L37">
        <f t="shared" si="6"/>
        <v>0.39824192604881314</v>
      </c>
      <c r="M37">
        <f t="shared" si="7"/>
        <v>-0.29408350517735216</v>
      </c>
      <c r="N37">
        <f t="shared" si="8"/>
        <v>-17.102588474456311</v>
      </c>
      <c r="O37">
        <f t="shared" si="9"/>
        <v>24.624342879668568</v>
      </c>
      <c r="P37" t="str" cm="1">
        <f t="array" ref="P37">IF($N37="","",IFERROR(IF(INDEX(geo_grid!$B$2:$JU$231,INT(($N37+40)/0.5)+1,INT(($O37+30)/0.5)+1)="","",INDEX(geo_grid!$B$2:$JU$231,INT(($N37+40)/0.5)+1,INT(($O37+30)/0.5)+1)),"OUTSIDE GRID"))</f>
        <v>ZMB</v>
      </c>
      <c r="Q37">
        <f t="shared" si="10"/>
        <v>1035</v>
      </c>
    </row>
    <row r="38" spans="1:17" x14ac:dyDescent="0.3">
      <c r="A38">
        <f t="shared" si="0"/>
        <v>1</v>
      </c>
      <c r="B38">
        <f t="shared" si="1"/>
        <v>36</v>
      </c>
      <c r="C38" cm="1">
        <f t="array" ref="C38">IFERROR(INDEX('TRIP MANAGER'!$O$18:$O$25,$A38),"")</f>
        <v>-25.938960000000002</v>
      </c>
      <c r="D38" cm="1">
        <f t="array" ref="D38">IFERROR(INDEX('TRIP MANAGER'!$P$18:$P$25,$A38),"")</f>
        <v>27.926639999999999</v>
      </c>
      <c r="E38" cm="1">
        <f t="array" ref="E38">IFERROR(INDEX('TRIP MANAGER'!$Q$18:$Q$25,$A38),"")</f>
        <v>12.133699999999999</v>
      </c>
      <c r="F38" cm="1">
        <f t="array" ref="F38">IFERROR(INDEX('TRIP MANAGER'!$R$18:$R$25,$A38),"")</f>
        <v>15.034000000000001</v>
      </c>
      <c r="G38" cm="1">
        <f t="array" ref="G38">IFERROR(INDEX('TRIP MANAGER'!$S$18:$S$25,$A38),"")</f>
        <v>0.69965352295446726</v>
      </c>
      <c r="H38">
        <f t="shared" si="2"/>
        <v>0.24</v>
      </c>
      <c r="I38">
        <f t="shared" si="3"/>
        <v>0.787373104221474</v>
      </c>
      <c r="J38">
        <f t="shared" si="4"/>
        <v>0.25953594347377773</v>
      </c>
      <c r="K38">
        <f t="shared" si="5"/>
        <v>0.8706522273441597</v>
      </c>
      <c r="L38">
        <f t="shared" si="6"/>
        <v>0.39742790678290285</v>
      </c>
      <c r="M38">
        <f t="shared" si="7"/>
        <v>-0.28985471866232176</v>
      </c>
      <c r="N38">
        <f t="shared" si="8"/>
        <v>-16.849258442216851</v>
      </c>
      <c r="O38">
        <f t="shared" si="9"/>
        <v>24.535345221844146</v>
      </c>
      <c r="P38" t="str" cm="1">
        <f t="array" ref="P38">IF($N38="","",IFERROR(IF(INDEX(geo_grid!$B$2:$JU$231,INT(($N38+40)/0.5)+1,INT(($O38+30)/0.5)+1)="","",INDEX(geo_grid!$B$2:$JU$231,INT(($N38+40)/0.5)+1,INT(($O38+30)/0.5)+1)),"OUTSIDE GRID"))</f>
        <v>ZMB</v>
      </c>
      <c r="Q38">
        <f t="shared" si="10"/>
        <v>1036</v>
      </c>
    </row>
    <row r="39" spans="1:17" x14ac:dyDescent="0.3">
      <c r="A39">
        <f t="shared" si="0"/>
        <v>1</v>
      </c>
      <c r="B39">
        <f t="shared" si="1"/>
        <v>37</v>
      </c>
      <c r="C39" cm="1">
        <f t="array" ref="C39">IFERROR(INDEX('TRIP MANAGER'!$O$18:$O$25,$A39),"")</f>
        <v>-25.938960000000002</v>
      </c>
      <c r="D39" cm="1">
        <f t="array" ref="D39">IFERROR(INDEX('TRIP MANAGER'!$P$18:$P$25,$A39),"")</f>
        <v>27.926639999999999</v>
      </c>
      <c r="E39" cm="1">
        <f t="array" ref="E39">IFERROR(INDEX('TRIP MANAGER'!$Q$18:$Q$25,$A39),"")</f>
        <v>12.133699999999999</v>
      </c>
      <c r="F39" cm="1">
        <f t="array" ref="F39">IFERROR(INDEX('TRIP MANAGER'!$R$18:$R$25,$A39),"")</f>
        <v>15.034000000000001</v>
      </c>
      <c r="G39" cm="1">
        <f t="array" ref="G39">IFERROR(INDEX('TRIP MANAGER'!$S$18:$S$25,$A39),"")</f>
        <v>0.69965352295446726</v>
      </c>
      <c r="H39">
        <f t="shared" si="2"/>
        <v>0.24666666666666667</v>
      </c>
      <c r="I39">
        <f t="shared" si="3"/>
        <v>0.78112134040791004</v>
      </c>
      <c r="J39">
        <f t="shared" si="4"/>
        <v>0.26667454010788155</v>
      </c>
      <c r="K39">
        <f t="shared" si="5"/>
        <v>0.87242518994194451</v>
      </c>
      <c r="L39">
        <f t="shared" si="6"/>
        <v>0.39660524100188982</v>
      </c>
      <c r="M39">
        <f t="shared" si="7"/>
        <v>-0.28561962601438096</v>
      </c>
      <c r="N39">
        <f t="shared" si="8"/>
        <v>-16.595890163127986</v>
      </c>
      <c r="O39">
        <f t="shared" si="9"/>
        <v>24.446585611301384</v>
      </c>
      <c r="P39" t="str" cm="1">
        <f t="array" ref="P39">IF($N39="","",IFERROR(IF(INDEX(geo_grid!$B$2:$JU$231,INT(($N39+40)/0.5)+1,INT(($O39+30)/0.5)+1)="","",INDEX(geo_grid!$B$2:$JU$231,INT(($N39+40)/0.5)+1,INT(($O39+30)/0.5)+1)),"OUTSIDE GRID"))</f>
        <v>ZMB</v>
      </c>
      <c r="Q39">
        <f t="shared" si="10"/>
        <v>1037</v>
      </c>
    </row>
    <row r="40" spans="1:17" x14ac:dyDescent="0.3">
      <c r="A40">
        <f t="shared" si="0"/>
        <v>1</v>
      </c>
      <c r="B40">
        <f t="shared" si="1"/>
        <v>38</v>
      </c>
      <c r="C40" cm="1">
        <f t="array" ref="C40">IFERROR(INDEX('TRIP MANAGER'!$O$18:$O$25,$A40),"")</f>
        <v>-25.938960000000002</v>
      </c>
      <c r="D40" cm="1">
        <f t="array" ref="D40">IFERROR(INDEX('TRIP MANAGER'!$P$18:$P$25,$A40),"")</f>
        <v>27.926639999999999</v>
      </c>
      <c r="E40" cm="1">
        <f t="array" ref="E40">IFERROR(INDEX('TRIP MANAGER'!$Q$18:$Q$25,$A40),"")</f>
        <v>12.133699999999999</v>
      </c>
      <c r="F40" cm="1">
        <f t="array" ref="F40">IFERROR(INDEX('TRIP MANAGER'!$R$18:$R$25,$A40),"")</f>
        <v>15.034000000000001</v>
      </c>
      <c r="G40" cm="1">
        <f t="array" ref="G40">IFERROR(INDEX('TRIP MANAGER'!$S$18:$S$25,$A40),"")</f>
        <v>0.69965352295446726</v>
      </c>
      <c r="H40">
        <f t="shared" si="2"/>
        <v>0.25333333333333335</v>
      </c>
      <c r="I40">
        <f t="shared" si="3"/>
        <v>0.77485258237388088</v>
      </c>
      <c r="J40">
        <f t="shared" si="4"/>
        <v>0.27380733492133003</v>
      </c>
      <c r="K40">
        <f t="shared" si="5"/>
        <v>0.8741791718958134</v>
      </c>
      <c r="L40">
        <f t="shared" si="6"/>
        <v>0.39577394660384313</v>
      </c>
      <c r="M40">
        <f t="shared" si="7"/>
        <v>-0.28137831937298929</v>
      </c>
      <c r="N40">
        <f t="shared" si="8"/>
        <v>-16.342484345937443</v>
      </c>
      <c r="O40">
        <f t="shared" si="9"/>
        <v>24.358059671759651</v>
      </c>
      <c r="P40" t="str" cm="1">
        <f t="array" ref="P40">IF($N40="","",IFERROR(IF(INDEX(geo_grid!$B$2:$JU$231,INT(($N40+40)/0.5)+1,INT(($O40+30)/0.5)+1)="","",INDEX(geo_grid!$B$2:$JU$231,INT(($N40+40)/0.5)+1,INT(($O40+30)/0.5)+1)),"OUTSIDE GRID"))</f>
        <v>ZMB</v>
      </c>
      <c r="Q40">
        <f t="shared" si="10"/>
        <v>1038</v>
      </c>
    </row>
    <row r="41" spans="1:17" x14ac:dyDescent="0.3">
      <c r="A41">
        <f t="shared" si="0"/>
        <v>1</v>
      </c>
      <c r="B41">
        <f t="shared" si="1"/>
        <v>39</v>
      </c>
      <c r="C41" cm="1">
        <f t="array" ref="C41">IFERROR(INDEX('TRIP MANAGER'!$O$18:$O$25,$A41),"")</f>
        <v>-25.938960000000002</v>
      </c>
      <c r="D41" cm="1">
        <f t="array" ref="D41">IFERROR(INDEX('TRIP MANAGER'!$P$18:$P$25,$A41),"")</f>
        <v>27.926639999999999</v>
      </c>
      <c r="E41" cm="1">
        <f t="array" ref="E41">IFERROR(INDEX('TRIP MANAGER'!$Q$18:$Q$25,$A41),"")</f>
        <v>12.133699999999999</v>
      </c>
      <c r="F41" cm="1">
        <f t="array" ref="F41">IFERROR(INDEX('TRIP MANAGER'!$R$18:$R$25,$A41),"")</f>
        <v>15.034000000000001</v>
      </c>
      <c r="G41" cm="1">
        <f t="array" ref="G41">IFERROR(INDEX('TRIP MANAGER'!$S$18:$S$25,$A41),"")</f>
        <v>0.69965352295446726</v>
      </c>
      <c r="H41">
        <f t="shared" si="2"/>
        <v>0.26</v>
      </c>
      <c r="I41">
        <f t="shared" si="3"/>
        <v>0.76856696650364664</v>
      </c>
      <c r="J41">
        <f t="shared" si="4"/>
        <v>0.28093417273171911</v>
      </c>
      <c r="K41">
        <f t="shared" si="5"/>
        <v>0.87591413504581084</v>
      </c>
      <c r="L41">
        <f t="shared" si="6"/>
        <v>0.39493404167455759</v>
      </c>
      <c r="M41">
        <f t="shared" si="7"/>
        <v>-0.27713089101279903</v>
      </c>
      <c r="N41">
        <f t="shared" si="8"/>
        <v>-16.089041692841228</v>
      </c>
      <c r="O41">
        <f t="shared" si="9"/>
        <v>24.269763065770086</v>
      </c>
      <c r="P41" t="str" cm="1">
        <f t="array" ref="P41">IF($N41="","",IFERROR(IF(INDEX(geo_grid!$B$2:$JU$231,INT(($N41+40)/0.5)+1,INT(($O41+30)/0.5)+1)="","",INDEX(geo_grid!$B$2:$JU$231,INT(($N41+40)/0.5)+1,INT(($O41+30)/0.5)+1)),"OUTSIDE GRID"))</f>
        <v>ZMB</v>
      </c>
      <c r="Q41">
        <f t="shared" si="10"/>
        <v>1039</v>
      </c>
    </row>
    <row r="42" spans="1:17" x14ac:dyDescent="0.3">
      <c r="A42">
        <f t="shared" si="0"/>
        <v>1</v>
      </c>
      <c r="B42">
        <f t="shared" si="1"/>
        <v>40</v>
      </c>
      <c r="C42" cm="1">
        <f t="array" ref="C42">IFERROR(INDEX('TRIP MANAGER'!$O$18:$O$25,$A42),"")</f>
        <v>-25.938960000000002</v>
      </c>
      <c r="D42" cm="1">
        <f t="array" ref="D42">IFERROR(INDEX('TRIP MANAGER'!$P$18:$P$25,$A42),"")</f>
        <v>27.926639999999999</v>
      </c>
      <c r="E42" cm="1">
        <f t="array" ref="E42">IFERROR(INDEX('TRIP MANAGER'!$Q$18:$Q$25,$A42),"")</f>
        <v>12.133699999999999</v>
      </c>
      <c r="F42" cm="1">
        <f t="array" ref="F42">IFERROR(INDEX('TRIP MANAGER'!$R$18:$R$25,$A42),"")</f>
        <v>15.034000000000001</v>
      </c>
      <c r="G42" cm="1">
        <f t="array" ref="G42">IFERROR(INDEX('TRIP MANAGER'!$S$18:$S$25,$A42),"")</f>
        <v>0.69965352295446726</v>
      </c>
      <c r="H42">
        <f t="shared" si="2"/>
        <v>0.26666666666666666</v>
      </c>
      <c r="I42">
        <f t="shared" si="3"/>
        <v>0.76226462954822982</v>
      </c>
      <c r="J42">
        <f t="shared" si="4"/>
        <v>0.2880548984862461</v>
      </c>
      <c r="K42">
        <f t="shared" si="5"/>
        <v>0.87763004164575698</v>
      </c>
      <c r="L42">
        <f t="shared" si="6"/>
        <v>0.39408554448716027</v>
      </c>
      <c r="M42">
        <f t="shared" si="7"/>
        <v>-0.27287743334164782</v>
      </c>
      <c r="N42">
        <f t="shared" si="8"/>
        <v>-15.835562899627936</v>
      </c>
      <c r="O42">
        <f t="shared" si="9"/>
        <v>24.181691493877512</v>
      </c>
      <c r="P42" t="str" cm="1">
        <f t="array" ref="P42">IF($N42="","",IFERROR(IF(INDEX(geo_grid!$B$2:$JU$231,INT(($N42+40)/0.5)+1,INT(($O42+30)/0.5)+1)="","",INDEX(geo_grid!$B$2:$JU$231,INT(($N42+40)/0.5)+1,INT(($O42+30)/0.5)+1)),"OUTSIDE GRID"))</f>
        <v>ZMB</v>
      </c>
      <c r="Q42">
        <f t="shared" si="10"/>
        <v>1040</v>
      </c>
    </row>
    <row r="43" spans="1:17" x14ac:dyDescent="0.3">
      <c r="A43">
        <f t="shared" si="0"/>
        <v>1</v>
      </c>
      <c r="B43">
        <f t="shared" si="1"/>
        <v>41</v>
      </c>
      <c r="C43" cm="1">
        <f t="array" ref="C43">IFERROR(INDEX('TRIP MANAGER'!$O$18:$O$25,$A43),"")</f>
        <v>-25.938960000000002</v>
      </c>
      <c r="D43" cm="1">
        <f t="array" ref="D43">IFERROR(INDEX('TRIP MANAGER'!$P$18:$P$25,$A43),"")</f>
        <v>27.926639999999999</v>
      </c>
      <c r="E43" cm="1">
        <f t="array" ref="E43">IFERROR(INDEX('TRIP MANAGER'!$Q$18:$Q$25,$A43),"")</f>
        <v>12.133699999999999</v>
      </c>
      <c r="F43" cm="1">
        <f t="array" ref="F43">IFERROR(INDEX('TRIP MANAGER'!$R$18:$R$25,$A43),"")</f>
        <v>15.034000000000001</v>
      </c>
      <c r="G43" cm="1">
        <f t="array" ref="G43">IFERROR(INDEX('TRIP MANAGER'!$S$18:$S$25,$A43),"")</f>
        <v>0.69965352295446726</v>
      </c>
      <c r="H43">
        <f t="shared" si="2"/>
        <v>0.27333333333333332</v>
      </c>
      <c r="I43">
        <f t="shared" si="3"/>
        <v>0.75594570862243948</v>
      </c>
      <c r="J43">
        <f t="shared" si="4"/>
        <v>0.29516935726508348</v>
      </c>
      <c r="K43">
        <f t="shared" si="5"/>
        <v>0.87932685436406999</v>
      </c>
      <c r="L43">
        <f t="shared" si="6"/>
        <v>0.39322847350171297</v>
      </c>
      <c r="M43">
        <f t="shared" si="7"/>
        <v>-0.26861803889854802</v>
      </c>
      <c r="N43">
        <f t="shared" si="8"/>
        <v>-15.582048655820705</v>
      </c>
      <c r="O43">
        <f t="shared" si="9"/>
        <v>24.093840693794931</v>
      </c>
      <c r="P43" t="str" cm="1">
        <f t="array" ref="P43">IF($N43="","",IFERROR(IF(INDEX(geo_grid!$B$2:$JU$231,INT(($N43+40)/0.5)+1,INT(($O43+30)/0.5)+1)="","",INDEX(geo_grid!$B$2:$JU$231,INT(($N43+40)/0.5)+1,INT(($O43+30)/0.5)+1)),"OUTSIDE GRID"))</f>
        <v>ZMB</v>
      </c>
      <c r="Q43">
        <f t="shared" si="10"/>
        <v>1041</v>
      </c>
    </row>
    <row r="44" spans="1:17" x14ac:dyDescent="0.3">
      <c r="A44">
        <f t="shared" si="0"/>
        <v>1</v>
      </c>
      <c r="B44">
        <f t="shared" si="1"/>
        <v>42</v>
      </c>
      <c r="C44" cm="1">
        <f t="array" ref="C44">IFERROR(INDEX('TRIP MANAGER'!$O$18:$O$25,$A44),"")</f>
        <v>-25.938960000000002</v>
      </c>
      <c r="D44" cm="1">
        <f t="array" ref="D44">IFERROR(INDEX('TRIP MANAGER'!$P$18:$P$25,$A44),"")</f>
        <v>27.926639999999999</v>
      </c>
      <c r="E44" cm="1">
        <f t="array" ref="E44">IFERROR(INDEX('TRIP MANAGER'!$Q$18:$Q$25,$A44),"")</f>
        <v>12.133699999999999</v>
      </c>
      <c r="F44" cm="1">
        <f t="array" ref="F44">IFERROR(INDEX('TRIP MANAGER'!$R$18:$R$25,$A44),"")</f>
        <v>15.034000000000001</v>
      </c>
      <c r="G44" cm="1">
        <f t="array" ref="G44">IFERROR(INDEX('TRIP MANAGER'!$S$18:$S$25,$A44),"")</f>
        <v>0.69965352295446726</v>
      </c>
      <c r="H44">
        <f t="shared" si="2"/>
        <v>0.28000000000000003</v>
      </c>
      <c r="I44">
        <f t="shared" si="3"/>
        <v>0.74961034120188896</v>
      </c>
      <c r="J44">
        <f t="shared" si="4"/>
        <v>0.30227739428474937</v>
      </c>
      <c r="K44">
        <f t="shared" si="5"/>
        <v>0.88100453628457931</v>
      </c>
      <c r="L44">
        <f t="shared" si="6"/>
        <v>0.39236284736481075</v>
      </c>
      <c r="M44">
        <f t="shared" si="7"/>
        <v>-0.26435280035167341</v>
      </c>
      <c r="N44">
        <f t="shared" si="8"/>
        <v>-15.328499644816866</v>
      </c>
      <c r="O44">
        <f t="shared" si="9"/>
        <v>24.00620643959045</v>
      </c>
      <c r="P44" t="str" cm="1">
        <f t="array" ref="P44">IF($N44="","",IFERROR(IF(INDEX(geo_grid!$B$2:$JU$231,INT(($N44+40)/0.5)+1,INT(($O44+30)/0.5)+1)="","",INDEX(geo_grid!$B$2:$JU$231,INT(($N44+40)/0.5)+1,INT(($O44+30)/0.5)+1)),"OUTSIDE GRID"))</f>
        <v>ZMB</v>
      </c>
      <c r="Q44">
        <f t="shared" si="10"/>
        <v>1042</v>
      </c>
    </row>
    <row r="45" spans="1:17" x14ac:dyDescent="0.3">
      <c r="A45">
        <f t="shared" si="0"/>
        <v>1</v>
      </c>
      <c r="B45">
        <f t="shared" si="1"/>
        <v>43</v>
      </c>
      <c r="C45" cm="1">
        <f t="array" ref="C45">IFERROR(INDEX('TRIP MANAGER'!$O$18:$O$25,$A45),"")</f>
        <v>-25.938960000000002</v>
      </c>
      <c r="D45" cm="1">
        <f t="array" ref="D45">IFERROR(INDEX('TRIP MANAGER'!$P$18:$P$25,$A45),"")</f>
        <v>27.926639999999999</v>
      </c>
      <c r="E45" cm="1">
        <f t="array" ref="E45">IFERROR(INDEX('TRIP MANAGER'!$Q$18:$Q$25,$A45),"")</f>
        <v>12.133699999999999</v>
      </c>
      <c r="F45" cm="1">
        <f t="array" ref="F45">IFERROR(INDEX('TRIP MANAGER'!$R$18:$R$25,$A45),"")</f>
        <v>15.034000000000001</v>
      </c>
      <c r="G45" cm="1">
        <f t="array" ref="G45">IFERROR(INDEX('TRIP MANAGER'!$S$18:$S$25,$A45),"")</f>
        <v>0.69965352295446726</v>
      </c>
      <c r="H45">
        <f t="shared" si="2"/>
        <v>0.28666666666666668</v>
      </c>
      <c r="I45">
        <f t="shared" si="3"/>
        <v>0.74325866512000482</v>
      </c>
      <c r="J45">
        <f t="shared" si="4"/>
        <v>0.30937885490147438</v>
      </c>
      <c r="K45">
        <f t="shared" si="5"/>
        <v>0.88266305090732544</v>
      </c>
      <c r="L45">
        <f t="shared" si="6"/>
        <v>0.3914886849091761</v>
      </c>
      <c r="M45">
        <f t="shared" si="7"/>
        <v>-0.2600818104963436</v>
      </c>
      <c r="N45">
        <f t="shared" si="8"/>
        <v>-15.074916544025548</v>
      </c>
      <c r="O45">
        <f t="shared" si="9"/>
        <v>23.918784540886321</v>
      </c>
      <c r="P45" t="str" cm="1">
        <f t="array" ref="P45">IF($N45="","",IFERROR(IF(INDEX(geo_grid!$B$2:$JU$231,INT(($N45+40)/0.5)+1,INT(($O45+30)/0.5)+1)="","",INDEX(geo_grid!$B$2:$JU$231,INT(($N45+40)/0.5)+1,INT(($O45+30)/0.5)+1)),"OUTSIDE GRID"))</f>
        <v>ZMB</v>
      </c>
      <c r="Q45">
        <f t="shared" si="10"/>
        <v>1043</v>
      </c>
    </row>
    <row r="46" spans="1:17" x14ac:dyDescent="0.3">
      <c r="A46">
        <f t="shared" si="0"/>
        <v>1</v>
      </c>
      <c r="B46">
        <f t="shared" si="1"/>
        <v>44</v>
      </c>
      <c r="C46" cm="1">
        <f t="array" ref="C46">IFERROR(INDEX('TRIP MANAGER'!$O$18:$O$25,$A46),"")</f>
        <v>-25.938960000000002</v>
      </c>
      <c r="D46" cm="1">
        <f t="array" ref="D46">IFERROR(INDEX('TRIP MANAGER'!$P$18:$P$25,$A46),"")</f>
        <v>27.926639999999999</v>
      </c>
      <c r="E46" cm="1">
        <f t="array" ref="E46">IFERROR(INDEX('TRIP MANAGER'!$Q$18:$Q$25,$A46),"")</f>
        <v>12.133699999999999</v>
      </c>
      <c r="F46" cm="1">
        <f t="array" ref="F46">IFERROR(INDEX('TRIP MANAGER'!$R$18:$R$25,$A46),"")</f>
        <v>15.034000000000001</v>
      </c>
      <c r="G46" cm="1">
        <f t="array" ref="G46">IFERROR(INDEX('TRIP MANAGER'!$S$18:$S$25,$A46),"")</f>
        <v>0.69965352295446726</v>
      </c>
      <c r="H46">
        <f t="shared" si="2"/>
        <v>0.29333333333333333</v>
      </c>
      <c r="I46">
        <f t="shared" si="3"/>
        <v>0.73689081856502725</v>
      </c>
      <c r="J46">
        <f t="shared" si="4"/>
        <v>0.31647358461456715</v>
      </c>
      <c r="K46">
        <f t="shared" si="5"/>
        <v>0.88430236214935787</v>
      </c>
      <c r="L46">
        <f t="shared" si="6"/>
        <v>0.39060600515324917</v>
      </c>
      <c r="M46">
        <f t="shared" si="7"/>
        <v>-0.25580516225300415</v>
      </c>
      <c r="N46">
        <f t="shared" si="8"/>
        <v>-14.821300025002902</v>
      </c>
      <c r="O46">
        <f t="shared" si="9"/>
        <v>23.831570842069596</v>
      </c>
      <c r="P46" t="str" cm="1">
        <f t="array" ref="P46">IF($N46="","",IFERROR(IF(INDEX(geo_grid!$B$2:$JU$231,INT(($N46+40)/0.5)+1,INT(($O46+30)/0.5)+1)="","",INDEX(geo_grid!$B$2:$JU$231,INT(($N46+40)/0.5)+1,INT(($O46+30)/0.5)+1)),"OUTSIDE GRID"))</f>
        <v>ZMB</v>
      </c>
      <c r="Q46">
        <f t="shared" si="10"/>
        <v>1044</v>
      </c>
    </row>
    <row r="47" spans="1:17" x14ac:dyDescent="0.3">
      <c r="A47">
        <f t="shared" si="0"/>
        <v>1</v>
      </c>
      <c r="B47">
        <f t="shared" si="1"/>
        <v>45</v>
      </c>
      <c r="C47" cm="1">
        <f t="array" ref="C47">IFERROR(INDEX('TRIP MANAGER'!$O$18:$O$25,$A47),"")</f>
        <v>-25.938960000000002</v>
      </c>
      <c r="D47" cm="1">
        <f t="array" ref="D47">IFERROR(INDEX('TRIP MANAGER'!$P$18:$P$25,$A47),"")</f>
        <v>27.926639999999999</v>
      </c>
      <c r="E47" cm="1">
        <f t="array" ref="E47">IFERROR(INDEX('TRIP MANAGER'!$Q$18:$Q$25,$A47),"")</f>
        <v>12.133699999999999</v>
      </c>
      <c r="F47" cm="1">
        <f t="array" ref="F47">IFERROR(INDEX('TRIP MANAGER'!$R$18:$R$25,$A47),"")</f>
        <v>15.034000000000001</v>
      </c>
      <c r="G47" cm="1">
        <f t="array" ref="G47">IFERROR(INDEX('TRIP MANAGER'!$S$18:$S$25,$A47),"")</f>
        <v>0.69965352295446726</v>
      </c>
      <c r="H47">
        <f t="shared" si="2"/>
        <v>0.3</v>
      </c>
      <c r="I47">
        <f t="shared" si="3"/>
        <v>0.73050694007700456</v>
      </c>
      <c r="J47">
        <f t="shared" si="4"/>
        <v>0.32356142906977464</v>
      </c>
      <c r="K47">
        <f t="shared" si="5"/>
        <v>0.88592243434551754</v>
      </c>
      <c r="L47">
        <f t="shared" si="6"/>
        <v>0.389714827300774</v>
      </c>
      <c r="M47">
        <f t="shared" si="7"/>
        <v>-0.25152294866520597</v>
      </c>
      <c r="N47">
        <f t="shared" si="8"/>
        <v>-14.567650753585463</v>
      </c>
      <c r="O47">
        <f t="shared" si="9"/>
        <v>23.74456122151441</v>
      </c>
      <c r="P47" t="str" cm="1">
        <f t="array" ref="P47">IF($N47="","",IFERROR(IF(INDEX(geo_grid!$B$2:$JU$231,INT(($N47+40)/0.5)+1,INT(($O47+30)/0.5)+1)="","",INDEX(geo_grid!$B$2:$JU$231,INT(($N47+40)/0.5)+1,INT(($O47+30)/0.5)+1)),"OUTSIDE GRID"))</f>
        <v>ZMB</v>
      </c>
      <c r="Q47">
        <f t="shared" si="10"/>
        <v>1045</v>
      </c>
    </row>
    <row r="48" spans="1:17" x14ac:dyDescent="0.3">
      <c r="A48">
        <f t="shared" si="0"/>
        <v>1</v>
      </c>
      <c r="B48">
        <f t="shared" si="1"/>
        <v>46</v>
      </c>
      <c r="C48" cm="1">
        <f t="array" ref="C48">IFERROR(INDEX('TRIP MANAGER'!$O$18:$O$25,$A48),"")</f>
        <v>-25.938960000000002</v>
      </c>
      <c r="D48" cm="1">
        <f t="array" ref="D48">IFERROR(INDEX('TRIP MANAGER'!$P$18:$P$25,$A48),"")</f>
        <v>27.926639999999999</v>
      </c>
      <c r="E48" cm="1">
        <f t="array" ref="E48">IFERROR(INDEX('TRIP MANAGER'!$Q$18:$Q$25,$A48),"")</f>
        <v>12.133699999999999</v>
      </c>
      <c r="F48" cm="1">
        <f t="array" ref="F48">IFERROR(INDEX('TRIP MANAGER'!$R$18:$R$25,$A48),"")</f>
        <v>15.034000000000001</v>
      </c>
      <c r="G48" cm="1">
        <f t="array" ref="G48">IFERROR(INDEX('TRIP MANAGER'!$S$18:$S$25,$A48),"")</f>
        <v>0.69965352295446726</v>
      </c>
      <c r="H48">
        <f t="shared" si="2"/>
        <v>0.30666666666666664</v>
      </c>
      <c r="I48">
        <f t="shared" si="3"/>
        <v>0.72410716854477908</v>
      </c>
      <c r="J48">
        <f t="shared" si="4"/>
        <v>0.33064223406264109</v>
      </c>
      <c r="K48">
        <f t="shared" si="5"/>
        <v>0.88752323224921414</v>
      </c>
      <c r="L48">
        <f t="shared" si="6"/>
        <v>0.38881517074038108</v>
      </c>
      <c r="M48">
        <f t="shared" si="7"/>
        <v>-0.24723526289758058</v>
      </c>
      <c r="N48">
        <f t="shared" si="8"/>
        <v>-14.313969390021358</v>
      </c>
      <c r="O48">
        <f t="shared" si="9"/>
        <v>23.657751590815341</v>
      </c>
      <c r="P48" t="str" cm="1">
        <f t="array" ref="P48">IF($N48="","",IFERROR(IF(INDEX(geo_grid!$B$2:$JU$231,INT(($N48+40)/0.5)+1,INT(($O48+30)/0.5)+1)="","",INDEX(geo_grid!$B$2:$JU$231,INT(($N48+40)/0.5)+1,INT(($O48+30)/0.5)+1)),"OUTSIDE GRID"))</f>
        <v>ZMB</v>
      </c>
      <c r="Q48">
        <f t="shared" si="10"/>
        <v>1046</v>
      </c>
    </row>
    <row r="49" spans="1:17" x14ac:dyDescent="0.3">
      <c r="A49">
        <f t="shared" si="0"/>
        <v>1</v>
      </c>
      <c r="B49">
        <f t="shared" si="1"/>
        <v>47</v>
      </c>
      <c r="C49" cm="1">
        <f t="array" ref="C49">IFERROR(INDEX('TRIP MANAGER'!$O$18:$O$25,$A49),"")</f>
        <v>-25.938960000000002</v>
      </c>
      <c r="D49" cm="1">
        <f t="array" ref="D49">IFERROR(INDEX('TRIP MANAGER'!$P$18:$P$25,$A49),"")</f>
        <v>27.926639999999999</v>
      </c>
      <c r="E49" cm="1">
        <f t="array" ref="E49">IFERROR(INDEX('TRIP MANAGER'!$Q$18:$Q$25,$A49),"")</f>
        <v>12.133699999999999</v>
      </c>
      <c r="F49" cm="1">
        <f t="array" ref="F49">IFERROR(INDEX('TRIP MANAGER'!$R$18:$R$25,$A49),"")</f>
        <v>15.034000000000001</v>
      </c>
      <c r="G49" cm="1">
        <f t="array" ref="G49">IFERROR(INDEX('TRIP MANAGER'!$S$18:$S$25,$A49),"")</f>
        <v>0.69965352295446726</v>
      </c>
      <c r="H49">
        <f t="shared" si="2"/>
        <v>0.31333333333333335</v>
      </c>
      <c r="I49">
        <f t="shared" si="3"/>
        <v>0.71769164320296452</v>
      </c>
      <c r="J49">
        <f t="shared" si="4"/>
        <v>0.3377158455418624</v>
      </c>
      <c r="K49">
        <f t="shared" si="5"/>
        <v>0.88910472103319171</v>
      </c>
      <c r="L49">
        <f t="shared" si="6"/>
        <v>0.38790705504516498</v>
      </c>
      <c r="M49">
        <f t="shared" si="7"/>
        <v>-0.24294219823381297</v>
      </c>
      <c r="N49">
        <f t="shared" si="8"/>
        <v>-14.060256589099549</v>
      </c>
      <c r="O49">
        <f t="shared" si="9"/>
        <v>23.571137894031708</v>
      </c>
      <c r="P49" t="str" cm="1">
        <f t="array" ref="P49">IF($N49="","",IFERROR(IF(INDEX(geo_grid!$B$2:$JU$231,INT(($N49+40)/0.5)+1,INT(($O49+30)/0.5)+1)="","",INDEX(geo_grid!$B$2:$JU$231,INT(($N49+40)/0.5)+1,INT(($O49+30)/0.5)+1)),"OUTSIDE GRID"))</f>
        <v>ZMB</v>
      </c>
      <c r="Q49">
        <f t="shared" si="10"/>
        <v>1047</v>
      </c>
    </row>
    <row r="50" spans="1:17" x14ac:dyDescent="0.3">
      <c r="A50">
        <f t="shared" si="0"/>
        <v>1</v>
      </c>
      <c r="B50">
        <f t="shared" si="1"/>
        <v>48</v>
      </c>
      <c r="C50" cm="1">
        <f t="array" ref="C50">IFERROR(INDEX('TRIP MANAGER'!$O$18:$O$25,$A50),"")</f>
        <v>-25.938960000000002</v>
      </c>
      <c r="D50" cm="1">
        <f t="array" ref="D50">IFERROR(INDEX('TRIP MANAGER'!$P$18:$P$25,$A50),"")</f>
        <v>27.926639999999999</v>
      </c>
      <c r="E50" cm="1">
        <f t="array" ref="E50">IFERROR(INDEX('TRIP MANAGER'!$Q$18:$Q$25,$A50),"")</f>
        <v>12.133699999999999</v>
      </c>
      <c r="F50" cm="1">
        <f t="array" ref="F50">IFERROR(INDEX('TRIP MANAGER'!$R$18:$R$25,$A50),"")</f>
        <v>15.034000000000001</v>
      </c>
      <c r="G50" cm="1">
        <f t="array" ref="G50">IFERROR(INDEX('TRIP MANAGER'!$S$18:$S$25,$A50),"")</f>
        <v>0.69965352295446726</v>
      </c>
      <c r="H50">
        <f t="shared" si="2"/>
        <v>0.32</v>
      </c>
      <c r="I50">
        <f t="shared" si="3"/>
        <v>0.71126050362891791</v>
      </c>
      <c r="J50">
        <f t="shared" si="4"/>
        <v>0.34478210961263794</v>
      </c>
      <c r="K50">
        <f t="shared" si="5"/>
        <v>0.89066686629028835</v>
      </c>
      <c r="L50">
        <f t="shared" si="6"/>
        <v>0.38699049997225898</v>
      </c>
      <c r="M50">
        <f t="shared" si="7"/>
        <v>-0.23864384807461267</v>
      </c>
      <c r="N50">
        <f t="shared" si="8"/>
        <v>-13.806513000277173</v>
      </c>
      <c r="O50">
        <f t="shared" si="9"/>
        <v>23.484716106942422</v>
      </c>
      <c r="P50" t="str" cm="1">
        <f t="array" ref="P50">IF($N50="","",IFERROR(IF(INDEX(geo_grid!$B$2:$JU$231,INT(($N50+40)/0.5)+1,INT(($O50+30)/0.5)+1)="","",INDEX(geo_grid!$B$2:$JU$231,INT(($N50+40)/0.5)+1,INT(($O50+30)/0.5)+1)),"OUTSIDE GRID"))</f>
        <v>ZMB</v>
      </c>
      <c r="Q50">
        <f t="shared" si="10"/>
        <v>1048</v>
      </c>
    </row>
    <row r="51" spans="1:17" x14ac:dyDescent="0.3">
      <c r="A51">
        <f t="shared" si="0"/>
        <v>1</v>
      </c>
      <c r="B51">
        <f t="shared" si="1"/>
        <v>49</v>
      </c>
      <c r="C51" cm="1">
        <f t="array" ref="C51">IFERROR(INDEX('TRIP MANAGER'!$O$18:$O$25,$A51),"")</f>
        <v>-25.938960000000002</v>
      </c>
      <c r="D51" cm="1">
        <f t="array" ref="D51">IFERROR(INDEX('TRIP MANAGER'!$P$18:$P$25,$A51),"")</f>
        <v>27.926639999999999</v>
      </c>
      <c r="E51" cm="1">
        <f t="array" ref="E51">IFERROR(INDEX('TRIP MANAGER'!$Q$18:$Q$25,$A51),"")</f>
        <v>12.133699999999999</v>
      </c>
      <c r="F51" cm="1">
        <f t="array" ref="F51">IFERROR(INDEX('TRIP MANAGER'!$R$18:$R$25,$A51),"")</f>
        <v>15.034000000000001</v>
      </c>
      <c r="G51" cm="1">
        <f t="array" ref="G51">IFERROR(INDEX('TRIP MANAGER'!$S$18:$S$25,$A51),"")</f>
        <v>0.69965352295446726</v>
      </c>
      <c r="H51">
        <f t="shared" si="2"/>
        <v>0.32666666666666666</v>
      </c>
      <c r="I51">
        <f t="shared" si="3"/>
        <v>0.70481388973970216</v>
      </c>
      <c r="J51">
        <f t="shared" si="4"/>
        <v>0.35184087254001845</v>
      </c>
      <c r="K51">
        <f t="shared" si="5"/>
        <v>0.89220963403418163</v>
      </c>
      <c r="L51">
        <f t="shared" si="6"/>
        <v>0.38606552546240469</v>
      </c>
      <c r="M51">
        <f t="shared" si="7"/>
        <v>-0.2343403059356815</v>
      </c>
      <c r="N51">
        <f t="shared" si="8"/>
        <v>-13.55273926780505</v>
      </c>
      <c r="O51">
        <f t="shared" si="9"/>
        <v>23.398482236311271</v>
      </c>
      <c r="P51" t="str" cm="1">
        <f t="array" ref="P51">IF($N51="","",IFERROR(IF(INDEX(geo_grid!$B$2:$JU$231,INT(($N51+40)/0.5)+1,INT(($O51+30)/0.5)+1)="","",INDEX(geo_grid!$B$2:$JU$231,INT(($N51+40)/0.5)+1,INT(($O51+30)/0.5)+1)),"OUTSIDE GRID"))</f>
        <v>ZMB</v>
      </c>
      <c r="Q51">
        <f t="shared" si="10"/>
        <v>1049</v>
      </c>
    </row>
    <row r="52" spans="1:17" x14ac:dyDescent="0.3">
      <c r="A52">
        <f t="shared" si="0"/>
        <v>1</v>
      </c>
      <c r="B52">
        <f t="shared" si="1"/>
        <v>50</v>
      </c>
      <c r="C52" cm="1">
        <f t="array" ref="C52">IFERROR(INDEX('TRIP MANAGER'!$O$18:$O$25,$A52),"")</f>
        <v>-25.938960000000002</v>
      </c>
      <c r="D52" cm="1">
        <f t="array" ref="D52">IFERROR(INDEX('TRIP MANAGER'!$P$18:$P$25,$A52),"")</f>
        <v>27.926639999999999</v>
      </c>
      <c r="E52" cm="1">
        <f t="array" ref="E52">IFERROR(INDEX('TRIP MANAGER'!$Q$18:$Q$25,$A52),"")</f>
        <v>12.133699999999999</v>
      </c>
      <c r="F52" cm="1">
        <f t="array" ref="F52">IFERROR(INDEX('TRIP MANAGER'!$R$18:$R$25,$A52),"")</f>
        <v>15.034000000000001</v>
      </c>
      <c r="G52" cm="1">
        <f t="array" ref="G52">IFERROR(INDEX('TRIP MANAGER'!$S$18:$S$25,$A52),"")</f>
        <v>0.69965352295446726</v>
      </c>
      <c r="H52">
        <f t="shared" si="2"/>
        <v>0.33333333333333331</v>
      </c>
      <c r="I52">
        <f t="shared" si="3"/>
        <v>0.69835194178904225</v>
      </c>
      <c r="J52">
        <f t="shared" si="4"/>
        <v>0.35889198075225132</v>
      </c>
      <c r="K52">
        <f t="shared" si="5"/>
        <v>0.89373299070013179</v>
      </c>
      <c r="L52">
        <f t="shared" si="6"/>
        <v>0.38513215163951886</v>
      </c>
      <c r="M52">
        <f t="shared" si="7"/>
        <v>-0.23003166544567866</v>
      </c>
      <c r="N52">
        <f t="shared" si="8"/>
        <v>-13.298936030851218</v>
      </c>
      <c r="O52">
        <f t="shared" si="9"/>
        <v>23.312432319162149</v>
      </c>
      <c r="P52" t="str" cm="1">
        <f t="array" ref="P52">IF($N52="","",IFERROR(IF(INDEX(geo_grid!$B$2:$JU$231,INT(($N52+40)/0.5)+1,INT(($O52+30)/0.5)+1)="","",INDEX(geo_grid!$B$2:$JU$231,INT(($N52+40)/0.5)+1,INT(($O52+30)/0.5)+1)),"OUTSIDE GRID"))</f>
        <v>ZMB</v>
      </c>
      <c r="Q52">
        <f t="shared" si="10"/>
        <v>1050</v>
      </c>
    </row>
    <row r="53" spans="1:17" x14ac:dyDescent="0.3">
      <c r="A53">
        <f t="shared" si="0"/>
        <v>1</v>
      </c>
      <c r="B53">
        <f t="shared" si="1"/>
        <v>51</v>
      </c>
      <c r="C53" cm="1">
        <f t="array" ref="C53">IFERROR(INDEX('TRIP MANAGER'!$O$18:$O$25,$A53),"")</f>
        <v>-25.938960000000002</v>
      </c>
      <c r="D53" cm="1">
        <f t="array" ref="D53">IFERROR(INDEX('TRIP MANAGER'!$P$18:$P$25,$A53),"")</f>
        <v>27.926639999999999</v>
      </c>
      <c r="E53" cm="1">
        <f t="array" ref="E53">IFERROR(INDEX('TRIP MANAGER'!$Q$18:$Q$25,$A53),"")</f>
        <v>12.133699999999999</v>
      </c>
      <c r="F53" cm="1">
        <f t="array" ref="F53">IFERROR(INDEX('TRIP MANAGER'!$R$18:$R$25,$A53),"")</f>
        <v>15.034000000000001</v>
      </c>
      <c r="G53" cm="1">
        <f t="array" ref="G53">IFERROR(INDEX('TRIP MANAGER'!$S$18:$S$25,$A53),"")</f>
        <v>0.69965352295446726</v>
      </c>
      <c r="H53">
        <f t="shared" si="2"/>
        <v>0.34</v>
      </c>
      <c r="I53">
        <f t="shared" si="3"/>
        <v>0.69187480036427373</v>
      </c>
      <c r="J53">
        <f t="shared" si="4"/>
        <v>0.36593528084412125</v>
      </c>
      <c r="K53">
        <f t="shared" si="5"/>
        <v>0.89523690314570881</v>
      </c>
      <c r="L53">
        <f t="shared" si="6"/>
        <v>0.38419039881025513</v>
      </c>
      <c r="M53">
        <f t="shared" si="7"/>
        <v>-0.22571802034418409</v>
      </c>
      <c r="N53">
        <f t="shared" si="8"/>
        <v>-13.045103923622891</v>
      </c>
      <c r="O53">
        <f t="shared" si="9"/>
        <v>23.226562422064227</v>
      </c>
      <c r="P53" t="str" cm="1">
        <f t="array" ref="P53">IF($N53="","",IFERROR(IF(INDEX(geo_grid!$B$2:$JU$231,INT(($N53+40)/0.5)+1,INT(($O53+30)/0.5)+1)="","",INDEX(geo_grid!$B$2:$JU$231,INT(($N53+40)/0.5)+1,INT(($O53+30)/0.5)+1)),"OUTSIDE GRID"))</f>
        <v>ZMB</v>
      </c>
      <c r="Q53">
        <f t="shared" si="10"/>
        <v>1051</v>
      </c>
    </row>
    <row r="54" spans="1:17" x14ac:dyDescent="0.3">
      <c r="A54">
        <f t="shared" si="0"/>
        <v>1</v>
      </c>
      <c r="B54">
        <f t="shared" si="1"/>
        <v>52</v>
      </c>
      <c r="C54" cm="1">
        <f t="array" ref="C54">IFERROR(INDEX('TRIP MANAGER'!$O$18:$O$25,$A54),"")</f>
        <v>-25.938960000000002</v>
      </c>
      <c r="D54" cm="1">
        <f t="array" ref="D54">IFERROR(INDEX('TRIP MANAGER'!$P$18:$P$25,$A54),"")</f>
        <v>27.926639999999999</v>
      </c>
      <c r="E54" cm="1">
        <f t="array" ref="E54">IFERROR(INDEX('TRIP MANAGER'!$Q$18:$Q$25,$A54),"")</f>
        <v>12.133699999999999</v>
      </c>
      <c r="F54" cm="1">
        <f t="array" ref="F54">IFERROR(INDEX('TRIP MANAGER'!$R$18:$R$25,$A54),"")</f>
        <v>15.034000000000001</v>
      </c>
      <c r="G54" cm="1">
        <f t="array" ref="G54">IFERROR(INDEX('TRIP MANAGER'!$S$18:$S$25,$A54),"")</f>
        <v>0.69965352295446726</v>
      </c>
      <c r="H54">
        <f t="shared" si="2"/>
        <v>0.34666666666666668</v>
      </c>
      <c r="I54">
        <f t="shared" si="3"/>
        <v>0.68538260638328474</v>
      </c>
      <c r="J54">
        <f t="shared" si="4"/>
        <v>0.37297061958028743</v>
      </c>
      <c r="K54">
        <f t="shared" si="5"/>
        <v>0.8967213386515156</v>
      </c>
      <c r="L54">
        <f t="shared" si="6"/>
        <v>0.38324028746356248</v>
      </c>
      <c r="M54">
        <f t="shared" si="7"/>
        <v>-0.2213994644796593</v>
      </c>
      <c r="N54">
        <f t="shared" si="8"/>
        <v>-12.791243575486543</v>
      </c>
      <c r="O54">
        <f t="shared" si="9"/>
        <v>23.140868640426529</v>
      </c>
      <c r="P54" t="str" cm="1">
        <f t="array" ref="P54">IF($N54="","",IFERROR(IF(INDEX(geo_grid!$B$2:$JU$231,INT(($N54+40)/0.5)+1,INT(($O54+30)/0.5)+1)="","",INDEX(geo_grid!$B$2:$JU$231,INT(($N54+40)/0.5)+1,INT(($O54+30)/0.5)+1)),"OUTSIDE GRID"))</f>
        <v>AGO</v>
      </c>
      <c r="Q54">
        <f t="shared" si="10"/>
        <v>1052</v>
      </c>
    </row>
    <row r="55" spans="1:17" x14ac:dyDescent="0.3">
      <c r="A55">
        <f t="shared" si="0"/>
        <v>1</v>
      </c>
      <c r="B55">
        <f t="shared" si="1"/>
        <v>53</v>
      </c>
      <c r="C55" cm="1">
        <f t="array" ref="C55">IFERROR(INDEX('TRIP MANAGER'!$O$18:$O$25,$A55),"")</f>
        <v>-25.938960000000002</v>
      </c>
      <c r="D55" cm="1">
        <f t="array" ref="D55">IFERROR(INDEX('TRIP MANAGER'!$P$18:$P$25,$A55),"")</f>
        <v>27.926639999999999</v>
      </c>
      <c r="E55" cm="1">
        <f t="array" ref="E55">IFERROR(INDEX('TRIP MANAGER'!$Q$18:$Q$25,$A55),"")</f>
        <v>12.133699999999999</v>
      </c>
      <c r="F55" cm="1">
        <f t="array" ref="F55">IFERROR(INDEX('TRIP MANAGER'!$R$18:$R$25,$A55),"")</f>
        <v>15.034000000000001</v>
      </c>
      <c r="G55" cm="1">
        <f t="array" ref="G55">IFERROR(INDEX('TRIP MANAGER'!$S$18:$S$25,$A55),"")</f>
        <v>0.69965352295446726</v>
      </c>
      <c r="H55">
        <f t="shared" si="2"/>
        <v>0.35333333333333333</v>
      </c>
      <c r="I55">
        <f t="shared" si="3"/>
        <v>0.67887550109144901</v>
      </c>
      <c r="J55">
        <f t="shared" si="4"/>
        <v>0.3799978438986184</v>
      </c>
      <c r="K55">
        <f t="shared" si="5"/>
        <v>0.89818626492189801</v>
      </c>
      <c r="L55">
        <f t="shared" si="6"/>
        <v>0.38228183827023909</v>
      </c>
      <c r="M55">
        <f t="shared" si="7"/>
        <v>-0.21707609180740495</v>
      </c>
      <c r="N55">
        <f t="shared" si="8"/>
        <v>-12.537355611086387</v>
      </c>
      <c r="O55">
        <f t="shared" si="9"/>
        <v>23.055347097801924</v>
      </c>
      <c r="P55" t="str" cm="1">
        <f t="array" ref="P55">IF($N55="","",IFERROR(IF(INDEX(geo_grid!$B$2:$JU$231,INT(($N55+40)/0.5)+1,INT(($O55+30)/0.5)+1)="","",INDEX(geo_grid!$B$2:$JU$231,INT(($N55+40)/0.5)+1,INT(($O55+30)/0.5)+1)),"OUTSIDE GRID"))</f>
        <v>AGO</v>
      </c>
      <c r="Q55">
        <f t="shared" si="10"/>
        <v>1053</v>
      </c>
    </row>
    <row r="56" spans="1:17" x14ac:dyDescent="0.3">
      <c r="A56">
        <f t="shared" si="0"/>
        <v>1</v>
      </c>
      <c r="B56">
        <f t="shared" si="1"/>
        <v>54</v>
      </c>
      <c r="C56" cm="1">
        <f t="array" ref="C56">IFERROR(INDEX('TRIP MANAGER'!$O$18:$O$25,$A56),"")</f>
        <v>-25.938960000000002</v>
      </c>
      <c r="D56" cm="1">
        <f t="array" ref="D56">IFERROR(INDEX('TRIP MANAGER'!$P$18:$P$25,$A56),"")</f>
        <v>27.926639999999999</v>
      </c>
      <c r="E56" cm="1">
        <f t="array" ref="E56">IFERROR(INDEX('TRIP MANAGER'!$Q$18:$Q$25,$A56),"")</f>
        <v>12.133699999999999</v>
      </c>
      <c r="F56" cm="1">
        <f t="array" ref="F56">IFERROR(INDEX('TRIP MANAGER'!$R$18:$R$25,$A56),"")</f>
        <v>15.034000000000001</v>
      </c>
      <c r="G56" cm="1">
        <f t="array" ref="G56">IFERROR(INDEX('TRIP MANAGER'!$S$18:$S$25,$A56),"")</f>
        <v>0.69965352295446726</v>
      </c>
      <c r="H56">
        <f t="shared" si="2"/>
        <v>0.36</v>
      </c>
      <c r="I56">
        <f t="shared" si="3"/>
        <v>0.67235362605855353</v>
      </c>
      <c r="J56">
        <f t="shared" si="4"/>
        <v>0.38701680091352086</v>
      </c>
      <c r="K56">
        <f t="shared" si="5"/>
        <v>0.89963165008564916</v>
      </c>
      <c r="L56">
        <f t="shared" si="6"/>
        <v>0.38131507208248305</v>
      </c>
      <c r="M56">
        <f t="shared" si="7"/>
        <v>-0.21274799638751696</v>
      </c>
      <c r="N56">
        <f t="shared" si="8"/>
        <v>-12.283440650461163</v>
      </c>
      <c r="O56">
        <f t="shared" si="9"/>
        <v>22.969993945200088</v>
      </c>
      <c r="P56" t="str" cm="1">
        <f t="array" ref="P56">IF($N56="","",IFERROR(IF(INDEX(geo_grid!$B$2:$JU$231,INT(($N56+40)/0.5)+1,INT(($O56+30)/0.5)+1)="","",INDEX(geo_grid!$B$2:$JU$231,INT(($N56+40)/0.5)+1,INT(($O56+30)/0.5)+1)),"OUTSIDE GRID"))</f>
        <v>AGO</v>
      </c>
      <c r="Q56">
        <f t="shared" si="10"/>
        <v>1054</v>
      </c>
    </row>
    <row r="57" spans="1:17" x14ac:dyDescent="0.3">
      <c r="A57">
        <f t="shared" si="0"/>
        <v>1</v>
      </c>
      <c r="B57">
        <f t="shared" si="1"/>
        <v>55</v>
      </c>
      <c r="C57" cm="1">
        <f t="array" ref="C57">IFERROR(INDEX('TRIP MANAGER'!$O$18:$O$25,$A57),"")</f>
        <v>-25.938960000000002</v>
      </c>
      <c r="D57" cm="1">
        <f t="array" ref="D57">IFERROR(INDEX('TRIP MANAGER'!$P$18:$P$25,$A57),"")</f>
        <v>27.926639999999999</v>
      </c>
      <c r="E57" cm="1">
        <f t="array" ref="E57">IFERROR(INDEX('TRIP MANAGER'!$Q$18:$Q$25,$A57),"")</f>
        <v>12.133699999999999</v>
      </c>
      <c r="F57" cm="1">
        <f t="array" ref="F57">IFERROR(INDEX('TRIP MANAGER'!$R$18:$R$25,$A57),"")</f>
        <v>15.034000000000001</v>
      </c>
      <c r="G57" cm="1">
        <f t="array" ref="G57">IFERROR(INDEX('TRIP MANAGER'!$S$18:$S$25,$A57),"")</f>
        <v>0.69965352295446726</v>
      </c>
      <c r="H57">
        <f t="shared" si="2"/>
        <v>0.36666666666666664</v>
      </c>
      <c r="I57">
        <f t="shared" si="3"/>
        <v>0.66581712317571884</v>
      </c>
      <c r="J57">
        <f t="shared" si="4"/>
        <v>0.39402733791926708</v>
      </c>
      <c r="K57">
        <f t="shared" si="5"/>
        <v>0.90105746269670184</v>
      </c>
      <c r="L57">
        <f t="shared" si="6"/>
        <v>0.38034000993343836</v>
      </c>
      <c r="M57">
        <f t="shared" si="7"/>
        <v>-0.20841527238284061</v>
      </c>
      <c r="N57">
        <f t="shared" si="8"/>
        <v>-12.029499309159439</v>
      </c>
      <c r="O57">
        <f t="shared" si="9"/>
        <v>22.884805360409274</v>
      </c>
      <c r="P57" t="str" cm="1">
        <f t="array" ref="P57">IF($N57="","",IFERROR(IF(INDEX(geo_grid!$B$2:$JU$231,INT(($N57+40)/0.5)+1,INT(($O57+30)/0.5)+1)="","",INDEX(geo_grid!$B$2:$JU$231,INT(($N57+40)/0.5)+1,INT(($O57+30)/0.5)+1)),"OUTSIDE GRID"))</f>
        <v>AGO</v>
      </c>
      <c r="Q57">
        <f t="shared" si="10"/>
        <v>1055</v>
      </c>
    </row>
    <row r="58" spans="1:17" x14ac:dyDescent="0.3">
      <c r="A58">
        <f t="shared" si="0"/>
        <v>1</v>
      </c>
      <c r="B58">
        <f t="shared" si="1"/>
        <v>56</v>
      </c>
      <c r="C58" cm="1">
        <f t="array" ref="C58">IFERROR(INDEX('TRIP MANAGER'!$O$18:$O$25,$A58),"")</f>
        <v>-25.938960000000002</v>
      </c>
      <c r="D58" cm="1">
        <f t="array" ref="D58">IFERROR(INDEX('TRIP MANAGER'!$P$18:$P$25,$A58),"")</f>
        <v>27.926639999999999</v>
      </c>
      <c r="E58" cm="1">
        <f t="array" ref="E58">IFERROR(INDEX('TRIP MANAGER'!$Q$18:$Q$25,$A58),"")</f>
        <v>12.133699999999999</v>
      </c>
      <c r="F58" cm="1">
        <f t="array" ref="F58">IFERROR(INDEX('TRIP MANAGER'!$R$18:$R$25,$A58),"")</f>
        <v>15.034000000000001</v>
      </c>
      <c r="G58" cm="1">
        <f t="array" ref="G58">IFERROR(INDEX('TRIP MANAGER'!$S$18:$S$25,$A58),"")</f>
        <v>0.69965352295446726</v>
      </c>
      <c r="H58">
        <f t="shared" si="2"/>
        <v>0.37333333333333335</v>
      </c>
      <c r="I58">
        <f t="shared" si="3"/>
        <v>0.65926613465231165</v>
      </c>
      <c r="J58">
        <f t="shared" si="4"/>
        <v>0.40102930239331636</v>
      </c>
      <c r="K58">
        <f t="shared" si="5"/>
        <v>0.90246367173481312</v>
      </c>
      <c r="L58">
        <f t="shared" si="6"/>
        <v>0.37935667303673792</v>
      </c>
      <c r="M58">
        <f t="shared" si="7"/>
        <v>-0.20407801405692122</v>
      </c>
      <c r="N58">
        <f t="shared" si="8"/>
        <v>-11.775532198353234</v>
      </c>
      <c r="O58">
        <f t="shared" si="9"/>
        <v>22.799777547326691</v>
      </c>
      <c r="P58" t="str" cm="1">
        <f t="array" ref="P58">IF($N58="","",IFERROR(IF(INDEX(geo_grid!$B$2:$JU$231,INT(($N58+40)/0.5)+1,INT(($O58+30)/0.5)+1)="","",INDEX(geo_grid!$B$2:$JU$231,INT(($N58+40)/0.5)+1,INT(($O58+30)/0.5)+1)),"OUTSIDE GRID"))</f>
        <v>AGO</v>
      </c>
      <c r="Q58">
        <f t="shared" si="10"/>
        <v>1056</v>
      </c>
    </row>
    <row r="59" spans="1:17" x14ac:dyDescent="0.3">
      <c r="A59">
        <f t="shared" si="0"/>
        <v>1</v>
      </c>
      <c r="B59">
        <f t="shared" si="1"/>
        <v>57</v>
      </c>
      <c r="C59" cm="1">
        <f t="array" ref="C59">IFERROR(INDEX('TRIP MANAGER'!$O$18:$O$25,$A59),"")</f>
        <v>-25.938960000000002</v>
      </c>
      <c r="D59" cm="1">
        <f t="array" ref="D59">IFERROR(INDEX('TRIP MANAGER'!$P$18:$P$25,$A59),"")</f>
        <v>27.926639999999999</v>
      </c>
      <c r="E59" cm="1">
        <f t="array" ref="E59">IFERROR(INDEX('TRIP MANAGER'!$Q$18:$Q$25,$A59),"")</f>
        <v>12.133699999999999</v>
      </c>
      <c r="F59" cm="1">
        <f t="array" ref="F59">IFERROR(INDEX('TRIP MANAGER'!$R$18:$R$25,$A59),"")</f>
        <v>15.034000000000001</v>
      </c>
      <c r="G59" cm="1">
        <f t="array" ref="G59">IFERROR(INDEX('TRIP MANAGER'!$S$18:$S$25,$A59),"")</f>
        <v>0.69965352295446726</v>
      </c>
      <c r="H59">
        <f t="shared" si="2"/>
        <v>0.38</v>
      </c>
      <c r="I59">
        <f t="shared" si="3"/>
        <v>0.65270080301285083</v>
      </c>
      <c r="J59">
        <f t="shared" si="4"/>
        <v>0.40802254199963328</v>
      </c>
      <c r="K59">
        <f t="shared" si="5"/>
        <v>0.90385024660623881</v>
      </c>
      <c r="L59">
        <f t="shared" si="6"/>
        <v>0.37836508278604108</v>
      </c>
      <c r="M59">
        <f t="shared" si="7"/>
        <v>-0.19973631577195383</v>
      </c>
      <c r="N59">
        <f t="shared" si="8"/>
        <v>-11.521539924950277</v>
      </c>
      <c r="O59">
        <f t="shared" si="9"/>
        <v>22.714906735297117</v>
      </c>
      <c r="P59" t="str" cm="1">
        <f t="array" ref="P59">IF($N59="","",IFERROR(IF(INDEX(geo_grid!$B$2:$JU$231,INT(($N59+40)/0.5)+1,INT(($O59+30)/0.5)+1)="","",INDEX(geo_grid!$B$2:$JU$231,INT(($N59+40)/0.5)+1,INT(($O59+30)/0.5)+1)),"OUTSIDE GRID"))</f>
        <v>AGO</v>
      </c>
      <c r="Q59">
        <f t="shared" si="10"/>
        <v>1057</v>
      </c>
    </row>
    <row r="60" spans="1:17" x14ac:dyDescent="0.3">
      <c r="A60">
        <f t="shared" si="0"/>
        <v>1</v>
      </c>
      <c r="B60">
        <f t="shared" si="1"/>
        <v>58</v>
      </c>
      <c r="C60" cm="1">
        <f t="array" ref="C60">IFERROR(INDEX('TRIP MANAGER'!$O$18:$O$25,$A60),"")</f>
        <v>-25.938960000000002</v>
      </c>
      <c r="D60" cm="1">
        <f t="array" ref="D60">IFERROR(INDEX('TRIP MANAGER'!$P$18:$P$25,$A60),"")</f>
        <v>27.926639999999999</v>
      </c>
      <c r="E60" cm="1">
        <f t="array" ref="E60">IFERROR(INDEX('TRIP MANAGER'!$Q$18:$Q$25,$A60),"")</f>
        <v>12.133699999999999</v>
      </c>
      <c r="F60" cm="1">
        <f t="array" ref="F60">IFERROR(INDEX('TRIP MANAGER'!$R$18:$R$25,$A60),"")</f>
        <v>15.034000000000001</v>
      </c>
      <c r="G60" cm="1">
        <f t="array" ref="G60">IFERROR(INDEX('TRIP MANAGER'!$S$18:$S$25,$A60),"")</f>
        <v>0.69965352295446726</v>
      </c>
      <c r="H60">
        <f t="shared" si="2"/>
        <v>0.38666666666666666</v>
      </c>
      <c r="I60">
        <f t="shared" si="3"/>
        <v>0.64612127109390649</v>
      </c>
      <c r="J60">
        <f t="shared" si="4"/>
        <v>0.41500690459200268</v>
      </c>
      <c r="K60">
        <f t="shared" si="5"/>
        <v>0.9052171571443991</v>
      </c>
      <c r="L60">
        <f t="shared" si="6"/>
        <v>0.37736526075456878</v>
      </c>
      <c r="M60">
        <f t="shared" si="7"/>
        <v>-0.19539027198672984</v>
      </c>
      <c r="N60">
        <f t="shared" si="8"/>
        <v>-11.267523091704707</v>
      </c>
      <c r="O60">
        <f t="shared" si="9"/>
        <v>22.630189178459673</v>
      </c>
      <c r="P60" t="str" cm="1">
        <f t="array" ref="P60">IF($N60="","",IFERROR(IF(INDEX(geo_grid!$B$2:$JU$231,INT(($N60+40)/0.5)+1,INT(($O60+30)/0.5)+1)="","",INDEX(geo_grid!$B$2:$JU$231,INT(($N60+40)/0.5)+1,INT(($O60+30)/0.5)+1)),"OUTSIDE GRID"))</f>
        <v>AGO</v>
      </c>
      <c r="Q60">
        <f t="shared" si="10"/>
        <v>1058</v>
      </c>
    </row>
    <row r="61" spans="1:17" x14ac:dyDescent="0.3">
      <c r="A61">
        <f t="shared" si="0"/>
        <v>1</v>
      </c>
      <c r="B61">
        <f t="shared" si="1"/>
        <v>59</v>
      </c>
      <c r="C61" cm="1">
        <f t="array" ref="C61">IFERROR(INDEX('TRIP MANAGER'!$O$18:$O$25,$A61),"")</f>
        <v>-25.938960000000002</v>
      </c>
      <c r="D61" cm="1">
        <f t="array" ref="D61">IFERROR(INDEX('TRIP MANAGER'!$P$18:$P$25,$A61),"")</f>
        <v>27.926639999999999</v>
      </c>
      <c r="E61" cm="1">
        <f t="array" ref="E61">IFERROR(INDEX('TRIP MANAGER'!$Q$18:$Q$25,$A61),"")</f>
        <v>12.133699999999999</v>
      </c>
      <c r="F61" cm="1">
        <f t="array" ref="F61">IFERROR(INDEX('TRIP MANAGER'!$R$18:$R$25,$A61),"")</f>
        <v>15.034000000000001</v>
      </c>
      <c r="G61" cm="1">
        <f t="array" ref="G61">IFERROR(INDEX('TRIP MANAGER'!$S$18:$S$25,$A61),"")</f>
        <v>0.69965352295446726</v>
      </c>
      <c r="H61">
        <f t="shared" si="2"/>
        <v>0.39333333333333331</v>
      </c>
      <c r="I61">
        <f t="shared" si="3"/>
        <v>0.63952768204099331</v>
      </c>
      <c r="J61">
        <f t="shared" si="4"/>
        <v>0.42198223821733932</v>
      </c>
      <c r="K61">
        <f t="shared" si="5"/>
        <v>0.90656437361053588</v>
      </c>
      <c r="L61">
        <f t="shared" si="6"/>
        <v>0.37635722869463439</v>
      </c>
      <c r="M61">
        <f t="shared" si="7"/>
        <v>-0.19103997725458244</v>
      </c>
      <c r="N61">
        <f t="shared" si="8"/>
        <v>-11.013482297326412</v>
      </c>
      <c r="O61">
        <f t="shared" si="9"/>
        <v>22.545621155102481</v>
      </c>
      <c r="P61" t="str" cm="1">
        <f t="array" ref="P61">IF($N61="","",IFERROR(IF(INDEX(geo_grid!$B$2:$JU$231,INT(($N61+40)/0.5)+1,INT(($O61+30)/0.5)+1)="","",INDEX(geo_grid!$B$2:$JU$231,INT(($N61+40)/0.5)+1,INT(($O61+30)/0.5)+1)),"OUTSIDE GRID"))</f>
        <v>AGO</v>
      </c>
      <c r="Q61">
        <f t="shared" si="10"/>
        <v>1059</v>
      </c>
    </row>
    <row r="62" spans="1:17" x14ac:dyDescent="0.3">
      <c r="A62">
        <f t="shared" si="0"/>
        <v>1</v>
      </c>
      <c r="B62">
        <f t="shared" si="1"/>
        <v>60</v>
      </c>
      <c r="C62" cm="1">
        <f t="array" ref="C62">IFERROR(INDEX('TRIP MANAGER'!$O$18:$O$25,$A62),"")</f>
        <v>-25.938960000000002</v>
      </c>
      <c r="D62" cm="1">
        <f t="array" ref="D62">IFERROR(INDEX('TRIP MANAGER'!$P$18:$P$25,$A62),"")</f>
        <v>27.926639999999999</v>
      </c>
      <c r="E62" cm="1">
        <f t="array" ref="E62">IFERROR(INDEX('TRIP MANAGER'!$Q$18:$Q$25,$A62),"")</f>
        <v>12.133699999999999</v>
      </c>
      <c r="F62" cm="1">
        <f t="array" ref="F62">IFERROR(INDEX('TRIP MANAGER'!$R$18:$R$25,$A62),"")</f>
        <v>15.034000000000001</v>
      </c>
      <c r="G62" cm="1">
        <f t="array" ref="G62">IFERROR(INDEX('TRIP MANAGER'!$S$18:$S$25,$A62),"")</f>
        <v>0.69965352295446726</v>
      </c>
      <c r="H62">
        <f t="shared" si="2"/>
        <v>0.4</v>
      </c>
      <c r="I62">
        <f t="shared" si="3"/>
        <v>0.63292017930545474</v>
      </c>
      <c r="J62">
        <f t="shared" si="4"/>
        <v>0.42894839111899363</v>
      </c>
      <c r="K62">
        <f t="shared" si="5"/>
        <v>0.90789186669435773</v>
      </c>
      <c r="L62">
        <f t="shared" si="6"/>
        <v>0.37534100853716984</v>
      </c>
      <c r="M62">
        <f t="shared" si="7"/>
        <v>-0.18668552622132883</v>
      </c>
      <c r="N62">
        <f t="shared" si="8"/>
        <v>-10.759418136588991</v>
      </c>
      <c r="O62">
        <f t="shared" si="9"/>
        <v>22.461198967024863</v>
      </c>
      <c r="P62" t="str" cm="1">
        <f t="array" ref="P62">IF($N62="","",IFERROR(IF(INDEX(geo_grid!$B$2:$JU$231,INT(($N62+40)/0.5)+1,INT(($O62+30)/0.5)+1)="","",INDEX(geo_grid!$B$2:$JU$231,INT(($N62+40)/0.5)+1,INT(($O62+30)/0.5)+1)),"OUTSIDE GRID"))</f>
        <v>COD</v>
      </c>
      <c r="Q62">
        <f t="shared" si="10"/>
        <v>1060</v>
      </c>
    </row>
    <row r="63" spans="1:17" x14ac:dyDescent="0.3">
      <c r="A63">
        <f t="shared" si="0"/>
        <v>1</v>
      </c>
      <c r="B63">
        <f t="shared" si="1"/>
        <v>61</v>
      </c>
      <c r="C63" cm="1">
        <f t="array" ref="C63">IFERROR(INDEX('TRIP MANAGER'!$O$18:$O$25,$A63),"")</f>
        <v>-25.938960000000002</v>
      </c>
      <c r="D63" cm="1">
        <f t="array" ref="D63">IFERROR(INDEX('TRIP MANAGER'!$P$18:$P$25,$A63),"")</f>
        <v>27.926639999999999</v>
      </c>
      <c r="E63" cm="1">
        <f t="array" ref="E63">IFERROR(INDEX('TRIP MANAGER'!$Q$18:$Q$25,$A63),"")</f>
        <v>12.133699999999999</v>
      </c>
      <c r="F63" cm="1">
        <f t="array" ref="F63">IFERROR(INDEX('TRIP MANAGER'!$R$18:$R$25,$A63),"")</f>
        <v>15.034000000000001</v>
      </c>
      <c r="G63" cm="1">
        <f t="array" ref="G63">IFERROR(INDEX('TRIP MANAGER'!$S$18:$S$25,$A63),"")</f>
        <v>0.69965352295446726</v>
      </c>
      <c r="H63">
        <f t="shared" si="2"/>
        <v>0.40666666666666668</v>
      </c>
      <c r="I63">
        <f t="shared" si="3"/>
        <v>0.62629890664134369</v>
      </c>
      <c r="J63">
        <f t="shared" si="4"/>
        <v>0.4359052117400537</v>
      </c>
      <c r="K63">
        <f t="shared" si="5"/>
        <v>0.90919960751467988</v>
      </c>
      <c r="L63">
        <f t="shared" si="6"/>
        <v>0.37431662239124924</v>
      </c>
      <c r="M63">
        <f t="shared" si="7"/>
        <v>-0.18232701362321185</v>
      </c>
      <c r="N63">
        <f t="shared" si="8"/>
        <v>-10.505331200436363</v>
      </c>
      <c r="O63">
        <f t="shared" si="9"/>
        <v>22.376918938907064</v>
      </c>
      <c r="P63" t="str" cm="1">
        <f t="array" ref="P63">IF($N63="","",IFERROR(IF(INDEX(geo_grid!$B$2:$JU$231,INT(($N63+40)/0.5)+1,INT(($O63+30)/0.5)+1)="","",INDEX(geo_grid!$B$2:$JU$231,INT(($N63+40)/0.5)+1,INT(($O63+30)/0.5)+1)),"OUTSIDE GRID"))</f>
        <v>COD</v>
      </c>
      <c r="Q63">
        <f t="shared" si="10"/>
        <v>1061</v>
      </c>
    </row>
    <row r="64" spans="1:17" x14ac:dyDescent="0.3">
      <c r="A64">
        <f t="shared" si="0"/>
        <v>1</v>
      </c>
      <c r="B64">
        <f t="shared" si="1"/>
        <v>62</v>
      </c>
      <c r="C64" cm="1">
        <f t="array" ref="C64">IFERROR(INDEX('TRIP MANAGER'!$O$18:$O$25,$A64),"")</f>
        <v>-25.938960000000002</v>
      </c>
      <c r="D64" cm="1">
        <f t="array" ref="D64">IFERROR(INDEX('TRIP MANAGER'!$P$18:$P$25,$A64),"")</f>
        <v>27.926639999999999</v>
      </c>
      <c r="E64" cm="1">
        <f t="array" ref="E64">IFERROR(INDEX('TRIP MANAGER'!$Q$18:$Q$25,$A64),"")</f>
        <v>12.133699999999999</v>
      </c>
      <c r="F64" cm="1">
        <f t="array" ref="F64">IFERROR(INDEX('TRIP MANAGER'!$R$18:$R$25,$A64),"")</f>
        <v>15.034000000000001</v>
      </c>
      <c r="G64" cm="1">
        <f t="array" ref="G64">IFERROR(INDEX('TRIP MANAGER'!$S$18:$S$25,$A64),"")</f>
        <v>0.69965352295446726</v>
      </c>
      <c r="H64">
        <f t="shared" si="2"/>
        <v>0.41333333333333333</v>
      </c>
      <c r="I64">
        <f t="shared" si="3"/>
        <v>0.61966400810229383</v>
      </c>
      <c r="J64">
        <f t="shared" si="4"/>
        <v>0.44285254872664226</v>
      </c>
      <c r="K64">
        <f t="shared" si="5"/>
        <v>0.91048756762005079</v>
      </c>
      <c r="L64">
        <f t="shared" si="6"/>
        <v>0.37328409254360689</v>
      </c>
      <c r="M64">
        <f t="shared" si="7"/>
        <v>-0.17796453428483844</v>
      </c>
      <c r="N64">
        <f t="shared" si="8"/>
        <v>-10.251222076088125</v>
      </c>
      <c r="O64">
        <f t="shared" si="9"/>
        <v>22.292777417687109</v>
      </c>
      <c r="P64" t="str" cm="1">
        <f t="array" ref="P64">IF($N64="","",IFERROR(IF(INDEX(geo_grid!$B$2:$JU$231,INT(($N64+40)/0.5)+1,INT(($O64+30)/0.5)+1)="","",INDEX(geo_grid!$B$2:$JU$231,INT(($N64+40)/0.5)+1,INT(($O64+30)/0.5)+1)),"OUTSIDE GRID"))</f>
        <v>COD</v>
      </c>
      <c r="Q64">
        <f t="shared" si="10"/>
        <v>1062</v>
      </c>
    </row>
    <row r="65" spans="1:17" x14ac:dyDescent="0.3">
      <c r="A65">
        <f t="shared" si="0"/>
        <v>1</v>
      </c>
      <c r="B65">
        <f t="shared" si="1"/>
        <v>63</v>
      </c>
      <c r="C65" cm="1">
        <f t="array" ref="C65">IFERROR(INDEX('TRIP MANAGER'!$O$18:$O$25,$A65),"")</f>
        <v>-25.938960000000002</v>
      </c>
      <c r="D65" cm="1">
        <f t="array" ref="D65">IFERROR(INDEX('TRIP MANAGER'!$P$18:$P$25,$A65),"")</f>
        <v>27.926639999999999</v>
      </c>
      <c r="E65" cm="1">
        <f t="array" ref="E65">IFERROR(INDEX('TRIP MANAGER'!$Q$18:$Q$25,$A65),"")</f>
        <v>12.133699999999999</v>
      </c>
      <c r="F65" cm="1">
        <f t="array" ref="F65">IFERROR(INDEX('TRIP MANAGER'!$R$18:$R$25,$A65),"")</f>
        <v>15.034000000000001</v>
      </c>
      <c r="G65" cm="1">
        <f t="array" ref="G65">IFERROR(INDEX('TRIP MANAGER'!$S$18:$S$25,$A65),"")</f>
        <v>0.69965352295446726</v>
      </c>
      <c r="H65">
        <f t="shared" si="2"/>
        <v>0.42</v>
      </c>
      <c r="I65">
        <f t="shared" si="3"/>
        <v>0.6130156280383855</v>
      </c>
      <c r="J65">
        <f t="shared" si="4"/>
        <v>0.44979025093121011</v>
      </c>
      <c r="K65">
        <f t="shared" si="5"/>
        <v>0.91175571898937191</v>
      </c>
      <c r="L65">
        <f t="shared" si="6"/>
        <v>0.3722434414581533</v>
      </c>
      <c r="M65">
        <f t="shared" si="7"/>
        <v>-0.17359818311711622</v>
      </c>
      <c r="N65">
        <f t="shared" si="8"/>
        <v>-9.9970913471435612</v>
      </c>
      <c r="O65">
        <f t="shared" si="9"/>
        <v>22.20877077194471</v>
      </c>
      <c r="P65" t="str" cm="1">
        <f t="array" ref="P65">IF($N65="","",IFERROR(IF(INDEX(geo_grid!$B$2:$JU$231,INT(($N65+40)/0.5)+1,INT(($O65+30)/0.5)+1)="","",INDEX(geo_grid!$B$2:$JU$231,INT(($N65+40)/0.5)+1,INT(($O65+30)/0.5)+1)),"OUTSIDE GRID"))</f>
        <v>COD</v>
      </c>
      <c r="Q65">
        <f t="shared" si="10"/>
        <v>1063</v>
      </c>
    </row>
    <row r="66" spans="1:17" x14ac:dyDescent="0.3">
      <c r="A66">
        <f t="shared" si="0"/>
        <v>1</v>
      </c>
      <c r="B66">
        <f t="shared" si="1"/>
        <v>64</v>
      </c>
      <c r="C66" cm="1">
        <f t="array" ref="C66">IFERROR(INDEX('TRIP MANAGER'!$O$18:$O$25,$A66),"")</f>
        <v>-25.938960000000002</v>
      </c>
      <c r="D66" cm="1">
        <f t="array" ref="D66">IFERROR(INDEX('TRIP MANAGER'!$P$18:$P$25,$A66),"")</f>
        <v>27.926639999999999</v>
      </c>
      <c r="E66" cm="1">
        <f t="array" ref="E66">IFERROR(INDEX('TRIP MANAGER'!$Q$18:$Q$25,$A66),"")</f>
        <v>12.133699999999999</v>
      </c>
      <c r="F66" cm="1">
        <f t="array" ref="F66">IFERROR(INDEX('TRIP MANAGER'!$R$18:$R$25,$A66),"")</f>
        <v>15.034000000000001</v>
      </c>
      <c r="G66" cm="1">
        <f t="array" ref="G66">IFERROR(INDEX('TRIP MANAGER'!$S$18:$S$25,$A66),"")</f>
        <v>0.69965352295446726</v>
      </c>
      <c r="H66">
        <f t="shared" si="2"/>
        <v>0.42666666666666669</v>
      </c>
      <c r="I66">
        <f t="shared" si="3"/>
        <v>0.60635391109300618</v>
      </c>
      <c r="J66">
        <f t="shared" si="4"/>
        <v>0.45671816741582388</v>
      </c>
      <c r="K66">
        <f t="shared" si="5"/>
        <v>0.91300403403250729</v>
      </c>
      <c r="L66">
        <f t="shared" si="6"/>
        <v>0.37119469177548625</v>
      </c>
      <c r="M66">
        <f t="shared" si="7"/>
        <v>-0.16922805511518968</v>
      </c>
      <c r="N66">
        <f t="shared" si="8"/>
        <v>-9.7429395936845999</v>
      </c>
      <c r="O66">
        <f t="shared" si="9"/>
        <v>22.124895391291922</v>
      </c>
      <c r="P66" t="str" cm="1">
        <f t="array" ref="P66">IF($N66="","",IFERROR(IF(INDEX(geo_grid!$B$2:$JU$231,INT(($N66+40)/0.5)+1,INT(($O66+30)/0.5)+1)="","",INDEX(geo_grid!$B$2:$JU$231,INT(($N66+40)/0.5)+1,INT(($O66+30)/0.5)+1)),"OUTSIDE GRID"))</f>
        <v>COD</v>
      </c>
      <c r="Q66">
        <f t="shared" si="10"/>
        <v>1064</v>
      </c>
    </row>
    <row r="67" spans="1:17" x14ac:dyDescent="0.3">
      <c r="A67">
        <f t="shared" ref="A67:A130" si="11">INT((ROW()-2)/151)+1</f>
        <v>1</v>
      </c>
      <c r="B67">
        <f t="shared" ref="B67:B130" si="12">MOD(ROW()-2,151)</f>
        <v>65</v>
      </c>
      <c r="C67" cm="1">
        <f t="array" ref="C67">IFERROR(INDEX('TRIP MANAGER'!$O$18:$O$25,$A67),"")</f>
        <v>-25.938960000000002</v>
      </c>
      <c r="D67" cm="1">
        <f t="array" ref="D67">IFERROR(INDEX('TRIP MANAGER'!$P$18:$P$25,$A67),"")</f>
        <v>27.926639999999999</v>
      </c>
      <c r="E67" cm="1">
        <f t="array" ref="E67">IFERROR(INDEX('TRIP MANAGER'!$Q$18:$Q$25,$A67),"")</f>
        <v>12.133699999999999</v>
      </c>
      <c r="F67" cm="1">
        <f t="array" ref="F67">IFERROR(INDEX('TRIP MANAGER'!$R$18:$R$25,$A67),"")</f>
        <v>15.034000000000001</v>
      </c>
      <c r="G67" cm="1">
        <f t="array" ref="G67">IFERROR(INDEX('TRIP MANAGER'!$S$18:$S$25,$A67),"")</f>
        <v>0.69965352295446726</v>
      </c>
      <c r="H67">
        <f t="shared" ref="H67:H130" si="13">$B67/150</f>
        <v>0.43333333333333335</v>
      </c>
      <c r="I67">
        <f t="shared" ref="I67:I130" si="14">IF(OR($G67="",$G67=0),"",SIN((1-$H67)*$G67)/SIN($G67))</f>
        <v>0.59967900219970283</v>
      </c>
      <c r="J67">
        <f t="shared" ref="J67:J130" si="15">IF($I67="","",SIN($H67*$G67)/SIN($G67))</f>
        <v>0.46363614745545018</v>
      </c>
      <c r="K67">
        <f t="shared" ref="K67:K130" si="16">IF($I67="","",$I67*COS(RADIANS($C67))*COS(RADIANS($D67))+$J67*COS(RADIANS($E67))*COS(RADIANS($F67)))</f>
        <v>0.9142324855908841</v>
      </c>
      <c r="L67">
        <f t="shared" ref="L67:L130" si="17">IF($I67="","",$I67*COS(RADIANS($C67))*SIN(RADIANS($D67))+$J67*COS(RADIANS($E67))*SIN(RADIANS($F67)))</f>
        <v>0.37013786631239792</v>
      </c>
      <c r="M67">
        <f t="shared" ref="M67:M130" si="18">IF($I67="","",$I67*SIN(RADIANS($C67))+$J67*SIN(RADIANS($E67)))</f>
        <v>-0.16485424535637244</v>
      </c>
      <c r="N67">
        <f t="shared" ref="N67:N130" si="19">IF($M67="","",DEGREES(ATAN2(SQRT($K67^2+$L67^2),$M67)))</f>
        <v>-9.4887673923774098</v>
      </c>
      <c r="O67">
        <f t="shared" ref="O67:O130" si="20">IF($M67="","",DEGREES(ATAN2($K67,$L67)))</f>
        <v>22.041147685770348</v>
      </c>
      <c r="P67" t="str" cm="1">
        <f t="array" ref="P67">IF($N67="","",IFERROR(IF(INDEX(geo_grid!$B$2:$JU$231,INT(($N67+40)/0.5)+1,INT(($O67+30)/0.5)+1)="","",INDEX(geo_grid!$B$2:$JU$231,INT(($N67+40)/0.5)+1,INT(($O67+30)/0.5)+1)),"OUTSIDE GRID"))</f>
        <v>COD</v>
      </c>
      <c r="Q67">
        <f t="shared" ref="Q67:Q130" si="21">IF($P67="","",$A67*1000+$B67)</f>
        <v>1065</v>
      </c>
    </row>
    <row r="68" spans="1:17" x14ac:dyDescent="0.3">
      <c r="A68">
        <f t="shared" si="11"/>
        <v>1</v>
      </c>
      <c r="B68">
        <f t="shared" si="12"/>
        <v>66</v>
      </c>
      <c r="C68" cm="1">
        <f t="array" ref="C68">IFERROR(INDEX('TRIP MANAGER'!$O$18:$O$25,$A68),"")</f>
        <v>-25.938960000000002</v>
      </c>
      <c r="D68" cm="1">
        <f t="array" ref="D68">IFERROR(INDEX('TRIP MANAGER'!$P$18:$P$25,$A68),"")</f>
        <v>27.926639999999999</v>
      </c>
      <c r="E68" cm="1">
        <f t="array" ref="E68">IFERROR(INDEX('TRIP MANAGER'!$Q$18:$Q$25,$A68),"")</f>
        <v>12.133699999999999</v>
      </c>
      <c r="F68" cm="1">
        <f t="array" ref="F68">IFERROR(INDEX('TRIP MANAGER'!$R$18:$R$25,$A68),"")</f>
        <v>15.034000000000001</v>
      </c>
      <c r="G68" cm="1">
        <f t="array" ref="G68">IFERROR(INDEX('TRIP MANAGER'!$S$18:$S$25,$A68),"")</f>
        <v>0.69965352295446726</v>
      </c>
      <c r="H68">
        <f t="shared" si="13"/>
        <v>0.44</v>
      </c>
      <c r="I68">
        <f t="shared" si="14"/>
        <v>0.59299104657902901</v>
      </c>
      <c r="J68">
        <f t="shared" si="15"/>
        <v>0.47054404054123478</v>
      </c>
      <c r="K68">
        <f t="shared" si="16"/>
        <v>0.91544104693808293</v>
      </c>
      <c r="L68">
        <f t="shared" si="17"/>
        <v>0.36907298806137867</v>
      </c>
      <c r="M68">
        <f t="shared" si="18"/>
        <v>-0.16047684899807924</v>
      </c>
      <c r="N68">
        <f t="shared" si="19"/>
        <v>-9.2345753165729967</v>
      </c>
      <c r="O68">
        <f t="shared" si="20"/>
        <v>21.9575240852548</v>
      </c>
      <c r="P68" t="str" cm="1">
        <f t="array" ref="P68">IF($N68="","",IFERROR(IF(INDEX(geo_grid!$B$2:$JU$231,INT(($N68+40)/0.5)+1,INT(($O68+30)/0.5)+1)="","",INDEX(geo_grid!$B$2:$JU$231,INT(($N68+40)/0.5)+1,INT(($O68+30)/0.5)+1)),"OUTSIDE GRID"))</f>
        <v>AGO</v>
      </c>
      <c r="Q68">
        <f t="shared" si="21"/>
        <v>1066</v>
      </c>
    </row>
    <row r="69" spans="1:17" x14ac:dyDescent="0.3">
      <c r="A69">
        <f t="shared" si="11"/>
        <v>1</v>
      </c>
      <c r="B69">
        <f t="shared" si="12"/>
        <v>67</v>
      </c>
      <c r="C69" cm="1">
        <f t="array" ref="C69">IFERROR(INDEX('TRIP MANAGER'!$O$18:$O$25,$A69),"")</f>
        <v>-25.938960000000002</v>
      </c>
      <c r="D69" cm="1">
        <f t="array" ref="D69">IFERROR(INDEX('TRIP MANAGER'!$P$18:$P$25,$A69),"")</f>
        <v>27.926639999999999</v>
      </c>
      <c r="E69" cm="1">
        <f t="array" ref="E69">IFERROR(INDEX('TRIP MANAGER'!$Q$18:$Q$25,$A69),"")</f>
        <v>12.133699999999999</v>
      </c>
      <c r="F69" cm="1">
        <f t="array" ref="F69">IFERROR(INDEX('TRIP MANAGER'!$R$18:$R$25,$A69),"")</f>
        <v>15.034000000000001</v>
      </c>
      <c r="G69" cm="1">
        <f t="array" ref="G69">IFERROR(INDEX('TRIP MANAGER'!$S$18:$S$25,$A69),"")</f>
        <v>0.69965352295446726</v>
      </c>
      <c r="H69">
        <f t="shared" si="13"/>
        <v>0.44666666666666666</v>
      </c>
      <c r="I69">
        <f t="shared" si="14"/>
        <v>0.58629018973538471</v>
      </c>
      <c r="J69">
        <f t="shared" si="15"/>
        <v>0.47744169638377693</v>
      </c>
      <c r="K69">
        <f t="shared" si="16"/>
        <v>0.91662969178041864</v>
      </c>
      <c r="L69">
        <f t="shared" si="17"/>
        <v>0.36800008019011682</v>
      </c>
      <c r="M69">
        <f t="shared" si="18"/>
        <v>-0.15609596127575537</v>
      </c>
      <c r="N69">
        <f t="shared" si="19"/>
        <v>-8.9803639364066168</v>
      </c>
      <c r="O69">
        <f t="shared" si="20"/>
        <v>21.874021038863063</v>
      </c>
      <c r="P69" t="str" cm="1">
        <f t="array" ref="P69">IF($N69="","",IFERROR(IF(INDEX(geo_grid!$B$2:$JU$231,INT(($N69+40)/0.5)+1,INT(($O69+30)/0.5)+1)="","",INDEX(geo_grid!$B$2:$JU$231,INT(($N69+40)/0.5)+1,INT(($O69+30)/0.5)+1)),"OUTSIDE GRID"))</f>
        <v>AGO</v>
      </c>
      <c r="Q69">
        <f t="shared" si="21"/>
        <v>1067</v>
      </c>
    </row>
    <row r="70" spans="1:17" x14ac:dyDescent="0.3">
      <c r="A70">
        <f t="shared" si="11"/>
        <v>1</v>
      </c>
      <c r="B70">
        <f t="shared" si="12"/>
        <v>68</v>
      </c>
      <c r="C70" cm="1">
        <f t="array" ref="C70">IFERROR(INDEX('TRIP MANAGER'!$O$18:$O$25,$A70),"")</f>
        <v>-25.938960000000002</v>
      </c>
      <c r="D70" cm="1">
        <f t="array" ref="D70">IFERROR(INDEX('TRIP MANAGER'!$P$18:$P$25,$A70),"")</f>
        <v>27.926639999999999</v>
      </c>
      <c r="E70" cm="1">
        <f t="array" ref="E70">IFERROR(INDEX('TRIP MANAGER'!$Q$18:$Q$25,$A70),"")</f>
        <v>12.133699999999999</v>
      </c>
      <c r="F70" cm="1">
        <f t="array" ref="F70">IFERROR(INDEX('TRIP MANAGER'!$R$18:$R$25,$A70),"")</f>
        <v>15.034000000000001</v>
      </c>
      <c r="G70" cm="1">
        <f t="array" ref="G70">IFERROR(INDEX('TRIP MANAGER'!$S$18:$S$25,$A70),"")</f>
        <v>0.69965352295446726</v>
      </c>
      <c r="H70">
        <f t="shared" si="13"/>
        <v>0.45333333333333331</v>
      </c>
      <c r="I70">
        <f t="shared" si="14"/>
        <v>0.57957657745385194</v>
      </c>
      <c r="J70">
        <f t="shared" si="15"/>
        <v>0.4843289649163996</v>
      </c>
      <c r="K70">
        <f t="shared" si="16"/>
        <v>0.91779839425751475</v>
      </c>
      <c r="L70">
        <f t="shared" si="17"/>
        <v>0.36691916604099462</v>
      </c>
      <c r="M70">
        <f t="shared" si="18"/>
        <v>-0.15171167750080505</v>
      </c>
      <c r="N70">
        <f t="shared" si="19"/>
        <v>-8.7261338188961464</v>
      </c>
      <c r="O70">
        <f t="shared" si="20"/>
        <v>21.790635014371663</v>
      </c>
      <c r="P70" t="str" cm="1">
        <f t="array" ref="P70">IF($N70="","",IFERROR(IF(INDEX(geo_grid!$B$2:$JU$231,INT(($N70+40)/0.5)+1,INT(($O70+30)/0.5)+1)="","",INDEX(geo_grid!$B$2:$JU$231,INT(($N70+40)/0.5)+1,INT(($O70+30)/0.5)+1)),"OUTSIDE GRID"))</f>
        <v>AGO</v>
      </c>
      <c r="Q70">
        <f t="shared" si="21"/>
        <v>1068</v>
      </c>
    </row>
    <row r="71" spans="1:17" x14ac:dyDescent="0.3">
      <c r="A71">
        <f t="shared" si="11"/>
        <v>1</v>
      </c>
      <c r="B71">
        <f t="shared" si="12"/>
        <v>69</v>
      </c>
      <c r="C71" cm="1">
        <f t="array" ref="C71">IFERROR(INDEX('TRIP MANAGER'!$O$18:$O$25,$A71),"")</f>
        <v>-25.938960000000002</v>
      </c>
      <c r="D71" cm="1">
        <f t="array" ref="D71">IFERROR(INDEX('TRIP MANAGER'!$P$18:$P$25,$A71),"")</f>
        <v>27.926639999999999</v>
      </c>
      <c r="E71" cm="1">
        <f t="array" ref="E71">IFERROR(INDEX('TRIP MANAGER'!$Q$18:$Q$25,$A71),"")</f>
        <v>12.133699999999999</v>
      </c>
      <c r="F71" cm="1">
        <f t="array" ref="F71">IFERROR(INDEX('TRIP MANAGER'!$R$18:$R$25,$A71),"")</f>
        <v>15.034000000000001</v>
      </c>
      <c r="G71" cm="1">
        <f t="array" ref="G71">IFERROR(INDEX('TRIP MANAGER'!$S$18:$S$25,$A71),"")</f>
        <v>0.69965352295446726</v>
      </c>
      <c r="H71">
        <f t="shared" si="13"/>
        <v>0.46</v>
      </c>
      <c r="I71">
        <f t="shared" si="14"/>
        <v>0.57285035579702237</v>
      </c>
      <c r="J71">
        <f t="shared" si="15"/>
        <v>0.49120569629841365</v>
      </c>
      <c r="K71">
        <f t="shared" si="16"/>
        <v>0.91894712894286368</v>
      </c>
      <c r="L71">
        <f t="shared" si="17"/>
        <v>0.36583026913058042</v>
      </c>
      <c r="M71">
        <f t="shared" si="18"/>
        <v>-0.14732409305851774</v>
      </c>
      <c r="N71">
        <f t="shared" si="19"/>
        <v>-8.4718855280394383</v>
      </c>
      <c r="O71">
        <f t="shared" si="20"/>
        <v>21.707362497637437</v>
      </c>
      <c r="P71" t="str" cm="1">
        <f t="array" ref="P71">IF($N71="","",IFERROR(IF(INDEX(geo_grid!$B$2:$JU$231,INT(($N71+40)/0.5)+1,INT(($O71+30)/0.5)+1)="","",INDEX(geo_grid!$B$2:$JU$231,INT(($N71+40)/0.5)+1,INT(($O71+30)/0.5)+1)),"OUTSIDE GRID"))</f>
        <v>AGO</v>
      </c>
      <c r="Q71">
        <f t="shared" si="21"/>
        <v>1069</v>
      </c>
    </row>
    <row r="72" spans="1:17" x14ac:dyDescent="0.3">
      <c r="A72">
        <f t="shared" si="11"/>
        <v>1</v>
      </c>
      <c r="B72">
        <f t="shared" si="12"/>
        <v>70</v>
      </c>
      <c r="C72" cm="1">
        <f t="array" ref="C72">IFERROR(INDEX('TRIP MANAGER'!$O$18:$O$25,$A72),"")</f>
        <v>-25.938960000000002</v>
      </c>
      <c r="D72" cm="1">
        <f t="array" ref="D72">IFERROR(INDEX('TRIP MANAGER'!$P$18:$P$25,$A72),"")</f>
        <v>27.926639999999999</v>
      </c>
      <c r="E72" cm="1">
        <f t="array" ref="E72">IFERROR(INDEX('TRIP MANAGER'!$Q$18:$Q$25,$A72),"")</f>
        <v>12.133699999999999</v>
      </c>
      <c r="F72" cm="1">
        <f t="array" ref="F72">IFERROR(INDEX('TRIP MANAGER'!$R$18:$R$25,$A72),"")</f>
        <v>15.034000000000001</v>
      </c>
      <c r="G72" cm="1">
        <f t="array" ref="G72">IFERROR(INDEX('TRIP MANAGER'!$S$18:$S$25,$A72),"")</f>
        <v>0.69965352295446726</v>
      </c>
      <c r="H72">
        <f t="shared" si="13"/>
        <v>0.46666666666666667</v>
      </c>
      <c r="I72">
        <f t="shared" si="14"/>
        <v>0.56611167110181904</v>
      </c>
      <c r="J72">
        <f t="shared" si="15"/>
        <v>0.49807174091837841</v>
      </c>
      <c r="K72">
        <f t="shared" si="16"/>
        <v>0.92007587084438081</v>
      </c>
      <c r="L72">
        <f t="shared" si="17"/>
        <v>0.36473341314911689</v>
      </c>
      <c r="M72">
        <f t="shared" si="18"/>
        <v>-0.14293330340599258</v>
      </c>
      <c r="N72">
        <f t="shared" si="19"/>
        <v>-8.2176196249106379</v>
      </c>
      <c r="O72">
        <f t="shared" si="20"/>
        <v>21.624199992024685</v>
      </c>
      <c r="P72" t="str" cm="1">
        <f t="array" ref="P72">IF($N72="","",IFERROR(IF(INDEX(geo_grid!$B$2:$JU$231,INT(($N72+40)/0.5)+1,INT(($O72+30)/0.5)+1)="","",INDEX(geo_grid!$B$2:$JU$231,INT(($N72+40)/0.5)+1,INT(($O72+30)/0.5)+1)),"OUTSIDE GRID"))</f>
        <v>AGO</v>
      </c>
      <c r="Q72">
        <f t="shared" si="21"/>
        <v>1070</v>
      </c>
    </row>
    <row r="73" spans="1:17" x14ac:dyDescent="0.3">
      <c r="A73">
        <f t="shared" si="11"/>
        <v>1</v>
      </c>
      <c r="B73">
        <f t="shared" si="12"/>
        <v>71</v>
      </c>
      <c r="C73" cm="1">
        <f t="array" ref="C73">IFERROR(INDEX('TRIP MANAGER'!$O$18:$O$25,$A73),"")</f>
        <v>-25.938960000000002</v>
      </c>
      <c r="D73" cm="1">
        <f t="array" ref="D73">IFERROR(INDEX('TRIP MANAGER'!$P$18:$P$25,$A73),"")</f>
        <v>27.926639999999999</v>
      </c>
      <c r="E73" cm="1">
        <f t="array" ref="E73">IFERROR(INDEX('TRIP MANAGER'!$Q$18:$Q$25,$A73),"")</f>
        <v>12.133699999999999</v>
      </c>
      <c r="F73" cm="1">
        <f t="array" ref="F73">IFERROR(INDEX('TRIP MANAGER'!$R$18:$R$25,$A73),"")</f>
        <v>15.034000000000001</v>
      </c>
      <c r="G73" cm="1">
        <f t="array" ref="G73">IFERROR(INDEX('TRIP MANAGER'!$S$18:$S$25,$A73),"")</f>
        <v>0.69965352295446726</v>
      </c>
      <c r="H73">
        <f t="shared" si="13"/>
        <v>0.47333333333333333</v>
      </c>
      <c r="I73">
        <f t="shared" si="14"/>
        <v>0.55936066997631373</v>
      </c>
      <c r="J73">
        <f t="shared" si="15"/>
        <v>0.50492694939735605</v>
      </c>
      <c r="K73">
        <f t="shared" si="16"/>
        <v>0.92118459540494868</v>
      </c>
      <c r="L73">
        <f t="shared" si="17"/>
        <v>0.36362862196000578</v>
      </c>
      <c r="M73">
        <f t="shared" si="18"/>
        <v>-0.13853940407006199</v>
      </c>
      <c r="N73">
        <f t="shared" si="19"/>
        <v>-7.9633366677555548</v>
      </c>
      <c r="O73">
        <f t="shared" si="20"/>
        <v>21.541144017837695</v>
      </c>
      <c r="P73" t="str" cm="1">
        <f t="array" ref="P73">IF($N73="","",IFERROR(IF(INDEX(geo_grid!$B$2:$JU$231,INT(($N73+40)/0.5)+1,INT(($O73+30)/0.5)+1)="","",INDEX(geo_grid!$B$2:$JU$231,INT(($N73+40)/0.5)+1,INT(($O73+30)/0.5)+1)),"OUTSIDE GRID"))</f>
        <v>COD</v>
      </c>
      <c r="Q73">
        <f t="shared" si="21"/>
        <v>1071</v>
      </c>
    </row>
    <row r="74" spans="1:17" x14ac:dyDescent="0.3">
      <c r="A74">
        <f t="shared" si="11"/>
        <v>1</v>
      </c>
      <c r="B74">
        <f t="shared" si="12"/>
        <v>72</v>
      </c>
      <c r="C74" cm="1">
        <f t="array" ref="C74">IFERROR(INDEX('TRIP MANAGER'!$O$18:$O$25,$A74),"")</f>
        <v>-25.938960000000002</v>
      </c>
      <c r="D74" cm="1">
        <f t="array" ref="D74">IFERROR(INDEX('TRIP MANAGER'!$P$18:$P$25,$A74),"")</f>
        <v>27.926639999999999</v>
      </c>
      <c r="E74" cm="1">
        <f t="array" ref="E74">IFERROR(INDEX('TRIP MANAGER'!$Q$18:$Q$25,$A74),"")</f>
        <v>12.133699999999999</v>
      </c>
      <c r="F74" cm="1">
        <f t="array" ref="F74">IFERROR(INDEX('TRIP MANAGER'!$R$18:$R$25,$A74),"")</f>
        <v>15.034000000000001</v>
      </c>
      <c r="G74" cm="1">
        <f t="array" ref="G74">IFERROR(INDEX('TRIP MANAGER'!$S$18:$S$25,$A74),"")</f>
        <v>0.69965352295446726</v>
      </c>
      <c r="H74">
        <f t="shared" si="13"/>
        <v>0.48</v>
      </c>
      <c r="I74">
        <f t="shared" si="14"/>
        <v>0.55259749929653645</v>
      </c>
      <c r="J74">
        <f t="shared" si="15"/>
        <v>0.5117711725921622</v>
      </c>
      <c r="K74">
        <f t="shared" si="16"/>
        <v>0.92227327850295038</v>
      </c>
      <c r="L74">
        <f t="shared" si="17"/>
        <v>0.36251591959928886</v>
      </c>
      <c r="M74">
        <f t="shared" si="18"/>
        <v>-0.13414249064521325</v>
      </c>
      <c r="N74">
        <f t="shared" si="19"/>
        <v>-7.7090372120861259</v>
      </c>
      <c r="O74">
        <f t="shared" si="20"/>
        <v>21.458191111758595</v>
      </c>
      <c r="P74" t="str" cm="1">
        <f t="array" ref="P74">IF($N74="","",IFERROR(IF(INDEX(geo_grid!$B$2:$JU$231,INT(($N74+40)/0.5)+1,INT(($O74+30)/0.5)+1)="","",INDEX(geo_grid!$B$2:$JU$231,INT(($N74+40)/0.5)+1,INT(($O74+30)/0.5)+1)),"OUTSIDE GRID"))</f>
        <v>AGO</v>
      </c>
      <c r="Q74">
        <f t="shared" si="21"/>
        <v>1072</v>
      </c>
    </row>
    <row r="75" spans="1:17" x14ac:dyDescent="0.3">
      <c r="A75">
        <f t="shared" si="11"/>
        <v>1</v>
      </c>
      <c r="B75">
        <f t="shared" si="12"/>
        <v>73</v>
      </c>
      <c r="C75" cm="1">
        <f t="array" ref="C75">IFERROR(INDEX('TRIP MANAGER'!$O$18:$O$25,$A75),"")</f>
        <v>-25.938960000000002</v>
      </c>
      <c r="D75" cm="1">
        <f t="array" ref="D75">IFERROR(INDEX('TRIP MANAGER'!$P$18:$P$25,$A75),"")</f>
        <v>27.926639999999999</v>
      </c>
      <c r="E75" cm="1">
        <f t="array" ref="E75">IFERROR(INDEX('TRIP MANAGER'!$Q$18:$Q$25,$A75),"")</f>
        <v>12.133699999999999</v>
      </c>
      <c r="F75" cm="1">
        <f t="array" ref="F75">IFERROR(INDEX('TRIP MANAGER'!$R$18:$R$25,$A75),"")</f>
        <v>15.034000000000001</v>
      </c>
      <c r="G75" cm="1">
        <f t="array" ref="G75">IFERROR(INDEX('TRIP MANAGER'!$S$18:$S$25,$A75),"")</f>
        <v>0.69965352295446726</v>
      </c>
      <c r="H75">
        <f t="shared" si="13"/>
        <v>0.48666666666666669</v>
      </c>
      <c r="I75">
        <f t="shared" si="14"/>
        <v>0.54582230620327998</v>
      </c>
      <c r="J75">
        <f t="shared" si="15"/>
        <v>0.51860426159861006</v>
      </c>
      <c r="K75">
        <f t="shared" si="16"/>
        <v>0.92334189645279474</v>
      </c>
      <c r="L75">
        <f t="shared" si="17"/>
        <v>0.36139533027512433</v>
      </c>
      <c r="M75">
        <f t="shared" si="18"/>
        <v>-0.12974265879150848</v>
      </c>
      <c r="N75">
        <f t="shared" si="19"/>
        <v>-7.4547218107739219</v>
      </c>
      <c r="O75">
        <f t="shared" si="20"/>
        <v>21.375337826290096</v>
      </c>
      <c r="P75" t="str" cm="1">
        <f t="array" ref="P75">IF($N75="","",IFERROR(IF(INDEX(geo_grid!$B$2:$JU$231,INT(($N75+40)/0.5)+1,INT(($O75+30)/0.5)+1)="","",INDEX(geo_grid!$B$2:$JU$231,INT(($N75+40)/0.5)+1,INT(($O75+30)/0.5)+1)),"OUTSIDE GRID"))</f>
        <v>COD</v>
      </c>
      <c r="Q75">
        <f t="shared" si="21"/>
        <v>1073</v>
      </c>
    </row>
    <row r="76" spans="1:17" x14ac:dyDescent="0.3">
      <c r="A76">
        <f t="shared" si="11"/>
        <v>1</v>
      </c>
      <c r="B76">
        <f t="shared" si="12"/>
        <v>74</v>
      </c>
      <c r="C76" cm="1">
        <f t="array" ref="C76">IFERROR(INDEX('TRIP MANAGER'!$O$18:$O$25,$A76),"")</f>
        <v>-25.938960000000002</v>
      </c>
      <c r="D76" cm="1">
        <f t="array" ref="D76">IFERROR(INDEX('TRIP MANAGER'!$P$18:$P$25,$A76),"")</f>
        <v>27.926639999999999</v>
      </c>
      <c r="E76" cm="1">
        <f t="array" ref="E76">IFERROR(INDEX('TRIP MANAGER'!$Q$18:$Q$25,$A76),"")</f>
        <v>12.133699999999999</v>
      </c>
      <c r="F76" cm="1">
        <f t="array" ref="F76">IFERROR(INDEX('TRIP MANAGER'!$R$18:$R$25,$A76),"")</f>
        <v>15.034000000000001</v>
      </c>
      <c r="G76" cm="1">
        <f t="array" ref="G76">IFERROR(INDEX('TRIP MANAGER'!$S$18:$S$25,$A76),"")</f>
        <v>0.69965352295446726</v>
      </c>
      <c r="H76">
        <f t="shared" si="13"/>
        <v>0.49333333333333335</v>
      </c>
      <c r="I76">
        <f t="shared" si="14"/>
        <v>0.53903523809889997</v>
      </c>
      <c r="J76">
        <f t="shared" si="15"/>
        <v>0.52542606775475043</v>
      </c>
      <c r="K76">
        <f t="shared" si="16"/>
        <v>0.9243904260054322</v>
      </c>
      <c r="L76">
        <f t="shared" si="17"/>
        <v>0.36026687836726123</v>
      </c>
      <c r="M76">
        <f t="shared" si="18"/>
        <v>-0.12534000423250424</v>
      </c>
      <c r="N76">
        <f t="shared" si="19"/>
        <v>-7.2003910141428795</v>
      </c>
      <c r="O76">
        <f t="shared" si="20"/>
        <v>21.292580729203234</v>
      </c>
      <c r="P76" t="str" cm="1">
        <f t="array" ref="P76">IF($N76="","",IFERROR(IF(INDEX(geo_grid!$B$2:$JU$231,INT(($N76+40)/0.5)+1,INT(($O76+30)/0.5)+1)="","",INDEX(geo_grid!$B$2:$JU$231,INT(($N76+40)/0.5)+1,INT(($O76+30)/0.5)+1)),"OUTSIDE GRID"))</f>
        <v>COD</v>
      </c>
      <c r="Q76">
        <f t="shared" si="21"/>
        <v>1074</v>
      </c>
    </row>
    <row r="77" spans="1:17" x14ac:dyDescent="0.3">
      <c r="A77">
        <f t="shared" si="11"/>
        <v>1</v>
      </c>
      <c r="B77">
        <f t="shared" si="12"/>
        <v>75</v>
      </c>
      <c r="C77" cm="1">
        <f t="array" ref="C77">IFERROR(INDEX('TRIP MANAGER'!$O$18:$O$25,$A77),"")</f>
        <v>-25.938960000000002</v>
      </c>
      <c r="D77" cm="1">
        <f t="array" ref="D77">IFERROR(INDEX('TRIP MANAGER'!$P$18:$P$25,$A77),"")</f>
        <v>27.926639999999999</v>
      </c>
      <c r="E77" cm="1">
        <f t="array" ref="E77">IFERROR(INDEX('TRIP MANAGER'!$Q$18:$Q$25,$A77),"")</f>
        <v>12.133699999999999</v>
      </c>
      <c r="F77" cm="1">
        <f t="array" ref="F77">IFERROR(INDEX('TRIP MANAGER'!$R$18:$R$25,$A77),"")</f>
        <v>15.034000000000001</v>
      </c>
      <c r="G77" cm="1">
        <f t="array" ref="G77">IFERROR(INDEX('TRIP MANAGER'!$S$18:$S$25,$A77),"")</f>
        <v>0.69965352295446726</v>
      </c>
      <c r="H77">
        <f t="shared" si="13"/>
        <v>0.5</v>
      </c>
      <c r="I77">
        <f t="shared" si="14"/>
        <v>0.53223644264410608</v>
      </c>
      <c r="J77">
        <f t="shared" si="15"/>
        <v>0.53223644264410608</v>
      </c>
      <c r="K77">
        <f t="shared" si="16"/>
        <v>0.92541884434885957</v>
      </c>
      <c r="L77">
        <f t="shared" si="17"/>
        <v>0.35913058842650808</v>
      </c>
      <c r="M77">
        <f t="shared" si="18"/>
        <v>-0.12093462275316781</v>
      </c>
      <c r="N77">
        <f t="shared" si="19"/>
        <v>-6.9460453700610776</v>
      </c>
      <c r="O77">
        <f t="shared" si="20"/>
        <v>21.20991640298972</v>
      </c>
      <c r="P77" t="str" cm="1">
        <f t="array" ref="P77">IF($N77="","",IFERROR(IF(INDEX(geo_grid!$B$2:$JU$231,INT(($N77+40)/0.5)+1,INT(($O77+30)/0.5)+1)="","",INDEX(geo_grid!$B$2:$JU$231,INT(($N77+40)/0.5)+1,INT(($O77+30)/0.5)+1)),"OUTSIDE GRID"))</f>
        <v>COD</v>
      </c>
      <c r="Q77">
        <f t="shared" si="21"/>
        <v>1075</v>
      </c>
    </row>
    <row r="78" spans="1:17" x14ac:dyDescent="0.3">
      <c r="A78">
        <f t="shared" si="11"/>
        <v>1</v>
      </c>
      <c r="B78">
        <f t="shared" si="12"/>
        <v>76</v>
      </c>
      <c r="C78" cm="1">
        <f t="array" ref="C78">IFERROR(INDEX('TRIP MANAGER'!$O$18:$O$25,$A78),"")</f>
        <v>-25.938960000000002</v>
      </c>
      <c r="D78" cm="1">
        <f t="array" ref="D78">IFERROR(INDEX('TRIP MANAGER'!$P$18:$P$25,$A78),"")</f>
        <v>27.926639999999999</v>
      </c>
      <c r="E78" cm="1">
        <f t="array" ref="E78">IFERROR(INDEX('TRIP MANAGER'!$Q$18:$Q$25,$A78),"")</f>
        <v>12.133699999999999</v>
      </c>
      <c r="F78" cm="1">
        <f t="array" ref="F78">IFERROR(INDEX('TRIP MANAGER'!$R$18:$R$25,$A78),"")</f>
        <v>15.034000000000001</v>
      </c>
      <c r="G78" cm="1">
        <f t="array" ref="G78">IFERROR(INDEX('TRIP MANAGER'!$S$18:$S$25,$A78),"")</f>
        <v>0.69965352295446726</v>
      </c>
      <c r="H78">
        <f t="shared" si="13"/>
        <v>0.50666666666666671</v>
      </c>
      <c r="I78">
        <f t="shared" si="14"/>
        <v>0.52542606775475043</v>
      </c>
      <c r="J78">
        <f t="shared" si="15"/>
        <v>0.53903523809889997</v>
      </c>
      <c r="K78">
        <f t="shared" si="16"/>
        <v>0.92642712910861702</v>
      </c>
      <c r="L78">
        <f t="shared" si="17"/>
        <v>0.35798648517419907</v>
      </c>
      <c r="M78">
        <f t="shared" si="18"/>
        <v>-0.11652661019779409</v>
      </c>
      <c r="N78">
        <f t="shared" si="19"/>
        <v>-6.6916854240318306</v>
      </c>
      <c r="O78">
        <f t="shared" si="20"/>
        <v>21.127341444318784</v>
      </c>
      <c r="P78" t="str" cm="1">
        <f t="array" ref="P78">IF($N78="","",IFERROR(IF(INDEX(geo_grid!$B$2:$JU$231,INT(($N78+40)/0.5)+1,INT(($O78+30)/0.5)+1)="","",INDEX(geo_grid!$B$2:$JU$231,INT(($N78+40)/0.5)+1,INT(($O78+30)/0.5)+1)),"OUTSIDE GRID"))</f>
        <v>COD</v>
      </c>
      <c r="Q78">
        <f t="shared" si="21"/>
        <v>1076</v>
      </c>
    </row>
    <row r="79" spans="1:17" x14ac:dyDescent="0.3">
      <c r="A79">
        <f t="shared" si="11"/>
        <v>1</v>
      </c>
      <c r="B79">
        <f t="shared" si="12"/>
        <v>77</v>
      </c>
      <c r="C79" cm="1">
        <f t="array" ref="C79">IFERROR(INDEX('TRIP MANAGER'!$O$18:$O$25,$A79),"")</f>
        <v>-25.938960000000002</v>
      </c>
      <c r="D79" cm="1">
        <f t="array" ref="D79">IFERROR(INDEX('TRIP MANAGER'!$P$18:$P$25,$A79),"")</f>
        <v>27.926639999999999</v>
      </c>
      <c r="E79" cm="1">
        <f t="array" ref="E79">IFERROR(INDEX('TRIP MANAGER'!$Q$18:$Q$25,$A79),"")</f>
        <v>12.133699999999999</v>
      </c>
      <c r="F79" cm="1">
        <f t="array" ref="F79">IFERROR(INDEX('TRIP MANAGER'!$R$18:$R$25,$A79),"")</f>
        <v>15.034000000000001</v>
      </c>
      <c r="G79" cm="1">
        <f t="array" ref="G79">IFERROR(INDEX('TRIP MANAGER'!$S$18:$S$25,$A79),"")</f>
        <v>0.69965352295446726</v>
      </c>
      <c r="H79">
        <f t="shared" si="13"/>
        <v>0.51333333333333331</v>
      </c>
      <c r="I79">
        <f t="shared" si="14"/>
        <v>0.51860426159861006</v>
      </c>
      <c r="J79">
        <f t="shared" si="15"/>
        <v>0.54582230620327998</v>
      </c>
      <c r="K79">
        <f t="shared" si="16"/>
        <v>0.92741525834827443</v>
      </c>
      <c r="L79">
        <f t="shared" si="17"/>
        <v>0.35683459350165636</v>
      </c>
      <c r="M79">
        <f t="shared" si="18"/>
        <v>-0.11211606246792026</v>
      </c>
      <c r="N79">
        <f t="shared" si="19"/>
        <v>-6.4373117192839411</v>
      </c>
      <c r="O79">
        <f t="shared" si="20"/>
        <v>21.044852463498447</v>
      </c>
      <c r="P79" t="str" cm="1">
        <f t="array" ref="P79">IF($N79="","",IFERROR(IF(INDEX(geo_grid!$B$2:$JU$231,INT(($N79+40)/0.5)+1,INT(($O79+30)/0.5)+1)="","",INDEX(geo_grid!$B$2:$JU$231,INT(($N79+40)/0.5)+1,INT(($O79+30)/0.5)+1)),"OUTSIDE GRID"))</f>
        <v>COD</v>
      </c>
      <c r="Q79">
        <f t="shared" si="21"/>
        <v>1077</v>
      </c>
    </row>
    <row r="80" spans="1:17" x14ac:dyDescent="0.3">
      <c r="A80">
        <f t="shared" si="11"/>
        <v>1</v>
      </c>
      <c r="B80">
        <f t="shared" si="12"/>
        <v>78</v>
      </c>
      <c r="C80" cm="1">
        <f t="array" ref="C80">IFERROR(INDEX('TRIP MANAGER'!$O$18:$O$25,$A80),"")</f>
        <v>-25.938960000000002</v>
      </c>
      <c r="D80" cm="1">
        <f t="array" ref="D80">IFERROR(INDEX('TRIP MANAGER'!$P$18:$P$25,$A80),"")</f>
        <v>27.926639999999999</v>
      </c>
      <c r="E80" cm="1">
        <f t="array" ref="E80">IFERROR(INDEX('TRIP MANAGER'!$Q$18:$Q$25,$A80),"")</f>
        <v>12.133699999999999</v>
      </c>
      <c r="F80" cm="1">
        <f t="array" ref="F80">IFERROR(INDEX('TRIP MANAGER'!$R$18:$R$25,$A80),"")</f>
        <v>15.034000000000001</v>
      </c>
      <c r="G80" cm="1">
        <f t="array" ref="G80">IFERROR(INDEX('TRIP MANAGER'!$S$18:$S$25,$A80),"")</f>
        <v>0.69965352295446726</v>
      </c>
      <c r="H80">
        <f t="shared" si="13"/>
        <v>0.52</v>
      </c>
      <c r="I80">
        <f t="shared" si="14"/>
        <v>0.5117711725921622</v>
      </c>
      <c r="J80">
        <f t="shared" si="15"/>
        <v>0.55259749929653645</v>
      </c>
      <c r="K80">
        <f t="shared" si="16"/>
        <v>0.92838321056990991</v>
      </c>
      <c r="L80">
        <f t="shared" si="17"/>
        <v>0.35567493846964848</v>
      </c>
      <c r="M80">
        <f t="shared" si="18"/>
        <v>-0.1077030755202389</v>
      </c>
      <c r="N80">
        <f t="shared" si="19"/>
        <v>-6.1829247968612115</v>
      </c>
      <c r="O80">
        <f t="shared" si="20"/>
        <v>20.962446083940804</v>
      </c>
      <c r="P80" t="str" cm="1">
        <f t="array" ref="P80">IF($N80="","",IFERROR(IF(INDEX(geo_grid!$B$2:$JU$231,INT(($N80+40)/0.5)+1,INT(($O80+30)/0.5)+1)="","",INDEX(geo_grid!$B$2:$JU$231,INT(($N80+40)/0.5)+1,INT(($O80+30)/0.5)+1)),"OUTSIDE GRID"))</f>
        <v>COD</v>
      </c>
      <c r="Q80">
        <f t="shared" si="21"/>
        <v>1078</v>
      </c>
    </row>
    <row r="81" spans="1:17" x14ac:dyDescent="0.3">
      <c r="A81">
        <f t="shared" si="11"/>
        <v>1</v>
      </c>
      <c r="B81">
        <f t="shared" si="12"/>
        <v>79</v>
      </c>
      <c r="C81" cm="1">
        <f t="array" ref="C81">IFERROR(INDEX('TRIP MANAGER'!$O$18:$O$25,$A81),"")</f>
        <v>-25.938960000000002</v>
      </c>
      <c r="D81" cm="1">
        <f t="array" ref="D81">IFERROR(INDEX('TRIP MANAGER'!$P$18:$P$25,$A81),"")</f>
        <v>27.926639999999999</v>
      </c>
      <c r="E81" cm="1">
        <f t="array" ref="E81">IFERROR(INDEX('TRIP MANAGER'!$Q$18:$Q$25,$A81),"")</f>
        <v>12.133699999999999</v>
      </c>
      <c r="F81" cm="1">
        <f t="array" ref="F81">IFERROR(INDEX('TRIP MANAGER'!$R$18:$R$25,$A81),"")</f>
        <v>15.034000000000001</v>
      </c>
      <c r="G81" cm="1">
        <f t="array" ref="G81">IFERROR(INDEX('TRIP MANAGER'!$S$18:$S$25,$A81),"")</f>
        <v>0.69965352295446726</v>
      </c>
      <c r="H81">
        <f t="shared" si="13"/>
        <v>0.52666666666666662</v>
      </c>
      <c r="I81">
        <f t="shared" si="14"/>
        <v>0.50492694939735605</v>
      </c>
      <c r="J81">
        <f t="shared" si="15"/>
        <v>0.55936066997631373</v>
      </c>
      <c r="K81">
        <f t="shared" si="16"/>
        <v>0.92933096471457488</v>
      </c>
      <c r="L81">
        <f t="shared" si="17"/>
        <v>0.35450754530784478</v>
      </c>
      <c r="M81">
        <f t="shared" si="18"/>
        <v>-0.1032877453645111</v>
      </c>
      <c r="N81">
        <f t="shared" si="19"/>
        <v>-5.9285251957113099</v>
      </c>
      <c r="O81">
        <f t="shared" si="20"/>
        <v>20.880118941631459</v>
      </c>
      <c r="P81" t="str" cm="1">
        <f t="array" ref="P81">IF($N81="","",IFERROR(IF(INDEX(geo_grid!$B$2:$JU$231,INT(($N81+40)/0.5)+1,INT(($O81+30)/0.5)+1)="","",INDEX(geo_grid!$B$2:$JU$231,INT(($N81+40)/0.5)+1,INT(($O81+30)/0.5)+1)),"OUTSIDE GRID"))</f>
        <v>COD</v>
      </c>
      <c r="Q81">
        <f t="shared" si="21"/>
        <v>1079</v>
      </c>
    </row>
    <row r="82" spans="1:17" x14ac:dyDescent="0.3">
      <c r="A82">
        <f t="shared" si="11"/>
        <v>1</v>
      </c>
      <c r="B82">
        <f t="shared" si="12"/>
        <v>80</v>
      </c>
      <c r="C82" cm="1">
        <f t="array" ref="C82">IFERROR(INDEX('TRIP MANAGER'!$O$18:$O$25,$A82),"")</f>
        <v>-25.938960000000002</v>
      </c>
      <c r="D82" cm="1">
        <f t="array" ref="D82">IFERROR(INDEX('TRIP MANAGER'!$P$18:$P$25,$A82),"")</f>
        <v>27.926639999999999</v>
      </c>
      <c r="E82" cm="1">
        <f t="array" ref="E82">IFERROR(INDEX('TRIP MANAGER'!$Q$18:$Q$25,$A82),"")</f>
        <v>12.133699999999999</v>
      </c>
      <c r="F82" cm="1">
        <f t="array" ref="F82">IFERROR(INDEX('TRIP MANAGER'!$R$18:$R$25,$A82),"")</f>
        <v>15.034000000000001</v>
      </c>
      <c r="G82" cm="1">
        <f t="array" ref="G82">IFERROR(INDEX('TRIP MANAGER'!$S$18:$S$25,$A82),"")</f>
        <v>0.69965352295446726</v>
      </c>
      <c r="H82">
        <f t="shared" si="13"/>
        <v>0.53333333333333333</v>
      </c>
      <c r="I82">
        <f t="shared" si="14"/>
        <v>0.49807174091837841</v>
      </c>
      <c r="J82">
        <f t="shared" si="15"/>
        <v>0.56611167110181904</v>
      </c>
      <c r="K82">
        <f t="shared" si="16"/>
        <v>0.93025850016275491</v>
      </c>
      <c r="L82">
        <f t="shared" si="17"/>
        <v>0.35333243941426706</v>
      </c>
      <c r="M82">
        <f t="shared" si="18"/>
        <v>-9.8870168061476887E-2</v>
      </c>
      <c r="N82">
        <f t="shared" si="19"/>
        <v>-5.6741134527738639</v>
      </c>
      <c r="O82">
        <f t="shared" si="20"/>
        <v>20.797867684602686</v>
      </c>
      <c r="P82" t="str" cm="1">
        <f t="array" ref="P82">IF($N82="","",IFERROR(IF(INDEX(geo_grid!$B$2:$JU$231,INT(($N82+40)/0.5)+1,INT(($O82+30)/0.5)+1)="","",INDEX(geo_grid!$B$2:$JU$231,INT(($N82+40)/0.5)+1,INT(($O82+30)/0.5)+1)),"OUTSIDE GRID"))</f>
        <v>COD</v>
      </c>
      <c r="Q82">
        <f t="shared" si="21"/>
        <v>1080</v>
      </c>
    </row>
    <row r="83" spans="1:17" x14ac:dyDescent="0.3">
      <c r="A83">
        <f t="shared" si="11"/>
        <v>1</v>
      </c>
      <c r="B83">
        <f t="shared" si="12"/>
        <v>81</v>
      </c>
      <c r="C83" cm="1">
        <f t="array" ref="C83">IFERROR(INDEX('TRIP MANAGER'!$O$18:$O$25,$A83),"")</f>
        <v>-25.938960000000002</v>
      </c>
      <c r="D83" cm="1">
        <f t="array" ref="D83">IFERROR(INDEX('TRIP MANAGER'!$P$18:$P$25,$A83),"")</f>
        <v>27.926639999999999</v>
      </c>
      <c r="E83" cm="1">
        <f t="array" ref="E83">IFERROR(INDEX('TRIP MANAGER'!$Q$18:$Q$25,$A83),"")</f>
        <v>12.133699999999999</v>
      </c>
      <c r="F83" cm="1">
        <f t="array" ref="F83">IFERROR(INDEX('TRIP MANAGER'!$R$18:$R$25,$A83),"")</f>
        <v>15.034000000000001</v>
      </c>
      <c r="G83" cm="1">
        <f t="array" ref="G83">IFERROR(INDEX('TRIP MANAGER'!$S$18:$S$25,$A83),"")</f>
        <v>0.69965352295446726</v>
      </c>
      <c r="H83">
        <f t="shared" si="13"/>
        <v>0.54</v>
      </c>
      <c r="I83">
        <f t="shared" si="14"/>
        <v>0.49120569629841365</v>
      </c>
      <c r="J83">
        <f t="shared" si="15"/>
        <v>0.57285035579702237</v>
      </c>
      <c r="K83">
        <f t="shared" si="16"/>
        <v>0.93116579673481747</v>
      </c>
      <c r="L83">
        <f t="shared" si="17"/>
        <v>0.35214964635473672</v>
      </c>
      <c r="M83">
        <f t="shared" si="18"/>
        <v>-9.4450439720765694E-2</v>
      </c>
      <c r="N83">
        <f t="shared" si="19"/>
        <v>-5.4196901030679703</v>
      </c>
      <c r="O83">
        <f t="shared" si="20"/>
        <v>20.715688972410263</v>
      </c>
      <c r="P83" t="str" cm="1">
        <f t="array" ref="P83">IF($N83="","",IFERROR(IF(INDEX(geo_grid!$B$2:$JU$231,INT(($N83+40)/0.5)+1,INT(($O83+30)/0.5)+1)="","",INDEX(geo_grid!$B$2:$JU$231,INT(($N83+40)/0.5)+1,INT(($O83+30)/0.5)+1)),"OUTSIDE GRID"))</f>
        <v>COD</v>
      </c>
      <c r="Q83">
        <f t="shared" si="21"/>
        <v>1081</v>
      </c>
    </row>
    <row r="84" spans="1:17" x14ac:dyDescent="0.3">
      <c r="A84">
        <f t="shared" si="11"/>
        <v>1</v>
      </c>
      <c r="B84">
        <f t="shared" si="12"/>
        <v>82</v>
      </c>
      <c r="C84" cm="1">
        <f t="array" ref="C84">IFERROR(INDEX('TRIP MANAGER'!$O$18:$O$25,$A84),"")</f>
        <v>-25.938960000000002</v>
      </c>
      <c r="D84" cm="1">
        <f t="array" ref="D84">IFERROR(INDEX('TRIP MANAGER'!$P$18:$P$25,$A84),"")</f>
        <v>27.926639999999999</v>
      </c>
      <c r="E84" cm="1">
        <f t="array" ref="E84">IFERROR(INDEX('TRIP MANAGER'!$Q$18:$Q$25,$A84),"")</f>
        <v>12.133699999999999</v>
      </c>
      <c r="F84" cm="1">
        <f t="array" ref="F84">IFERROR(INDEX('TRIP MANAGER'!$R$18:$R$25,$A84),"")</f>
        <v>15.034000000000001</v>
      </c>
      <c r="G84" cm="1">
        <f t="array" ref="G84">IFERROR(INDEX('TRIP MANAGER'!$S$18:$S$25,$A84),"")</f>
        <v>0.69965352295446726</v>
      </c>
      <c r="H84">
        <f t="shared" si="13"/>
        <v>0.54666666666666663</v>
      </c>
      <c r="I84">
        <f t="shared" si="14"/>
        <v>0.48432896491639971</v>
      </c>
      <c r="J84">
        <f t="shared" si="15"/>
        <v>0.57957657745385194</v>
      </c>
      <c r="K84">
        <f t="shared" si="16"/>
        <v>0.9320528346914505</v>
      </c>
      <c r="L84">
        <f t="shared" si="17"/>
        <v>0.35095919186231844</v>
      </c>
      <c r="M84">
        <f t="shared" si="18"/>
        <v>-9.0028656498805565E-2</v>
      </c>
      <c r="N84">
        <f t="shared" si="19"/>
        <v>-5.1652556797790812</v>
      </c>
      <c r="O84">
        <f t="shared" si="20"/>
        <v>20.633579475613828</v>
      </c>
      <c r="P84" t="str" cm="1">
        <f t="array" ref="P84">IF($N84="","",IFERROR(IF(INDEX(geo_grid!$B$2:$JU$231,INT(($N84+40)/0.5)+1,INT(($O84+30)/0.5)+1)="","",INDEX(geo_grid!$B$2:$JU$231,INT(($N84+40)/0.5)+1,INT(($O84+30)/0.5)+1)),"OUTSIDE GRID"))</f>
        <v>COD</v>
      </c>
      <c r="Q84">
        <f t="shared" si="21"/>
        <v>1082</v>
      </c>
    </row>
    <row r="85" spans="1:17" x14ac:dyDescent="0.3">
      <c r="A85">
        <f t="shared" si="11"/>
        <v>1</v>
      </c>
      <c r="B85">
        <f t="shared" si="12"/>
        <v>83</v>
      </c>
      <c r="C85" cm="1">
        <f t="array" ref="C85">IFERROR(INDEX('TRIP MANAGER'!$O$18:$O$25,$A85),"")</f>
        <v>-25.938960000000002</v>
      </c>
      <c r="D85" cm="1">
        <f t="array" ref="D85">IFERROR(INDEX('TRIP MANAGER'!$P$18:$P$25,$A85),"")</f>
        <v>27.926639999999999</v>
      </c>
      <c r="E85" cm="1">
        <f t="array" ref="E85">IFERROR(INDEX('TRIP MANAGER'!$Q$18:$Q$25,$A85),"")</f>
        <v>12.133699999999999</v>
      </c>
      <c r="F85" cm="1">
        <f t="array" ref="F85">IFERROR(INDEX('TRIP MANAGER'!$R$18:$R$25,$A85),"")</f>
        <v>15.034000000000001</v>
      </c>
      <c r="G85" cm="1">
        <f t="array" ref="G85">IFERROR(INDEX('TRIP MANAGER'!$S$18:$S$25,$A85),"")</f>
        <v>0.69965352295446726</v>
      </c>
      <c r="H85">
        <f t="shared" si="13"/>
        <v>0.55333333333333334</v>
      </c>
      <c r="I85">
        <f t="shared" si="14"/>
        <v>0.47744169638377693</v>
      </c>
      <c r="J85">
        <f t="shared" si="15"/>
        <v>0.58629018973538471</v>
      </c>
      <c r="K85">
        <f t="shared" si="16"/>
        <v>0.93291959473409158</v>
      </c>
      <c r="L85">
        <f t="shared" si="17"/>
        <v>0.34976110183676046</v>
      </c>
      <c r="M85">
        <f t="shared" si="18"/>
        <v>-8.5604914596730461E-2</v>
      </c>
      <c r="N85">
        <f t="shared" si="19"/>
        <v>-4.9108107143452449</v>
      </c>
      <c r="O85">
        <f t="shared" si="20"/>
        <v>20.551535875260583</v>
      </c>
      <c r="P85" t="str" cm="1">
        <f t="array" ref="P85">IF($N85="","",IFERROR(IF(INDEX(geo_grid!$B$2:$JU$231,INT(($N85+40)/0.5)+1,INT(($O85+30)/0.5)+1)="","",INDEX(geo_grid!$B$2:$JU$231,INT(($N85+40)/0.5)+1,INT(($O85+30)/0.5)+1)),"OUTSIDE GRID"))</f>
        <v>COD</v>
      </c>
      <c r="Q85">
        <f t="shared" si="21"/>
        <v>1083</v>
      </c>
    </row>
    <row r="86" spans="1:17" x14ac:dyDescent="0.3">
      <c r="A86">
        <f t="shared" si="11"/>
        <v>1</v>
      </c>
      <c r="B86">
        <f t="shared" si="12"/>
        <v>84</v>
      </c>
      <c r="C86" cm="1">
        <f t="array" ref="C86">IFERROR(INDEX('TRIP MANAGER'!$O$18:$O$25,$A86),"")</f>
        <v>-25.938960000000002</v>
      </c>
      <c r="D86" cm="1">
        <f t="array" ref="D86">IFERROR(INDEX('TRIP MANAGER'!$P$18:$P$25,$A86),"")</f>
        <v>27.926639999999999</v>
      </c>
      <c r="E86" cm="1">
        <f t="array" ref="E86">IFERROR(INDEX('TRIP MANAGER'!$Q$18:$Q$25,$A86),"")</f>
        <v>12.133699999999999</v>
      </c>
      <c r="F86" cm="1">
        <f t="array" ref="F86">IFERROR(INDEX('TRIP MANAGER'!$R$18:$R$25,$A86),"")</f>
        <v>15.034000000000001</v>
      </c>
      <c r="G86" cm="1">
        <f t="array" ref="G86">IFERROR(INDEX('TRIP MANAGER'!$S$18:$S$25,$A86),"")</f>
        <v>0.69965352295446726</v>
      </c>
      <c r="H86">
        <f t="shared" si="13"/>
        <v>0.56000000000000005</v>
      </c>
      <c r="I86">
        <f t="shared" si="14"/>
        <v>0.47054404054123466</v>
      </c>
      <c r="J86">
        <f t="shared" si="15"/>
        <v>0.59299104657902901</v>
      </c>
      <c r="K86">
        <f t="shared" si="16"/>
        <v>0.93376605800534895</v>
      </c>
      <c r="L86">
        <f t="shared" si="17"/>
        <v>0.34855540234393118</v>
      </c>
      <c r="M86">
        <f t="shared" si="18"/>
        <v>-8.1179310258288201E-2</v>
      </c>
      <c r="N86">
        <f t="shared" si="19"/>
        <v>-4.6563557365428627</v>
      </c>
      <c r="O86">
        <f t="shared" si="20"/>
        <v>20.469554862372107</v>
      </c>
      <c r="P86" t="str" cm="1">
        <f t="array" ref="P86">IF($N86="","",IFERROR(IF(INDEX(geo_grid!$B$2:$JU$231,INT(($N86+40)/0.5)+1,INT(($O86+30)/0.5)+1)="","",INDEX(geo_grid!$B$2:$JU$231,INT(($N86+40)/0.5)+1,INT(($O86+30)/0.5)+1)),"OUTSIDE GRID"))</f>
        <v>COD</v>
      </c>
      <c r="Q86">
        <f t="shared" si="21"/>
        <v>1084</v>
      </c>
    </row>
    <row r="87" spans="1:17" x14ac:dyDescent="0.3">
      <c r="A87">
        <f t="shared" si="11"/>
        <v>1</v>
      </c>
      <c r="B87">
        <f t="shared" si="12"/>
        <v>85</v>
      </c>
      <c r="C87" cm="1">
        <f t="array" ref="C87">IFERROR(INDEX('TRIP MANAGER'!$O$18:$O$25,$A87),"")</f>
        <v>-25.938960000000002</v>
      </c>
      <c r="D87" cm="1">
        <f t="array" ref="D87">IFERROR(INDEX('TRIP MANAGER'!$P$18:$P$25,$A87),"")</f>
        <v>27.926639999999999</v>
      </c>
      <c r="E87" cm="1">
        <f t="array" ref="E87">IFERROR(INDEX('TRIP MANAGER'!$Q$18:$Q$25,$A87),"")</f>
        <v>12.133699999999999</v>
      </c>
      <c r="F87" cm="1">
        <f t="array" ref="F87">IFERROR(INDEX('TRIP MANAGER'!$R$18:$R$25,$A87),"")</f>
        <v>15.034000000000001</v>
      </c>
      <c r="G87" cm="1">
        <f t="array" ref="G87">IFERROR(INDEX('TRIP MANAGER'!$S$18:$S$25,$A87),"")</f>
        <v>0.69965352295446726</v>
      </c>
      <c r="H87">
        <f t="shared" si="13"/>
        <v>0.56666666666666665</v>
      </c>
      <c r="I87">
        <f t="shared" si="14"/>
        <v>0.46363614745545018</v>
      </c>
      <c r="J87">
        <f t="shared" si="15"/>
        <v>0.59967900219970283</v>
      </c>
      <c r="K87">
        <f t="shared" si="16"/>
        <v>0.93459220608941096</v>
      </c>
      <c r="L87">
        <f t="shared" si="17"/>
        <v>0.34734211961525191</v>
      </c>
      <c r="M87">
        <f t="shared" si="18"/>
        <v>-7.6751939767745997E-2</v>
      </c>
      <c r="N87">
        <f t="shared" si="19"/>
        <v>-4.4018912745718479</v>
      </c>
      <c r="O87">
        <f t="shared" si="20"/>
        <v>20.387633137434253</v>
      </c>
      <c r="P87" t="str" cm="1">
        <f t="array" ref="P87">IF($N87="","",IFERROR(IF(INDEX(geo_grid!$B$2:$JU$231,INT(($N87+40)/0.5)+1,INT(($O87+30)/0.5)+1)="","",INDEX(geo_grid!$B$2:$JU$231,INT(($N87+40)/0.5)+1,INT(($O87+30)/0.5)+1)),"OUTSIDE GRID"))</f>
        <v>COD</v>
      </c>
      <c r="Q87">
        <f t="shared" si="21"/>
        <v>1085</v>
      </c>
    </row>
    <row r="88" spans="1:17" x14ac:dyDescent="0.3">
      <c r="A88">
        <f t="shared" si="11"/>
        <v>1</v>
      </c>
      <c r="B88">
        <f t="shared" si="12"/>
        <v>86</v>
      </c>
      <c r="C88" cm="1">
        <f t="array" ref="C88">IFERROR(INDEX('TRIP MANAGER'!$O$18:$O$25,$A88),"")</f>
        <v>-25.938960000000002</v>
      </c>
      <c r="D88" cm="1">
        <f t="array" ref="D88">IFERROR(INDEX('TRIP MANAGER'!$P$18:$P$25,$A88),"")</f>
        <v>27.926639999999999</v>
      </c>
      <c r="E88" cm="1">
        <f t="array" ref="E88">IFERROR(INDEX('TRIP MANAGER'!$Q$18:$Q$25,$A88),"")</f>
        <v>12.133699999999999</v>
      </c>
      <c r="F88" cm="1">
        <f t="array" ref="F88">IFERROR(INDEX('TRIP MANAGER'!$R$18:$R$25,$A88),"")</f>
        <v>15.034000000000001</v>
      </c>
      <c r="G88" cm="1">
        <f t="array" ref="G88">IFERROR(INDEX('TRIP MANAGER'!$S$18:$S$25,$A88),"")</f>
        <v>0.69965352295446726</v>
      </c>
      <c r="H88">
        <f t="shared" si="13"/>
        <v>0.57333333333333336</v>
      </c>
      <c r="I88">
        <f t="shared" si="14"/>
        <v>0.45671816741582388</v>
      </c>
      <c r="J88">
        <f t="shared" si="15"/>
        <v>0.60635391109300618</v>
      </c>
      <c r="K88">
        <f t="shared" si="16"/>
        <v>0.93539802101244718</v>
      </c>
      <c r="L88">
        <f t="shared" si="17"/>
        <v>0.34612128004712633</v>
      </c>
      <c r="M88">
        <f t="shared" si="18"/>
        <v>-7.2322899447795602E-2</v>
      </c>
      <c r="N88">
        <f t="shared" si="19"/>
        <v>-4.1474178551402847</v>
      </c>
      <c r="O88">
        <f t="shared" si="20"/>
        <v>20.305767409889864</v>
      </c>
      <c r="P88" t="str" cm="1">
        <f t="array" ref="P88">IF($N88="","",IFERROR(IF(INDEX(geo_grid!$B$2:$JU$231,INT(($N88+40)/0.5)+1,INT(($O88+30)/0.5)+1)="","",INDEX(geo_grid!$B$2:$JU$231,INT(($N88+40)/0.5)+1,INT(($O88+30)/0.5)+1)),"OUTSIDE GRID"))</f>
        <v>COD</v>
      </c>
      <c r="Q88">
        <f t="shared" si="21"/>
        <v>1086</v>
      </c>
    </row>
    <row r="89" spans="1:17" x14ac:dyDescent="0.3">
      <c r="A89">
        <f t="shared" si="11"/>
        <v>1</v>
      </c>
      <c r="B89">
        <f t="shared" si="12"/>
        <v>87</v>
      </c>
      <c r="C89" cm="1">
        <f t="array" ref="C89">IFERROR(INDEX('TRIP MANAGER'!$O$18:$O$25,$A89),"")</f>
        <v>-25.938960000000002</v>
      </c>
      <c r="D89" cm="1">
        <f t="array" ref="D89">IFERROR(INDEX('TRIP MANAGER'!$P$18:$P$25,$A89),"")</f>
        <v>27.926639999999999</v>
      </c>
      <c r="E89" cm="1">
        <f t="array" ref="E89">IFERROR(INDEX('TRIP MANAGER'!$Q$18:$Q$25,$A89),"")</f>
        <v>12.133699999999999</v>
      </c>
      <c r="F89" cm="1">
        <f t="array" ref="F89">IFERROR(INDEX('TRIP MANAGER'!$R$18:$R$25,$A89),"")</f>
        <v>15.034000000000001</v>
      </c>
      <c r="G89" cm="1">
        <f t="array" ref="G89">IFERROR(INDEX('TRIP MANAGER'!$S$18:$S$25,$A89),"")</f>
        <v>0.69965352295446726</v>
      </c>
      <c r="H89">
        <f t="shared" si="13"/>
        <v>0.57999999999999996</v>
      </c>
      <c r="I89">
        <f t="shared" si="14"/>
        <v>0.44979025093121017</v>
      </c>
      <c r="J89">
        <f t="shared" si="15"/>
        <v>0.61301562803838539</v>
      </c>
      <c r="K89">
        <f t="shared" si="16"/>
        <v>0.93618348524299888</v>
      </c>
      <c r="L89">
        <f t="shared" si="17"/>
        <v>0.34489291020036605</v>
      </c>
      <c r="M89">
        <f t="shared" si="18"/>
        <v>-6.7892285657458085E-2</v>
      </c>
      <c r="N89">
        <f t="shared" si="19"/>
        <v>-3.8929360035486544</v>
      </c>
      <c r="O89">
        <f t="shared" si="20"/>
        <v>20.223954397634213</v>
      </c>
      <c r="P89" t="str" cm="1">
        <f t="array" ref="P89">IF($N89="","",IFERROR(IF(INDEX(geo_grid!$B$2:$JU$231,INT(($N89+40)/0.5)+1,INT(($O89+30)/0.5)+1)="","",INDEX(geo_grid!$B$2:$JU$231,INT(($N89+40)/0.5)+1,INT(($O89+30)/0.5)+1)),"OUTSIDE GRID"))</f>
        <v>COD</v>
      </c>
      <c r="Q89">
        <f t="shared" si="21"/>
        <v>1087</v>
      </c>
    </row>
    <row r="90" spans="1:17" x14ac:dyDescent="0.3">
      <c r="A90">
        <f t="shared" si="11"/>
        <v>1</v>
      </c>
      <c r="B90">
        <f t="shared" si="12"/>
        <v>88</v>
      </c>
      <c r="C90" cm="1">
        <f t="array" ref="C90">IFERROR(INDEX('TRIP MANAGER'!$O$18:$O$25,$A90),"")</f>
        <v>-25.938960000000002</v>
      </c>
      <c r="D90" cm="1">
        <f t="array" ref="D90">IFERROR(INDEX('TRIP MANAGER'!$P$18:$P$25,$A90),"")</f>
        <v>27.926639999999999</v>
      </c>
      <c r="E90" cm="1">
        <f t="array" ref="E90">IFERROR(INDEX('TRIP MANAGER'!$Q$18:$Q$25,$A90),"")</f>
        <v>12.133699999999999</v>
      </c>
      <c r="F90" cm="1">
        <f t="array" ref="F90">IFERROR(INDEX('TRIP MANAGER'!$R$18:$R$25,$A90),"")</f>
        <v>15.034000000000001</v>
      </c>
      <c r="G90" cm="1">
        <f t="array" ref="G90">IFERROR(INDEX('TRIP MANAGER'!$S$18:$S$25,$A90),"")</f>
        <v>0.69965352295446726</v>
      </c>
      <c r="H90">
        <f t="shared" si="13"/>
        <v>0.58666666666666667</v>
      </c>
      <c r="I90">
        <f t="shared" si="14"/>
        <v>0.44285254872664226</v>
      </c>
      <c r="J90">
        <f t="shared" si="15"/>
        <v>0.61966400810229383</v>
      </c>
      <c r="K90">
        <f t="shared" si="16"/>
        <v>0.93694858169236084</v>
      </c>
      <c r="L90">
        <f t="shared" si="17"/>
        <v>0.34365703679961279</v>
      </c>
      <c r="M90">
        <f t="shared" si="18"/>
        <v>-6.3460194789987046E-2</v>
      </c>
      <c r="N90">
        <f t="shared" si="19"/>
        <v>-3.6384462437735521</v>
      </c>
      <c r="O90">
        <f t="shared" si="20"/>
        <v>20.142190826512969</v>
      </c>
      <c r="P90" t="str" cm="1">
        <f t="array" ref="P90">IF($N90="","",IFERROR(IF(INDEX(geo_grid!$B$2:$JU$231,INT(($N90+40)/0.5)+1,INT(($O90+30)/0.5)+1)="","",INDEX(geo_grid!$B$2:$JU$231,INT(($N90+40)/0.5)+1,INT(($O90+30)/0.5)+1)),"OUTSIDE GRID"))</f>
        <v>COD</v>
      </c>
      <c r="Q90">
        <f t="shared" si="21"/>
        <v>1088</v>
      </c>
    </row>
    <row r="91" spans="1:17" x14ac:dyDescent="0.3">
      <c r="A91">
        <f t="shared" si="11"/>
        <v>1</v>
      </c>
      <c r="B91">
        <f t="shared" si="12"/>
        <v>89</v>
      </c>
      <c r="C91" cm="1">
        <f t="array" ref="C91">IFERROR(INDEX('TRIP MANAGER'!$O$18:$O$25,$A91),"")</f>
        <v>-25.938960000000002</v>
      </c>
      <c r="D91" cm="1">
        <f t="array" ref="D91">IFERROR(INDEX('TRIP MANAGER'!$P$18:$P$25,$A91),"")</f>
        <v>27.926639999999999</v>
      </c>
      <c r="E91" cm="1">
        <f t="array" ref="E91">IFERROR(INDEX('TRIP MANAGER'!$Q$18:$Q$25,$A91),"")</f>
        <v>12.133699999999999</v>
      </c>
      <c r="F91" cm="1">
        <f t="array" ref="F91">IFERROR(INDEX('TRIP MANAGER'!$R$18:$R$25,$A91),"")</f>
        <v>15.034000000000001</v>
      </c>
      <c r="G91" cm="1">
        <f t="array" ref="G91">IFERROR(INDEX('TRIP MANAGER'!$S$18:$S$25,$A91),"")</f>
        <v>0.69965352295446726</v>
      </c>
      <c r="H91">
        <f t="shared" si="13"/>
        <v>0.59333333333333338</v>
      </c>
      <c r="I91">
        <f t="shared" si="14"/>
        <v>0.43590521174005359</v>
      </c>
      <c r="J91">
        <f t="shared" si="15"/>
        <v>0.6262989066413438</v>
      </c>
      <c r="K91">
        <f t="shared" si="16"/>
        <v>0.93769329371495291</v>
      </c>
      <c r="L91">
        <f t="shared" si="17"/>
        <v>0.34241368673275691</v>
      </c>
      <c r="M91">
        <f t="shared" si="18"/>
        <v>-5.9026723270771936E-2</v>
      </c>
      <c r="N91">
        <f t="shared" si="19"/>
        <v>-3.3839490985510365</v>
      </c>
      <c r="O91">
        <f t="shared" si="20"/>
        <v>20.060473429822562</v>
      </c>
      <c r="P91" t="str" cm="1">
        <f t="array" ref="P91">IF($N91="","",IFERROR(IF(INDEX(geo_grid!$B$2:$JU$231,INT(($N91+40)/0.5)+1,INT(($O91+30)/0.5)+1)="","",INDEX(geo_grid!$B$2:$JU$231,INT(($N91+40)/0.5)+1,INT(($O91+30)/0.5)+1)),"OUTSIDE GRID"))</f>
        <v>COD</v>
      </c>
      <c r="Q91">
        <f t="shared" si="21"/>
        <v>1089</v>
      </c>
    </row>
    <row r="92" spans="1:17" x14ac:dyDescent="0.3">
      <c r="A92">
        <f t="shared" si="11"/>
        <v>1</v>
      </c>
      <c r="B92">
        <f t="shared" si="12"/>
        <v>90</v>
      </c>
      <c r="C92" cm="1">
        <f t="array" ref="C92">IFERROR(INDEX('TRIP MANAGER'!$O$18:$O$25,$A92),"")</f>
        <v>-25.938960000000002</v>
      </c>
      <c r="D92" cm="1">
        <f t="array" ref="D92">IFERROR(INDEX('TRIP MANAGER'!$P$18:$P$25,$A92),"")</f>
        <v>27.926639999999999</v>
      </c>
      <c r="E92" cm="1">
        <f t="array" ref="E92">IFERROR(INDEX('TRIP MANAGER'!$Q$18:$Q$25,$A92),"")</f>
        <v>12.133699999999999</v>
      </c>
      <c r="F92" cm="1">
        <f t="array" ref="F92">IFERROR(INDEX('TRIP MANAGER'!$R$18:$R$25,$A92),"")</f>
        <v>15.034000000000001</v>
      </c>
      <c r="G92" cm="1">
        <f t="array" ref="G92">IFERROR(INDEX('TRIP MANAGER'!$S$18:$S$25,$A92),"")</f>
        <v>0.69965352295446726</v>
      </c>
      <c r="H92">
        <f t="shared" si="13"/>
        <v>0.6</v>
      </c>
      <c r="I92">
        <f t="shared" si="14"/>
        <v>0.42894839111899363</v>
      </c>
      <c r="J92">
        <f t="shared" si="15"/>
        <v>0.63292017930545474</v>
      </c>
      <c r="K92">
        <f t="shared" si="16"/>
        <v>0.93841760510868277</v>
      </c>
      <c r="L92">
        <f t="shared" si="17"/>
        <v>0.3411628870503528</v>
      </c>
      <c r="M92">
        <f t="shared" si="18"/>
        <v>-5.4591967555239734E-2</v>
      </c>
      <c r="N92">
        <f t="shared" si="19"/>
        <v>-3.1294450894595176</v>
      </c>
      <c r="O92">
        <f t="shared" si="20"/>
        <v>19.978798947812827</v>
      </c>
      <c r="P92" t="str" cm="1">
        <f t="array" ref="P92">IF($N92="","",IFERROR(IF(INDEX(geo_grid!$B$2:$JU$231,INT(($N92+40)/0.5)+1,INT(($O92+30)/0.5)+1)="","",INDEX(geo_grid!$B$2:$JU$231,INT(($N92+40)/0.5)+1,INT(($O92+30)/0.5)+1)),"OUTSIDE GRID"))</f>
        <v>COD</v>
      </c>
      <c r="Q92">
        <f t="shared" si="21"/>
        <v>1090</v>
      </c>
    </row>
    <row r="93" spans="1:17" x14ac:dyDescent="0.3">
      <c r="A93">
        <f t="shared" si="11"/>
        <v>1</v>
      </c>
      <c r="B93">
        <f t="shared" si="12"/>
        <v>91</v>
      </c>
      <c r="C93" cm="1">
        <f t="array" ref="C93">IFERROR(INDEX('TRIP MANAGER'!$O$18:$O$25,$A93),"")</f>
        <v>-25.938960000000002</v>
      </c>
      <c r="D93" cm="1">
        <f t="array" ref="D93">IFERROR(INDEX('TRIP MANAGER'!$P$18:$P$25,$A93),"")</f>
        <v>27.926639999999999</v>
      </c>
      <c r="E93" cm="1">
        <f t="array" ref="E93">IFERROR(INDEX('TRIP MANAGER'!$Q$18:$Q$25,$A93),"")</f>
        <v>12.133699999999999</v>
      </c>
      <c r="F93" cm="1">
        <f t="array" ref="F93">IFERROR(INDEX('TRIP MANAGER'!$R$18:$R$25,$A93),"")</f>
        <v>15.034000000000001</v>
      </c>
      <c r="G93" cm="1">
        <f t="array" ref="G93">IFERROR(INDEX('TRIP MANAGER'!$S$18:$S$25,$A93),"")</f>
        <v>0.69965352295446726</v>
      </c>
      <c r="H93">
        <f t="shared" si="13"/>
        <v>0.60666666666666669</v>
      </c>
      <c r="I93">
        <f t="shared" si="14"/>
        <v>0.42198223821733932</v>
      </c>
      <c r="J93">
        <f t="shared" si="15"/>
        <v>0.63952768204099331</v>
      </c>
      <c r="K93">
        <f t="shared" si="16"/>
        <v>0.93912150011529771</v>
      </c>
      <c r="L93">
        <f t="shared" si="17"/>
        <v>0.3399046649650298</v>
      </c>
      <c r="M93">
        <f t="shared" si="18"/>
        <v>-5.0156024126756488E-2</v>
      </c>
      <c r="N93">
        <f t="shared" si="19"/>
        <v>-2.8749347370023211</v>
      </c>
      <c r="O93">
        <f t="shared" si="20"/>
        <v>19.897164127191651</v>
      </c>
      <c r="P93" t="str" cm="1">
        <f t="array" ref="P93">IF($N93="","",IFERROR(IF(INDEX(geo_grid!$B$2:$JU$231,INT(($N93+40)/0.5)+1,INT(($O93+30)/0.5)+1)="","",INDEX(geo_grid!$B$2:$JU$231,INT(($N93+40)/0.5)+1,INT(($O93+30)/0.5)+1)),"OUTSIDE GRID"))</f>
        <v>COD</v>
      </c>
      <c r="Q93">
        <f t="shared" si="21"/>
        <v>1091</v>
      </c>
    </row>
    <row r="94" spans="1:17" x14ac:dyDescent="0.3">
      <c r="A94">
        <f t="shared" si="11"/>
        <v>1</v>
      </c>
      <c r="B94">
        <f t="shared" si="12"/>
        <v>92</v>
      </c>
      <c r="C94" cm="1">
        <f t="array" ref="C94">IFERROR(INDEX('TRIP MANAGER'!$O$18:$O$25,$A94),"")</f>
        <v>-25.938960000000002</v>
      </c>
      <c r="D94" cm="1">
        <f t="array" ref="D94">IFERROR(INDEX('TRIP MANAGER'!$P$18:$P$25,$A94),"")</f>
        <v>27.926639999999999</v>
      </c>
      <c r="E94" cm="1">
        <f t="array" ref="E94">IFERROR(INDEX('TRIP MANAGER'!$Q$18:$Q$25,$A94),"")</f>
        <v>12.133699999999999</v>
      </c>
      <c r="F94" cm="1">
        <f t="array" ref="F94">IFERROR(INDEX('TRIP MANAGER'!$R$18:$R$25,$A94),"")</f>
        <v>15.034000000000001</v>
      </c>
      <c r="G94" cm="1">
        <f t="array" ref="G94">IFERROR(INDEX('TRIP MANAGER'!$S$18:$S$25,$A94),"")</f>
        <v>0.69965352295446726</v>
      </c>
      <c r="H94">
        <f t="shared" si="13"/>
        <v>0.61333333333333329</v>
      </c>
      <c r="I94">
        <f t="shared" si="14"/>
        <v>0.41500690459200279</v>
      </c>
      <c r="J94">
        <f t="shared" si="15"/>
        <v>0.64612127109390649</v>
      </c>
      <c r="K94">
        <f t="shared" si="16"/>
        <v>0.93980496342072728</v>
      </c>
      <c r="L94">
        <f t="shared" si="17"/>
        <v>0.33863904785090043</v>
      </c>
      <c r="M94">
        <f t="shared" si="18"/>
        <v>-4.5718989494528711E-2</v>
      </c>
      <c r="N94">
        <f t="shared" si="19"/>
        <v>-2.6204185606899246</v>
      </c>
      <c r="O94">
        <f t="shared" si="20"/>
        <v>19.815565720631671</v>
      </c>
      <c r="P94" t="str" cm="1">
        <f t="array" ref="P94">IF($N94="","",IFERROR(IF(INDEX(geo_grid!$B$2:$JU$231,INT(($N94+40)/0.5)+1,INT(($O94+30)/0.5)+1)="","",INDEX(geo_grid!$B$2:$JU$231,INT(($N94+40)/0.5)+1,INT(($O94+30)/0.5)+1)),"OUTSIDE GRID"))</f>
        <v>COD</v>
      </c>
      <c r="Q94">
        <f t="shared" si="21"/>
        <v>1092</v>
      </c>
    </row>
    <row r="95" spans="1:17" x14ac:dyDescent="0.3">
      <c r="A95">
        <f t="shared" si="11"/>
        <v>1</v>
      </c>
      <c r="B95">
        <f t="shared" si="12"/>
        <v>93</v>
      </c>
      <c r="C95" cm="1">
        <f t="array" ref="C95">IFERROR(INDEX('TRIP MANAGER'!$O$18:$O$25,$A95),"")</f>
        <v>-25.938960000000002</v>
      </c>
      <c r="D95" cm="1">
        <f t="array" ref="D95">IFERROR(INDEX('TRIP MANAGER'!$P$18:$P$25,$A95),"")</f>
        <v>27.926639999999999</v>
      </c>
      <c r="E95" cm="1">
        <f t="array" ref="E95">IFERROR(INDEX('TRIP MANAGER'!$Q$18:$Q$25,$A95),"")</f>
        <v>12.133699999999999</v>
      </c>
      <c r="F95" cm="1">
        <f t="array" ref="F95">IFERROR(INDEX('TRIP MANAGER'!$R$18:$R$25,$A95),"")</f>
        <v>15.034000000000001</v>
      </c>
      <c r="G95" cm="1">
        <f t="array" ref="G95">IFERROR(INDEX('TRIP MANAGER'!$S$18:$S$25,$A95),"")</f>
        <v>0.69965352295446726</v>
      </c>
      <c r="H95">
        <f t="shared" si="13"/>
        <v>0.62</v>
      </c>
      <c r="I95">
        <f t="shared" si="14"/>
        <v>0.40802254199963328</v>
      </c>
      <c r="J95">
        <f t="shared" si="15"/>
        <v>0.65270080301285083</v>
      </c>
      <c r="K95">
        <f t="shared" si="16"/>
        <v>0.94046798015541777</v>
      </c>
      <c r="L95">
        <f t="shared" si="17"/>
        <v>0.33736606324296498</v>
      </c>
      <c r="M95">
        <f t="shared" si="18"/>
        <v>-4.1280960191502958E-2</v>
      </c>
      <c r="N95">
        <f t="shared" si="19"/>
        <v>-2.3658970791218001</v>
      </c>
      <c r="O95">
        <f t="shared" si="20"/>
        <v>19.734000486278649</v>
      </c>
      <c r="P95" t="str" cm="1">
        <f t="array" ref="P95">IF($N95="","",IFERROR(IF(INDEX(geo_grid!$B$2:$JU$231,INT(($N95+40)/0.5)+1,INT(($O95+30)/0.5)+1)="","",INDEX(geo_grid!$B$2:$JU$231,INT(($N95+40)/0.5)+1,INT(($O95+30)/0.5)+1)),"OUTSIDE GRID"))</f>
        <v>COD</v>
      </c>
      <c r="Q95">
        <f t="shared" si="21"/>
        <v>1093</v>
      </c>
    </row>
    <row r="96" spans="1:17" x14ac:dyDescent="0.3">
      <c r="A96">
        <f t="shared" si="11"/>
        <v>1</v>
      </c>
      <c r="B96">
        <f t="shared" si="12"/>
        <v>94</v>
      </c>
      <c r="C96" cm="1">
        <f t="array" ref="C96">IFERROR(INDEX('TRIP MANAGER'!$O$18:$O$25,$A96),"")</f>
        <v>-25.938960000000002</v>
      </c>
      <c r="D96" cm="1">
        <f t="array" ref="D96">IFERROR(INDEX('TRIP MANAGER'!$P$18:$P$25,$A96),"")</f>
        <v>27.926639999999999</v>
      </c>
      <c r="E96" cm="1">
        <f t="array" ref="E96">IFERROR(INDEX('TRIP MANAGER'!$Q$18:$Q$25,$A96),"")</f>
        <v>12.133699999999999</v>
      </c>
      <c r="F96" cm="1">
        <f t="array" ref="F96">IFERROR(INDEX('TRIP MANAGER'!$R$18:$R$25,$A96),"")</f>
        <v>15.034000000000001</v>
      </c>
      <c r="G96" cm="1">
        <f t="array" ref="G96">IFERROR(INDEX('TRIP MANAGER'!$S$18:$S$25,$A96),"")</f>
        <v>0.69965352295446726</v>
      </c>
      <c r="H96">
        <f t="shared" si="13"/>
        <v>0.62666666666666671</v>
      </c>
      <c r="I96">
        <f t="shared" si="14"/>
        <v>0.40102930239331624</v>
      </c>
      <c r="J96">
        <f t="shared" si="15"/>
        <v>0.65926613465231165</v>
      </c>
      <c r="K96">
        <f t="shared" si="16"/>
        <v>0.94111053589465388</v>
      </c>
      <c r="L96">
        <f t="shared" si="17"/>
        <v>0.33608573883651205</v>
      </c>
      <c r="M96">
        <f t="shared" si="18"/>
        <v>-3.6842032772266275E-2</v>
      </c>
      <c r="N96">
        <f t="shared" si="19"/>
        <v>-2.1113708100680619</v>
      </c>
      <c r="O96">
        <f t="shared" si="20"/>
        <v>19.652465187261594</v>
      </c>
      <c r="P96" t="str" cm="1">
        <f t="array" ref="P96">IF($N96="","",IFERROR(IF(INDEX(geo_grid!$B$2:$JU$231,INT(($N96+40)/0.5)+1,INT(($O96+30)/0.5)+1)="","",INDEX(geo_grid!$B$2:$JU$231,INT(($N96+40)/0.5)+1,INT(($O96+30)/0.5)+1)),"OUTSIDE GRID"))</f>
        <v>COD</v>
      </c>
      <c r="Q96">
        <f t="shared" si="21"/>
        <v>1094</v>
      </c>
    </row>
    <row r="97" spans="1:17" x14ac:dyDescent="0.3">
      <c r="A97">
        <f t="shared" si="11"/>
        <v>1</v>
      </c>
      <c r="B97">
        <f t="shared" si="12"/>
        <v>95</v>
      </c>
      <c r="C97" cm="1">
        <f t="array" ref="C97">IFERROR(INDEX('TRIP MANAGER'!$O$18:$O$25,$A97),"")</f>
        <v>-25.938960000000002</v>
      </c>
      <c r="D97" cm="1">
        <f t="array" ref="D97">IFERROR(INDEX('TRIP MANAGER'!$P$18:$P$25,$A97),"")</f>
        <v>27.926639999999999</v>
      </c>
      <c r="E97" cm="1">
        <f t="array" ref="E97">IFERROR(INDEX('TRIP MANAGER'!$Q$18:$Q$25,$A97),"")</f>
        <v>12.133699999999999</v>
      </c>
      <c r="F97" cm="1">
        <f t="array" ref="F97">IFERROR(INDEX('TRIP MANAGER'!$R$18:$R$25,$A97),"")</f>
        <v>15.034000000000001</v>
      </c>
      <c r="G97" cm="1">
        <f t="array" ref="G97">IFERROR(INDEX('TRIP MANAGER'!$S$18:$S$25,$A97),"")</f>
        <v>0.69965352295446726</v>
      </c>
      <c r="H97">
        <f t="shared" si="13"/>
        <v>0.6333333333333333</v>
      </c>
      <c r="I97">
        <f t="shared" si="14"/>
        <v>0.39402733791926714</v>
      </c>
      <c r="J97">
        <f t="shared" si="15"/>
        <v>0.66581712317571884</v>
      </c>
      <c r="K97">
        <f t="shared" si="16"/>
        <v>0.94173261665887464</v>
      </c>
      <c r="L97">
        <f t="shared" si="17"/>
        <v>0.33479810248651665</v>
      </c>
      <c r="M97">
        <f t="shared" si="18"/>
        <v>-3.2402303810945332E-2</v>
      </c>
      <c r="N97">
        <f t="shared" si="19"/>
        <v>-1.8568402705507854</v>
      </c>
      <c r="O97">
        <f t="shared" si="20"/>
        <v>19.570956591204283</v>
      </c>
      <c r="P97" t="str" cm="1">
        <f t="array" ref="P97">IF($N97="","",IFERROR(IF(INDEX(geo_grid!$B$2:$JU$231,INT(($N97+40)/0.5)+1,INT(($O97+30)/0.5)+1)="","",INDEX(geo_grid!$B$2:$JU$231,INT(($N97+40)/0.5)+1,INT(($O97+30)/0.5)+1)),"OUTSIDE GRID"))</f>
        <v>COD</v>
      </c>
      <c r="Q97">
        <f t="shared" si="21"/>
        <v>1095</v>
      </c>
    </row>
    <row r="98" spans="1:17" x14ac:dyDescent="0.3">
      <c r="A98">
        <f t="shared" si="11"/>
        <v>1</v>
      </c>
      <c r="B98">
        <f t="shared" si="12"/>
        <v>96</v>
      </c>
      <c r="C98" cm="1">
        <f t="array" ref="C98">IFERROR(INDEX('TRIP MANAGER'!$O$18:$O$25,$A98),"")</f>
        <v>-25.938960000000002</v>
      </c>
      <c r="D98" cm="1">
        <f t="array" ref="D98">IFERROR(INDEX('TRIP MANAGER'!$P$18:$P$25,$A98),"")</f>
        <v>27.926639999999999</v>
      </c>
      <c r="E98" cm="1">
        <f t="array" ref="E98">IFERROR(INDEX('TRIP MANAGER'!$Q$18:$Q$25,$A98),"")</f>
        <v>12.133699999999999</v>
      </c>
      <c r="F98" cm="1">
        <f t="array" ref="F98">IFERROR(INDEX('TRIP MANAGER'!$R$18:$R$25,$A98),"")</f>
        <v>15.034000000000001</v>
      </c>
      <c r="G98" cm="1">
        <f t="array" ref="G98">IFERROR(INDEX('TRIP MANAGER'!$S$18:$S$25,$A98),"")</f>
        <v>0.69965352295446726</v>
      </c>
      <c r="H98">
        <f t="shared" si="13"/>
        <v>0.64</v>
      </c>
      <c r="I98">
        <f t="shared" si="14"/>
        <v>0.38701680091352086</v>
      </c>
      <c r="J98">
        <f t="shared" si="15"/>
        <v>0.67235362605855353</v>
      </c>
      <c r="K98">
        <f t="shared" si="16"/>
        <v>0.94233420891397546</v>
      </c>
      <c r="L98">
        <f t="shared" si="17"/>
        <v>0.3335031822070334</v>
      </c>
      <c r="M98">
        <f t="shared" si="18"/>
        <v>-2.7961869899105013E-2</v>
      </c>
      <c r="N98">
        <f t="shared" si="19"/>
        <v>-1.6023059769250942</v>
      </c>
      <c r="O98">
        <f t="shared" si="20"/>
        <v>19.489471469738202</v>
      </c>
      <c r="P98" t="str" cm="1">
        <f t="array" ref="P98">IF($N98="","",IFERROR(IF(INDEX(geo_grid!$B$2:$JU$231,INT(($N98+40)/0.5)+1,INT(($O98+30)/0.5)+1)="","",INDEX(geo_grid!$B$2:$JU$231,INT(($N98+40)/0.5)+1,INT(($O98+30)/0.5)+1)),"OUTSIDE GRID"))</f>
        <v>COD</v>
      </c>
      <c r="Q98">
        <f t="shared" si="21"/>
        <v>1096</v>
      </c>
    </row>
    <row r="99" spans="1:17" x14ac:dyDescent="0.3">
      <c r="A99">
        <f t="shared" si="11"/>
        <v>1</v>
      </c>
      <c r="B99">
        <f t="shared" si="12"/>
        <v>97</v>
      </c>
      <c r="C99" cm="1">
        <f t="array" ref="C99">IFERROR(INDEX('TRIP MANAGER'!$O$18:$O$25,$A99),"")</f>
        <v>-25.938960000000002</v>
      </c>
      <c r="D99" cm="1">
        <f t="array" ref="D99">IFERROR(INDEX('TRIP MANAGER'!$P$18:$P$25,$A99),"")</f>
        <v>27.926639999999999</v>
      </c>
      <c r="E99" cm="1">
        <f t="array" ref="E99">IFERROR(INDEX('TRIP MANAGER'!$Q$18:$Q$25,$A99),"")</f>
        <v>12.133699999999999</v>
      </c>
      <c r="F99" cm="1">
        <f t="array" ref="F99">IFERROR(INDEX('TRIP MANAGER'!$R$18:$R$25,$A99),"")</f>
        <v>15.034000000000001</v>
      </c>
      <c r="G99" cm="1">
        <f t="array" ref="G99">IFERROR(INDEX('TRIP MANAGER'!$S$18:$S$25,$A99),"")</f>
        <v>0.69965352295446726</v>
      </c>
      <c r="H99">
        <f t="shared" si="13"/>
        <v>0.64666666666666661</v>
      </c>
      <c r="I99">
        <f t="shared" si="14"/>
        <v>0.3799978438986184</v>
      </c>
      <c r="J99">
        <f t="shared" si="15"/>
        <v>0.67887550109144879</v>
      </c>
      <c r="K99">
        <f t="shared" si="16"/>
        <v>0.94291529957160347</v>
      </c>
      <c r="L99">
        <f t="shared" si="17"/>
        <v>0.33220100617058756</v>
      </c>
      <c r="M99">
        <f t="shared" si="18"/>
        <v>-2.3520827643647657E-2</v>
      </c>
      <c r="N99">
        <f t="shared" si="19"/>
        <v>-1.3477684449600833</v>
      </c>
      <c r="O99">
        <f t="shared" si="20"/>
        <v>19.408006598016641</v>
      </c>
      <c r="P99" t="str" cm="1">
        <f t="array" ref="P99">IF($N99="","",IFERROR(IF(INDEX(geo_grid!$B$2:$JU$231,INT(($N99+40)/0.5)+1,INT(($O99+30)/0.5)+1)="","",INDEX(geo_grid!$B$2:$JU$231,INT(($N99+40)/0.5)+1,INT(($O99+30)/0.5)+1)),"OUTSIDE GRID"))</f>
        <v>COD</v>
      </c>
      <c r="Q99">
        <f t="shared" si="21"/>
        <v>1097</v>
      </c>
    </row>
    <row r="100" spans="1:17" x14ac:dyDescent="0.3">
      <c r="A100">
        <f t="shared" si="11"/>
        <v>1</v>
      </c>
      <c r="B100">
        <f t="shared" si="12"/>
        <v>98</v>
      </c>
      <c r="C100" cm="1">
        <f t="array" ref="C100">IFERROR(INDEX('TRIP MANAGER'!$O$18:$O$25,$A100),"")</f>
        <v>-25.938960000000002</v>
      </c>
      <c r="D100" cm="1">
        <f t="array" ref="D100">IFERROR(INDEX('TRIP MANAGER'!$P$18:$P$25,$A100),"")</f>
        <v>27.926639999999999</v>
      </c>
      <c r="E100" cm="1">
        <f t="array" ref="E100">IFERROR(INDEX('TRIP MANAGER'!$Q$18:$Q$25,$A100),"")</f>
        <v>12.133699999999999</v>
      </c>
      <c r="F100" cm="1">
        <f t="array" ref="F100">IFERROR(INDEX('TRIP MANAGER'!$R$18:$R$25,$A100),"")</f>
        <v>15.034000000000001</v>
      </c>
      <c r="G100" cm="1">
        <f t="array" ref="G100">IFERROR(INDEX('TRIP MANAGER'!$S$18:$S$25,$A100),"")</f>
        <v>0.69965352295446726</v>
      </c>
      <c r="H100">
        <f t="shared" si="13"/>
        <v>0.65333333333333332</v>
      </c>
      <c r="I100">
        <f t="shared" si="14"/>
        <v>0.37297061958028743</v>
      </c>
      <c r="J100">
        <f t="shared" si="15"/>
        <v>0.68538260638328474</v>
      </c>
      <c r="K100">
        <f t="shared" si="16"/>
        <v>0.9434758759894436</v>
      </c>
      <c r="L100">
        <f t="shared" si="17"/>
        <v>0.33089160270756207</v>
      </c>
      <c r="M100">
        <f t="shared" si="18"/>
        <v>-1.9079273664710322E-2</v>
      </c>
      <c r="N100">
        <f t="shared" si="19"/>
        <v>-1.093228189919468</v>
      </c>
      <c r="O100">
        <f t="shared" si="20"/>
        <v>19.326558754229854</v>
      </c>
      <c r="P100" t="str" cm="1">
        <f t="array" ref="P100">IF($N100="","",IFERROR(IF(INDEX(geo_grid!$B$2:$JU$231,INT(($N100+40)/0.5)+1,INT(($O100+30)/0.5)+1)="","",INDEX(geo_grid!$B$2:$JU$231,INT(($N100+40)/0.5)+1,INT(($O100+30)/0.5)+1)),"OUTSIDE GRID"))</f>
        <v>COD</v>
      </c>
      <c r="Q100">
        <f t="shared" si="21"/>
        <v>1098</v>
      </c>
    </row>
    <row r="101" spans="1:17" x14ac:dyDescent="0.3">
      <c r="A101">
        <f t="shared" si="11"/>
        <v>1</v>
      </c>
      <c r="B101">
        <f t="shared" si="12"/>
        <v>99</v>
      </c>
      <c r="C101" cm="1">
        <f t="array" ref="C101">IFERROR(INDEX('TRIP MANAGER'!$O$18:$O$25,$A101),"")</f>
        <v>-25.938960000000002</v>
      </c>
      <c r="D101" cm="1">
        <f t="array" ref="D101">IFERROR(INDEX('TRIP MANAGER'!$P$18:$P$25,$A101),"")</f>
        <v>27.926639999999999</v>
      </c>
      <c r="E101" cm="1">
        <f t="array" ref="E101">IFERROR(INDEX('TRIP MANAGER'!$Q$18:$Q$25,$A101),"")</f>
        <v>12.133699999999999</v>
      </c>
      <c r="F101" cm="1">
        <f t="array" ref="F101">IFERROR(INDEX('TRIP MANAGER'!$R$18:$R$25,$A101),"")</f>
        <v>15.034000000000001</v>
      </c>
      <c r="G101" cm="1">
        <f t="array" ref="G101">IFERROR(INDEX('TRIP MANAGER'!$S$18:$S$25,$A101),"")</f>
        <v>0.69965352295446726</v>
      </c>
      <c r="H101">
        <f t="shared" si="13"/>
        <v>0.66</v>
      </c>
      <c r="I101">
        <f t="shared" si="14"/>
        <v>0.36593528084412119</v>
      </c>
      <c r="J101">
        <f t="shared" si="15"/>
        <v>0.69187480036427385</v>
      </c>
      <c r="K101">
        <f t="shared" si="16"/>
        <v>0.94401592597149087</v>
      </c>
      <c r="L101">
        <f t="shared" si="17"/>
        <v>0.32957500030558101</v>
      </c>
      <c r="M101">
        <f t="shared" si="18"/>
        <v>-1.4637304593563633E-2</v>
      </c>
      <c r="N101">
        <f t="shared" si="19"/>
        <v>-0.83868572664217922</v>
      </c>
      <c r="O101">
        <f t="shared" si="20"/>
        <v>19.245124719121147</v>
      </c>
      <c r="P101" t="str" cm="1">
        <f t="array" ref="P101">IF($N101="","",IFERROR(IF(INDEX(geo_grid!$B$2:$JU$231,INT(($N101+40)/0.5)+1,INT(($O101+30)/0.5)+1)="","",INDEX(geo_grid!$B$2:$JU$231,INT(($N101+40)/0.5)+1,INT(($O101+30)/0.5)+1)),"OUTSIDE GRID"))</f>
        <v>COD</v>
      </c>
      <c r="Q101">
        <f t="shared" si="21"/>
        <v>1099</v>
      </c>
    </row>
    <row r="102" spans="1:17" x14ac:dyDescent="0.3">
      <c r="A102">
        <f t="shared" si="11"/>
        <v>1</v>
      </c>
      <c r="B102">
        <f t="shared" si="12"/>
        <v>100</v>
      </c>
      <c r="C102" cm="1">
        <f t="array" ref="C102">IFERROR(INDEX('TRIP MANAGER'!$O$18:$O$25,$A102),"")</f>
        <v>-25.938960000000002</v>
      </c>
      <c r="D102" cm="1">
        <f t="array" ref="D102">IFERROR(INDEX('TRIP MANAGER'!$P$18:$P$25,$A102),"")</f>
        <v>27.926639999999999</v>
      </c>
      <c r="E102" cm="1">
        <f t="array" ref="E102">IFERROR(INDEX('TRIP MANAGER'!$Q$18:$Q$25,$A102),"")</f>
        <v>12.133699999999999</v>
      </c>
      <c r="F102" cm="1">
        <f t="array" ref="F102">IFERROR(INDEX('TRIP MANAGER'!$R$18:$R$25,$A102),"")</f>
        <v>15.034000000000001</v>
      </c>
      <c r="G102" cm="1">
        <f t="array" ref="G102">IFERROR(INDEX('TRIP MANAGER'!$S$18:$S$25,$A102),"")</f>
        <v>0.69965352295446726</v>
      </c>
      <c r="H102">
        <f t="shared" si="13"/>
        <v>0.66666666666666663</v>
      </c>
      <c r="I102">
        <f t="shared" si="14"/>
        <v>0.35889198075225143</v>
      </c>
      <c r="J102">
        <f t="shared" si="15"/>
        <v>0.69835194178904214</v>
      </c>
      <c r="K102">
        <f t="shared" si="16"/>
        <v>0.94453543776831828</v>
      </c>
      <c r="L102">
        <f t="shared" si="17"/>
        <v>0.32825122760888992</v>
      </c>
      <c r="M102">
        <f t="shared" si="18"/>
        <v>-1.019501707050896E-2</v>
      </c>
      <c r="N102">
        <f t="shared" si="19"/>
        <v>-0.58414156962273922</v>
      </c>
      <c r="O102">
        <f t="shared" si="20"/>
        <v>19.163701275503701</v>
      </c>
      <c r="P102" t="str" cm="1">
        <f t="array" ref="P102">IF($N102="","",IFERROR(IF(INDEX(geo_grid!$B$2:$JU$231,INT(($N102+40)/0.5)+1,INT(($O102+30)/0.5)+1)="","",INDEX(geo_grid!$B$2:$JU$231,INT(($N102+40)/0.5)+1,INT(($O102+30)/0.5)+1)),"OUTSIDE GRID"))</f>
        <v>COD</v>
      </c>
      <c r="Q102">
        <f t="shared" si="21"/>
        <v>1100</v>
      </c>
    </row>
    <row r="103" spans="1:17" x14ac:dyDescent="0.3">
      <c r="A103">
        <f t="shared" si="11"/>
        <v>1</v>
      </c>
      <c r="B103">
        <f t="shared" si="12"/>
        <v>101</v>
      </c>
      <c r="C103" cm="1">
        <f t="array" ref="C103">IFERROR(INDEX('TRIP MANAGER'!$O$18:$O$25,$A103),"")</f>
        <v>-25.938960000000002</v>
      </c>
      <c r="D103" cm="1">
        <f t="array" ref="D103">IFERROR(INDEX('TRIP MANAGER'!$P$18:$P$25,$A103),"")</f>
        <v>27.926639999999999</v>
      </c>
      <c r="E103" cm="1">
        <f t="array" ref="E103">IFERROR(INDEX('TRIP MANAGER'!$Q$18:$Q$25,$A103),"")</f>
        <v>12.133699999999999</v>
      </c>
      <c r="F103" cm="1">
        <f t="array" ref="F103">IFERROR(INDEX('TRIP MANAGER'!$R$18:$R$25,$A103),"")</f>
        <v>15.034000000000001</v>
      </c>
      <c r="G103" cm="1">
        <f t="array" ref="G103">IFERROR(INDEX('TRIP MANAGER'!$S$18:$S$25,$A103),"")</f>
        <v>0.69965352295446726</v>
      </c>
      <c r="H103">
        <f t="shared" si="13"/>
        <v>0.67333333333333334</v>
      </c>
      <c r="I103">
        <f t="shared" si="14"/>
        <v>0.35184087254001845</v>
      </c>
      <c r="J103">
        <f t="shared" si="15"/>
        <v>0.70481388973970216</v>
      </c>
      <c r="K103">
        <f t="shared" si="16"/>
        <v>0.94503440007733075</v>
      </c>
      <c r="L103">
        <f t="shared" si="17"/>
        <v>0.32692031341773264</v>
      </c>
      <c r="M103">
        <f t="shared" si="18"/>
        <v>-5.7525077427757199E-3</v>
      </c>
      <c r="N103">
        <f t="shared" si="19"/>
        <v>-0.32959623309154851</v>
      </c>
      <c r="O103">
        <f t="shared" si="20"/>
        <v>19.082285207778042</v>
      </c>
      <c r="P103" t="str" cm="1">
        <f t="array" ref="P103">IF($N103="","",IFERROR(IF(INDEX(geo_grid!$B$2:$JU$231,INT(($N103+40)/0.5)+1,INT(($O103+30)/0.5)+1)="","",INDEX(geo_grid!$B$2:$JU$231,INT(($N103+40)/0.5)+1,INT(($O103+30)/0.5)+1)),"OUTSIDE GRID"))</f>
        <v>COD</v>
      </c>
      <c r="Q103">
        <f t="shared" si="21"/>
        <v>1101</v>
      </c>
    </row>
    <row r="104" spans="1:17" x14ac:dyDescent="0.3">
      <c r="A104">
        <f t="shared" si="11"/>
        <v>1</v>
      </c>
      <c r="B104">
        <f t="shared" si="12"/>
        <v>102</v>
      </c>
      <c r="C104" cm="1">
        <f t="array" ref="C104">IFERROR(INDEX('TRIP MANAGER'!$O$18:$O$25,$A104),"")</f>
        <v>-25.938960000000002</v>
      </c>
      <c r="D104" cm="1">
        <f t="array" ref="D104">IFERROR(INDEX('TRIP MANAGER'!$P$18:$P$25,$A104),"")</f>
        <v>27.926639999999999</v>
      </c>
      <c r="E104" cm="1">
        <f t="array" ref="E104">IFERROR(INDEX('TRIP MANAGER'!$Q$18:$Q$25,$A104),"")</f>
        <v>12.133699999999999</v>
      </c>
      <c r="F104" cm="1">
        <f t="array" ref="F104">IFERROR(INDEX('TRIP MANAGER'!$R$18:$R$25,$A104),"")</f>
        <v>15.034000000000001</v>
      </c>
      <c r="G104" cm="1">
        <f t="array" ref="G104">IFERROR(INDEX('TRIP MANAGER'!$S$18:$S$25,$A104),"")</f>
        <v>0.69965352295446726</v>
      </c>
      <c r="H104">
        <f t="shared" si="13"/>
        <v>0.68</v>
      </c>
      <c r="I104">
        <f t="shared" si="14"/>
        <v>0.34478210961263783</v>
      </c>
      <c r="J104">
        <f t="shared" si="15"/>
        <v>0.71126050362891802</v>
      </c>
      <c r="K104">
        <f t="shared" si="16"/>
        <v>0.94551280204301225</v>
      </c>
      <c r="L104">
        <f t="shared" si="17"/>
        <v>0.32558228668772471</v>
      </c>
      <c r="M104">
        <f t="shared" si="18"/>
        <v>-1.3098732624192977E-3</v>
      </c>
      <c r="N104">
        <f t="shared" si="19"/>
        <v>-7.5050231095132022E-2</v>
      </c>
      <c r="O104">
        <f t="shared" si="20"/>
        <v>19.000873301449943</v>
      </c>
      <c r="P104" t="str" cm="1">
        <f t="array" ref="P104">IF($N104="","",IFERROR(IF(INDEX(geo_grid!$B$2:$JU$231,INT(($N104+40)/0.5)+1,INT(($O104+30)/0.5)+1)="","",INDEX(geo_grid!$B$2:$JU$231,INT(($N104+40)/0.5)+1,INT(($O104+30)/0.5)+1)),"OUTSIDE GRID"))</f>
        <v>COD</v>
      </c>
      <c r="Q104">
        <f t="shared" si="21"/>
        <v>1102</v>
      </c>
    </row>
    <row r="105" spans="1:17" x14ac:dyDescent="0.3">
      <c r="A105">
        <f t="shared" si="11"/>
        <v>1</v>
      </c>
      <c r="B105">
        <f t="shared" si="12"/>
        <v>103</v>
      </c>
      <c r="C105" cm="1">
        <f t="array" ref="C105">IFERROR(INDEX('TRIP MANAGER'!$O$18:$O$25,$A105),"")</f>
        <v>-25.938960000000002</v>
      </c>
      <c r="D105" cm="1">
        <f t="array" ref="D105">IFERROR(INDEX('TRIP MANAGER'!$P$18:$P$25,$A105),"")</f>
        <v>27.926639999999999</v>
      </c>
      <c r="E105" cm="1">
        <f t="array" ref="E105">IFERROR(INDEX('TRIP MANAGER'!$Q$18:$Q$25,$A105),"")</f>
        <v>12.133699999999999</v>
      </c>
      <c r="F105" cm="1">
        <f t="array" ref="F105">IFERROR(INDEX('TRIP MANAGER'!$R$18:$R$25,$A105),"")</f>
        <v>15.034000000000001</v>
      </c>
      <c r="G105" cm="1">
        <f t="array" ref="G105">IFERROR(INDEX('TRIP MANAGER'!$S$18:$S$25,$A105),"")</f>
        <v>0.69965352295446726</v>
      </c>
      <c r="H105">
        <f t="shared" si="13"/>
        <v>0.68666666666666665</v>
      </c>
      <c r="I105">
        <f t="shared" si="14"/>
        <v>0.3377158455418624</v>
      </c>
      <c r="J105">
        <f t="shared" si="15"/>
        <v>0.71769164320296452</v>
      </c>
      <c r="K105">
        <f t="shared" si="16"/>
        <v>0.94597063325716091</v>
      </c>
      <c r="L105">
        <f t="shared" si="17"/>
        <v>0.32423717652922329</v>
      </c>
      <c r="M105">
        <f t="shared" si="18"/>
        <v>3.1327897157822082E-3</v>
      </c>
      <c r="N105">
        <f t="shared" si="19"/>
        <v>0.17949592242373369</v>
      </c>
      <c r="O105">
        <f t="shared" si="20"/>
        <v>18.919462342648703</v>
      </c>
      <c r="P105" t="str" cm="1">
        <f t="array" ref="P105">IF($N105="","",IFERROR(IF(INDEX(geo_grid!$B$2:$JU$231,INT(($N105+40)/0.5)+1,INT(($O105+30)/0.5)+1)="","",INDEX(geo_grid!$B$2:$JU$231,INT(($N105+40)/0.5)+1,INT(($O105+30)/0.5)+1)),"OUTSIDE GRID"))</f>
        <v>COD</v>
      </c>
      <c r="Q105">
        <f t="shared" si="21"/>
        <v>1103</v>
      </c>
    </row>
    <row r="106" spans="1:17" x14ac:dyDescent="0.3">
      <c r="A106">
        <f t="shared" si="11"/>
        <v>1</v>
      </c>
      <c r="B106">
        <f t="shared" si="12"/>
        <v>104</v>
      </c>
      <c r="C106" cm="1">
        <f t="array" ref="C106">IFERROR(INDEX('TRIP MANAGER'!$O$18:$O$25,$A106),"")</f>
        <v>-25.938960000000002</v>
      </c>
      <c r="D106" cm="1">
        <f t="array" ref="D106">IFERROR(INDEX('TRIP MANAGER'!$P$18:$P$25,$A106),"")</f>
        <v>27.926639999999999</v>
      </c>
      <c r="E106" cm="1">
        <f t="array" ref="E106">IFERROR(INDEX('TRIP MANAGER'!$Q$18:$Q$25,$A106),"")</f>
        <v>12.133699999999999</v>
      </c>
      <c r="F106" cm="1">
        <f t="array" ref="F106">IFERROR(INDEX('TRIP MANAGER'!$R$18:$R$25,$A106),"")</f>
        <v>15.034000000000001</v>
      </c>
      <c r="G106" cm="1">
        <f t="array" ref="G106">IFERROR(INDEX('TRIP MANAGER'!$S$18:$S$25,$A106),"")</f>
        <v>0.69965352295446726</v>
      </c>
      <c r="H106">
        <f t="shared" si="13"/>
        <v>0.69333333333333336</v>
      </c>
      <c r="I106">
        <f t="shared" si="14"/>
        <v>0.33064223406264109</v>
      </c>
      <c r="J106">
        <f t="shared" si="15"/>
        <v>0.72410716854477908</v>
      </c>
      <c r="K106">
        <f t="shared" si="16"/>
        <v>0.94640788375911589</v>
      </c>
      <c r="L106">
        <f t="shared" si="17"/>
        <v>0.32288501220669391</v>
      </c>
      <c r="M106">
        <f t="shared" si="18"/>
        <v>7.5753845364308348E-3</v>
      </c>
      <c r="N106">
        <f t="shared" si="19"/>
        <v>0.43404171354590071</v>
      </c>
      <c r="O106">
        <f t="shared" si="20"/>
        <v>18.838049117645596</v>
      </c>
      <c r="P106" t="str" cm="1">
        <f t="array" ref="P106">IF($N106="","",IFERROR(IF(INDEX(geo_grid!$B$2:$JU$231,INT(($N106+40)/0.5)+1,INT(($O106+30)/0.5)+1)="","",INDEX(geo_grid!$B$2:$JU$231,INT(($N106+40)/0.5)+1,INT(($O106+30)/0.5)+1)),"OUTSIDE GRID"))</f>
        <v>COD</v>
      </c>
      <c r="Q106">
        <f t="shared" si="21"/>
        <v>1104</v>
      </c>
    </row>
    <row r="107" spans="1:17" x14ac:dyDescent="0.3">
      <c r="A107">
        <f t="shared" si="11"/>
        <v>1</v>
      </c>
      <c r="B107">
        <f t="shared" si="12"/>
        <v>105</v>
      </c>
      <c r="C107" cm="1">
        <f t="array" ref="C107">IFERROR(INDEX('TRIP MANAGER'!$O$18:$O$25,$A107),"")</f>
        <v>-25.938960000000002</v>
      </c>
      <c r="D107" cm="1">
        <f t="array" ref="D107">IFERROR(INDEX('TRIP MANAGER'!$P$18:$P$25,$A107),"")</f>
        <v>27.926639999999999</v>
      </c>
      <c r="E107" cm="1">
        <f t="array" ref="E107">IFERROR(INDEX('TRIP MANAGER'!$Q$18:$Q$25,$A107),"")</f>
        <v>12.133699999999999</v>
      </c>
      <c r="F107" cm="1">
        <f t="array" ref="F107">IFERROR(INDEX('TRIP MANAGER'!$R$18:$R$25,$A107),"")</f>
        <v>15.034000000000001</v>
      </c>
      <c r="G107" cm="1">
        <f t="array" ref="G107">IFERROR(INDEX('TRIP MANAGER'!$S$18:$S$25,$A107),"")</f>
        <v>0.69965352295446726</v>
      </c>
      <c r="H107">
        <f t="shared" si="13"/>
        <v>0.7</v>
      </c>
      <c r="I107">
        <f t="shared" si="14"/>
        <v>0.32356142906977475</v>
      </c>
      <c r="J107">
        <f t="shared" si="15"/>
        <v>0.73050694007700456</v>
      </c>
      <c r="K107">
        <f t="shared" si="16"/>
        <v>0.9468245440359746</v>
      </c>
      <c r="L107">
        <f t="shared" si="17"/>
        <v>0.32152582313807399</v>
      </c>
      <c r="M107">
        <f t="shared" si="18"/>
        <v>1.2017814545611266E-2</v>
      </c>
      <c r="N107">
        <f t="shared" si="19"/>
        <v>0.68858662829571604</v>
      </c>
      <c r="O107">
        <f t="shared" si="20"/>
        <v>18.756630412372338</v>
      </c>
      <c r="P107" t="str" cm="1">
        <f t="array" ref="P107">IF($N107="","",IFERROR(IF(INDEX(geo_grid!$B$2:$JU$231,INT(($N107+40)/0.5)+1,INT(($O107+30)/0.5)+1)="","",INDEX(geo_grid!$B$2:$JU$231,INT(($N107+40)/0.5)+1,INT(($O107+30)/0.5)+1)),"OUTSIDE GRID"))</f>
        <v>COD</v>
      </c>
      <c r="Q107">
        <f t="shared" si="21"/>
        <v>1105</v>
      </c>
    </row>
    <row r="108" spans="1:17" x14ac:dyDescent="0.3">
      <c r="A108">
        <f t="shared" si="11"/>
        <v>1</v>
      </c>
      <c r="B108">
        <f t="shared" si="12"/>
        <v>106</v>
      </c>
      <c r="C108" cm="1">
        <f t="array" ref="C108">IFERROR(INDEX('TRIP MANAGER'!$O$18:$O$25,$A108),"")</f>
        <v>-25.938960000000002</v>
      </c>
      <c r="D108" cm="1">
        <f t="array" ref="D108">IFERROR(INDEX('TRIP MANAGER'!$P$18:$P$25,$A108),"")</f>
        <v>27.926639999999999</v>
      </c>
      <c r="E108" cm="1">
        <f t="array" ref="E108">IFERROR(INDEX('TRIP MANAGER'!$Q$18:$Q$25,$A108),"")</f>
        <v>12.133699999999999</v>
      </c>
      <c r="F108" cm="1">
        <f t="array" ref="F108">IFERROR(INDEX('TRIP MANAGER'!$R$18:$R$25,$A108),"")</f>
        <v>15.034000000000001</v>
      </c>
      <c r="G108" cm="1">
        <f t="array" ref="G108">IFERROR(INDEX('TRIP MANAGER'!$S$18:$S$25,$A108),"")</f>
        <v>0.69965352295446726</v>
      </c>
      <c r="H108">
        <f t="shared" si="13"/>
        <v>0.70666666666666667</v>
      </c>
      <c r="I108">
        <f t="shared" si="14"/>
        <v>0.31647358461456715</v>
      </c>
      <c r="J108">
        <f t="shared" si="15"/>
        <v>0.73689081856502725</v>
      </c>
      <c r="K108">
        <f t="shared" si="16"/>
        <v>0.9472206050227987</v>
      </c>
      <c r="L108">
        <f t="shared" si="17"/>
        <v>0.32015963889413235</v>
      </c>
      <c r="M108">
        <f t="shared" si="18"/>
        <v>1.6459983092994068E-2</v>
      </c>
      <c r="N108">
        <f t="shared" si="19"/>
        <v>0.94313015256091448</v>
      </c>
      <c r="O108">
        <f t="shared" si="20"/>
        <v>18.675203011939495</v>
      </c>
      <c r="P108" t="str" cm="1">
        <f t="array" ref="P108">IF($N108="","",IFERROR(IF(INDEX(geo_grid!$B$2:$JU$231,INT(($N108+40)/0.5)+1,INT(($O108+30)/0.5)+1)="","",INDEX(geo_grid!$B$2:$JU$231,INT(($N108+40)/0.5)+1,INT(($O108+30)/0.5)+1)),"OUTSIDE GRID"))</f>
        <v>COD</v>
      </c>
      <c r="Q108">
        <f t="shared" si="21"/>
        <v>1106</v>
      </c>
    </row>
    <row r="109" spans="1:17" x14ac:dyDescent="0.3">
      <c r="A109">
        <f t="shared" si="11"/>
        <v>1</v>
      </c>
      <c r="B109">
        <f t="shared" si="12"/>
        <v>107</v>
      </c>
      <c r="C109" cm="1">
        <f t="array" ref="C109">IFERROR(INDEX('TRIP MANAGER'!$O$18:$O$25,$A109),"")</f>
        <v>-25.938960000000002</v>
      </c>
      <c r="D109" cm="1">
        <f t="array" ref="D109">IFERROR(INDEX('TRIP MANAGER'!$P$18:$P$25,$A109),"")</f>
        <v>27.926639999999999</v>
      </c>
      <c r="E109" cm="1">
        <f t="array" ref="E109">IFERROR(INDEX('TRIP MANAGER'!$Q$18:$Q$25,$A109),"")</f>
        <v>12.133699999999999</v>
      </c>
      <c r="F109" cm="1">
        <f t="array" ref="F109">IFERROR(INDEX('TRIP MANAGER'!$R$18:$R$25,$A109),"")</f>
        <v>15.034000000000001</v>
      </c>
      <c r="G109" cm="1">
        <f t="array" ref="G109">IFERROR(INDEX('TRIP MANAGER'!$S$18:$S$25,$A109),"")</f>
        <v>0.69965352295446726</v>
      </c>
      <c r="H109">
        <f t="shared" si="13"/>
        <v>0.71333333333333337</v>
      </c>
      <c r="I109">
        <f t="shared" si="14"/>
        <v>0.30937885490147438</v>
      </c>
      <c r="J109">
        <f t="shared" si="15"/>
        <v>0.74325866512000482</v>
      </c>
      <c r="K109">
        <f t="shared" si="16"/>
        <v>0.94759605810281244</v>
      </c>
      <c r="L109">
        <f t="shared" si="17"/>
        <v>0.31878648919782632</v>
      </c>
      <c r="M109">
        <f t="shared" si="18"/>
        <v>2.0901793533937951E-2</v>
      </c>
      <c r="N109">
        <f t="shared" si="19"/>
        <v>1.1976717720124161</v>
      </c>
      <c r="O109">
        <f t="shared" si="20"/>
        <v>18.593763700154607</v>
      </c>
      <c r="P109" t="str" cm="1">
        <f t="array" ref="P109">IF($N109="","",IFERROR(IF(INDEX(geo_grid!$B$2:$JU$231,INT(($N109+40)/0.5)+1,INT(($O109+30)/0.5)+1)="","",INDEX(geo_grid!$B$2:$JU$231,INT(($N109+40)/0.5)+1,INT(($O109+30)/0.5)+1)),"OUTSIDE GRID"))</f>
        <v>COD</v>
      </c>
      <c r="Q109">
        <f t="shared" si="21"/>
        <v>1107</v>
      </c>
    </row>
    <row r="110" spans="1:17" x14ac:dyDescent="0.3">
      <c r="A110">
        <f t="shared" si="11"/>
        <v>1</v>
      </c>
      <c r="B110">
        <f t="shared" si="12"/>
        <v>108</v>
      </c>
      <c r="C110" cm="1">
        <f t="array" ref="C110">IFERROR(INDEX('TRIP MANAGER'!$O$18:$O$25,$A110),"")</f>
        <v>-25.938960000000002</v>
      </c>
      <c r="D110" cm="1">
        <f t="array" ref="D110">IFERROR(INDEX('TRIP MANAGER'!$P$18:$P$25,$A110),"")</f>
        <v>27.926639999999999</v>
      </c>
      <c r="E110" cm="1">
        <f t="array" ref="E110">IFERROR(INDEX('TRIP MANAGER'!$Q$18:$Q$25,$A110),"")</f>
        <v>12.133699999999999</v>
      </c>
      <c r="F110" cm="1">
        <f t="array" ref="F110">IFERROR(INDEX('TRIP MANAGER'!$R$18:$R$25,$A110),"")</f>
        <v>15.034000000000001</v>
      </c>
      <c r="G110" cm="1">
        <f t="array" ref="G110">IFERROR(INDEX('TRIP MANAGER'!$S$18:$S$25,$A110),"")</f>
        <v>0.69965352295446726</v>
      </c>
      <c r="H110">
        <f t="shared" si="13"/>
        <v>0.72</v>
      </c>
      <c r="I110">
        <f t="shared" si="14"/>
        <v>0.30227739428474937</v>
      </c>
      <c r="J110">
        <f t="shared" si="15"/>
        <v>0.74961034120188896</v>
      </c>
      <c r="K110">
        <f t="shared" si="16"/>
        <v>0.94795089510758868</v>
      </c>
      <c r="L110">
        <f t="shared" si="17"/>
        <v>0.31740640392365482</v>
      </c>
      <c r="M110">
        <f t="shared" si="18"/>
        <v>2.534314923159281E-2</v>
      </c>
      <c r="N110">
        <f t="shared" si="19"/>
        <v>1.4522109720241063</v>
      </c>
      <c r="O110">
        <f t="shared" si="20"/>
        <v>18.512309259039952</v>
      </c>
      <c r="P110" t="str" cm="1">
        <f t="array" ref="P110">IF($N110="","",IFERROR(IF(INDEX(geo_grid!$B$2:$JU$231,INT(($N110+40)/0.5)+1,INT(($O110+30)/0.5)+1)="","",INDEX(geo_grid!$B$2:$JU$231,INT(($N110+40)/0.5)+1,INT(($O110+30)/0.5)+1)),"OUTSIDE GRID"))</f>
        <v>COD</v>
      </c>
      <c r="Q110">
        <f t="shared" si="21"/>
        <v>1108</v>
      </c>
    </row>
    <row r="111" spans="1:17" x14ac:dyDescent="0.3">
      <c r="A111">
        <f t="shared" si="11"/>
        <v>1</v>
      </c>
      <c r="B111">
        <f t="shared" si="12"/>
        <v>109</v>
      </c>
      <c r="C111" cm="1">
        <f t="array" ref="C111">IFERROR(INDEX('TRIP MANAGER'!$O$18:$O$25,$A111),"")</f>
        <v>-25.938960000000002</v>
      </c>
      <c r="D111" cm="1">
        <f t="array" ref="D111">IFERROR(INDEX('TRIP MANAGER'!$P$18:$P$25,$A111),"")</f>
        <v>27.926639999999999</v>
      </c>
      <c r="E111" cm="1">
        <f t="array" ref="E111">IFERROR(INDEX('TRIP MANAGER'!$Q$18:$Q$25,$A111),"")</f>
        <v>12.133699999999999</v>
      </c>
      <c r="F111" cm="1">
        <f t="array" ref="F111">IFERROR(INDEX('TRIP MANAGER'!$R$18:$R$25,$A111),"")</f>
        <v>15.034000000000001</v>
      </c>
      <c r="G111" cm="1">
        <f t="array" ref="G111">IFERROR(INDEX('TRIP MANAGER'!$S$18:$S$25,$A111),"")</f>
        <v>0.69965352295446726</v>
      </c>
      <c r="H111">
        <f t="shared" si="13"/>
        <v>0.72666666666666668</v>
      </c>
      <c r="I111">
        <f t="shared" si="14"/>
        <v>0.29516935726508348</v>
      </c>
      <c r="J111">
        <f t="shared" si="15"/>
        <v>0.75594570862243948</v>
      </c>
      <c r="K111">
        <f t="shared" si="16"/>
        <v>0.94828510831722823</v>
      </c>
      <c r="L111">
        <f t="shared" si="17"/>
        <v>0.31601941309700865</v>
      </c>
      <c r="M111">
        <f t="shared" si="18"/>
        <v>2.9783953559002124E-2</v>
      </c>
      <c r="N111">
        <f t="shared" si="19"/>
        <v>1.7067472375924952</v>
      </c>
      <c r="O111">
        <f t="shared" si="20"/>
        <v>18.430836468349764</v>
      </c>
      <c r="P111" t="str" cm="1">
        <f t="array" ref="P111">IF($N111="","",IFERROR(IF(INDEX(geo_grid!$B$2:$JU$231,INT(($N111+40)/0.5)+1,INT(($O111+30)/0.5)+1)="","",INDEX(geo_grid!$B$2:$JU$231,INT(($N111+40)/0.5)+1,INT(($O111+30)/0.5)+1)),"OUTSIDE GRID"))</f>
        <v>COD</v>
      </c>
      <c r="Q111">
        <f t="shared" si="21"/>
        <v>1109</v>
      </c>
    </row>
    <row r="112" spans="1:17" x14ac:dyDescent="0.3">
      <c r="A112">
        <f t="shared" si="11"/>
        <v>1</v>
      </c>
      <c r="B112">
        <f t="shared" si="12"/>
        <v>110</v>
      </c>
      <c r="C112" cm="1">
        <f t="array" ref="C112">IFERROR(INDEX('TRIP MANAGER'!$O$18:$O$25,$A112),"")</f>
        <v>-25.938960000000002</v>
      </c>
      <c r="D112" cm="1">
        <f t="array" ref="D112">IFERROR(INDEX('TRIP MANAGER'!$P$18:$P$25,$A112),"")</f>
        <v>27.926639999999999</v>
      </c>
      <c r="E112" cm="1">
        <f t="array" ref="E112">IFERROR(INDEX('TRIP MANAGER'!$Q$18:$Q$25,$A112),"")</f>
        <v>12.133699999999999</v>
      </c>
      <c r="F112" cm="1">
        <f t="array" ref="F112">IFERROR(INDEX('TRIP MANAGER'!$R$18:$R$25,$A112),"")</f>
        <v>15.034000000000001</v>
      </c>
      <c r="G112" cm="1">
        <f t="array" ref="G112">IFERROR(INDEX('TRIP MANAGER'!$S$18:$S$25,$A112),"")</f>
        <v>0.69965352295446726</v>
      </c>
      <c r="H112">
        <f t="shared" si="13"/>
        <v>0.73333333333333328</v>
      </c>
      <c r="I112">
        <f t="shared" si="14"/>
        <v>0.2880548984862461</v>
      </c>
      <c r="J112">
        <f t="shared" si="15"/>
        <v>0.76226462954822971</v>
      </c>
      <c r="K112">
        <f t="shared" si="16"/>
        <v>0.94859869046052647</v>
      </c>
      <c r="L112">
        <f t="shared" si="17"/>
        <v>0.31462554689351685</v>
      </c>
      <c r="M112">
        <f t="shared" si="18"/>
        <v>3.4224109901204836E-2</v>
      </c>
      <c r="N112">
        <f t="shared" si="19"/>
        <v>1.9612800532562411</v>
      </c>
      <c r="O112">
        <f t="shared" si="20"/>
        <v>18.349342105086759</v>
      </c>
      <c r="P112" t="str" cm="1">
        <f t="array" ref="P112">IF($N112="","",IFERROR(IF(INDEX(geo_grid!$B$2:$JU$231,INT(($N112+40)/0.5)+1,INT(($O112+30)/0.5)+1)="","",INDEX(geo_grid!$B$2:$JU$231,INT(($N112+40)/0.5)+1,INT(($O112+30)/0.5)+1)),"OUTSIDE GRID"))</f>
        <v>COD</v>
      </c>
      <c r="Q112">
        <f t="shared" si="21"/>
        <v>1110</v>
      </c>
    </row>
    <row r="113" spans="1:17" x14ac:dyDescent="0.3">
      <c r="A113">
        <f t="shared" si="11"/>
        <v>1</v>
      </c>
      <c r="B113">
        <f t="shared" si="12"/>
        <v>111</v>
      </c>
      <c r="C113" cm="1">
        <f t="array" ref="C113">IFERROR(INDEX('TRIP MANAGER'!$O$18:$O$25,$A113),"")</f>
        <v>-25.938960000000002</v>
      </c>
      <c r="D113" cm="1">
        <f t="array" ref="D113">IFERROR(INDEX('TRIP MANAGER'!$P$18:$P$25,$A113),"")</f>
        <v>27.926639999999999</v>
      </c>
      <c r="E113" cm="1">
        <f t="array" ref="E113">IFERROR(INDEX('TRIP MANAGER'!$Q$18:$Q$25,$A113),"")</f>
        <v>12.133699999999999</v>
      </c>
      <c r="F113" cm="1">
        <f t="array" ref="F113">IFERROR(INDEX('TRIP MANAGER'!$R$18:$R$25,$A113),"")</f>
        <v>15.034000000000001</v>
      </c>
      <c r="G113" cm="1">
        <f t="array" ref="G113">IFERROR(INDEX('TRIP MANAGER'!$S$18:$S$25,$A113),"")</f>
        <v>0.69965352295446726</v>
      </c>
      <c r="H113">
        <f t="shared" si="13"/>
        <v>0.74</v>
      </c>
      <c r="I113">
        <f t="shared" si="14"/>
        <v>0.28093417273171911</v>
      </c>
      <c r="J113">
        <f t="shared" si="15"/>
        <v>0.76856696650364664</v>
      </c>
      <c r="K113">
        <f t="shared" si="16"/>
        <v>0.94889163471513205</v>
      </c>
      <c r="L113">
        <f t="shared" si="17"/>
        <v>0.3132248356383906</v>
      </c>
      <c r="M113">
        <f t="shared" si="18"/>
        <v>3.8663521657337774E-2</v>
      </c>
      <c r="N113">
        <f t="shared" si="19"/>
        <v>2.2158089030155699</v>
      </c>
      <c r="O113">
        <f t="shared" si="20"/>
        <v>18.267822943017869</v>
      </c>
      <c r="P113" t="str" cm="1">
        <f t="array" ref="P113">IF($N113="","",IFERROR(IF(INDEX(geo_grid!$B$2:$JU$231,INT(($N113+40)/0.5)+1,INT(($O113+30)/0.5)+1)="","",INDEX(geo_grid!$B$2:$JU$231,INT(($N113+40)/0.5)+1,INT(($O113+30)/0.5)+1)),"OUTSIDE GRID"))</f>
        <v>COD</v>
      </c>
      <c r="Q113">
        <f t="shared" si="21"/>
        <v>1111</v>
      </c>
    </row>
    <row r="114" spans="1:17" x14ac:dyDescent="0.3">
      <c r="A114">
        <f t="shared" si="11"/>
        <v>1</v>
      </c>
      <c r="B114">
        <f t="shared" si="12"/>
        <v>112</v>
      </c>
      <c r="C114" cm="1">
        <f t="array" ref="C114">IFERROR(INDEX('TRIP MANAGER'!$O$18:$O$25,$A114),"")</f>
        <v>-25.938960000000002</v>
      </c>
      <c r="D114" cm="1">
        <f t="array" ref="D114">IFERROR(INDEX('TRIP MANAGER'!$P$18:$P$25,$A114),"")</f>
        <v>27.926639999999999</v>
      </c>
      <c r="E114" cm="1">
        <f t="array" ref="E114">IFERROR(INDEX('TRIP MANAGER'!$Q$18:$Q$25,$A114),"")</f>
        <v>12.133699999999999</v>
      </c>
      <c r="F114" cm="1">
        <f t="array" ref="F114">IFERROR(INDEX('TRIP MANAGER'!$R$18:$R$25,$A114),"")</f>
        <v>15.034000000000001</v>
      </c>
      <c r="G114" cm="1">
        <f t="array" ref="G114">IFERROR(INDEX('TRIP MANAGER'!$S$18:$S$25,$A114),"")</f>
        <v>0.69965352295446726</v>
      </c>
      <c r="H114">
        <f t="shared" si="13"/>
        <v>0.7466666666666667</v>
      </c>
      <c r="I114">
        <f t="shared" si="14"/>
        <v>0.27380733492132997</v>
      </c>
      <c r="J114">
        <f t="shared" si="15"/>
        <v>0.77485258237388099</v>
      </c>
      <c r="K114">
        <f t="shared" si="16"/>
        <v>0.949163934707696</v>
      </c>
      <c r="L114">
        <f t="shared" si="17"/>
        <v>0.31181730980576317</v>
      </c>
      <c r="M114">
        <f t="shared" si="18"/>
        <v>4.3102092242737075E-2</v>
      </c>
      <c r="N114">
        <f t="shared" si="19"/>
        <v>2.4703332702514893</v>
      </c>
      <c r="O114">
        <f t="shared" si="20"/>
        <v>18.186275752188966</v>
      </c>
      <c r="P114" t="str" cm="1">
        <f t="array" ref="P114">IF($N114="","",IFERROR(IF(INDEX(geo_grid!$B$2:$JU$231,INT(($N114+40)/0.5)+1,INT(($O114+30)/0.5)+1)="","",INDEX(geo_grid!$B$2:$JU$231,INT(($N114+40)/0.5)+1,INT(($O114+30)/0.5)+1)),"OUTSIDE GRID"))</f>
        <v>COD</v>
      </c>
      <c r="Q114">
        <f t="shared" si="21"/>
        <v>1112</v>
      </c>
    </row>
    <row r="115" spans="1:17" x14ac:dyDescent="0.3">
      <c r="A115">
        <f t="shared" si="11"/>
        <v>1</v>
      </c>
      <c r="B115">
        <f t="shared" si="12"/>
        <v>113</v>
      </c>
      <c r="C115" cm="1">
        <f t="array" ref="C115">IFERROR(INDEX('TRIP MANAGER'!$O$18:$O$25,$A115),"")</f>
        <v>-25.938960000000002</v>
      </c>
      <c r="D115" cm="1">
        <f t="array" ref="D115">IFERROR(INDEX('TRIP MANAGER'!$P$18:$P$25,$A115),"")</f>
        <v>27.926639999999999</v>
      </c>
      <c r="E115" cm="1">
        <f t="array" ref="E115">IFERROR(INDEX('TRIP MANAGER'!$Q$18:$Q$25,$A115),"")</f>
        <v>12.133699999999999</v>
      </c>
      <c r="F115" cm="1">
        <f t="array" ref="F115">IFERROR(INDEX('TRIP MANAGER'!$R$18:$R$25,$A115),"")</f>
        <v>15.034000000000001</v>
      </c>
      <c r="G115" cm="1">
        <f t="array" ref="G115">IFERROR(INDEX('TRIP MANAGER'!$S$18:$S$25,$A115),"")</f>
        <v>0.69965352295446726</v>
      </c>
      <c r="H115">
        <f t="shared" si="13"/>
        <v>0.7533333333333333</v>
      </c>
      <c r="I115">
        <f t="shared" si="14"/>
        <v>0.26667454010788155</v>
      </c>
      <c r="J115">
        <f t="shared" si="15"/>
        <v>0.78112134040791004</v>
      </c>
      <c r="K115">
        <f t="shared" si="16"/>
        <v>0.94941558451400876</v>
      </c>
      <c r="L115">
        <f t="shared" si="17"/>
        <v>0.31040300001802723</v>
      </c>
      <c r="M115">
        <f t="shared" si="18"/>
        <v>4.7539725091039375E-2</v>
      </c>
      <c r="N115">
        <f t="shared" si="19"/>
        <v>2.7248526376448079</v>
      </c>
      <c r="O115">
        <f t="shared" si="20"/>
        <v>18.104697298438552</v>
      </c>
      <c r="P115" t="str" cm="1">
        <f t="array" ref="P115">IF($N115="","",IFERROR(IF(INDEX(geo_grid!$B$2:$JU$231,INT(($N115+40)/0.5)+1,INT(($O115+30)/0.5)+1)="","",INDEX(geo_grid!$B$2:$JU$231,INT(($N115+40)/0.5)+1,INT(($O115+30)/0.5)+1)),"OUTSIDE GRID"))</f>
        <v>COG</v>
      </c>
      <c r="Q115">
        <f t="shared" si="21"/>
        <v>1113</v>
      </c>
    </row>
    <row r="116" spans="1:17" x14ac:dyDescent="0.3">
      <c r="A116">
        <f t="shared" si="11"/>
        <v>1</v>
      </c>
      <c r="B116">
        <f t="shared" si="12"/>
        <v>114</v>
      </c>
      <c r="C116" cm="1">
        <f t="array" ref="C116">IFERROR(INDEX('TRIP MANAGER'!$O$18:$O$25,$A116),"")</f>
        <v>-25.938960000000002</v>
      </c>
      <c r="D116" cm="1">
        <f t="array" ref="D116">IFERROR(INDEX('TRIP MANAGER'!$P$18:$P$25,$A116),"")</f>
        <v>27.926639999999999</v>
      </c>
      <c r="E116" cm="1">
        <f t="array" ref="E116">IFERROR(INDEX('TRIP MANAGER'!$Q$18:$Q$25,$A116),"")</f>
        <v>12.133699999999999</v>
      </c>
      <c r="F116" cm="1">
        <f t="array" ref="F116">IFERROR(INDEX('TRIP MANAGER'!$R$18:$R$25,$A116),"")</f>
        <v>15.034000000000001</v>
      </c>
      <c r="G116" cm="1">
        <f t="array" ref="G116">IFERROR(INDEX('TRIP MANAGER'!$S$18:$S$25,$A116),"")</f>
        <v>0.69965352295446726</v>
      </c>
      <c r="H116">
        <f t="shared" si="13"/>
        <v>0.76</v>
      </c>
      <c r="I116">
        <f t="shared" si="14"/>
        <v>0.25953594347377773</v>
      </c>
      <c r="J116">
        <f t="shared" si="15"/>
        <v>0.787373104221474</v>
      </c>
      <c r="K116">
        <f t="shared" si="16"/>
        <v>0.94964657865913082</v>
      </c>
      <c r="L116">
        <f t="shared" si="17"/>
        <v>0.30898193704516808</v>
      </c>
      <c r="M116">
        <f t="shared" si="18"/>
        <v>5.1976323656283199E-2</v>
      </c>
      <c r="N116">
        <f t="shared" si="19"/>
        <v>2.9793664870949703</v>
      </c>
      <c r="O116">
        <f t="shared" si="20"/>
        <v>18.02308434291005</v>
      </c>
      <c r="P116" t="str" cm="1">
        <f t="array" ref="P116">IF($N116="","",IFERROR(IF(INDEX(geo_grid!$B$2:$JU$231,INT(($N116+40)/0.5)+1,INT(($O116+30)/0.5)+1)="","",INDEX(geo_grid!$B$2:$JU$231,INT(($N116+40)/0.5)+1,INT(($O116+30)/0.5)+1)),"OUTSIDE GRID"))</f>
        <v>COG</v>
      </c>
      <c r="Q116">
        <f t="shared" si="21"/>
        <v>1114</v>
      </c>
    </row>
    <row r="117" spans="1:17" x14ac:dyDescent="0.3">
      <c r="A117">
        <f t="shared" si="11"/>
        <v>1</v>
      </c>
      <c r="B117">
        <f t="shared" si="12"/>
        <v>115</v>
      </c>
      <c r="C117" cm="1">
        <f t="array" ref="C117">IFERROR(INDEX('TRIP MANAGER'!$O$18:$O$25,$A117),"")</f>
        <v>-25.938960000000002</v>
      </c>
      <c r="D117" cm="1">
        <f t="array" ref="D117">IFERROR(INDEX('TRIP MANAGER'!$P$18:$P$25,$A117),"")</f>
        <v>27.926639999999999</v>
      </c>
      <c r="E117" cm="1">
        <f t="array" ref="E117">IFERROR(INDEX('TRIP MANAGER'!$Q$18:$Q$25,$A117),"")</f>
        <v>12.133699999999999</v>
      </c>
      <c r="F117" cm="1">
        <f t="array" ref="F117">IFERROR(INDEX('TRIP MANAGER'!$R$18:$R$25,$A117),"")</f>
        <v>15.034000000000001</v>
      </c>
      <c r="G117" cm="1">
        <f t="array" ref="G117">IFERROR(INDEX('TRIP MANAGER'!$S$18:$S$25,$A117),"")</f>
        <v>0.69965352295446726</v>
      </c>
      <c r="H117">
        <f t="shared" si="13"/>
        <v>0.76666666666666672</v>
      </c>
      <c r="I117">
        <f t="shared" si="14"/>
        <v>0.25239170032764841</v>
      </c>
      <c r="J117">
        <f t="shared" si="15"/>
        <v>0.79360773780004223</v>
      </c>
      <c r="K117">
        <f t="shared" si="16"/>
        <v>0.949856912117511</v>
      </c>
      <c r="L117">
        <f t="shared" si="17"/>
        <v>0.30755415180409507</v>
      </c>
      <c r="M117">
        <f t="shared" si="18"/>
        <v>5.6411791415008905E-2</v>
      </c>
      <c r="N117">
        <f t="shared" si="19"/>
        <v>3.2338742996385821</v>
      </c>
      <c r="O117">
        <f t="shared" si="20"/>
        <v>17.94143364156286</v>
      </c>
      <c r="P117" t="str" cm="1">
        <f t="array" ref="P117">IF($N117="","",IFERROR(IF(INDEX(geo_grid!$B$2:$JU$231,INT(($N117+40)/0.5)+1,INT(($O117+30)/0.5)+1)="","",INDEX(geo_grid!$B$2:$JU$231,INT(($N117+40)/0.5)+1,INT(($O117+30)/0.5)+1)),"OUTSIDE GRID"))</f>
        <v>COG</v>
      </c>
      <c r="Q117">
        <f t="shared" si="21"/>
        <v>1115</v>
      </c>
    </row>
    <row r="118" spans="1:17" x14ac:dyDescent="0.3">
      <c r="A118">
        <f t="shared" si="11"/>
        <v>1</v>
      </c>
      <c r="B118">
        <f t="shared" si="12"/>
        <v>116</v>
      </c>
      <c r="C118" cm="1">
        <f t="array" ref="C118">IFERROR(INDEX('TRIP MANAGER'!$O$18:$O$25,$A118),"")</f>
        <v>-25.938960000000002</v>
      </c>
      <c r="D118" cm="1">
        <f t="array" ref="D118">IFERROR(INDEX('TRIP MANAGER'!$P$18:$P$25,$A118),"")</f>
        <v>27.926639999999999</v>
      </c>
      <c r="E118" cm="1">
        <f t="array" ref="E118">IFERROR(INDEX('TRIP MANAGER'!$Q$18:$Q$25,$A118),"")</f>
        <v>12.133699999999999</v>
      </c>
      <c r="F118" cm="1">
        <f t="array" ref="F118">IFERROR(INDEX('TRIP MANAGER'!$R$18:$R$25,$A118),"")</f>
        <v>15.034000000000001</v>
      </c>
      <c r="G118" cm="1">
        <f t="array" ref="G118">IFERROR(INDEX('TRIP MANAGER'!$S$18:$S$25,$A118),"")</f>
        <v>0.69965352295446726</v>
      </c>
      <c r="H118">
        <f t="shared" si="13"/>
        <v>0.77333333333333332</v>
      </c>
      <c r="I118">
        <f t="shared" si="14"/>
        <v>0.24524196610096988</v>
      </c>
      <c r="J118">
        <f t="shared" si="15"/>
        <v>0.79982510550177244</v>
      </c>
      <c r="K118">
        <f t="shared" si="16"/>
        <v>0.95004658031309552</v>
      </c>
      <c r="L118">
        <f t="shared" si="17"/>
        <v>0.30611967535796802</v>
      </c>
      <c r="M118">
        <f t="shared" si="18"/>
        <v>6.0846031868358894E-2</v>
      </c>
      <c r="N118">
        <f t="shared" si="19"/>
        <v>3.4883755553677052</v>
      </c>
      <c r="O118">
        <f t="shared" si="20"/>
        <v>17.859741944681716</v>
      </c>
      <c r="P118" t="str" cm="1">
        <f t="array" ref="P118">IF($N118="","",IFERROR(IF(INDEX(geo_grid!$B$2:$JU$231,INT(($N118+40)/0.5)+1,INT(($O118+30)/0.5)+1)="","",INDEX(geo_grid!$B$2:$JU$231,INT(($N118+40)/0.5)+1,INT(($O118+30)/0.5)+1)),"OUTSIDE GRID"))</f>
        <v>COG</v>
      </c>
      <c r="Q118">
        <f t="shared" si="21"/>
        <v>1116</v>
      </c>
    </row>
    <row r="119" spans="1:17" x14ac:dyDescent="0.3">
      <c r="A119">
        <f t="shared" si="11"/>
        <v>1</v>
      </c>
      <c r="B119">
        <f t="shared" si="12"/>
        <v>117</v>
      </c>
      <c r="C119" cm="1">
        <f t="array" ref="C119">IFERROR(INDEX('TRIP MANAGER'!$O$18:$O$25,$A119),"")</f>
        <v>-25.938960000000002</v>
      </c>
      <c r="D119" cm="1">
        <f t="array" ref="D119">IFERROR(INDEX('TRIP MANAGER'!$P$18:$P$25,$A119),"")</f>
        <v>27.926639999999999</v>
      </c>
      <c r="E119" cm="1">
        <f t="array" ref="E119">IFERROR(INDEX('TRIP MANAGER'!$Q$18:$Q$25,$A119),"")</f>
        <v>12.133699999999999</v>
      </c>
      <c r="F119" cm="1">
        <f t="array" ref="F119">IFERROR(INDEX('TRIP MANAGER'!$R$18:$R$25,$A119),"")</f>
        <v>15.034000000000001</v>
      </c>
      <c r="G119" cm="1">
        <f t="array" ref="G119">IFERROR(INDEX('TRIP MANAGER'!$S$18:$S$25,$A119),"")</f>
        <v>0.69965352295446726</v>
      </c>
      <c r="H119">
        <f t="shared" si="13"/>
        <v>0.78</v>
      </c>
      <c r="I119">
        <f t="shared" si="14"/>
        <v>0.23808689634468316</v>
      </c>
      <c r="J119">
        <f t="shared" si="15"/>
        <v>0.80602507206046192</v>
      </c>
      <c r="K119">
        <f t="shared" si="16"/>
        <v>0.95021557911942767</v>
      </c>
      <c r="L119">
        <f t="shared" si="17"/>
        <v>0.30467853891552199</v>
      </c>
      <c r="M119">
        <f t="shared" si="18"/>
        <v>6.5278948544177137E-2</v>
      </c>
      <c r="N119">
        <f t="shared" si="19"/>
        <v>3.7428697333478467</v>
      </c>
      <c r="O119">
        <f t="shared" si="20"/>
        <v>17.778005996384429</v>
      </c>
      <c r="P119" t="str" cm="1">
        <f t="array" ref="P119">IF($N119="","",IFERROR(IF(INDEX(geo_grid!$B$2:$JU$231,INT(($N119+40)/0.5)+1,INT(($O119+30)/0.5)+1)="","",INDEX(geo_grid!$B$2:$JU$231,INT(($N119+40)/0.5)+1,INT(($O119+30)/0.5)+1)),"OUTSIDE GRID"))</f>
        <v>CAF</v>
      </c>
      <c r="Q119">
        <f t="shared" si="21"/>
        <v>1117</v>
      </c>
    </row>
    <row r="120" spans="1:17" x14ac:dyDescent="0.3">
      <c r="A120">
        <f t="shared" si="11"/>
        <v>1</v>
      </c>
      <c r="B120">
        <f t="shared" si="12"/>
        <v>118</v>
      </c>
      <c r="C120" cm="1">
        <f t="array" ref="C120">IFERROR(INDEX('TRIP MANAGER'!$O$18:$O$25,$A120),"")</f>
        <v>-25.938960000000002</v>
      </c>
      <c r="D120" cm="1">
        <f t="array" ref="D120">IFERROR(INDEX('TRIP MANAGER'!$P$18:$P$25,$A120),"")</f>
        <v>27.926639999999999</v>
      </c>
      <c r="E120" cm="1">
        <f t="array" ref="E120">IFERROR(INDEX('TRIP MANAGER'!$Q$18:$Q$25,$A120),"")</f>
        <v>12.133699999999999</v>
      </c>
      <c r="F120" cm="1">
        <f t="array" ref="F120">IFERROR(INDEX('TRIP MANAGER'!$R$18:$R$25,$A120),"")</f>
        <v>15.034000000000001</v>
      </c>
      <c r="G120" cm="1">
        <f t="array" ref="G120">IFERROR(INDEX('TRIP MANAGER'!$S$18:$S$25,$A120),"")</f>
        <v>0.69965352295446726</v>
      </c>
      <c r="H120">
        <f t="shared" si="13"/>
        <v>0.78666666666666663</v>
      </c>
      <c r="I120">
        <f t="shared" si="14"/>
        <v>0.23092664672581054</v>
      </c>
      <c r="J120">
        <f t="shared" si="15"/>
        <v>0.81220750258849095</v>
      </c>
      <c r="K120">
        <f t="shared" si="16"/>
        <v>0.95036390485973865</v>
      </c>
      <c r="L120">
        <f t="shared" si="17"/>
        <v>0.30323077383038832</v>
      </c>
      <c r="M120">
        <f t="shared" si="18"/>
        <v>6.9710444999107904E-2</v>
      </c>
      <c r="N120">
        <f t="shared" si="19"/>
        <v>3.9973563115355937</v>
      </c>
      <c r="O120">
        <f t="shared" si="20"/>
        <v>17.696222534127731</v>
      </c>
      <c r="P120" t="str" cm="1">
        <f t="array" ref="P120">IF($N120="","",IFERROR(IF(INDEX(geo_grid!$B$2:$JU$231,INT(($N120+40)/0.5)+1,INT(($O120+30)/0.5)+1)="","",INDEX(geo_grid!$B$2:$JU$231,INT(($N120+40)/0.5)+1,INT(($O120+30)/0.5)+1)),"OUTSIDE GRID"))</f>
        <v>CAF</v>
      </c>
      <c r="Q120">
        <f t="shared" si="21"/>
        <v>1118</v>
      </c>
    </row>
    <row r="121" spans="1:17" x14ac:dyDescent="0.3">
      <c r="A121">
        <f t="shared" si="11"/>
        <v>1</v>
      </c>
      <c r="B121">
        <f t="shared" si="12"/>
        <v>119</v>
      </c>
      <c r="C121" cm="1">
        <f t="array" ref="C121">IFERROR(INDEX('TRIP MANAGER'!$O$18:$O$25,$A121),"")</f>
        <v>-25.938960000000002</v>
      </c>
      <c r="D121" cm="1">
        <f t="array" ref="D121">IFERROR(INDEX('TRIP MANAGER'!$P$18:$P$25,$A121),"")</f>
        <v>27.926639999999999</v>
      </c>
      <c r="E121" cm="1">
        <f t="array" ref="E121">IFERROR(INDEX('TRIP MANAGER'!$Q$18:$Q$25,$A121),"")</f>
        <v>12.133699999999999</v>
      </c>
      <c r="F121" cm="1">
        <f t="array" ref="F121">IFERROR(INDEX('TRIP MANAGER'!$R$18:$R$25,$A121),"")</f>
        <v>15.034000000000001</v>
      </c>
      <c r="G121" cm="1">
        <f t="array" ref="G121">IFERROR(INDEX('TRIP MANAGER'!$S$18:$S$25,$A121),"")</f>
        <v>0.69965352295446726</v>
      </c>
      <c r="H121">
        <f t="shared" si="13"/>
        <v>0.79333333333333333</v>
      </c>
      <c r="I121">
        <f t="shared" si="14"/>
        <v>0.22376137302406773</v>
      </c>
      <c r="J121">
        <f t="shared" si="15"/>
        <v>0.81837226257975637</v>
      </c>
      <c r="K121">
        <f t="shared" si="16"/>
        <v>0.9504915543070257</v>
      </c>
      <c r="L121">
        <f t="shared" si="17"/>
        <v>0.30177641160041196</v>
      </c>
      <c r="M121">
        <f t="shared" si="18"/>
        <v>7.4140424820694134E-2</v>
      </c>
      <c r="N121">
        <f t="shared" si="19"/>
        <v>4.2518347666959357</v>
      </c>
      <c r="O121">
        <f t="shared" si="20"/>
        <v>17.614388288211146</v>
      </c>
      <c r="P121" t="str" cm="1">
        <f t="array" ref="P121">IF($N121="","",IFERROR(IF(INDEX(geo_grid!$B$2:$JU$231,INT(($N121+40)/0.5)+1,INT(($O121+30)/0.5)+1)="","",INDEX(geo_grid!$B$2:$JU$231,INT(($N121+40)/0.5)+1,INT(($O121+30)/0.5)+1)),"OUTSIDE GRID"))</f>
        <v>CAF</v>
      </c>
      <c r="Q121">
        <f t="shared" si="21"/>
        <v>1119</v>
      </c>
    </row>
    <row r="122" spans="1:17" x14ac:dyDescent="0.3">
      <c r="A122">
        <f t="shared" si="11"/>
        <v>1</v>
      </c>
      <c r="B122">
        <f t="shared" si="12"/>
        <v>120</v>
      </c>
      <c r="C122" cm="1">
        <f t="array" ref="C122">IFERROR(INDEX('TRIP MANAGER'!$O$18:$O$25,$A122),"")</f>
        <v>-25.938960000000002</v>
      </c>
      <c r="D122" cm="1">
        <f t="array" ref="D122">IFERROR(INDEX('TRIP MANAGER'!$P$18:$P$25,$A122),"")</f>
        <v>27.926639999999999</v>
      </c>
      <c r="E122" cm="1">
        <f t="array" ref="E122">IFERROR(INDEX('TRIP MANAGER'!$Q$18:$Q$25,$A122),"")</f>
        <v>12.133699999999999</v>
      </c>
      <c r="F122" cm="1">
        <f t="array" ref="F122">IFERROR(INDEX('TRIP MANAGER'!$R$18:$R$25,$A122),"")</f>
        <v>15.034000000000001</v>
      </c>
      <c r="G122" cm="1">
        <f t="array" ref="G122">IFERROR(INDEX('TRIP MANAGER'!$S$18:$S$25,$A122),"")</f>
        <v>0.69965352295446726</v>
      </c>
      <c r="H122">
        <f t="shared" si="13"/>
        <v>0.8</v>
      </c>
      <c r="I122">
        <f t="shared" si="14"/>
        <v>0.21659123112847589</v>
      </c>
      <c r="J122">
        <f t="shared" si="15"/>
        <v>0.82451921791259897</v>
      </c>
      <c r="K122">
        <f t="shared" si="16"/>
        <v>0.95059852468412431</v>
      </c>
      <c r="L122">
        <f t="shared" si="17"/>
        <v>0.30031548386696694</v>
      </c>
      <c r="M122">
        <f t="shared" si="18"/>
        <v>7.8568791629474791E-2</v>
      </c>
      <c r="N122">
        <f t="shared" si="19"/>
        <v>4.5063045743191514</v>
      </c>
      <c r="O122">
        <f t="shared" si="20"/>
        <v>17.532499981278708</v>
      </c>
      <c r="P122" t="str" cm="1">
        <f t="array" ref="P122">IF($N122="","",IFERROR(IF(INDEX(geo_grid!$B$2:$JU$231,INT(($N122+40)/0.5)+1,INT(($O122+30)/0.5)+1)="","",INDEX(geo_grid!$B$2:$JU$231,INT(($N122+40)/0.5)+1,INT(($O122+30)/0.5)+1)),"OUTSIDE GRID"))</f>
        <v>CAF</v>
      </c>
      <c r="Q122">
        <f t="shared" si="21"/>
        <v>1120</v>
      </c>
    </row>
    <row r="123" spans="1:17" x14ac:dyDescent="0.3">
      <c r="A123">
        <f t="shared" si="11"/>
        <v>1</v>
      </c>
      <c r="B123">
        <f t="shared" si="12"/>
        <v>121</v>
      </c>
      <c r="C123" cm="1">
        <f t="array" ref="C123">IFERROR(INDEX('TRIP MANAGER'!$O$18:$O$25,$A123),"")</f>
        <v>-25.938960000000002</v>
      </c>
      <c r="D123" cm="1">
        <f t="array" ref="D123">IFERROR(INDEX('TRIP MANAGER'!$P$18:$P$25,$A123),"")</f>
        <v>27.926639999999999</v>
      </c>
      <c r="E123" cm="1">
        <f t="array" ref="E123">IFERROR(INDEX('TRIP MANAGER'!$Q$18:$Q$25,$A123),"")</f>
        <v>12.133699999999999</v>
      </c>
      <c r="F123" cm="1">
        <f t="array" ref="F123">IFERROR(INDEX('TRIP MANAGER'!$R$18:$R$25,$A123),"")</f>
        <v>15.034000000000001</v>
      </c>
      <c r="G123" cm="1">
        <f t="array" ref="G123">IFERROR(INDEX('TRIP MANAGER'!$S$18:$S$25,$A123),"")</f>
        <v>0.69965352295446726</v>
      </c>
      <c r="H123">
        <f t="shared" si="13"/>
        <v>0.80666666666666664</v>
      </c>
      <c r="I123">
        <f t="shared" si="14"/>
        <v>0.2094163770339694</v>
      </c>
      <c r="J123">
        <f t="shared" si="15"/>
        <v>0.83064823485272032</v>
      </c>
      <c r="K123">
        <f t="shared" si="16"/>
        <v>0.95068481366376678</v>
      </c>
      <c r="L123">
        <f t="shared" si="17"/>
        <v>0.29884802241426744</v>
      </c>
      <c r="M123">
        <f t="shared" si="18"/>
        <v>8.2995449081081765E-2</v>
      </c>
      <c r="N123">
        <f t="shared" si="19"/>
        <v>4.7607652085373422</v>
      </c>
      <c r="O123">
        <f t="shared" si="20"/>
        <v>17.450554327818352</v>
      </c>
      <c r="P123" t="str" cm="1">
        <f t="array" ref="P123">IF($N123="","",IFERROR(IF(INDEX(geo_grid!$B$2:$JU$231,INT(($N123+40)/0.5)+1,INT(($O123+30)/0.5)+1)="","",INDEX(geo_grid!$B$2:$JU$231,INT(($N123+40)/0.5)+1,INT(($O123+30)/0.5)+1)),"OUTSIDE GRID"))</f>
        <v>CAF</v>
      </c>
      <c r="Q123">
        <f t="shared" si="21"/>
        <v>1121</v>
      </c>
    </row>
    <row r="124" spans="1:17" x14ac:dyDescent="0.3">
      <c r="A124">
        <f t="shared" si="11"/>
        <v>1</v>
      </c>
      <c r="B124">
        <f t="shared" si="12"/>
        <v>122</v>
      </c>
      <c r="C124" cm="1">
        <f t="array" ref="C124">IFERROR(INDEX('TRIP MANAGER'!$O$18:$O$25,$A124),"")</f>
        <v>-25.938960000000002</v>
      </c>
      <c r="D124" cm="1">
        <f t="array" ref="D124">IFERROR(INDEX('TRIP MANAGER'!$P$18:$P$25,$A124),"")</f>
        <v>27.926639999999999</v>
      </c>
      <c r="E124" cm="1">
        <f t="array" ref="E124">IFERROR(INDEX('TRIP MANAGER'!$Q$18:$Q$25,$A124),"")</f>
        <v>12.133699999999999</v>
      </c>
      <c r="F124" cm="1">
        <f t="array" ref="F124">IFERROR(INDEX('TRIP MANAGER'!$R$18:$R$25,$A124),"")</f>
        <v>15.034000000000001</v>
      </c>
      <c r="G124" cm="1">
        <f t="array" ref="G124">IFERROR(INDEX('TRIP MANAGER'!$S$18:$S$25,$A124),"")</f>
        <v>0.69965352295446726</v>
      </c>
      <c r="H124">
        <f t="shared" si="13"/>
        <v>0.81333333333333335</v>
      </c>
      <c r="I124">
        <f t="shared" si="14"/>
        <v>0.2022369668380016</v>
      </c>
      <c r="J124">
        <f t="shared" si="15"/>
        <v>0.83675918005609395</v>
      </c>
      <c r="K124">
        <f t="shared" si="16"/>
        <v>0.95075041936863436</v>
      </c>
      <c r="L124">
        <f t="shared" si="17"/>
        <v>0.29737405916867637</v>
      </c>
      <c r="M124">
        <f t="shared" si="18"/>
        <v>8.7420300868336479E-2</v>
      </c>
      <c r="N124">
        <f t="shared" si="19"/>
        <v>5.0152161420405177</v>
      </c>
      <c r="O124">
        <f t="shared" si="20"/>
        <v>17.368548033658865</v>
      </c>
      <c r="P124" t="str" cm="1">
        <f t="array" ref="P124">IF($N124="","",IFERROR(IF(INDEX(geo_grid!$B$2:$JU$231,INT(($N124+40)/0.5)+1,INT(($O124+30)/0.5)+1)="","",INDEX(geo_grid!$B$2:$JU$231,INT(($N124+40)/0.5)+1,INT(($O124+30)/0.5)+1)),"OUTSIDE GRID"))</f>
        <v>CAF</v>
      </c>
      <c r="Q124">
        <f t="shared" si="21"/>
        <v>1122</v>
      </c>
    </row>
    <row r="125" spans="1:17" x14ac:dyDescent="0.3">
      <c r="A125">
        <f t="shared" si="11"/>
        <v>1</v>
      </c>
      <c r="B125">
        <f t="shared" si="12"/>
        <v>123</v>
      </c>
      <c r="C125" cm="1">
        <f t="array" ref="C125">IFERROR(INDEX('TRIP MANAGER'!$O$18:$O$25,$A125),"")</f>
        <v>-25.938960000000002</v>
      </c>
      <c r="D125" cm="1">
        <f t="array" ref="D125">IFERROR(INDEX('TRIP MANAGER'!$P$18:$P$25,$A125),"")</f>
        <v>27.926639999999999</v>
      </c>
      <c r="E125" cm="1">
        <f t="array" ref="E125">IFERROR(INDEX('TRIP MANAGER'!$Q$18:$Q$25,$A125),"")</f>
        <v>12.133699999999999</v>
      </c>
      <c r="F125" cm="1">
        <f t="array" ref="F125">IFERROR(INDEX('TRIP MANAGER'!$R$18:$R$25,$A125),"")</f>
        <v>15.034000000000001</v>
      </c>
      <c r="G125" cm="1">
        <f t="array" ref="G125">IFERROR(INDEX('TRIP MANAGER'!$S$18:$S$25,$A125),"")</f>
        <v>0.69965352295446726</v>
      </c>
      <c r="H125">
        <f t="shared" si="13"/>
        <v>0.82</v>
      </c>
      <c r="I125">
        <f t="shared" si="14"/>
        <v>0.19505315673714996</v>
      </c>
      <c r="J125">
        <f t="shared" si="15"/>
        <v>0.84285192057186442</v>
      </c>
      <c r="K125">
        <f t="shared" si="16"/>
        <v>0.9507953403713969</v>
      </c>
      <c r="L125">
        <f t="shared" si="17"/>
        <v>0.29589362619801096</v>
      </c>
      <c r="M125">
        <f t="shared" si="18"/>
        <v>9.184325072334415E-2</v>
      </c>
      <c r="N125">
        <f t="shared" si="19"/>
        <v>5.269656845992162</v>
      </c>
      <c r="O125">
        <f t="shared" si="20"/>
        <v>17.28647779546424</v>
      </c>
      <c r="P125" t="str" cm="1">
        <f t="array" ref="P125">IF($N125="","",IFERROR(IF(INDEX(geo_grid!$B$2:$JU$231,INT(($N125+40)/0.5)+1,INT(($O125+30)/0.5)+1)="","",INDEX(geo_grid!$B$2:$JU$231,INT(($N125+40)/0.5)+1,INT(($O125+30)/0.5)+1)),"OUTSIDE GRID"))</f>
        <v>CAF</v>
      </c>
      <c r="Q125">
        <f t="shared" si="21"/>
        <v>1123</v>
      </c>
    </row>
    <row r="126" spans="1:17" x14ac:dyDescent="0.3">
      <c r="A126">
        <f t="shared" si="11"/>
        <v>1</v>
      </c>
      <c r="B126">
        <f t="shared" si="12"/>
        <v>124</v>
      </c>
      <c r="C126" cm="1">
        <f t="array" ref="C126">IFERROR(INDEX('TRIP MANAGER'!$O$18:$O$25,$A126),"")</f>
        <v>-25.938960000000002</v>
      </c>
      <c r="D126" cm="1">
        <f t="array" ref="D126">IFERROR(INDEX('TRIP MANAGER'!$P$18:$P$25,$A126),"")</f>
        <v>27.926639999999999</v>
      </c>
      <c r="E126" cm="1">
        <f t="array" ref="E126">IFERROR(INDEX('TRIP MANAGER'!$Q$18:$Q$25,$A126),"")</f>
        <v>12.133699999999999</v>
      </c>
      <c r="F126" cm="1">
        <f t="array" ref="F126">IFERROR(INDEX('TRIP MANAGER'!$R$18:$R$25,$A126),"")</f>
        <v>15.034000000000001</v>
      </c>
      <c r="G126" cm="1">
        <f t="array" ref="G126">IFERROR(INDEX('TRIP MANAGER'!$S$18:$S$25,$A126),"")</f>
        <v>0.69965352295446726</v>
      </c>
      <c r="H126">
        <f t="shared" si="13"/>
        <v>0.82666666666666666</v>
      </c>
      <c r="I126">
        <f t="shared" si="14"/>
        <v>0.18786510302371648</v>
      </c>
      <c r="J126">
        <f t="shared" si="15"/>
        <v>0.8489263238452418</v>
      </c>
      <c r="K126">
        <f t="shared" si="16"/>
        <v>0.95081957569474507</v>
      </c>
      <c r="L126">
        <f t="shared" si="17"/>
        <v>0.29440675571084501</v>
      </c>
      <c r="M126">
        <f t="shared" si="18"/>
        <v>9.6264202419589273E-2</v>
      </c>
      <c r="N126">
        <f t="shared" si="19"/>
        <v>5.5240867899444099</v>
      </c>
      <c r="O126">
        <f t="shared" si="20"/>
        <v>17.204340300225244</v>
      </c>
      <c r="P126" t="str" cm="1">
        <f t="array" ref="P126">IF($N126="","",IFERROR(IF(INDEX(geo_grid!$B$2:$JU$231,INT(($N126+40)/0.5)+1,INT(($O126+30)/0.5)+1)="","",INDEX(geo_grid!$B$2:$JU$231,INT(($N126+40)/0.5)+1,INT(($O126+30)/0.5)+1)),"OUTSIDE GRID"))</f>
        <v>CAF</v>
      </c>
      <c r="Q126">
        <f t="shared" si="21"/>
        <v>1124</v>
      </c>
    </row>
    <row r="127" spans="1:17" x14ac:dyDescent="0.3">
      <c r="A127">
        <f t="shared" si="11"/>
        <v>1</v>
      </c>
      <c r="B127">
        <f t="shared" si="12"/>
        <v>125</v>
      </c>
      <c r="C127" cm="1">
        <f t="array" ref="C127">IFERROR(INDEX('TRIP MANAGER'!$O$18:$O$25,$A127),"")</f>
        <v>-25.938960000000002</v>
      </c>
      <c r="D127" cm="1">
        <f t="array" ref="D127">IFERROR(INDEX('TRIP MANAGER'!$P$18:$P$25,$A127),"")</f>
        <v>27.926639999999999</v>
      </c>
      <c r="E127" cm="1">
        <f t="array" ref="E127">IFERROR(INDEX('TRIP MANAGER'!$Q$18:$Q$25,$A127),"")</f>
        <v>12.133699999999999</v>
      </c>
      <c r="F127" cm="1">
        <f t="array" ref="F127">IFERROR(INDEX('TRIP MANAGER'!$R$18:$R$25,$A127),"")</f>
        <v>15.034000000000001</v>
      </c>
      <c r="G127" cm="1">
        <f t="array" ref="G127">IFERROR(INDEX('TRIP MANAGER'!$S$18:$S$25,$A127),"")</f>
        <v>0.69965352295446726</v>
      </c>
      <c r="H127">
        <f t="shared" si="13"/>
        <v>0.83333333333333337</v>
      </c>
      <c r="I127">
        <f t="shared" si="14"/>
        <v>0.18067296208232836</v>
      </c>
      <c r="J127">
        <f t="shared" si="15"/>
        <v>0.85498225772038361</v>
      </c>
      <c r="K127">
        <f t="shared" si="16"/>
        <v>0.9508231248114104</v>
      </c>
      <c r="L127">
        <f t="shared" si="17"/>
        <v>0.29291348005580792</v>
      </c>
      <c r="M127">
        <f t="shared" si="18"/>
        <v>0.10068305977402825</v>
      </c>
      <c r="N127">
        <f t="shared" si="19"/>
        <v>5.7785054417526052</v>
      </c>
      <c r="O127">
        <f t="shared" si="20"/>
        <v>17.122132224748054</v>
      </c>
      <c r="P127" t="str" cm="1">
        <f t="array" ref="P127">IF($N127="","",IFERROR(IF(INDEX(geo_grid!$B$2:$JU$231,INT(($N127+40)/0.5)+1,INT(($O127+30)/0.5)+1)="","",INDEX(geo_grid!$B$2:$JU$231,INT(($N127+40)/0.5)+1,INT(($O127+30)/0.5)+1)),"OUTSIDE GRID"))</f>
        <v>CAF</v>
      </c>
      <c r="Q127">
        <f t="shared" si="21"/>
        <v>1125</v>
      </c>
    </row>
    <row r="128" spans="1:17" x14ac:dyDescent="0.3">
      <c r="A128">
        <f t="shared" si="11"/>
        <v>1</v>
      </c>
      <c r="B128">
        <f t="shared" si="12"/>
        <v>126</v>
      </c>
      <c r="C128" cm="1">
        <f t="array" ref="C128">IFERROR(INDEX('TRIP MANAGER'!$O$18:$O$25,$A128),"")</f>
        <v>-25.938960000000002</v>
      </c>
      <c r="D128" cm="1">
        <f t="array" ref="D128">IFERROR(INDEX('TRIP MANAGER'!$P$18:$P$25,$A128),"")</f>
        <v>27.926639999999999</v>
      </c>
      <c r="E128" cm="1">
        <f t="array" ref="E128">IFERROR(INDEX('TRIP MANAGER'!$Q$18:$Q$25,$A128),"")</f>
        <v>12.133699999999999</v>
      </c>
      <c r="F128" cm="1">
        <f t="array" ref="F128">IFERROR(INDEX('TRIP MANAGER'!$R$18:$R$25,$A128),"")</f>
        <v>15.034000000000001</v>
      </c>
      <c r="G128" cm="1">
        <f t="array" ref="G128">IFERROR(INDEX('TRIP MANAGER'!$S$18:$S$25,$A128),"")</f>
        <v>0.69965352295446726</v>
      </c>
      <c r="H128">
        <f t="shared" si="13"/>
        <v>0.84</v>
      </c>
      <c r="I128">
        <f t="shared" si="14"/>
        <v>0.17347689038653522</v>
      </c>
      <c r="J128">
        <f t="shared" si="15"/>
        <v>0.86101959044327203</v>
      </c>
      <c r="K128">
        <f t="shared" si="16"/>
        <v>0.95080598764417801</v>
      </c>
      <c r="L128">
        <f t="shared" si="17"/>
        <v>0.29141383172088142</v>
      </c>
      <c r="M128">
        <f t="shared" si="18"/>
        <v>0.1050997266491827</v>
      </c>
      <c r="N128">
        <f t="shared" si="19"/>
        <v>6.0329122674893911</v>
      </c>
      <c r="O128">
        <f t="shared" si="20"/>
        <v>17.039850235139845</v>
      </c>
      <c r="P128" t="str" cm="1">
        <f t="array" ref="P128">IF($N128="","",IFERROR(IF(INDEX(geo_grid!$B$2:$JU$231,INT(($N128+40)/0.5)+1,INT(($O128+30)/0.5)+1)="","",INDEX(geo_grid!$B$2:$JU$231,INT(($N128+40)/0.5)+1,INT(($O128+30)/0.5)+1)),"OUTSIDE GRID"))</f>
        <v>CAF</v>
      </c>
      <c r="Q128">
        <f t="shared" si="21"/>
        <v>1126</v>
      </c>
    </row>
    <row r="129" spans="1:17" x14ac:dyDescent="0.3">
      <c r="A129">
        <f t="shared" si="11"/>
        <v>1</v>
      </c>
      <c r="B129">
        <f t="shared" si="12"/>
        <v>127</v>
      </c>
      <c r="C129" cm="1">
        <f t="array" ref="C129">IFERROR(INDEX('TRIP MANAGER'!$O$18:$O$25,$A129),"")</f>
        <v>-25.938960000000002</v>
      </c>
      <c r="D129" cm="1">
        <f t="array" ref="D129">IFERROR(INDEX('TRIP MANAGER'!$P$18:$P$25,$A129),"")</f>
        <v>27.926639999999999</v>
      </c>
      <c r="E129" cm="1">
        <f t="array" ref="E129">IFERROR(INDEX('TRIP MANAGER'!$Q$18:$Q$25,$A129),"")</f>
        <v>12.133699999999999</v>
      </c>
      <c r="F129" cm="1">
        <f t="array" ref="F129">IFERROR(INDEX('TRIP MANAGER'!$R$18:$R$25,$A129),"")</f>
        <v>15.034000000000001</v>
      </c>
      <c r="G129" cm="1">
        <f t="array" ref="G129">IFERROR(INDEX('TRIP MANAGER'!$S$18:$S$25,$A129),"")</f>
        <v>0.69965352295446726</v>
      </c>
      <c r="H129">
        <f t="shared" si="13"/>
        <v>0.84666666666666668</v>
      </c>
      <c r="I129">
        <f t="shared" si="14"/>
        <v>0.16627704449540465</v>
      </c>
      <c r="J129">
        <f t="shared" si="15"/>
        <v>0.86703819066457832</v>
      </c>
      <c r="K129">
        <f t="shared" si="16"/>
        <v>0.95076816456588686</v>
      </c>
      <c r="L129">
        <f t="shared" si="17"/>
        <v>0.28990784333269209</v>
      </c>
      <c r="M129">
        <f t="shared" si="18"/>
        <v>0.10951410695523053</v>
      </c>
      <c r="N129">
        <f t="shared" si="19"/>
        <v>6.2873067313581776</v>
      </c>
      <c r="O129">
        <f t="shared" si="20"/>
        <v>16.957490986291127</v>
      </c>
      <c r="P129" t="str" cm="1">
        <f t="array" ref="P129">IF($N129="","",IFERROR(IF(INDEX(geo_grid!$B$2:$JU$231,INT(($N129+40)/0.5)+1,INT(($O129+30)/0.5)+1)="","",INDEX(geo_grid!$B$2:$JU$231,INT(($N129+40)/0.5)+1,INT(($O129+30)/0.5)+1)),"OUTSIDE GRID"))</f>
        <v>CAF</v>
      </c>
      <c r="Q129">
        <f t="shared" si="21"/>
        <v>1127</v>
      </c>
    </row>
    <row r="130" spans="1:17" x14ac:dyDescent="0.3">
      <c r="A130">
        <f t="shared" si="11"/>
        <v>1</v>
      </c>
      <c r="B130">
        <f t="shared" si="12"/>
        <v>128</v>
      </c>
      <c r="C130" cm="1">
        <f t="array" ref="C130">IFERROR(INDEX('TRIP MANAGER'!$O$18:$O$25,$A130),"")</f>
        <v>-25.938960000000002</v>
      </c>
      <c r="D130" cm="1">
        <f t="array" ref="D130">IFERROR(INDEX('TRIP MANAGER'!$P$18:$P$25,$A130),"")</f>
        <v>27.926639999999999</v>
      </c>
      <c r="E130" cm="1">
        <f t="array" ref="E130">IFERROR(INDEX('TRIP MANAGER'!$Q$18:$Q$25,$A130),"")</f>
        <v>12.133699999999999</v>
      </c>
      <c r="F130" cm="1">
        <f t="array" ref="F130">IFERROR(INDEX('TRIP MANAGER'!$R$18:$R$25,$A130),"")</f>
        <v>15.034000000000001</v>
      </c>
      <c r="G130" cm="1">
        <f t="array" ref="G130">IFERROR(INDEX('TRIP MANAGER'!$S$18:$S$25,$A130),"")</f>
        <v>0.69965352295446726</v>
      </c>
      <c r="H130">
        <f t="shared" si="13"/>
        <v>0.85333333333333339</v>
      </c>
      <c r="I130">
        <f t="shared" si="14"/>
        <v>0.15907358105011668</v>
      </c>
      <c r="J130">
        <f t="shared" si="15"/>
        <v>0.87303792744252251</v>
      </c>
      <c r="K130">
        <f t="shared" si="16"/>
        <v>0.95070965639942318</v>
      </c>
      <c r="L130">
        <f t="shared" si="17"/>
        <v>0.28839554765580211</v>
      </c>
      <c r="M130">
        <f t="shared" si="18"/>
        <v>0.11392610465209671</v>
      </c>
      <c r="N130">
        <f t="shared" si="19"/>
        <v>6.5416882956060123</v>
      </c>
      <c r="O130">
        <f t="shared" si="20"/>
        <v>16.875051121354641</v>
      </c>
      <c r="P130" t="str" cm="1">
        <f t="array" ref="P130">IF($N130="","",IFERROR(IF(INDEX(geo_grid!$B$2:$JU$231,INT(($N130+40)/0.5)+1,INT(($O130+30)/0.5)+1)="","",INDEX(geo_grid!$B$2:$JU$231,INT(($N130+40)/0.5)+1,INT(($O130+30)/0.5)+1)),"OUTSIDE GRID"))</f>
        <v>CAF</v>
      </c>
      <c r="Q130">
        <f t="shared" si="21"/>
        <v>1128</v>
      </c>
    </row>
    <row r="131" spans="1:17" x14ac:dyDescent="0.3">
      <c r="A131">
        <f t="shared" ref="A131:A194" si="22">INT((ROW()-2)/151)+1</f>
        <v>1</v>
      </c>
      <c r="B131">
        <f t="shared" ref="B131:B194" si="23">MOD(ROW()-2,151)</f>
        <v>129</v>
      </c>
      <c r="C131" cm="1">
        <f t="array" ref="C131">IFERROR(INDEX('TRIP MANAGER'!$O$18:$O$25,$A131),"")</f>
        <v>-25.938960000000002</v>
      </c>
      <c r="D131" cm="1">
        <f t="array" ref="D131">IFERROR(INDEX('TRIP MANAGER'!$P$18:$P$25,$A131),"")</f>
        <v>27.926639999999999</v>
      </c>
      <c r="E131" cm="1">
        <f t="array" ref="E131">IFERROR(INDEX('TRIP MANAGER'!$Q$18:$Q$25,$A131),"")</f>
        <v>12.133699999999999</v>
      </c>
      <c r="F131" cm="1">
        <f t="array" ref="F131">IFERROR(INDEX('TRIP MANAGER'!$R$18:$R$25,$A131),"")</f>
        <v>15.034000000000001</v>
      </c>
      <c r="G131" cm="1">
        <f t="array" ref="G131">IFERROR(INDEX('TRIP MANAGER'!$S$18:$S$25,$A131),"")</f>
        <v>0.69965352295446726</v>
      </c>
      <c r="H131">
        <f t="shared" ref="H131:H194" si="24">$B131/150</f>
        <v>0.86</v>
      </c>
      <c r="I131">
        <f t="shared" ref="I131:I194" si="25">IF(OR($G131="",$G131=0),"",SIN((1-$H131)*$G131)/SIN($G131))</f>
        <v>0.15186665677055547</v>
      </c>
      <c r="J131">
        <f t="shared" ref="J131:J194" si="26">IF($I131="","",SIN($H131*$G131)/SIN($G131))</f>
        <v>0.87901867024572056</v>
      </c>
      <c r="K131">
        <f t="shared" ref="K131:K194" si="27">IF($I131="","",$I131*COS(RADIANS($C131))*COS(RADIANS($D131))+$J131*COS(RADIANS($E131))*COS(RADIANS($F131)))</f>
        <v>0.95063046441770149</v>
      </c>
      <c r="L131">
        <f t="shared" ref="L131:L194" si="28">IF($I131="","",$I131*COS(RADIANS($C131))*SIN(RADIANS($D131))+$J131*COS(RADIANS($E131))*SIN(RADIANS($F131)))</f>
        <v>0.28687697759199632</v>
      </c>
      <c r="M131">
        <f t="shared" ref="M131:M194" si="29">IF($I131="","",$I131*SIN(RADIANS($C131))+$J131*SIN(RADIANS($E131)))</f>
        <v>0.11833562375154263</v>
      </c>
      <c r="N131">
        <f t="shared" ref="N131:N194" si="30">IF($M131="","",DEGREES(ATAN2(SQRT($K131^2+$L131^2),$M131)))</f>
        <v>6.7960564204358436</v>
      </c>
      <c r="O131">
        <f t="shared" ref="O131:O194" si="31">IF($M131="","",DEGREES(ATAN2($K131,$L131)))</f>
        <v>16.792527271220788</v>
      </c>
      <c r="P131" t="str" cm="1">
        <f t="array" ref="P131">IF($N131="","",IFERROR(IF(INDEX(geo_grid!$B$2:$JU$231,INT(($N131+40)/0.5)+1,INT(($O131+30)/0.5)+1)="","",INDEX(geo_grid!$B$2:$JU$231,INT(($N131+40)/0.5)+1,INT(($O131+30)/0.5)+1)),"OUTSIDE GRID"))</f>
        <v>CAF</v>
      </c>
      <c r="Q131">
        <f t="shared" ref="Q131:Q194" si="32">IF($P131="","",$A131*1000+$B131)</f>
        <v>1129</v>
      </c>
    </row>
    <row r="132" spans="1:17" x14ac:dyDescent="0.3">
      <c r="A132">
        <f t="shared" si="22"/>
        <v>1</v>
      </c>
      <c r="B132">
        <f t="shared" si="23"/>
        <v>130</v>
      </c>
      <c r="C132" cm="1">
        <f t="array" ref="C132">IFERROR(INDEX('TRIP MANAGER'!$O$18:$O$25,$A132),"")</f>
        <v>-25.938960000000002</v>
      </c>
      <c r="D132" cm="1">
        <f t="array" ref="D132">IFERROR(INDEX('TRIP MANAGER'!$P$18:$P$25,$A132),"")</f>
        <v>27.926639999999999</v>
      </c>
      <c r="E132" cm="1">
        <f t="array" ref="E132">IFERROR(INDEX('TRIP MANAGER'!$Q$18:$Q$25,$A132),"")</f>
        <v>12.133699999999999</v>
      </c>
      <c r="F132" cm="1">
        <f t="array" ref="F132">IFERROR(INDEX('TRIP MANAGER'!$R$18:$R$25,$A132),"")</f>
        <v>15.034000000000001</v>
      </c>
      <c r="G132" cm="1">
        <f t="array" ref="G132">IFERROR(INDEX('TRIP MANAGER'!$S$18:$S$25,$A132),"")</f>
        <v>0.69965352295446726</v>
      </c>
      <c r="H132">
        <f t="shared" si="24"/>
        <v>0.8666666666666667</v>
      </c>
      <c r="I132">
        <f t="shared" si="25"/>
        <v>0.14465642845189935</v>
      </c>
      <c r="J132">
        <f t="shared" si="26"/>
        <v>0.88498028895602487</v>
      </c>
      <c r="K132">
        <f t="shared" si="27"/>
        <v>0.95053059034363674</v>
      </c>
      <c r="L132">
        <f t="shared" si="28"/>
        <v>0.28535216617956582</v>
      </c>
      <c r="M132">
        <f t="shared" si="29"/>
        <v>0.1227425683192547</v>
      </c>
      <c r="N132">
        <f t="shared" si="30"/>
        <v>7.0504105639181027</v>
      </c>
      <c r="O132">
        <f t="shared" si="31"/>
        <v>16.709916053989183</v>
      </c>
      <c r="P132" t="str" cm="1">
        <f t="array" ref="P132">IF($N132="","",IFERROR(IF(INDEX(geo_grid!$B$2:$JU$231,INT(($N132+40)/0.5)+1,INT(($O132+30)/0.5)+1)="","",INDEX(geo_grid!$B$2:$JU$231,INT(($N132+40)/0.5)+1,INT(($O132+30)/0.5)+1)),"OUTSIDE GRID"))</f>
        <v>CAF</v>
      </c>
      <c r="Q132">
        <f t="shared" si="32"/>
        <v>1130</v>
      </c>
    </row>
    <row r="133" spans="1:17" x14ac:dyDescent="0.3">
      <c r="A133">
        <f t="shared" si="22"/>
        <v>1</v>
      </c>
      <c r="B133">
        <f t="shared" si="23"/>
        <v>131</v>
      </c>
      <c r="C133" cm="1">
        <f t="array" ref="C133">IFERROR(INDEX('TRIP MANAGER'!$O$18:$O$25,$A133),"")</f>
        <v>-25.938960000000002</v>
      </c>
      <c r="D133" cm="1">
        <f t="array" ref="D133">IFERROR(INDEX('TRIP MANAGER'!$P$18:$P$25,$A133),"")</f>
        <v>27.926639999999999</v>
      </c>
      <c r="E133" cm="1">
        <f t="array" ref="E133">IFERROR(INDEX('TRIP MANAGER'!$Q$18:$Q$25,$A133),"")</f>
        <v>12.133699999999999</v>
      </c>
      <c r="F133" cm="1">
        <f t="array" ref="F133">IFERROR(INDEX('TRIP MANAGER'!$R$18:$R$25,$A133),"")</f>
        <v>15.034000000000001</v>
      </c>
      <c r="G133" cm="1">
        <f t="array" ref="G133">IFERROR(INDEX('TRIP MANAGER'!$S$18:$S$25,$A133),"")</f>
        <v>0.69965352295446726</v>
      </c>
      <c r="H133">
        <f t="shared" si="24"/>
        <v>0.87333333333333329</v>
      </c>
      <c r="I133">
        <f t="shared" si="25"/>
        <v>0.13744305296121048</v>
      </c>
      <c r="J133">
        <f t="shared" si="26"/>
        <v>0.89092265387135539</v>
      </c>
      <c r="K133">
        <f t="shared" si="27"/>
        <v>0.95041003635010812</v>
      </c>
      <c r="L133">
        <f t="shared" si="28"/>
        <v>0.28382114659259011</v>
      </c>
      <c r="M133">
        <f t="shared" si="29"/>
        <v>0.12714684247693109</v>
      </c>
      <c r="N133">
        <f t="shared" si="30"/>
        <v>7.3047501819015803</v>
      </c>
      <c r="O133">
        <f t="shared" si="31"/>
        <v>16.627214074436473</v>
      </c>
      <c r="P133" t="str" cm="1">
        <f t="array" ref="P133">IF($N133="","",IFERROR(IF(INDEX(geo_grid!$B$2:$JU$231,INT(($N133+40)/0.5)+1,INT(($O133+30)/0.5)+1)="","",INDEX(geo_grid!$B$2:$JU$231,INT(($N133+40)/0.5)+1,INT(($O133+30)/0.5)+1)),"OUTSIDE GRID"))</f>
        <v>CAF</v>
      </c>
      <c r="Q133">
        <f t="shared" si="32"/>
        <v>1131</v>
      </c>
    </row>
    <row r="134" spans="1:17" x14ac:dyDescent="0.3">
      <c r="A134">
        <f t="shared" si="22"/>
        <v>1</v>
      </c>
      <c r="B134">
        <f t="shared" si="23"/>
        <v>132</v>
      </c>
      <c r="C134" cm="1">
        <f t="array" ref="C134">IFERROR(INDEX('TRIP MANAGER'!$O$18:$O$25,$A134),"")</f>
        <v>-25.938960000000002</v>
      </c>
      <c r="D134" cm="1">
        <f t="array" ref="D134">IFERROR(INDEX('TRIP MANAGER'!$P$18:$P$25,$A134),"")</f>
        <v>27.926639999999999</v>
      </c>
      <c r="E134" cm="1">
        <f t="array" ref="E134">IFERROR(INDEX('TRIP MANAGER'!$Q$18:$Q$25,$A134),"")</f>
        <v>12.133699999999999</v>
      </c>
      <c r="F134" cm="1">
        <f t="array" ref="F134">IFERROR(INDEX('TRIP MANAGER'!$R$18:$R$25,$A134),"")</f>
        <v>15.034000000000001</v>
      </c>
      <c r="G134" cm="1">
        <f t="array" ref="G134">IFERROR(INDEX('TRIP MANAGER'!$S$18:$S$25,$A134),"")</f>
        <v>0.69965352295446726</v>
      </c>
      <c r="H134">
        <f t="shared" si="24"/>
        <v>0.88</v>
      </c>
      <c r="I134">
        <f t="shared" si="25"/>
        <v>0.13022668723402092</v>
      </c>
      <c r="J134">
        <f t="shared" si="26"/>
        <v>0.89684563570852127</v>
      </c>
      <c r="K134">
        <f t="shared" si="27"/>
        <v>0.95026880505991074</v>
      </c>
      <c r="L134">
        <f t="shared" si="28"/>
        <v>0.28228395214021468</v>
      </c>
      <c r="M134">
        <f t="shared" si="29"/>
        <v>0.13154835040436808</v>
      </c>
      <c r="N134">
        <f t="shared" si="30"/>
        <v>7.5590747279236075</v>
      </c>
      <c r="O134">
        <f t="shared" si="31"/>
        <v>16.544417923479987</v>
      </c>
      <c r="P134" t="str" cm="1">
        <f t="array" ref="P134">IF($N134="","",IFERROR(IF(INDEX(geo_grid!$B$2:$JU$231,INT(($N134+40)/0.5)+1,INT(($O134+30)/0.5)+1)="","",INDEX(geo_grid!$B$2:$JU$231,INT(($N134+40)/0.5)+1,INT(($O134+30)/0.5)+1)),"OUTSIDE GRID"))</f>
        <v>TCD</v>
      </c>
      <c r="Q134">
        <f t="shared" si="32"/>
        <v>1132</v>
      </c>
    </row>
    <row r="135" spans="1:17" x14ac:dyDescent="0.3">
      <c r="A135">
        <f t="shared" si="22"/>
        <v>1</v>
      </c>
      <c r="B135">
        <f t="shared" si="23"/>
        <v>133</v>
      </c>
      <c r="C135" cm="1">
        <f t="array" ref="C135">IFERROR(INDEX('TRIP MANAGER'!$O$18:$O$25,$A135),"")</f>
        <v>-25.938960000000002</v>
      </c>
      <c r="D135" cm="1">
        <f t="array" ref="D135">IFERROR(INDEX('TRIP MANAGER'!$P$18:$P$25,$A135),"")</f>
        <v>27.926639999999999</v>
      </c>
      <c r="E135" cm="1">
        <f t="array" ref="E135">IFERROR(INDEX('TRIP MANAGER'!$Q$18:$Q$25,$A135),"")</f>
        <v>12.133699999999999</v>
      </c>
      <c r="F135" cm="1">
        <f t="array" ref="F135">IFERROR(INDEX('TRIP MANAGER'!$R$18:$R$25,$A135),"")</f>
        <v>15.034000000000001</v>
      </c>
      <c r="G135" cm="1">
        <f t="array" ref="G135">IFERROR(INDEX('TRIP MANAGER'!$S$18:$S$25,$A135),"")</f>
        <v>0.69965352295446726</v>
      </c>
      <c r="H135">
        <f t="shared" si="24"/>
        <v>0.88666666666666671</v>
      </c>
      <c r="I135">
        <f t="shared" si="25"/>
        <v>0.12300748827091938</v>
      </c>
      <c r="J135">
        <f t="shared" si="26"/>
        <v>0.90274910560603316</v>
      </c>
      <c r="K135">
        <f t="shared" si="27"/>
        <v>0.95010689954569849</v>
      </c>
      <c r="L135">
        <f t="shared" si="28"/>
        <v>0.28074061626592656</v>
      </c>
      <c r="M135">
        <f t="shared" si="29"/>
        <v>0.13594699634154447</v>
      </c>
      <c r="N135">
        <f t="shared" si="30"/>
        <v>7.8133836531194767</v>
      </c>
      <c r="O135">
        <f t="shared" si="31"/>
        <v>16.461524177637173</v>
      </c>
      <c r="P135" t="str" cm="1">
        <f t="array" ref="P135">IF($N135="","",IFERROR(IF(INDEX(geo_grid!$B$2:$JU$231,INT(($N135+40)/0.5)+1,INT(($O135+30)/0.5)+1)="","",INDEX(geo_grid!$B$2:$JU$231,INT(($N135+40)/0.5)+1,INT(($O135+30)/0.5)+1)),"OUTSIDE GRID"))</f>
        <v>TCD</v>
      </c>
      <c r="Q135">
        <f t="shared" si="32"/>
        <v>1133</v>
      </c>
    </row>
    <row r="136" spans="1:17" x14ac:dyDescent="0.3">
      <c r="A136">
        <f t="shared" si="22"/>
        <v>1</v>
      </c>
      <c r="B136">
        <f t="shared" si="23"/>
        <v>134</v>
      </c>
      <c r="C136" cm="1">
        <f t="array" ref="C136">IFERROR(INDEX('TRIP MANAGER'!$O$18:$O$25,$A136),"")</f>
        <v>-25.938960000000002</v>
      </c>
      <c r="D136" cm="1">
        <f t="array" ref="D136">IFERROR(INDEX('TRIP MANAGER'!$P$18:$P$25,$A136),"")</f>
        <v>27.926639999999999</v>
      </c>
      <c r="E136" cm="1">
        <f t="array" ref="E136">IFERROR(INDEX('TRIP MANAGER'!$Q$18:$Q$25,$A136),"")</f>
        <v>12.133699999999999</v>
      </c>
      <c r="F136" cm="1">
        <f t="array" ref="F136">IFERROR(INDEX('TRIP MANAGER'!$R$18:$R$25,$A136),"")</f>
        <v>15.034000000000001</v>
      </c>
      <c r="G136" cm="1">
        <f t="array" ref="G136">IFERROR(INDEX('TRIP MANAGER'!$S$18:$S$25,$A136),"")</f>
        <v>0.69965352295446726</v>
      </c>
      <c r="H136">
        <f t="shared" si="24"/>
        <v>0.89333333333333331</v>
      </c>
      <c r="I136">
        <f t="shared" si="25"/>
        <v>0.11578561313413481</v>
      </c>
      <c r="J136">
        <f t="shared" si="26"/>
        <v>0.90863293512690724</v>
      </c>
      <c r="K136">
        <f t="shared" si="27"/>
        <v>0.94992432332991761</v>
      </c>
      <c r="L136">
        <f t="shared" si="28"/>
        <v>0.27919117254682668</v>
      </c>
      <c r="M136">
        <f t="shared" si="29"/>
        <v>0.14034268459070501</v>
      </c>
      <c r="N136">
        <f t="shared" si="30"/>
        <v>8.0676764061310617</v>
      </c>
      <c r="O136">
        <f t="shared" si="31"/>
        <v>16.37852939848068</v>
      </c>
      <c r="P136" t="str" cm="1">
        <f t="array" ref="P136">IF($N136="","",IFERROR(IF(INDEX(geo_grid!$B$2:$JU$231,INT(($N136+40)/0.5)+1,INT(($O136+30)/0.5)+1)="","",INDEX(geo_grid!$B$2:$JU$231,INT(($N136+40)/0.5)+1,INT(($O136+30)/0.5)+1)),"OUTSIDE GRID"))</f>
        <v>TCD</v>
      </c>
      <c r="Q136">
        <f t="shared" si="32"/>
        <v>1134</v>
      </c>
    </row>
    <row r="137" spans="1:17" x14ac:dyDescent="0.3">
      <c r="A137">
        <f t="shared" si="22"/>
        <v>1</v>
      </c>
      <c r="B137">
        <f t="shared" si="23"/>
        <v>135</v>
      </c>
      <c r="C137" cm="1">
        <f t="array" ref="C137">IFERROR(INDEX('TRIP MANAGER'!$O$18:$O$25,$A137),"")</f>
        <v>-25.938960000000002</v>
      </c>
      <c r="D137" cm="1">
        <f t="array" ref="D137">IFERROR(INDEX('TRIP MANAGER'!$P$18:$P$25,$A137),"")</f>
        <v>27.926639999999999</v>
      </c>
      <c r="E137" cm="1">
        <f t="array" ref="E137">IFERROR(INDEX('TRIP MANAGER'!$Q$18:$Q$25,$A137),"")</f>
        <v>12.133699999999999</v>
      </c>
      <c r="F137" cm="1">
        <f t="array" ref="F137">IFERROR(INDEX('TRIP MANAGER'!$R$18:$R$25,$A137),"")</f>
        <v>15.034000000000001</v>
      </c>
      <c r="G137" cm="1">
        <f t="array" ref="G137">IFERROR(INDEX('TRIP MANAGER'!$S$18:$S$25,$A137),"")</f>
        <v>0.69965352295446726</v>
      </c>
      <c r="H137">
        <f t="shared" si="24"/>
        <v>0.9</v>
      </c>
      <c r="I137">
        <f t="shared" si="25"/>
        <v>0.10856121894411917</v>
      </c>
      <c r="J137">
        <f t="shared" si="26"/>
        <v>0.91449699626145953</v>
      </c>
      <c r="K137">
        <f t="shared" si="27"/>
        <v>0.94972108038473035</v>
      </c>
      <c r="L137">
        <f t="shared" si="28"/>
        <v>0.27763565469289947</v>
      </c>
      <c r="M137">
        <f t="shared" si="29"/>
        <v>0.14473531951844265</v>
      </c>
      <c r="N137">
        <f t="shared" si="30"/>
        <v>8.3219524330146548</v>
      </c>
      <c r="O137">
        <f t="shared" si="31"/>
        <v>16.295430132088772</v>
      </c>
      <c r="P137" t="str" cm="1">
        <f t="array" ref="P137">IF($N137="","",IFERROR(IF(INDEX(geo_grid!$B$2:$JU$231,INT(($N137+40)/0.5)+1,INT(($O137+30)/0.5)+1)="","",INDEX(geo_grid!$B$2:$JU$231,INT(($N137+40)/0.5)+1,INT(($O137+30)/0.5)+1)),"OUTSIDE GRID"))</f>
        <v>TCD</v>
      </c>
      <c r="Q137">
        <f t="shared" si="32"/>
        <v>1135</v>
      </c>
    </row>
    <row r="138" spans="1:17" x14ac:dyDescent="0.3">
      <c r="A138">
        <f t="shared" si="22"/>
        <v>1</v>
      </c>
      <c r="B138">
        <f t="shared" si="23"/>
        <v>136</v>
      </c>
      <c r="C138" cm="1">
        <f t="array" ref="C138">IFERROR(INDEX('TRIP MANAGER'!$O$18:$O$25,$A138),"")</f>
        <v>-25.938960000000002</v>
      </c>
      <c r="D138" cm="1">
        <f t="array" ref="D138">IFERROR(INDEX('TRIP MANAGER'!$P$18:$P$25,$A138),"")</f>
        <v>27.926639999999999</v>
      </c>
      <c r="E138" cm="1">
        <f t="array" ref="E138">IFERROR(INDEX('TRIP MANAGER'!$Q$18:$Q$25,$A138),"")</f>
        <v>12.133699999999999</v>
      </c>
      <c r="F138" cm="1">
        <f t="array" ref="F138">IFERROR(INDEX('TRIP MANAGER'!$R$18:$R$25,$A138),"")</f>
        <v>15.034000000000001</v>
      </c>
      <c r="G138" cm="1">
        <f t="array" ref="G138">IFERROR(INDEX('TRIP MANAGER'!$S$18:$S$25,$A138),"")</f>
        <v>0.69965352295446726</v>
      </c>
      <c r="H138">
        <f t="shared" si="24"/>
        <v>0.90666666666666662</v>
      </c>
      <c r="I138">
        <f t="shared" si="25"/>
        <v>0.10133446287612997</v>
      </c>
      <c r="J138">
        <f t="shared" si="26"/>
        <v>0.92034116143009026</v>
      </c>
      <c r="K138">
        <f t="shared" si="27"/>
        <v>0.94949717513192744</v>
      </c>
      <c r="L138">
        <f t="shared" si="28"/>
        <v>0.27607409654627918</v>
      </c>
      <c r="M138">
        <f t="shared" si="29"/>
        <v>0.14912480555777866</v>
      </c>
      <c r="N138">
        <f t="shared" si="30"/>
        <v>8.5762111771479148</v>
      </c>
      <c r="O138">
        <f t="shared" si="31"/>
        <v>16.212222908491103</v>
      </c>
      <c r="P138" t="str" cm="1">
        <f t="array" ref="P138">IF($N138="","",IFERROR(IF(INDEX(geo_grid!$B$2:$JU$231,INT(($N138+40)/0.5)+1,INT(($O138+30)/0.5)+1)="","",INDEX(geo_grid!$B$2:$JU$231,INT(($N138+40)/0.5)+1,INT(($O138+30)/0.5)+1)),"OUTSIDE GRID"))</f>
        <v>TCD</v>
      </c>
      <c r="Q138">
        <f t="shared" si="32"/>
        <v>1136</v>
      </c>
    </row>
    <row r="139" spans="1:17" x14ac:dyDescent="0.3">
      <c r="A139">
        <f t="shared" si="22"/>
        <v>1</v>
      </c>
      <c r="B139">
        <f t="shared" si="23"/>
        <v>137</v>
      </c>
      <c r="C139" cm="1">
        <f t="array" ref="C139">IFERROR(INDEX('TRIP MANAGER'!$O$18:$O$25,$A139),"")</f>
        <v>-25.938960000000002</v>
      </c>
      <c r="D139" cm="1">
        <f t="array" ref="D139">IFERROR(INDEX('TRIP MANAGER'!$P$18:$P$25,$A139),"")</f>
        <v>27.926639999999999</v>
      </c>
      <c r="E139" cm="1">
        <f t="array" ref="E139">IFERROR(INDEX('TRIP MANAGER'!$Q$18:$Q$25,$A139),"")</f>
        <v>12.133699999999999</v>
      </c>
      <c r="F139" cm="1">
        <f t="array" ref="F139">IFERROR(INDEX('TRIP MANAGER'!$R$18:$R$25,$A139),"")</f>
        <v>15.034000000000001</v>
      </c>
      <c r="G139" cm="1">
        <f t="array" ref="G139">IFERROR(INDEX('TRIP MANAGER'!$S$18:$S$25,$A139),"")</f>
        <v>0.69965352295446726</v>
      </c>
      <c r="H139">
        <f t="shared" si="24"/>
        <v>0.91333333333333333</v>
      </c>
      <c r="I139">
        <f t="shared" si="25"/>
        <v>9.4105502156809601E-2</v>
      </c>
      <c r="J139">
        <f t="shared" si="26"/>
        <v>0.92616530348606074</v>
      </c>
      <c r="K139">
        <f t="shared" si="27"/>
        <v>0.94925261244283354</v>
      </c>
      <c r="L139">
        <f t="shared" si="28"/>
        <v>0.27450653208051395</v>
      </c>
      <c r="M139">
        <f t="shared" si="29"/>
        <v>0.1535110472102425</v>
      </c>
      <c r="N139">
        <f t="shared" si="30"/>
        <v>8.8304520791359842</v>
      </c>
      <c r="O139">
        <f t="shared" si="31"/>
        <v>16.128904241109424</v>
      </c>
      <c r="P139" t="str" cm="1">
        <f t="array" ref="P139">IF($N139="","",IFERROR(IF(INDEX(geo_grid!$B$2:$JU$231,INT(($N139+40)/0.5)+1,INT(($O139+30)/0.5)+1)="","",INDEX(geo_grid!$B$2:$JU$231,INT(($N139+40)/0.5)+1,INT(($O139+30)/0.5)+1)),"OUTSIDE GRID"))</f>
        <v>TCD</v>
      </c>
      <c r="Q139">
        <f t="shared" si="32"/>
        <v>1137</v>
      </c>
    </row>
    <row r="140" spans="1:17" x14ac:dyDescent="0.3">
      <c r="A140">
        <f t="shared" si="22"/>
        <v>1</v>
      </c>
      <c r="B140">
        <f t="shared" si="23"/>
        <v>138</v>
      </c>
      <c r="C140" cm="1">
        <f t="array" ref="C140">IFERROR(INDEX('TRIP MANAGER'!$O$18:$O$25,$A140),"")</f>
        <v>-25.938960000000002</v>
      </c>
      <c r="D140" cm="1">
        <f t="array" ref="D140">IFERROR(INDEX('TRIP MANAGER'!$P$18:$P$25,$A140),"")</f>
        <v>27.926639999999999</v>
      </c>
      <c r="E140" cm="1">
        <f t="array" ref="E140">IFERROR(INDEX('TRIP MANAGER'!$Q$18:$Q$25,$A140),"")</f>
        <v>12.133699999999999</v>
      </c>
      <c r="F140" cm="1">
        <f t="array" ref="F140">IFERROR(INDEX('TRIP MANAGER'!$R$18:$R$25,$A140),"")</f>
        <v>15.034000000000001</v>
      </c>
      <c r="G140" cm="1">
        <f t="array" ref="G140">IFERROR(INDEX('TRIP MANAGER'!$S$18:$S$25,$A140),"")</f>
        <v>0.69965352295446726</v>
      </c>
      <c r="H140">
        <f t="shared" si="24"/>
        <v>0.92</v>
      </c>
      <c r="I140">
        <f t="shared" si="25"/>
        <v>8.6874494060765653E-2</v>
      </c>
      <c r="J140">
        <f t="shared" si="26"/>
        <v>0.93196929571825815</v>
      </c>
      <c r="K140">
        <f t="shared" si="27"/>
        <v>0.94898739763819939</v>
      </c>
      <c r="L140">
        <f t="shared" si="28"/>
        <v>0.27293299539982641</v>
      </c>
      <c r="M140">
        <f t="shared" si="29"/>
        <v>0.15789394904794882</v>
      </c>
      <c r="N140">
        <f t="shared" si="30"/>
        <v>9.0846745767166581</v>
      </c>
      <c r="O140">
        <f t="shared" si="31"/>
        <v>16.045470626193303</v>
      </c>
      <c r="P140" t="str" cm="1">
        <f t="array" ref="P140">IF($N140="","",IFERROR(IF(INDEX(geo_grid!$B$2:$JU$231,INT(($N140+40)/0.5)+1,INT(($O140+30)/0.5)+1)="","",INDEX(geo_grid!$B$2:$JU$231,INT(($N140+40)/0.5)+1,INT(($O140+30)/0.5)+1)),"OUTSIDE GRID"))</f>
        <v>TCD</v>
      </c>
      <c r="Q140">
        <f t="shared" si="32"/>
        <v>1138</v>
      </c>
    </row>
    <row r="141" spans="1:17" x14ac:dyDescent="0.3">
      <c r="A141">
        <f t="shared" si="22"/>
        <v>1</v>
      </c>
      <c r="B141">
        <f t="shared" si="23"/>
        <v>139</v>
      </c>
      <c r="C141" cm="1">
        <f t="array" ref="C141">IFERROR(INDEX('TRIP MANAGER'!$O$18:$O$25,$A141),"")</f>
        <v>-25.938960000000002</v>
      </c>
      <c r="D141" cm="1">
        <f t="array" ref="D141">IFERROR(INDEX('TRIP MANAGER'!$P$18:$P$25,$A141),"")</f>
        <v>27.926639999999999</v>
      </c>
      <c r="E141" cm="1">
        <f t="array" ref="E141">IFERROR(INDEX('TRIP MANAGER'!$Q$18:$Q$25,$A141),"")</f>
        <v>12.133699999999999</v>
      </c>
      <c r="F141" cm="1">
        <f t="array" ref="F141">IFERROR(INDEX('TRIP MANAGER'!$R$18:$R$25,$A141),"")</f>
        <v>15.034000000000001</v>
      </c>
      <c r="G141" cm="1">
        <f t="array" ref="G141">IFERROR(INDEX('TRIP MANAGER'!$S$18:$S$25,$A141),"")</f>
        <v>0.69965352295446726</v>
      </c>
      <c r="H141">
        <f t="shared" si="24"/>
        <v>0.92666666666666664</v>
      </c>
      <c r="I141">
        <f t="shared" si="25"/>
        <v>7.9641595907148838E-2</v>
      </c>
      <c r="J141">
        <f t="shared" si="26"/>
        <v>0.93775301185395299</v>
      </c>
      <c r="K141">
        <f t="shared" si="27"/>
        <v>0.94870153648808753</v>
      </c>
      <c r="L141">
        <f t="shared" si="28"/>
        <v>0.27135352073837193</v>
      </c>
      <c r="M141">
        <f t="shared" si="29"/>
        <v>0.16227341571567383</v>
      </c>
      <c r="N141">
        <f t="shared" si="30"/>
        <v>9.3388781046646034</v>
      </c>
      <c r="O141">
        <f t="shared" si="31"/>
        <v>15.96191854225046</v>
      </c>
      <c r="P141" t="str" cm="1">
        <f t="array" ref="P141">IF($N141="","",IFERROR(IF(INDEX(geo_grid!$B$2:$JU$231,INT(($N141+40)/0.5)+1,INT(($O141+30)/0.5)+1)="","",INDEX(geo_grid!$B$2:$JU$231,INT(($N141+40)/0.5)+1,INT(($O141+30)/0.5)+1)),"OUTSIDE GRID"))</f>
        <v>TCD</v>
      </c>
      <c r="Q141">
        <f t="shared" si="32"/>
        <v>1139</v>
      </c>
    </row>
    <row r="142" spans="1:17" x14ac:dyDescent="0.3">
      <c r="A142">
        <f t="shared" si="22"/>
        <v>1</v>
      </c>
      <c r="B142">
        <f t="shared" si="23"/>
        <v>140</v>
      </c>
      <c r="C142" cm="1">
        <f t="array" ref="C142">IFERROR(INDEX('TRIP MANAGER'!$O$18:$O$25,$A142),"")</f>
        <v>-25.938960000000002</v>
      </c>
      <c r="D142" cm="1">
        <f t="array" ref="D142">IFERROR(INDEX('TRIP MANAGER'!$P$18:$P$25,$A142),"")</f>
        <v>27.926639999999999</v>
      </c>
      <c r="E142" cm="1">
        <f t="array" ref="E142">IFERROR(INDEX('TRIP MANAGER'!$Q$18:$Q$25,$A142),"")</f>
        <v>12.133699999999999</v>
      </c>
      <c r="F142" cm="1">
        <f t="array" ref="F142">IFERROR(INDEX('TRIP MANAGER'!$R$18:$R$25,$A142),"")</f>
        <v>15.034000000000001</v>
      </c>
      <c r="G142" cm="1">
        <f t="array" ref="G142">IFERROR(INDEX('TRIP MANAGER'!$S$18:$S$25,$A142),"")</f>
        <v>0.69965352295446726</v>
      </c>
      <c r="H142">
        <f t="shared" si="24"/>
        <v>0.93333333333333335</v>
      </c>
      <c r="I142">
        <f t="shared" si="25"/>
        <v>7.2406965056229927E-2</v>
      </c>
      <c r="J142">
        <f t="shared" si="26"/>
        <v>0.94351632606154678</v>
      </c>
      <c r="K142">
        <f t="shared" si="27"/>
        <v>0.94839503521174595</v>
      </c>
      <c r="L142">
        <f t="shared" si="28"/>
        <v>0.26976814245949349</v>
      </c>
      <c r="M142">
        <f t="shared" si="29"/>
        <v>0.16664935193293029</v>
      </c>
      <c r="N142">
        <f t="shared" si="30"/>
        <v>9.5930620946946572</v>
      </c>
      <c r="O142">
        <f t="shared" si="31"/>
        <v>15.878244449471644</v>
      </c>
      <c r="P142" t="str" cm="1">
        <f t="array" ref="P142">IF($N142="","",IFERROR(IF(INDEX(geo_grid!$B$2:$JU$231,INT(($N142+40)/0.5)+1,INT(($O142+30)/0.5)+1)="","",INDEX(geo_grid!$B$2:$JU$231,INT(($N142+40)/0.5)+1,INT(($O142+30)/0.5)+1)),"OUTSIDE GRID"))</f>
        <v>TCD</v>
      </c>
      <c r="Q142">
        <f t="shared" si="32"/>
        <v>1140</v>
      </c>
    </row>
    <row r="143" spans="1:17" x14ac:dyDescent="0.3">
      <c r="A143">
        <f t="shared" si="22"/>
        <v>1</v>
      </c>
      <c r="B143">
        <f t="shared" si="23"/>
        <v>141</v>
      </c>
      <c r="C143" cm="1">
        <f t="array" ref="C143">IFERROR(INDEX('TRIP MANAGER'!$O$18:$O$25,$A143),"")</f>
        <v>-25.938960000000002</v>
      </c>
      <c r="D143" cm="1">
        <f t="array" ref="D143">IFERROR(INDEX('TRIP MANAGER'!$P$18:$P$25,$A143),"")</f>
        <v>27.926639999999999</v>
      </c>
      <c r="E143" cm="1">
        <f t="array" ref="E143">IFERROR(INDEX('TRIP MANAGER'!$Q$18:$Q$25,$A143),"")</f>
        <v>12.133699999999999</v>
      </c>
      <c r="F143" cm="1">
        <f t="array" ref="F143">IFERROR(INDEX('TRIP MANAGER'!$R$18:$R$25,$A143),"")</f>
        <v>15.034000000000001</v>
      </c>
      <c r="G143" cm="1">
        <f t="array" ref="G143">IFERROR(INDEX('TRIP MANAGER'!$S$18:$S$25,$A143),"")</f>
        <v>0.69965352295446726</v>
      </c>
      <c r="H143">
        <f t="shared" si="24"/>
        <v>0.94</v>
      </c>
      <c r="I143">
        <f t="shared" si="25"/>
        <v>6.5170758905977039E-2</v>
      </c>
      <c r="J143">
        <f t="shared" si="26"/>
        <v>0.94925911295330845</v>
      </c>
      <c r="K143">
        <f t="shared" si="27"/>
        <v>0.94806790047747302</v>
      </c>
      <c r="L143">
        <f t="shared" si="28"/>
        <v>0.26817689505497438</v>
      </c>
      <c r="M143">
        <f t="shared" si="29"/>
        <v>0.17102166249603973</v>
      </c>
      <c r="N143">
        <f t="shared" si="30"/>
        <v>9.847225975364033</v>
      </c>
      <c r="O143">
        <f t="shared" si="31"/>
        <v>15.794444789149857</v>
      </c>
      <c r="P143" t="str" cm="1">
        <f t="array" ref="P143">IF($N143="","",IFERROR(IF(INDEX(geo_grid!$B$2:$JU$231,INT(($N143+40)/0.5)+1,INT(($O143+30)/0.5)+1)="","",INDEX(geo_grid!$B$2:$JU$231,INT(($N143+40)/0.5)+1,INT(($O143+30)/0.5)+1)),"OUTSIDE GRID"))</f>
        <v>TCD</v>
      </c>
      <c r="Q143">
        <f t="shared" si="32"/>
        <v>1141</v>
      </c>
    </row>
    <row r="144" spans="1:17" x14ac:dyDescent="0.3">
      <c r="A144">
        <f t="shared" si="22"/>
        <v>1</v>
      </c>
      <c r="B144">
        <f t="shared" si="23"/>
        <v>142</v>
      </c>
      <c r="C144" cm="1">
        <f t="array" ref="C144">IFERROR(INDEX('TRIP MANAGER'!$O$18:$O$25,$A144),"")</f>
        <v>-25.938960000000002</v>
      </c>
      <c r="D144" cm="1">
        <f t="array" ref="D144">IFERROR(INDEX('TRIP MANAGER'!$P$18:$P$25,$A144),"")</f>
        <v>27.926639999999999</v>
      </c>
      <c r="E144" cm="1">
        <f t="array" ref="E144">IFERROR(INDEX('TRIP MANAGER'!$Q$18:$Q$25,$A144),"")</f>
        <v>12.133699999999999</v>
      </c>
      <c r="F144" cm="1">
        <f t="array" ref="F144">IFERROR(INDEX('TRIP MANAGER'!$R$18:$R$25,$A144),"")</f>
        <v>15.034000000000001</v>
      </c>
      <c r="G144" cm="1">
        <f t="array" ref="G144">IFERROR(INDEX('TRIP MANAGER'!$S$18:$S$25,$A144),"")</f>
        <v>0.69965352295446726</v>
      </c>
      <c r="H144">
        <f t="shared" si="24"/>
        <v>0.94666666666666666</v>
      </c>
      <c r="I144">
        <f t="shared" si="25"/>
        <v>5.7933134888630368E-2</v>
      </c>
      <c r="J144">
        <f t="shared" si="26"/>
        <v>0.95498124758810399</v>
      </c>
      <c r="K144">
        <f t="shared" si="27"/>
        <v>0.94772013940247313</v>
      </c>
      <c r="L144">
        <f t="shared" si="28"/>
        <v>0.26657981314428775</v>
      </c>
      <c r="M144">
        <f t="shared" si="29"/>
        <v>0.17539025228020441</v>
      </c>
      <c r="N144">
        <f t="shared" si="30"/>
        <v>10.101369171973536</v>
      </c>
      <c r="O144">
        <f t="shared" si="31"/>
        <v>15.710515983093664</v>
      </c>
      <c r="P144" t="str" cm="1">
        <f t="array" ref="P144">IF($N144="","",IFERROR(IF(INDEX(geo_grid!$B$2:$JU$231,INT(($N144+40)/0.5)+1,INT(($O144+30)/0.5)+1)="","",INDEX(geo_grid!$B$2:$JU$231,INT(($N144+40)/0.5)+1,INT(($O144+30)/0.5)+1)),"OUTSIDE GRID"))</f>
        <v>TCD</v>
      </c>
      <c r="Q144">
        <f t="shared" si="32"/>
        <v>1142</v>
      </c>
    </row>
    <row r="145" spans="1:17" x14ac:dyDescent="0.3">
      <c r="A145">
        <f t="shared" si="22"/>
        <v>1</v>
      </c>
      <c r="B145">
        <f t="shared" si="23"/>
        <v>143</v>
      </c>
      <c r="C145" cm="1">
        <f t="array" ref="C145">IFERROR(INDEX('TRIP MANAGER'!$O$18:$O$25,$A145),"")</f>
        <v>-25.938960000000002</v>
      </c>
      <c r="D145" cm="1">
        <f t="array" ref="D145">IFERROR(INDEX('TRIP MANAGER'!$P$18:$P$25,$A145),"")</f>
        <v>27.926639999999999</v>
      </c>
      <c r="E145" cm="1">
        <f t="array" ref="E145">IFERROR(INDEX('TRIP MANAGER'!$Q$18:$Q$25,$A145),"")</f>
        <v>12.133699999999999</v>
      </c>
      <c r="F145" cm="1">
        <f t="array" ref="F145">IFERROR(INDEX('TRIP MANAGER'!$R$18:$R$25,$A145),"")</f>
        <v>15.034000000000001</v>
      </c>
      <c r="G145" cm="1">
        <f t="array" ref="G145">IFERROR(INDEX('TRIP MANAGER'!$S$18:$S$25,$A145),"")</f>
        <v>0.69965352295446726</v>
      </c>
      <c r="H145">
        <f t="shared" si="24"/>
        <v>0.95333333333333337</v>
      </c>
      <c r="I145">
        <f t="shared" si="25"/>
        <v>5.0694250467277803E-2</v>
      </c>
      <c r="J145">
        <f t="shared" si="26"/>
        <v>0.96068260547411255</v>
      </c>
      <c r="K145">
        <f t="shared" si="27"/>
        <v>0.94735175955269968</v>
      </c>
      <c r="L145">
        <f t="shared" si="28"/>
        <v>0.26497693147384316</v>
      </c>
      <c r="M145">
        <f t="shared" si="29"/>
        <v>0.17975502624157622</v>
      </c>
      <c r="N145">
        <f t="shared" si="30"/>
        <v>10.355491106467666</v>
      </c>
      <c r="O145">
        <f t="shared" si="31"/>
        <v>15.626454433034514</v>
      </c>
      <c r="P145" t="str" cm="1">
        <f t="array" ref="P145">IF($N145="","",IFERROR(IF(INDEX(geo_grid!$B$2:$JU$231,INT(($N145+40)/0.5)+1,INT(($O145+30)/0.5)+1)="","",INDEX(geo_grid!$B$2:$JU$231,INT(($N145+40)/0.5)+1,INT(($O145+30)/0.5)+1)),"OUTSIDE GRID"))</f>
        <v>TCD</v>
      </c>
      <c r="Q145">
        <f t="shared" si="32"/>
        <v>1143</v>
      </c>
    </row>
    <row r="146" spans="1:17" x14ac:dyDescent="0.3">
      <c r="A146">
        <f t="shared" si="22"/>
        <v>1</v>
      </c>
      <c r="B146">
        <f t="shared" si="23"/>
        <v>144</v>
      </c>
      <c r="C146" cm="1">
        <f t="array" ref="C146">IFERROR(INDEX('TRIP MANAGER'!$O$18:$O$25,$A146),"")</f>
        <v>-25.938960000000002</v>
      </c>
      <c r="D146" cm="1">
        <f t="array" ref="D146">IFERROR(INDEX('TRIP MANAGER'!$P$18:$P$25,$A146),"")</f>
        <v>27.926639999999999</v>
      </c>
      <c r="E146" cm="1">
        <f t="array" ref="E146">IFERROR(INDEX('TRIP MANAGER'!$Q$18:$Q$25,$A146),"")</f>
        <v>12.133699999999999</v>
      </c>
      <c r="F146" cm="1">
        <f t="array" ref="F146">IFERROR(INDEX('TRIP MANAGER'!$R$18:$R$25,$A146),"")</f>
        <v>15.034000000000001</v>
      </c>
      <c r="G146" cm="1">
        <f t="array" ref="G146">IFERROR(INDEX('TRIP MANAGER'!$S$18:$S$25,$A146),"")</f>
        <v>0.69965352295446726</v>
      </c>
      <c r="H146">
        <f t="shared" si="24"/>
        <v>0.96</v>
      </c>
      <c r="I146">
        <f t="shared" si="25"/>
        <v>4.3454263132428846E-2</v>
      </c>
      <c r="J146">
        <f t="shared" si="26"/>
        <v>0.96636306257153703</v>
      </c>
      <c r="K146">
        <f t="shared" si="27"/>
        <v>0.94696276894269382</v>
      </c>
      <c r="L146">
        <f t="shared" si="28"/>
        <v>0.26336828491623104</v>
      </c>
      <c r="M146">
        <f t="shared" si="29"/>
        <v>0.18411588941932494</v>
      </c>
      <c r="N146">
        <f t="shared" si="30"/>
        <v>10.609591197333609</v>
      </c>
      <c r="O146">
        <f t="shared" si="31"/>
        <v>15.542256520027719</v>
      </c>
      <c r="P146" t="str" cm="1">
        <f t="array" ref="P146">IF($N146="","",IFERROR(IF(INDEX(geo_grid!$B$2:$JU$231,INT(($N146+40)/0.5)+1,INT(($O146+30)/0.5)+1)="","",INDEX(geo_grid!$B$2:$JU$231,INT(($N146+40)/0.5)+1,INT(($O146+30)/0.5)+1)),"OUTSIDE GRID"))</f>
        <v>TCD</v>
      </c>
      <c r="Q146">
        <f t="shared" si="32"/>
        <v>1144</v>
      </c>
    </row>
    <row r="147" spans="1:17" x14ac:dyDescent="0.3">
      <c r="A147">
        <f t="shared" si="22"/>
        <v>1</v>
      </c>
      <c r="B147">
        <f t="shared" si="23"/>
        <v>145</v>
      </c>
      <c r="C147" cm="1">
        <f t="array" ref="C147">IFERROR(INDEX('TRIP MANAGER'!$O$18:$O$25,$A147),"")</f>
        <v>-25.938960000000002</v>
      </c>
      <c r="D147" cm="1">
        <f t="array" ref="D147">IFERROR(INDEX('TRIP MANAGER'!$P$18:$P$25,$A147),"")</f>
        <v>27.926639999999999</v>
      </c>
      <c r="E147" cm="1">
        <f t="array" ref="E147">IFERROR(INDEX('TRIP MANAGER'!$Q$18:$Q$25,$A147),"")</f>
        <v>12.133699999999999</v>
      </c>
      <c r="F147" cm="1">
        <f t="array" ref="F147">IFERROR(INDEX('TRIP MANAGER'!$R$18:$R$25,$A147),"")</f>
        <v>15.034000000000001</v>
      </c>
      <c r="G147" cm="1">
        <f t="array" ref="G147">IFERROR(INDEX('TRIP MANAGER'!$S$18:$S$25,$A147),"")</f>
        <v>0.69965352295446726</v>
      </c>
      <c r="H147">
        <f t="shared" si="24"/>
        <v>0.96666666666666667</v>
      </c>
      <c r="I147">
        <f t="shared" si="25"/>
        <v>3.6213330398587804E-2</v>
      </c>
      <c r="J147">
        <f t="shared" si="26"/>
        <v>0.97202249529530127</v>
      </c>
      <c r="K147">
        <f t="shared" si="27"/>
        <v>0.94655317603540678</v>
      </c>
      <c r="L147">
        <f t="shared" si="28"/>
        <v>0.26175390846946361</v>
      </c>
      <c r="M147">
        <f t="shared" si="29"/>
        <v>0.18847274693770422</v>
      </c>
      <c r="N147">
        <f t="shared" si="30"/>
        <v>10.863668859499105</v>
      </c>
      <c r="O147">
        <f t="shared" si="31"/>
        <v>15.457918603847046</v>
      </c>
      <c r="P147" t="str" cm="1">
        <f t="array" ref="P147">IF($N147="","",IFERROR(IF(INDEX(geo_grid!$B$2:$JU$231,INT(($N147+40)/0.5)+1,INT(($O147+30)/0.5)+1)="","",INDEX(geo_grid!$B$2:$JU$231,INT(($N147+40)/0.5)+1,INT(($O147+30)/0.5)+1)),"OUTSIDE GRID"))</f>
        <v>TCD</v>
      </c>
      <c r="Q147">
        <f t="shared" si="32"/>
        <v>1145</v>
      </c>
    </row>
    <row r="148" spans="1:17" x14ac:dyDescent="0.3">
      <c r="A148">
        <f t="shared" si="22"/>
        <v>1</v>
      </c>
      <c r="B148">
        <f t="shared" si="23"/>
        <v>146</v>
      </c>
      <c r="C148" cm="1">
        <f t="array" ref="C148">IFERROR(INDEX('TRIP MANAGER'!$O$18:$O$25,$A148),"")</f>
        <v>-25.938960000000002</v>
      </c>
      <c r="D148" cm="1">
        <f t="array" ref="D148">IFERROR(INDEX('TRIP MANAGER'!$P$18:$P$25,$A148),"")</f>
        <v>27.926639999999999</v>
      </c>
      <c r="E148" cm="1">
        <f t="array" ref="E148">IFERROR(INDEX('TRIP MANAGER'!$Q$18:$Q$25,$A148),"")</f>
        <v>12.133699999999999</v>
      </c>
      <c r="F148" cm="1">
        <f t="array" ref="F148">IFERROR(INDEX('TRIP MANAGER'!$R$18:$R$25,$A148),"")</f>
        <v>15.034000000000001</v>
      </c>
      <c r="G148" cm="1">
        <f t="array" ref="G148">IFERROR(INDEX('TRIP MANAGER'!$S$18:$S$25,$A148),"")</f>
        <v>0.69965352295446726</v>
      </c>
      <c r="H148">
        <f t="shared" si="24"/>
        <v>0.97333333333333338</v>
      </c>
      <c r="I148">
        <f t="shared" si="25"/>
        <v>2.8971609800827622E-2</v>
      </c>
      <c r="J148">
        <f t="shared" si="26"/>
        <v>0.97766078051773941</v>
      </c>
      <c r="K148">
        <f t="shared" si="27"/>
        <v>0.94612298974201758</v>
      </c>
      <c r="L148">
        <f t="shared" si="28"/>
        <v>0.26013383725621358</v>
      </c>
      <c r="M148">
        <f t="shared" si="29"/>
        <v>0.19282550400811538</v>
      </c>
      <c r="N148">
        <f t="shared" si="30"/>
        <v>11.117723504229057</v>
      </c>
      <c r="O148">
        <f t="shared" si="31"/>
        <v>15.373437022372617</v>
      </c>
      <c r="P148" t="str" cm="1">
        <f t="array" ref="P148">IF($N148="","",IFERROR(IF(INDEX(geo_grid!$B$2:$JU$231,INT(($N148+40)/0.5)+1,INT(($O148+30)/0.5)+1)="","",INDEX(geo_grid!$B$2:$JU$231,INT(($N148+40)/0.5)+1,INT(($O148+30)/0.5)+1)),"OUTSIDE GRID"))</f>
        <v>TCD</v>
      </c>
      <c r="Q148">
        <f t="shared" si="32"/>
        <v>1146</v>
      </c>
    </row>
    <row r="149" spans="1:17" x14ac:dyDescent="0.3">
      <c r="A149">
        <f t="shared" si="22"/>
        <v>1</v>
      </c>
      <c r="B149">
        <f t="shared" si="23"/>
        <v>147</v>
      </c>
      <c r="C149" cm="1">
        <f t="array" ref="C149">IFERROR(INDEX('TRIP MANAGER'!$O$18:$O$25,$A149),"")</f>
        <v>-25.938960000000002</v>
      </c>
      <c r="D149" cm="1">
        <f t="array" ref="D149">IFERROR(INDEX('TRIP MANAGER'!$P$18:$P$25,$A149),"")</f>
        <v>27.926639999999999</v>
      </c>
      <c r="E149" cm="1">
        <f t="array" ref="E149">IFERROR(INDEX('TRIP MANAGER'!$Q$18:$Q$25,$A149),"")</f>
        <v>12.133699999999999</v>
      </c>
      <c r="F149" cm="1">
        <f t="array" ref="F149">IFERROR(INDEX('TRIP MANAGER'!$R$18:$R$25,$A149),"")</f>
        <v>15.034000000000001</v>
      </c>
      <c r="G149" cm="1">
        <f t="array" ref="G149">IFERROR(INDEX('TRIP MANAGER'!$S$18:$S$25,$A149),"")</f>
        <v>0.69965352295446726</v>
      </c>
      <c r="H149">
        <f t="shared" si="24"/>
        <v>0.98</v>
      </c>
      <c r="I149">
        <f t="shared" si="25"/>
        <v>2.172925889136218E-2</v>
      </c>
      <c r="J149">
        <f t="shared" si="26"/>
        <v>0.98327779557127426</v>
      </c>
      <c r="K149">
        <f t="shared" si="27"/>
        <v>0.94567221942173907</v>
      </c>
      <c r="L149">
        <f t="shared" si="28"/>
        <v>0.25850810652305023</v>
      </c>
      <c r="M149">
        <f t="shared" si="29"/>
        <v>0.19717406593116979</v>
      </c>
      <c r="N149">
        <f t="shared" si="30"/>
        <v>11.37175453902095</v>
      </c>
      <c r="O149">
        <f t="shared" si="31"/>
        <v>15.288808090971937</v>
      </c>
      <c r="P149" t="str" cm="1">
        <f t="array" ref="P149">IF($N149="","",IFERROR(IF(INDEX(geo_grid!$B$2:$JU$231,INT(($N149+40)/0.5)+1,INT(($O149+30)/0.5)+1)="","",INDEX(geo_grid!$B$2:$JU$231,INT(($N149+40)/0.5)+1,INT(($O149+30)/0.5)+1)),"OUTSIDE GRID"))</f>
        <v>TCD</v>
      </c>
      <c r="Q149">
        <f t="shared" si="32"/>
        <v>1147</v>
      </c>
    </row>
    <row r="150" spans="1:17" x14ac:dyDescent="0.3">
      <c r="A150">
        <f t="shared" si="22"/>
        <v>1</v>
      </c>
      <c r="B150">
        <f t="shared" si="23"/>
        <v>148</v>
      </c>
      <c r="C150" cm="1">
        <f t="array" ref="C150">IFERROR(INDEX('TRIP MANAGER'!$O$18:$O$25,$A150),"")</f>
        <v>-25.938960000000002</v>
      </c>
      <c r="D150" cm="1">
        <f t="array" ref="D150">IFERROR(INDEX('TRIP MANAGER'!$P$18:$P$25,$A150),"")</f>
        <v>27.926639999999999</v>
      </c>
      <c r="E150" cm="1">
        <f t="array" ref="E150">IFERROR(INDEX('TRIP MANAGER'!$Q$18:$Q$25,$A150),"")</f>
        <v>12.133699999999999</v>
      </c>
      <c r="F150" cm="1">
        <f t="array" ref="F150">IFERROR(INDEX('TRIP MANAGER'!$R$18:$R$25,$A150),"")</f>
        <v>15.034000000000001</v>
      </c>
      <c r="G150" cm="1">
        <f t="array" ref="G150">IFERROR(INDEX('TRIP MANAGER'!$S$18:$S$25,$A150),"")</f>
        <v>0.69965352295446726</v>
      </c>
      <c r="H150">
        <f t="shared" si="24"/>
        <v>0.98666666666666669</v>
      </c>
      <c r="I150">
        <f t="shared" si="25"/>
        <v>1.4486435236118155E-2</v>
      </c>
      <c r="J150">
        <f t="shared" si="26"/>
        <v>0.9888734182510871</v>
      </c>
      <c r="K150">
        <f t="shared" si="27"/>
        <v>0.94520087488161364</v>
      </c>
      <c r="L150">
        <f t="shared" si="28"/>
        <v>0.25687675163967227</v>
      </c>
      <c r="M150">
        <f t="shared" si="29"/>
        <v>0.20151833809874956</v>
      </c>
      <c r="N150">
        <f t="shared" si="30"/>
        <v>11.625761367499029</v>
      </c>
      <c r="O150">
        <f t="shared" si="31"/>
        <v>15.204028101873847</v>
      </c>
      <c r="P150" t="str" cm="1">
        <f t="array" ref="P150">IF($N150="","",IFERROR(IF(INDEX(geo_grid!$B$2:$JU$231,INT(($N150+40)/0.5)+1,INT(($O150+30)/0.5)+1)="","",INDEX(geo_grid!$B$2:$JU$231,INT(($N150+40)/0.5)+1,INT(($O150+30)/0.5)+1)),"OUTSIDE GRID"))</f>
        <v>TCD</v>
      </c>
      <c r="Q150">
        <f t="shared" si="32"/>
        <v>1148</v>
      </c>
    </row>
    <row r="151" spans="1:17" x14ac:dyDescent="0.3">
      <c r="A151">
        <f t="shared" si="22"/>
        <v>1</v>
      </c>
      <c r="B151">
        <f t="shared" si="23"/>
        <v>149</v>
      </c>
      <c r="C151" cm="1">
        <f t="array" ref="C151">IFERROR(INDEX('TRIP MANAGER'!$O$18:$O$25,$A151),"")</f>
        <v>-25.938960000000002</v>
      </c>
      <c r="D151" cm="1">
        <f t="array" ref="D151">IFERROR(INDEX('TRIP MANAGER'!$P$18:$P$25,$A151),"")</f>
        <v>27.926639999999999</v>
      </c>
      <c r="E151" cm="1">
        <f t="array" ref="E151">IFERROR(INDEX('TRIP MANAGER'!$Q$18:$Q$25,$A151),"")</f>
        <v>12.133699999999999</v>
      </c>
      <c r="F151" cm="1">
        <f t="array" ref="F151">IFERROR(INDEX('TRIP MANAGER'!$R$18:$R$25,$A151),"")</f>
        <v>15.034000000000001</v>
      </c>
      <c r="G151" cm="1">
        <f t="array" ref="G151">IFERROR(INDEX('TRIP MANAGER'!$S$18:$S$25,$A151),"")</f>
        <v>0.69965352295446726</v>
      </c>
      <c r="H151">
        <f t="shared" si="24"/>
        <v>0.99333333333333329</v>
      </c>
      <c r="I151">
        <f t="shared" si="25"/>
        <v>7.2432964113078573E-3</v>
      </c>
      <c r="J151">
        <f t="shared" si="26"/>
        <v>0.99444752681777504</v>
      </c>
      <c r="K151">
        <f t="shared" si="27"/>
        <v>0.94470896637630075</v>
      </c>
      <c r="L151">
        <f t="shared" si="28"/>
        <v>0.25523980809813862</v>
      </c>
      <c r="M151">
        <f t="shared" si="29"/>
        <v>0.20585822599606521</v>
      </c>
      <c r="N151">
        <f t="shared" si="30"/>
        <v>11.879743389307087</v>
      </c>
      <c r="O151">
        <f t="shared" si="31"/>
        <v>15.1190933235352</v>
      </c>
      <c r="P151" t="str" cm="1">
        <f t="array" ref="P151">IF($N151="","",IFERROR(IF(INDEX(geo_grid!$B$2:$JU$231,INT(($N151+40)/0.5)+1,INT(($O151+30)/0.5)+1)="","",INDEX(geo_grid!$B$2:$JU$231,INT(($N151+40)/0.5)+1,INT(($O151+30)/0.5)+1)),"OUTSIDE GRID"))</f>
        <v>TCD</v>
      </c>
      <c r="Q151">
        <f t="shared" si="32"/>
        <v>1149</v>
      </c>
    </row>
    <row r="152" spans="1:17" x14ac:dyDescent="0.3">
      <c r="A152">
        <f t="shared" si="22"/>
        <v>1</v>
      </c>
      <c r="B152">
        <f t="shared" si="23"/>
        <v>150</v>
      </c>
      <c r="C152" cm="1">
        <f t="array" ref="C152">IFERROR(INDEX('TRIP MANAGER'!$O$18:$O$25,$A152),"")</f>
        <v>-25.938960000000002</v>
      </c>
      <c r="D152" cm="1">
        <f t="array" ref="D152">IFERROR(INDEX('TRIP MANAGER'!$P$18:$P$25,$A152),"")</f>
        <v>27.926639999999999</v>
      </c>
      <c r="E152" cm="1">
        <f t="array" ref="E152">IFERROR(INDEX('TRIP MANAGER'!$Q$18:$Q$25,$A152),"")</f>
        <v>12.133699999999999</v>
      </c>
      <c r="F152" cm="1">
        <f t="array" ref="F152">IFERROR(INDEX('TRIP MANAGER'!$R$18:$R$25,$A152),"")</f>
        <v>15.034000000000001</v>
      </c>
      <c r="G152" cm="1">
        <f t="array" ref="G152">IFERROR(INDEX('TRIP MANAGER'!$S$18:$S$25,$A152),"")</f>
        <v>0.69965352295446726</v>
      </c>
      <c r="H152">
        <f t="shared" si="24"/>
        <v>1</v>
      </c>
      <c r="I152">
        <f t="shared" si="25"/>
        <v>0</v>
      </c>
      <c r="J152">
        <f t="shared" si="26"/>
        <v>1</v>
      </c>
      <c r="K152">
        <f t="shared" si="27"/>
        <v>0.94419650460785209</v>
      </c>
      <c r="L152">
        <f t="shared" si="28"/>
        <v>0.25359731151209575</v>
      </c>
      <c r="M152">
        <f t="shared" si="29"/>
        <v>0.21019363520371234</v>
      </c>
      <c r="N152">
        <f t="shared" si="30"/>
        <v>12.133700000000001</v>
      </c>
      <c r="O152">
        <f t="shared" si="31"/>
        <v>15.034000000000006</v>
      </c>
      <c r="P152" t="str" cm="1">
        <f t="array" ref="P152">IF($N152="","",IFERROR(IF(INDEX(geo_grid!$B$2:$JU$231,INT(($N152+40)/0.5)+1,INT(($O152+30)/0.5)+1)="","",INDEX(geo_grid!$B$2:$JU$231,INT(($N152+40)/0.5)+1,INT(($O152+30)/0.5)+1)),"OUTSIDE GRID"))</f>
        <v>TCD</v>
      </c>
      <c r="Q152">
        <f t="shared" si="32"/>
        <v>1150</v>
      </c>
    </row>
    <row r="153" spans="1:17" x14ac:dyDescent="0.3">
      <c r="A153">
        <f t="shared" si="22"/>
        <v>2</v>
      </c>
      <c r="B153">
        <f t="shared" si="23"/>
        <v>0</v>
      </c>
      <c r="C153" cm="1">
        <f t="array" ref="C153">IFERROR(INDEX('TRIP MANAGER'!$O$18:$O$25,$A153),"")</f>
        <v>12.133699999999999</v>
      </c>
      <c r="D153" cm="1">
        <f t="array" ref="D153">IFERROR(INDEX('TRIP MANAGER'!$P$18:$P$25,$A153),"")</f>
        <v>15.034000000000001</v>
      </c>
      <c r="E153" cm="1">
        <f t="array" ref="E153">IFERROR(INDEX('TRIP MANAGER'!$Q$18:$Q$25,$A153),"")</f>
        <v>30.111529999999998</v>
      </c>
      <c r="F153" cm="1">
        <f t="array" ref="F153">IFERROR(INDEX('TRIP MANAGER'!$R$18:$R$25,$A153),"")</f>
        <v>31.39669</v>
      </c>
      <c r="G153" cm="1">
        <f t="array" ref="G153">IFERROR(INDEX('TRIP MANAGER'!$S$18:$S$25,$A153),"")</f>
        <v>0.41049814416825092</v>
      </c>
      <c r="H153">
        <f t="shared" si="24"/>
        <v>0</v>
      </c>
      <c r="I153">
        <f t="shared" si="25"/>
        <v>1</v>
      </c>
      <c r="J153">
        <f t="shared" si="26"/>
        <v>0</v>
      </c>
      <c r="K153">
        <f t="shared" si="27"/>
        <v>0.94419650460785209</v>
      </c>
      <c r="L153">
        <f t="shared" si="28"/>
        <v>0.25359731151209575</v>
      </c>
      <c r="M153">
        <f t="shared" si="29"/>
        <v>0.21019363520371234</v>
      </c>
      <c r="N153">
        <f t="shared" si="30"/>
        <v>12.133700000000001</v>
      </c>
      <c r="O153">
        <f t="shared" si="31"/>
        <v>15.034000000000006</v>
      </c>
      <c r="P153" t="str" cm="1">
        <f t="array" ref="P153">IF($N153="","",IFERROR(IF(INDEX(geo_grid!$B$2:$JU$231,INT(($N153+40)/0.5)+1,INT(($O153+30)/0.5)+1)="","",INDEX(geo_grid!$B$2:$JU$231,INT(($N153+40)/0.5)+1,INT(($O153+30)/0.5)+1)),"OUTSIDE GRID"))</f>
        <v>TCD</v>
      </c>
      <c r="Q153">
        <f t="shared" si="32"/>
        <v>2000</v>
      </c>
    </row>
    <row r="154" spans="1:17" x14ac:dyDescent="0.3">
      <c r="A154">
        <f t="shared" si="22"/>
        <v>2</v>
      </c>
      <c r="B154">
        <f t="shared" si="23"/>
        <v>1</v>
      </c>
      <c r="C154" cm="1">
        <f t="array" ref="C154">IFERROR(INDEX('TRIP MANAGER'!$O$18:$O$25,$A154),"")</f>
        <v>12.133699999999999</v>
      </c>
      <c r="D154" cm="1">
        <f t="array" ref="D154">IFERROR(INDEX('TRIP MANAGER'!$P$18:$P$25,$A154),"")</f>
        <v>15.034000000000001</v>
      </c>
      <c r="E154" cm="1">
        <f t="array" ref="E154">IFERROR(INDEX('TRIP MANAGER'!$Q$18:$Q$25,$A154),"")</f>
        <v>30.111529999999998</v>
      </c>
      <c r="F154" cm="1">
        <f t="array" ref="F154">IFERROR(INDEX('TRIP MANAGER'!$R$18:$R$25,$A154),"")</f>
        <v>31.39669</v>
      </c>
      <c r="G154" cm="1">
        <f t="array" ref="G154">IFERROR(INDEX('TRIP MANAGER'!$S$18:$S$25,$A154),"")</f>
        <v>0.41049814416825092</v>
      </c>
      <c r="H154">
        <f t="shared" si="24"/>
        <v>6.6666666666666671E-3</v>
      </c>
      <c r="I154">
        <f t="shared" si="25"/>
        <v>0.99370833574553719</v>
      </c>
      <c r="J154">
        <f t="shared" si="26"/>
        <v>6.8576374327364662E-3</v>
      </c>
      <c r="K154">
        <f t="shared" si="27"/>
        <v>0.94331955197845085</v>
      </c>
      <c r="L154">
        <f t="shared" si="28"/>
        <v>0.25509220452128895</v>
      </c>
      <c r="M154">
        <f t="shared" si="29"/>
        <v>0.21231154007176151</v>
      </c>
      <c r="N154">
        <f t="shared" si="30"/>
        <v>12.257848891220311</v>
      </c>
      <c r="O154">
        <f t="shared" si="31"/>
        <v>15.13198668399122</v>
      </c>
      <c r="P154" t="str" cm="1">
        <f t="array" ref="P154">IF($N154="","",IFERROR(IF(INDEX(geo_grid!$B$2:$JU$231,INT(($N154+40)/0.5)+1,INT(($O154+30)/0.5)+1)="","",INDEX(geo_grid!$B$2:$JU$231,INT(($N154+40)/0.5)+1,INT(($O154+30)/0.5)+1)),"OUTSIDE GRID"))</f>
        <v>TCD</v>
      </c>
      <c r="Q154">
        <f t="shared" si="32"/>
        <v>2001</v>
      </c>
    </row>
    <row r="155" spans="1:17" x14ac:dyDescent="0.3">
      <c r="A155">
        <f t="shared" si="22"/>
        <v>2</v>
      </c>
      <c r="B155">
        <f t="shared" si="23"/>
        <v>2</v>
      </c>
      <c r="C155" cm="1">
        <f t="array" ref="C155">IFERROR(INDEX('TRIP MANAGER'!$O$18:$O$25,$A155),"")</f>
        <v>12.133699999999999</v>
      </c>
      <c r="D155" cm="1">
        <f t="array" ref="D155">IFERROR(INDEX('TRIP MANAGER'!$P$18:$P$25,$A155),"")</f>
        <v>15.034000000000001</v>
      </c>
      <c r="E155" cm="1">
        <f t="array" ref="E155">IFERROR(INDEX('TRIP MANAGER'!$Q$18:$Q$25,$A155),"")</f>
        <v>30.111529999999998</v>
      </c>
      <c r="F155" cm="1">
        <f t="array" ref="F155">IFERROR(INDEX('TRIP MANAGER'!$R$18:$R$25,$A155),"")</f>
        <v>31.39669</v>
      </c>
      <c r="G155" cm="1">
        <f t="array" ref="G155">IFERROR(INDEX('TRIP MANAGER'!$S$18:$S$25,$A155),"")</f>
        <v>0.41049814416825092</v>
      </c>
      <c r="H155">
        <f t="shared" si="24"/>
        <v>1.3333333333333334E-2</v>
      </c>
      <c r="I155">
        <f t="shared" si="25"/>
        <v>0.98740922933900677</v>
      </c>
      <c r="J155">
        <f t="shared" si="26"/>
        <v>1.3715223506760556E-2</v>
      </c>
      <c r="K155">
        <f t="shared" si="27"/>
        <v>0.94243553457229212</v>
      </c>
      <c r="L155">
        <f t="shared" si="28"/>
        <v>0.25658518707556388</v>
      </c>
      <c r="M155">
        <f t="shared" si="29"/>
        <v>0.21442785488092708</v>
      </c>
      <c r="N155">
        <f t="shared" si="30"/>
        <v>12.381962982522429</v>
      </c>
      <c r="O155">
        <f t="shared" si="31"/>
        <v>15.23006565711772</v>
      </c>
      <c r="P155" t="str" cm="1">
        <f t="array" ref="P155">IF($N155="","",IFERROR(IF(INDEX(geo_grid!$B$2:$JU$231,INT(($N155+40)/0.5)+1,INT(($O155+30)/0.5)+1)="","",INDEX(geo_grid!$B$2:$JU$231,INT(($N155+40)/0.5)+1,INT(($O155+30)/0.5)+1)),"OUTSIDE GRID"))</f>
        <v>TCD</v>
      </c>
      <c r="Q155">
        <f t="shared" si="32"/>
        <v>2002</v>
      </c>
    </row>
    <row r="156" spans="1:17" x14ac:dyDescent="0.3">
      <c r="A156">
        <f t="shared" si="22"/>
        <v>2</v>
      </c>
      <c r="B156">
        <f t="shared" si="23"/>
        <v>3</v>
      </c>
      <c r="C156" cm="1">
        <f t="array" ref="C156">IFERROR(INDEX('TRIP MANAGER'!$O$18:$O$25,$A156),"")</f>
        <v>12.133699999999999</v>
      </c>
      <c r="D156" cm="1">
        <f t="array" ref="D156">IFERROR(INDEX('TRIP MANAGER'!$P$18:$P$25,$A156),"")</f>
        <v>15.034000000000001</v>
      </c>
      <c r="E156" cm="1">
        <f t="array" ref="E156">IFERROR(INDEX('TRIP MANAGER'!$Q$18:$Q$25,$A156),"")</f>
        <v>30.111529999999998</v>
      </c>
      <c r="F156" cm="1">
        <f t="array" ref="F156">IFERROR(INDEX('TRIP MANAGER'!$R$18:$R$25,$A156),"")</f>
        <v>31.39669</v>
      </c>
      <c r="G156" cm="1">
        <f t="array" ref="G156">IFERROR(INDEX('TRIP MANAGER'!$S$18:$S$25,$A156),"")</f>
        <v>0.41049814416825092</v>
      </c>
      <c r="H156">
        <f t="shared" si="24"/>
        <v>0.02</v>
      </c>
      <c r="I156">
        <f t="shared" si="25"/>
        <v>0.98110272795612963</v>
      </c>
      <c r="J156">
        <f t="shared" si="26"/>
        <v>2.057270686374453E-2</v>
      </c>
      <c r="K156">
        <f t="shared" si="27"/>
        <v>0.94154445901002193</v>
      </c>
      <c r="L156">
        <f t="shared" si="28"/>
        <v>0.25807624799356793</v>
      </c>
      <c r="M156">
        <f t="shared" si="29"/>
        <v>0.21654256378155162</v>
      </c>
      <c r="N156">
        <f t="shared" si="30"/>
        <v>12.506041877102897</v>
      </c>
      <c r="O156">
        <f t="shared" si="31"/>
        <v>15.328237945382197</v>
      </c>
      <c r="P156" t="str" cm="1">
        <f t="array" ref="P156">IF($N156="","",IFERROR(IF(INDEX(geo_grid!$B$2:$JU$231,INT(($N156+40)/0.5)+1,INT(($O156+30)/0.5)+1)="","",INDEX(geo_grid!$B$2:$JU$231,INT(($N156+40)/0.5)+1,INT(($O156+30)/0.5)+1)),"OUTSIDE GRID"))</f>
        <v>TCD</v>
      </c>
      <c r="Q156">
        <f t="shared" si="32"/>
        <v>2003</v>
      </c>
    </row>
    <row r="157" spans="1:17" x14ac:dyDescent="0.3">
      <c r="A157">
        <f t="shared" si="22"/>
        <v>2</v>
      </c>
      <c r="B157">
        <f t="shared" si="23"/>
        <v>4</v>
      </c>
      <c r="C157" cm="1">
        <f t="array" ref="C157">IFERROR(INDEX('TRIP MANAGER'!$O$18:$O$25,$A157),"")</f>
        <v>12.133699999999999</v>
      </c>
      <c r="D157" cm="1">
        <f t="array" ref="D157">IFERROR(INDEX('TRIP MANAGER'!$P$18:$P$25,$A157),"")</f>
        <v>15.034000000000001</v>
      </c>
      <c r="E157" cm="1">
        <f t="array" ref="E157">IFERROR(INDEX('TRIP MANAGER'!$Q$18:$Q$25,$A157),"")</f>
        <v>30.111529999999998</v>
      </c>
      <c r="F157" cm="1">
        <f t="array" ref="F157">IFERROR(INDEX('TRIP MANAGER'!$R$18:$R$25,$A157),"")</f>
        <v>31.39669</v>
      </c>
      <c r="G157" cm="1">
        <f t="array" ref="G157">IFERROR(INDEX('TRIP MANAGER'!$S$18:$S$25,$A157),"")</f>
        <v>0.41049814416825092</v>
      </c>
      <c r="H157">
        <f t="shared" si="24"/>
        <v>2.6666666666666668E-2</v>
      </c>
      <c r="I157">
        <f t="shared" si="25"/>
        <v>0.97478887882801069</v>
      </c>
      <c r="J157">
        <f t="shared" si="26"/>
        <v>2.7430036146129932E-2</v>
      </c>
      <c r="K157">
        <f t="shared" si="27"/>
        <v>0.94064633196514813</v>
      </c>
      <c r="L157">
        <f t="shared" si="28"/>
        <v>0.2595653761083403</v>
      </c>
      <c r="M157">
        <f t="shared" si="29"/>
        <v>0.21865565093600492</v>
      </c>
      <c r="N157">
        <f t="shared" si="30"/>
        <v>12.630085176854578</v>
      </c>
      <c r="O157">
        <f t="shared" si="31"/>
        <v>15.426504577347014</v>
      </c>
      <c r="P157" t="str" cm="1">
        <f t="array" ref="P157">IF($N157="","",IFERROR(IF(INDEX(geo_grid!$B$2:$JU$231,INT(($N157+40)/0.5)+1,INT(($O157+30)/0.5)+1)="","",INDEX(geo_grid!$B$2:$JU$231,INT(($N157+40)/0.5)+1,INT(($O157+30)/0.5)+1)),"OUTSIDE GRID"))</f>
        <v>TCD</v>
      </c>
      <c r="Q157">
        <f t="shared" si="32"/>
        <v>2004</v>
      </c>
    </row>
    <row r="158" spans="1:17" x14ac:dyDescent="0.3">
      <c r="A158">
        <f t="shared" si="22"/>
        <v>2</v>
      </c>
      <c r="B158">
        <f t="shared" si="23"/>
        <v>5</v>
      </c>
      <c r="C158" cm="1">
        <f t="array" ref="C158">IFERROR(INDEX('TRIP MANAGER'!$O$18:$O$25,$A158),"")</f>
        <v>12.133699999999999</v>
      </c>
      <c r="D158" cm="1">
        <f t="array" ref="D158">IFERROR(INDEX('TRIP MANAGER'!$P$18:$P$25,$A158),"")</f>
        <v>15.034000000000001</v>
      </c>
      <c r="E158" cm="1">
        <f t="array" ref="E158">IFERROR(INDEX('TRIP MANAGER'!$Q$18:$Q$25,$A158),"")</f>
        <v>30.111529999999998</v>
      </c>
      <c r="F158" cm="1">
        <f t="array" ref="F158">IFERROR(INDEX('TRIP MANAGER'!$R$18:$R$25,$A158),"")</f>
        <v>31.39669</v>
      </c>
      <c r="G158" cm="1">
        <f t="array" ref="G158">IFERROR(INDEX('TRIP MANAGER'!$S$18:$S$25,$A158),"")</f>
        <v>0.41049814416825092</v>
      </c>
      <c r="H158">
        <f t="shared" si="24"/>
        <v>3.3333333333333333E-2</v>
      </c>
      <c r="I158">
        <f t="shared" si="25"/>
        <v>0.96846772924078373</v>
      </c>
      <c r="J158">
        <f t="shared" si="26"/>
        <v>3.4287159997512202E-2</v>
      </c>
      <c r="K158">
        <f t="shared" si="27"/>
        <v>0.93974116016398834</v>
      </c>
      <c r="L158">
        <f t="shared" si="28"/>
        <v>0.26105256026739532</v>
      </c>
      <c r="M158">
        <f t="shared" si="29"/>
        <v>0.22076710051880233</v>
      </c>
      <c r="N158">
        <f t="shared" si="30"/>
        <v>12.754092482351153</v>
      </c>
      <c r="O158">
        <f t="shared" si="31"/>
        <v>15.524866584161304</v>
      </c>
      <c r="P158" t="str" cm="1">
        <f t="array" ref="P158">IF($N158="","",IFERROR(IF(INDEX(geo_grid!$B$2:$JU$231,INT(($N158+40)/0.5)+1,INT(($O158+30)/0.5)+1)="","",INDEX(geo_grid!$B$2:$JU$231,INT(($N158+40)/0.5)+1,INT(($O158+30)/0.5)+1)),"OUTSIDE GRID"))</f>
        <v>TCD</v>
      </c>
      <c r="Q158">
        <f t="shared" si="32"/>
        <v>2005</v>
      </c>
    </row>
    <row r="159" spans="1:17" x14ac:dyDescent="0.3">
      <c r="A159">
        <f t="shared" si="22"/>
        <v>2</v>
      </c>
      <c r="B159">
        <f t="shared" si="23"/>
        <v>6</v>
      </c>
      <c r="C159" cm="1">
        <f t="array" ref="C159">IFERROR(INDEX('TRIP MANAGER'!$O$18:$O$25,$A159),"")</f>
        <v>12.133699999999999</v>
      </c>
      <c r="D159" cm="1">
        <f t="array" ref="D159">IFERROR(INDEX('TRIP MANAGER'!$P$18:$P$25,$A159),"")</f>
        <v>15.034000000000001</v>
      </c>
      <c r="E159" cm="1">
        <f t="array" ref="E159">IFERROR(INDEX('TRIP MANAGER'!$Q$18:$Q$25,$A159),"")</f>
        <v>30.111529999999998</v>
      </c>
      <c r="F159" cm="1">
        <f t="array" ref="F159">IFERROR(INDEX('TRIP MANAGER'!$R$18:$R$25,$A159),"")</f>
        <v>31.39669</v>
      </c>
      <c r="G159" cm="1">
        <f t="array" ref="G159">IFERROR(INDEX('TRIP MANAGER'!$S$18:$S$25,$A159),"")</f>
        <v>0.41049814416825092</v>
      </c>
      <c r="H159">
        <f t="shared" si="24"/>
        <v>0.04</v>
      </c>
      <c r="I159">
        <f t="shared" si="25"/>
        <v>0.96213932653525769</v>
      </c>
      <c r="J159">
        <f t="shared" si="26"/>
        <v>4.1144027063025328E-2</v>
      </c>
      <c r="K159">
        <f t="shared" si="27"/>
        <v>0.93882895038562042</v>
      </c>
      <c r="L159">
        <f t="shared" si="28"/>
        <v>0.26253778933280641</v>
      </c>
      <c r="M159">
        <f t="shared" si="29"/>
        <v>0.22287689671672359</v>
      </c>
      <c r="N159">
        <f t="shared" si="30"/>
        <v>12.878063392831525</v>
      </c>
      <c r="O159">
        <f t="shared" si="31"/>
        <v>15.623324999587982</v>
      </c>
      <c r="P159" t="str" cm="1">
        <f t="array" ref="P159">IF($N159="","",IFERROR(IF(INDEX(geo_grid!$B$2:$JU$231,INT(($N159+40)/0.5)+1,INT(($O159+30)/0.5)+1)="","",INDEX(geo_grid!$B$2:$JU$231,INT(($N159+40)/0.5)+1,INT(($O159+30)/0.5)+1)),"OUTSIDE GRID"))</f>
        <v>TCD</v>
      </c>
      <c r="Q159">
        <f t="shared" si="32"/>
        <v>2006</v>
      </c>
    </row>
    <row r="160" spans="1:17" x14ac:dyDescent="0.3">
      <c r="A160">
        <f t="shared" si="22"/>
        <v>2</v>
      </c>
      <c r="B160">
        <f t="shared" si="23"/>
        <v>7</v>
      </c>
      <c r="C160" cm="1">
        <f t="array" ref="C160">IFERROR(INDEX('TRIP MANAGER'!$O$18:$O$25,$A160),"")</f>
        <v>12.133699999999999</v>
      </c>
      <c r="D160" cm="1">
        <f t="array" ref="D160">IFERROR(INDEX('TRIP MANAGER'!$P$18:$P$25,$A160),"")</f>
        <v>15.034000000000001</v>
      </c>
      <c r="E160" cm="1">
        <f t="array" ref="E160">IFERROR(INDEX('TRIP MANAGER'!$Q$18:$Q$25,$A160),"")</f>
        <v>30.111529999999998</v>
      </c>
      <c r="F160" cm="1">
        <f t="array" ref="F160">IFERROR(INDEX('TRIP MANAGER'!$R$18:$R$25,$A160),"")</f>
        <v>31.39669</v>
      </c>
      <c r="G160" cm="1">
        <f t="array" ref="G160">IFERROR(INDEX('TRIP MANAGER'!$S$18:$S$25,$A160),"")</f>
        <v>0.41049814416825092</v>
      </c>
      <c r="H160">
        <f t="shared" si="24"/>
        <v>4.6666666666666669E-2</v>
      </c>
      <c r="I160">
        <f t="shared" si="25"/>
        <v>0.95580371810656217</v>
      </c>
      <c r="J160">
        <f t="shared" si="26"/>
        <v>4.8000585989726396E-2</v>
      </c>
      <c r="K160">
        <f t="shared" si="27"/>
        <v>0.93790970946183161</v>
      </c>
      <c r="L160">
        <f t="shared" si="28"/>
        <v>0.26402105218128885</v>
      </c>
      <c r="M160">
        <f t="shared" si="29"/>
        <v>0.22498502372893092</v>
      </c>
      <c r="N160">
        <f t="shared" si="30"/>
        <v>13.001997506184123</v>
      </c>
      <c r="O160">
        <f t="shared" si="31"/>
        <v>15.721880860030824</v>
      </c>
      <c r="P160" t="str" cm="1">
        <f t="array" ref="P160">IF($N160="","",IFERROR(IF(INDEX(geo_grid!$B$2:$JU$231,INT(($N160+40)/0.5)+1,INT(($O160+30)/0.5)+1)="","",INDEX(geo_grid!$B$2:$JU$231,INT(($N160+40)/0.5)+1,INT(($O160+30)/0.5)+1)),"OUTSIDE GRID"))</f>
        <v>TCD</v>
      </c>
      <c r="Q160">
        <f t="shared" si="32"/>
        <v>2007</v>
      </c>
    </row>
    <row r="161" spans="1:17" x14ac:dyDescent="0.3">
      <c r="A161">
        <f t="shared" si="22"/>
        <v>2</v>
      </c>
      <c r="B161">
        <f t="shared" si="23"/>
        <v>8</v>
      </c>
      <c r="C161" cm="1">
        <f t="array" ref="C161">IFERROR(INDEX('TRIP MANAGER'!$O$18:$O$25,$A161),"")</f>
        <v>12.133699999999999</v>
      </c>
      <c r="D161" cm="1">
        <f t="array" ref="D161">IFERROR(INDEX('TRIP MANAGER'!$P$18:$P$25,$A161),"")</f>
        <v>15.034000000000001</v>
      </c>
      <c r="E161" cm="1">
        <f t="array" ref="E161">IFERROR(INDEX('TRIP MANAGER'!$Q$18:$Q$25,$A161),"")</f>
        <v>30.111529999999998</v>
      </c>
      <c r="F161" cm="1">
        <f t="array" ref="F161">IFERROR(INDEX('TRIP MANAGER'!$R$18:$R$25,$A161),"")</f>
        <v>31.39669</v>
      </c>
      <c r="G161" cm="1">
        <f t="array" ref="G161">IFERROR(INDEX('TRIP MANAGER'!$S$18:$S$25,$A161),"")</f>
        <v>0.41049814416825092</v>
      </c>
      <c r="H161">
        <f t="shared" si="24"/>
        <v>5.3333333333333337E-2</v>
      </c>
      <c r="I161">
        <f t="shared" si="25"/>
        <v>0.94946095140379216</v>
      </c>
      <c r="J161">
        <f t="shared" si="26"/>
        <v>5.4856785426980283E-2</v>
      </c>
      <c r="K161">
        <f t="shared" si="27"/>
        <v>0.93698344427706726</v>
      </c>
      <c r="L161">
        <f t="shared" si="28"/>
        <v>0.26550233770428372</v>
      </c>
      <c r="M161">
        <f t="shared" si="29"/>
        <v>0.22709146576708766</v>
      </c>
      <c r="N161">
        <f t="shared" si="30"/>
        <v>13.125894418931177</v>
      </c>
      <c r="O161">
        <f t="shared" si="31"/>
        <v>15.820535204561578</v>
      </c>
      <c r="P161" t="str" cm="1">
        <f t="array" ref="P161">IF($N161="","",IFERROR(IF(INDEX(geo_grid!$B$2:$JU$231,INT(($N161+40)/0.5)+1,INT(($O161+30)/0.5)+1)="","",INDEX(geo_grid!$B$2:$JU$231,INT(($N161+40)/0.5)+1,INT(($O161+30)/0.5)+1)),"OUTSIDE GRID"))</f>
        <v>TCD</v>
      </c>
      <c r="Q161">
        <f t="shared" si="32"/>
        <v>2008</v>
      </c>
    </row>
    <row r="162" spans="1:17" x14ac:dyDescent="0.3">
      <c r="A162">
        <f t="shared" si="22"/>
        <v>2</v>
      </c>
      <c r="B162">
        <f t="shared" si="23"/>
        <v>9</v>
      </c>
      <c r="C162" cm="1">
        <f t="array" ref="C162">IFERROR(INDEX('TRIP MANAGER'!$O$18:$O$25,$A162),"")</f>
        <v>12.133699999999999</v>
      </c>
      <c r="D162" cm="1">
        <f t="array" ref="D162">IFERROR(INDEX('TRIP MANAGER'!$P$18:$P$25,$A162),"")</f>
        <v>15.034000000000001</v>
      </c>
      <c r="E162" cm="1">
        <f t="array" ref="E162">IFERROR(INDEX('TRIP MANAGER'!$Q$18:$Q$25,$A162),"")</f>
        <v>30.111529999999998</v>
      </c>
      <c r="F162" cm="1">
        <f t="array" ref="F162">IFERROR(INDEX('TRIP MANAGER'!$R$18:$R$25,$A162),"")</f>
        <v>31.39669</v>
      </c>
      <c r="G162" cm="1">
        <f t="array" ref="G162">IFERROR(INDEX('TRIP MANAGER'!$S$18:$S$25,$A162),"")</f>
        <v>0.41049814416825092</v>
      </c>
      <c r="H162">
        <f t="shared" si="24"/>
        <v>0.06</v>
      </c>
      <c r="I162">
        <f t="shared" si="25"/>
        <v>0.94311107392965321</v>
      </c>
      <c r="J162">
        <f t="shared" si="26"/>
        <v>6.171257402684413E-2</v>
      </c>
      <c r="K162">
        <f t="shared" si="27"/>
        <v>0.93605016176837941</v>
      </c>
      <c r="L162">
        <f t="shared" si="28"/>
        <v>0.26698163480804077</v>
      </c>
      <c r="M162">
        <f t="shared" si="29"/>
        <v>0.2291962070554763</v>
      </c>
      <c r="N162">
        <f t="shared" si="30"/>
        <v>13.249753726212891</v>
      </c>
      <c r="O162">
        <f t="shared" si="31"/>
        <v>15.91928907494705</v>
      </c>
      <c r="P162" t="str" cm="1">
        <f t="array" ref="P162">IF($N162="","",IFERROR(IF(INDEX(geo_grid!$B$2:$JU$231,INT(($N162+40)/0.5)+1,INT(($O162+30)/0.5)+1)="","",INDEX(geo_grid!$B$2:$JU$231,INT(($N162+40)/0.5)+1,INT(($O162+30)/0.5)+1)),"OUTSIDE GRID"))</f>
        <v>TCD</v>
      </c>
      <c r="Q162">
        <f t="shared" si="32"/>
        <v>2009</v>
      </c>
    </row>
    <row r="163" spans="1:17" x14ac:dyDescent="0.3">
      <c r="A163">
        <f t="shared" si="22"/>
        <v>2</v>
      </c>
      <c r="B163">
        <f t="shared" si="23"/>
        <v>10</v>
      </c>
      <c r="C163" cm="1">
        <f t="array" ref="C163">IFERROR(INDEX('TRIP MANAGER'!$O$18:$O$25,$A163),"")</f>
        <v>12.133699999999999</v>
      </c>
      <c r="D163" cm="1">
        <f t="array" ref="D163">IFERROR(INDEX('TRIP MANAGER'!$P$18:$P$25,$A163),"")</f>
        <v>15.034000000000001</v>
      </c>
      <c r="E163" cm="1">
        <f t="array" ref="E163">IFERROR(INDEX('TRIP MANAGER'!$Q$18:$Q$25,$A163),"")</f>
        <v>30.111529999999998</v>
      </c>
      <c r="F163" cm="1">
        <f t="array" ref="F163">IFERROR(INDEX('TRIP MANAGER'!$R$18:$R$25,$A163),"")</f>
        <v>31.39669</v>
      </c>
      <c r="G163" cm="1">
        <f t="array" ref="G163">IFERROR(INDEX('TRIP MANAGER'!$S$18:$S$25,$A163),"")</f>
        <v>0.41049814416825092</v>
      </c>
      <c r="H163">
        <f t="shared" si="24"/>
        <v>6.6666666666666666E-2</v>
      </c>
      <c r="I163">
        <f t="shared" si="25"/>
        <v>0.93675413324010504</v>
      </c>
      <c r="J163">
        <f t="shared" si="26"/>
        <v>6.8567900444452004E-2</v>
      </c>
      <c r="K163">
        <f t="shared" si="27"/>
        <v>0.9351098689253744</v>
      </c>
      <c r="L163">
        <f t="shared" si="28"/>
        <v>0.2684589324137015</v>
      </c>
      <c r="M163">
        <f t="shared" si="29"/>
        <v>0.23129923183111673</v>
      </c>
      <c r="N163">
        <f t="shared" si="30"/>
        <v>13.373575021771554</v>
      </c>
      <c r="O163">
        <f t="shared" si="31"/>
        <v>16.018143515676254</v>
      </c>
      <c r="P163" t="str" cm="1">
        <f t="array" ref="P163">IF($N163="","",IFERROR(IF(INDEX(geo_grid!$B$2:$JU$231,INT(($N163+40)/0.5)+1,INT(($O163+30)/0.5)+1)="","",INDEX(geo_grid!$B$2:$JU$231,INT(($N163+40)/0.5)+1,INT(($O163+30)/0.5)+1)),"OUTSIDE GRID"))</f>
        <v>TCD</v>
      </c>
      <c r="Q163">
        <f t="shared" si="32"/>
        <v>2010</v>
      </c>
    </row>
    <row r="164" spans="1:17" x14ac:dyDescent="0.3">
      <c r="A164">
        <f t="shared" si="22"/>
        <v>2</v>
      </c>
      <c r="B164">
        <f t="shared" si="23"/>
        <v>11</v>
      </c>
      <c r="C164" cm="1">
        <f t="array" ref="C164">IFERROR(INDEX('TRIP MANAGER'!$O$18:$O$25,$A164),"")</f>
        <v>12.133699999999999</v>
      </c>
      <c r="D164" cm="1">
        <f t="array" ref="D164">IFERROR(INDEX('TRIP MANAGER'!$P$18:$P$25,$A164),"")</f>
        <v>15.034000000000001</v>
      </c>
      <c r="E164" cm="1">
        <f t="array" ref="E164">IFERROR(INDEX('TRIP MANAGER'!$Q$18:$Q$25,$A164),"")</f>
        <v>30.111529999999998</v>
      </c>
      <c r="F164" cm="1">
        <f t="array" ref="F164">IFERROR(INDEX('TRIP MANAGER'!$R$18:$R$25,$A164),"")</f>
        <v>31.39669</v>
      </c>
      <c r="G164" cm="1">
        <f t="array" ref="G164">IFERROR(INDEX('TRIP MANAGER'!$S$18:$S$25,$A164),"")</f>
        <v>0.41049814416825092</v>
      </c>
      <c r="H164">
        <f t="shared" si="24"/>
        <v>7.3333333333333334E-2</v>
      </c>
      <c r="I164">
        <f t="shared" si="25"/>
        <v>0.93039017694400628</v>
      </c>
      <c r="J164">
        <f t="shared" si="26"/>
        <v>7.5422713338399311E-2</v>
      </c>
      <c r="K164">
        <f t="shared" si="27"/>
        <v>0.93416257279016157</v>
      </c>
      <c r="L164">
        <f t="shared" si="28"/>
        <v>0.26993421945738233</v>
      </c>
      <c r="M164">
        <f t="shared" si="29"/>
        <v>0.23340052434388428</v>
      </c>
      <c r="N164">
        <f t="shared" si="30"/>
        <v>13.497357897935547</v>
      </c>
      <c r="O164">
        <f t="shared" si="31"/>
        <v>16.117099573987527</v>
      </c>
      <c r="P164" t="str" cm="1">
        <f t="array" ref="P164">IF($N164="","",IFERROR(IF(INDEX(geo_grid!$B$2:$JU$231,INT(($N164+40)/0.5)+1,INT(($O164+30)/0.5)+1)="","",INDEX(geo_grid!$B$2:$JU$231,INT(($N164+40)/0.5)+1,INT(($O164+30)/0.5)+1)),"OUTSIDE GRID"))</f>
        <v>TCD</v>
      </c>
      <c r="Q164">
        <f t="shared" si="32"/>
        <v>2011</v>
      </c>
    </row>
    <row r="165" spans="1:17" x14ac:dyDescent="0.3">
      <c r="A165">
        <f t="shared" si="22"/>
        <v>2</v>
      </c>
      <c r="B165">
        <f t="shared" si="23"/>
        <v>12</v>
      </c>
      <c r="C165" cm="1">
        <f t="array" ref="C165">IFERROR(INDEX('TRIP MANAGER'!$O$18:$O$25,$A165),"")</f>
        <v>12.133699999999999</v>
      </c>
      <c r="D165" cm="1">
        <f t="array" ref="D165">IFERROR(INDEX('TRIP MANAGER'!$P$18:$P$25,$A165),"")</f>
        <v>15.034000000000001</v>
      </c>
      <c r="E165" cm="1">
        <f t="array" ref="E165">IFERROR(INDEX('TRIP MANAGER'!$Q$18:$Q$25,$A165),"")</f>
        <v>30.111529999999998</v>
      </c>
      <c r="F165" cm="1">
        <f t="array" ref="F165">IFERROR(INDEX('TRIP MANAGER'!$R$18:$R$25,$A165),"")</f>
        <v>31.39669</v>
      </c>
      <c r="G165" cm="1">
        <f t="array" ref="G165">IFERROR(INDEX('TRIP MANAGER'!$S$18:$S$25,$A165),"")</f>
        <v>0.41049814416825092</v>
      </c>
      <c r="H165">
        <f t="shared" si="24"/>
        <v>0.08</v>
      </c>
      <c r="I165">
        <f t="shared" si="25"/>
        <v>0.92401925270275631</v>
      </c>
      <c r="J165">
        <f t="shared" si="26"/>
        <v>8.227696137112743E-2</v>
      </c>
      <c r="K165">
        <f t="shared" si="27"/>
        <v>0.93320828045729864</v>
      </c>
      <c r="L165">
        <f t="shared" si="28"/>
        <v>0.27140748489025707</v>
      </c>
      <c r="M165">
        <f t="shared" si="29"/>
        <v>0.23550006885662755</v>
      </c>
      <c r="N165">
        <f t="shared" si="30"/>
        <v>13.621101945603327</v>
      </c>
      <c r="O165">
        <f t="shared" si="31"/>
        <v>16.216158299895714</v>
      </c>
      <c r="P165" t="str" cm="1">
        <f t="array" ref="P165">IF($N165="","",IFERROR(IF(INDEX(geo_grid!$B$2:$JU$231,INT(($N165+40)/0.5)+1,INT(($O165+30)/0.5)+1)="","",INDEX(geo_grid!$B$2:$JU$231,INT(($N165+40)/0.5)+1,INT(($O165+30)/0.5)+1)),"OUTSIDE GRID"))</f>
        <v>TCD</v>
      </c>
      <c r="Q165">
        <f t="shared" si="32"/>
        <v>2012</v>
      </c>
    </row>
    <row r="166" spans="1:17" x14ac:dyDescent="0.3">
      <c r="A166">
        <f t="shared" si="22"/>
        <v>2</v>
      </c>
      <c r="B166">
        <f t="shared" si="23"/>
        <v>13</v>
      </c>
      <c r="C166" cm="1">
        <f t="array" ref="C166">IFERROR(INDEX('TRIP MANAGER'!$O$18:$O$25,$A166),"")</f>
        <v>12.133699999999999</v>
      </c>
      <c r="D166" cm="1">
        <f t="array" ref="D166">IFERROR(INDEX('TRIP MANAGER'!$P$18:$P$25,$A166),"")</f>
        <v>15.034000000000001</v>
      </c>
      <c r="E166" cm="1">
        <f t="array" ref="E166">IFERROR(INDEX('TRIP MANAGER'!$Q$18:$Q$25,$A166),"")</f>
        <v>30.111529999999998</v>
      </c>
      <c r="F166" cm="1">
        <f t="array" ref="F166">IFERROR(INDEX('TRIP MANAGER'!$R$18:$R$25,$A166),"")</f>
        <v>31.39669</v>
      </c>
      <c r="G166" cm="1">
        <f t="array" ref="G166">IFERROR(INDEX('TRIP MANAGER'!$S$18:$S$25,$A166),"")</f>
        <v>0.41049814416825092</v>
      </c>
      <c r="H166">
        <f t="shared" si="24"/>
        <v>8.666666666666667E-2</v>
      </c>
      <c r="I166">
        <f t="shared" si="25"/>
        <v>0.91764140822994067</v>
      </c>
      <c r="J166">
        <f t="shared" si="26"/>
        <v>8.9130593209308134E-2</v>
      </c>
      <c r="K166">
        <f t="shared" si="27"/>
        <v>0.93224699907374142</v>
      </c>
      <c r="L166">
        <f t="shared" si="28"/>
        <v>0.27287871767864019</v>
      </c>
      <c r="M166">
        <f t="shared" si="29"/>
        <v>0.23759784964528671</v>
      </c>
      <c r="N166">
        <f t="shared" si="30"/>
        <v>13.744806754227271</v>
      </c>
      <c r="O166">
        <f t="shared" si="31"/>
        <v>16.315320746219307</v>
      </c>
      <c r="P166" t="str" cm="1">
        <f t="array" ref="P166">IF($N166="","",IFERROR(IF(INDEX(geo_grid!$B$2:$JU$231,INT(($N166+40)/0.5)+1,INT(($O166+30)/0.5)+1)="","",INDEX(geo_grid!$B$2:$JU$231,INT(($N166+40)/0.5)+1,INT(($O166+30)/0.5)+1)),"OUTSIDE GRID"))</f>
        <v>TCD</v>
      </c>
      <c r="Q166">
        <f t="shared" si="32"/>
        <v>2013</v>
      </c>
    </row>
    <row r="167" spans="1:17" x14ac:dyDescent="0.3">
      <c r="A167">
        <f t="shared" si="22"/>
        <v>2</v>
      </c>
      <c r="B167">
        <f t="shared" si="23"/>
        <v>14</v>
      </c>
      <c r="C167" cm="1">
        <f t="array" ref="C167">IFERROR(INDEX('TRIP MANAGER'!$O$18:$O$25,$A167),"")</f>
        <v>12.133699999999999</v>
      </c>
      <c r="D167" cm="1">
        <f t="array" ref="D167">IFERROR(INDEX('TRIP MANAGER'!$P$18:$P$25,$A167),"")</f>
        <v>15.034000000000001</v>
      </c>
      <c r="E167" cm="1">
        <f t="array" ref="E167">IFERROR(INDEX('TRIP MANAGER'!$Q$18:$Q$25,$A167),"")</f>
        <v>30.111529999999998</v>
      </c>
      <c r="F167" cm="1">
        <f t="array" ref="F167">IFERROR(INDEX('TRIP MANAGER'!$R$18:$R$25,$A167),"")</f>
        <v>31.39669</v>
      </c>
      <c r="G167" cm="1">
        <f t="array" ref="G167">IFERROR(INDEX('TRIP MANAGER'!$S$18:$S$25,$A167),"")</f>
        <v>0.41049814416825092</v>
      </c>
      <c r="H167">
        <f t="shared" si="24"/>
        <v>9.3333333333333338E-2</v>
      </c>
      <c r="I167">
        <f t="shared" si="25"/>
        <v>0.91125669129097142</v>
      </c>
      <c r="J167">
        <f t="shared" si="26"/>
        <v>9.5983557524228019E-2</v>
      </c>
      <c r="K167">
        <f t="shared" si="27"/>
        <v>0.93127873583878729</v>
      </c>
      <c r="L167">
        <f t="shared" si="28"/>
        <v>0.27434790680406906</v>
      </c>
      <c r="M167">
        <f t="shared" si="29"/>
        <v>0.23969385099901055</v>
      </c>
      <c r="N167">
        <f t="shared" si="30"/>
        <v>13.86847191179749</v>
      </c>
      <c r="O167">
        <f t="shared" si="31"/>
        <v>16.41458796860767</v>
      </c>
      <c r="P167" t="str" cm="1">
        <f t="array" ref="P167">IF($N167="","",IFERROR(IF(INDEX(geo_grid!$B$2:$JU$231,INT(($N167+40)/0.5)+1,INT(($O167+30)/0.5)+1)="","",INDEX(geo_grid!$B$2:$JU$231,INT(($N167+40)/0.5)+1,INT(($O167+30)/0.5)+1)),"OUTSIDE GRID"))</f>
        <v>TCD</v>
      </c>
      <c r="Q167">
        <f t="shared" si="32"/>
        <v>2014</v>
      </c>
    </row>
    <row r="168" spans="1:17" x14ac:dyDescent="0.3">
      <c r="A168">
        <f t="shared" si="22"/>
        <v>2</v>
      </c>
      <c r="B168">
        <f t="shared" si="23"/>
        <v>15</v>
      </c>
      <c r="C168" cm="1">
        <f t="array" ref="C168">IFERROR(INDEX('TRIP MANAGER'!$O$18:$O$25,$A168),"")</f>
        <v>12.133699999999999</v>
      </c>
      <c r="D168" cm="1">
        <f t="array" ref="D168">IFERROR(INDEX('TRIP MANAGER'!$P$18:$P$25,$A168),"")</f>
        <v>15.034000000000001</v>
      </c>
      <c r="E168" cm="1">
        <f t="array" ref="E168">IFERROR(INDEX('TRIP MANAGER'!$Q$18:$Q$25,$A168),"")</f>
        <v>30.111529999999998</v>
      </c>
      <c r="F168" cm="1">
        <f t="array" ref="F168">IFERROR(INDEX('TRIP MANAGER'!$R$18:$R$25,$A168),"")</f>
        <v>31.39669</v>
      </c>
      <c r="G168" cm="1">
        <f t="array" ref="G168">IFERROR(INDEX('TRIP MANAGER'!$S$18:$S$25,$A168),"")</f>
        <v>0.41049814416825092</v>
      </c>
      <c r="H168">
        <f t="shared" si="24"/>
        <v>0.1</v>
      </c>
      <c r="I168">
        <f t="shared" si="25"/>
        <v>0.9048651497027308</v>
      </c>
      <c r="J168">
        <f t="shared" si="26"/>
        <v>0.10283580299217299</v>
      </c>
      <c r="K168">
        <f t="shared" si="27"/>
        <v>0.93030349800402301</v>
      </c>
      <c r="L168">
        <f t="shared" si="28"/>
        <v>0.27581504126338674</v>
      </c>
      <c r="M168">
        <f t="shared" si="29"/>
        <v>0.2417880572202748</v>
      </c>
      <c r="N168">
        <f t="shared" si="30"/>
        <v>13.992097004825547</v>
      </c>
      <c r="O168">
        <f t="shared" si="31"/>
        <v>16.513961025568218</v>
      </c>
      <c r="P168" t="str" cm="1">
        <f t="array" ref="P168">IF($N168="","",IFERROR(IF(INDEX(geo_grid!$B$2:$JU$231,INT(($N168+40)/0.5)+1,INT(($O168+30)/0.5)+1)="","",INDEX(geo_grid!$B$2:$JU$231,INT(($N168+40)/0.5)+1,INT(($O168+30)/0.5)+1)),"OUTSIDE GRID"))</f>
        <v>TCD</v>
      </c>
      <c r="Q168">
        <f t="shared" si="32"/>
        <v>2015</v>
      </c>
    </row>
    <row r="169" spans="1:17" x14ac:dyDescent="0.3">
      <c r="A169">
        <f t="shared" si="22"/>
        <v>2</v>
      </c>
      <c r="B169">
        <f t="shared" si="23"/>
        <v>16</v>
      </c>
      <c r="C169" cm="1">
        <f t="array" ref="C169">IFERROR(INDEX('TRIP MANAGER'!$O$18:$O$25,$A169),"")</f>
        <v>12.133699999999999</v>
      </c>
      <c r="D169" cm="1">
        <f t="array" ref="D169">IFERROR(INDEX('TRIP MANAGER'!$P$18:$P$25,$A169),"")</f>
        <v>15.034000000000001</v>
      </c>
      <c r="E169" cm="1">
        <f t="array" ref="E169">IFERROR(INDEX('TRIP MANAGER'!$Q$18:$Q$25,$A169),"")</f>
        <v>30.111529999999998</v>
      </c>
      <c r="F169" cm="1">
        <f t="array" ref="F169">IFERROR(INDEX('TRIP MANAGER'!$R$18:$R$25,$A169),"")</f>
        <v>31.39669</v>
      </c>
      <c r="G169" cm="1">
        <f t="array" ref="G169">IFERROR(INDEX('TRIP MANAGER'!$S$18:$S$25,$A169),"")</f>
        <v>0.41049814416825092</v>
      </c>
      <c r="H169">
        <f t="shared" si="24"/>
        <v>0.10666666666666667</v>
      </c>
      <c r="I169">
        <f t="shared" si="25"/>
        <v>0.89846683133321248</v>
      </c>
      <c r="J169">
        <f t="shared" si="26"/>
        <v>0.10968727829481252</v>
      </c>
      <c r="K169">
        <f t="shared" si="27"/>
        <v>0.92932129287327003</v>
      </c>
      <c r="L169">
        <f t="shared" si="28"/>
        <v>0.27728011006882392</v>
      </c>
      <c r="M169">
        <f t="shared" si="29"/>
        <v>0.24388045262499927</v>
      </c>
      <c r="N169">
        <f t="shared" si="30"/>
        <v>14.115681618328072</v>
      </c>
      <c r="O169">
        <f t="shared" si="31"/>
        <v>16.613440978493614</v>
      </c>
      <c r="P169" t="str" cm="1">
        <f t="array" ref="P169">IF($N169="","",IFERROR(IF(INDEX(geo_grid!$B$2:$JU$231,INT(($N169+40)/0.5)+1,INT(($O169+30)/0.5)+1)="","",INDEX(geo_grid!$B$2:$JU$231,INT(($N169+40)/0.5)+1,INT(($O169+30)/0.5)+1)),"OUTSIDE GRID"))</f>
        <v>TCD</v>
      </c>
      <c r="Q169">
        <f t="shared" si="32"/>
        <v>2016</v>
      </c>
    </row>
    <row r="170" spans="1:17" x14ac:dyDescent="0.3">
      <c r="A170">
        <f t="shared" si="22"/>
        <v>2</v>
      </c>
      <c r="B170">
        <f t="shared" si="23"/>
        <v>17</v>
      </c>
      <c r="C170" cm="1">
        <f t="array" ref="C170">IFERROR(INDEX('TRIP MANAGER'!$O$18:$O$25,$A170),"")</f>
        <v>12.133699999999999</v>
      </c>
      <c r="D170" cm="1">
        <f t="array" ref="D170">IFERROR(INDEX('TRIP MANAGER'!$P$18:$P$25,$A170),"")</f>
        <v>15.034000000000001</v>
      </c>
      <c r="E170" cm="1">
        <f t="array" ref="E170">IFERROR(INDEX('TRIP MANAGER'!$Q$18:$Q$25,$A170),"")</f>
        <v>30.111529999999998</v>
      </c>
      <c r="F170" cm="1">
        <f t="array" ref="F170">IFERROR(INDEX('TRIP MANAGER'!$R$18:$R$25,$A170),"")</f>
        <v>31.39669</v>
      </c>
      <c r="G170" cm="1">
        <f t="array" ref="G170">IFERROR(INDEX('TRIP MANAGER'!$S$18:$S$25,$A170),"")</f>
        <v>0.41049814416825092</v>
      </c>
      <c r="H170">
        <f t="shared" si="24"/>
        <v>0.11333333333333333</v>
      </c>
      <c r="I170">
        <f t="shared" si="25"/>
        <v>0.89206178410116366</v>
      </c>
      <c r="J170">
        <f t="shared" si="26"/>
        <v>0.11653793211958409</v>
      </c>
      <c r="K170">
        <f t="shared" si="27"/>
        <v>0.92833212780253016</v>
      </c>
      <c r="L170">
        <f t="shared" si="28"/>
        <v>0.27874310224808191</v>
      </c>
      <c r="M170">
        <f t="shared" si="29"/>
        <v>0.24597102154266559</v>
      </c>
      <c r="N170">
        <f t="shared" si="30"/>
        <v>14.239225335810335</v>
      </c>
      <c r="O170">
        <f t="shared" si="31"/>
        <v>16.71302889168901</v>
      </c>
      <c r="P170" t="str" cm="1">
        <f t="array" ref="P170">IF($N170="","",IFERROR(IF(INDEX(geo_grid!$B$2:$JU$231,INT(($N170+40)/0.5)+1,INT(($O170+30)/0.5)+1)="","",INDEX(geo_grid!$B$2:$JU$231,INT(($N170+40)/0.5)+1,INT(($O170+30)/0.5)+1)),"OUTSIDE GRID"))</f>
        <v>TCD</v>
      </c>
      <c r="Q170">
        <f t="shared" si="32"/>
        <v>2017</v>
      </c>
    </row>
    <row r="171" spans="1:17" x14ac:dyDescent="0.3">
      <c r="A171">
        <f t="shared" si="22"/>
        <v>2</v>
      </c>
      <c r="B171">
        <f t="shared" si="23"/>
        <v>18</v>
      </c>
      <c r="C171" cm="1">
        <f t="array" ref="C171">IFERROR(INDEX('TRIP MANAGER'!$O$18:$O$25,$A171),"")</f>
        <v>12.133699999999999</v>
      </c>
      <c r="D171" cm="1">
        <f t="array" ref="D171">IFERROR(INDEX('TRIP MANAGER'!$P$18:$P$25,$A171),"")</f>
        <v>15.034000000000001</v>
      </c>
      <c r="E171" cm="1">
        <f t="array" ref="E171">IFERROR(INDEX('TRIP MANAGER'!$Q$18:$Q$25,$A171),"")</f>
        <v>30.111529999999998</v>
      </c>
      <c r="F171" cm="1">
        <f t="array" ref="F171">IFERROR(INDEX('TRIP MANAGER'!$R$18:$R$25,$A171),"")</f>
        <v>31.39669</v>
      </c>
      <c r="G171" cm="1">
        <f t="array" ref="G171">IFERROR(INDEX('TRIP MANAGER'!$S$18:$S$25,$A171),"")</f>
        <v>0.41049814416825092</v>
      </c>
      <c r="H171">
        <f t="shared" si="24"/>
        <v>0.12</v>
      </c>
      <c r="I171">
        <f t="shared" si="25"/>
        <v>0.8856500559757251</v>
      </c>
      <c r="J171">
        <f t="shared" si="26"/>
        <v>0.12338771316007752</v>
      </c>
      <c r="K171">
        <f t="shared" si="27"/>
        <v>0.92733601019992884</v>
      </c>
      <c r="L171">
        <f t="shared" si="28"/>
        <v>0.2802040068444141</v>
      </c>
      <c r="M171">
        <f t="shared" si="29"/>
        <v>0.24805974831643435</v>
      </c>
      <c r="N171">
        <f t="shared" si="30"/>
        <v>14.362727739249742</v>
      </c>
      <c r="O171">
        <f t="shared" si="31"/>
        <v>16.812725832399284</v>
      </c>
      <c r="P171" t="str" cm="1">
        <f t="array" ref="P171">IF($N171="","",IFERROR(IF(INDEX(geo_grid!$B$2:$JU$231,INT(($N171+40)/0.5)+1,INT(($O171+30)/0.5)+1)="","",INDEX(geo_grid!$B$2:$JU$231,INT(($N171+40)/0.5)+1,INT(($O171+30)/0.5)+1)),"OUTSIDE GRID"))</f>
        <v>TCD</v>
      </c>
      <c r="Q171">
        <f t="shared" si="32"/>
        <v>2018</v>
      </c>
    </row>
    <row r="172" spans="1:17" x14ac:dyDescent="0.3">
      <c r="A172">
        <f t="shared" si="22"/>
        <v>2</v>
      </c>
      <c r="B172">
        <f t="shared" si="23"/>
        <v>19</v>
      </c>
      <c r="C172" cm="1">
        <f t="array" ref="C172">IFERROR(INDEX('TRIP MANAGER'!$O$18:$O$25,$A172),"")</f>
        <v>12.133699999999999</v>
      </c>
      <c r="D172" cm="1">
        <f t="array" ref="D172">IFERROR(INDEX('TRIP MANAGER'!$P$18:$P$25,$A172),"")</f>
        <v>15.034000000000001</v>
      </c>
      <c r="E172" cm="1">
        <f t="array" ref="E172">IFERROR(INDEX('TRIP MANAGER'!$Q$18:$Q$25,$A172),"")</f>
        <v>30.111529999999998</v>
      </c>
      <c r="F172" cm="1">
        <f t="array" ref="F172">IFERROR(INDEX('TRIP MANAGER'!$R$18:$R$25,$A172),"")</f>
        <v>31.39669</v>
      </c>
      <c r="G172" cm="1">
        <f t="array" ref="G172">IFERROR(INDEX('TRIP MANAGER'!$S$18:$S$25,$A172),"")</f>
        <v>0.41049814416825092</v>
      </c>
      <c r="H172">
        <f t="shared" si="24"/>
        <v>0.12666666666666668</v>
      </c>
      <c r="I172">
        <f t="shared" si="25"/>
        <v>0.87923169497607345</v>
      </c>
      <c r="J172">
        <f t="shared" si="26"/>
        <v>0.13023657011641909</v>
      </c>
      <c r="K172">
        <f t="shared" si="27"/>
        <v>0.92633294752566275</v>
      </c>
      <c r="L172">
        <f t="shared" si="28"/>
        <v>0.28166281291670869</v>
      </c>
      <c r="M172">
        <f t="shared" si="29"/>
        <v>0.25014661730326249</v>
      </c>
      <c r="N172">
        <f t="shared" si="30"/>
        <v>14.48618840907916</v>
      </c>
      <c r="O172">
        <f t="shared" si="31"/>
        <v>16.912532870836245</v>
      </c>
      <c r="P172" t="str" cm="1">
        <f t="array" ref="P172">IF($N172="","",IFERROR(IF(INDEX(geo_grid!$B$2:$JU$231,INT(($N172+40)/0.5)+1,INT(($O172+30)/0.5)+1)="","",INDEX(geo_grid!$B$2:$JU$231,INT(($N172+40)/0.5)+1,INT(($O172+30)/0.5)+1)),"OUTSIDE GRID"))</f>
        <v>TCD</v>
      </c>
      <c r="Q172">
        <f t="shared" si="32"/>
        <v>2019</v>
      </c>
    </row>
    <row r="173" spans="1:17" x14ac:dyDescent="0.3">
      <c r="A173">
        <f t="shared" si="22"/>
        <v>2</v>
      </c>
      <c r="B173">
        <f t="shared" si="23"/>
        <v>20</v>
      </c>
      <c r="C173" cm="1">
        <f t="array" ref="C173">IFERROR(INDEX('TRIP MANAGER'!$O$18:$O$25,$A173),"")</f>
        <v>12.133699999999999</v>
      </c>
      <c r="D173" cm="1">
        <f t="array" ref="D173">IFERROR(INDEX('TRIP MANAGER'!$P$18:$P$25,$A173),"")</f>
        <v>15.034000000000001</v>
      </c>
      <c r="E173" cm="1">
        <f t="array" ref="E173">IFERROR(INDEX('TRIP MANAGER'!$Q$18:$Q$25,$A173),"")</f>
        <v>30.111529999999998</v>
      </c>
      <c r="F173" cm="1">
        <f t="array" ref="F173">IFERROR(INDEX('TRIP MANAGER'!$R$18:$R$25,$A173),"")</f>
        <v>31.39669</v>
      </c>
      <c r="G173" cm="1">
        <f t="array" ref="G173">IFERROR(INDEX('TRIP MANAGER'!$S$18:$S$25,$A173),"")</f>
        <v>0.41049814416825092</v>
      </c>
      <c r="H173">
        <f t="shared" si="24"/>
        <v>0.13333333333333333</v>
      </c>
      <c r="I173">
        <f t="shared" si="25"/>
        <v>0.87280674917106038</v>
      </c>
      <c r="J173">
        <f t="shared" si="26"/>
        <v>0.13708445169565575</v>
      </c>
      <c r="K173">
        <f t="shared" si="27"/>
        <v>0.92532294729194065</v>
      </c>
      <c r="L173">
        <f t="shared" si="28"/>
        <v>0.28311950953957005</v>
      </c>
      <c r="M173">
        <f t="shared" si="29"/>
        <v>0.25223161287402046</v>
      </c>
      <c r="N173">
        <f t="shared" si="30"/>
        <v>14.609606924170302</v>
      </c>
      <c r="O173">
        <f t="shared" si="31"/>
        <v>17.012451080205917</v>
      </c>
      <c r="P173" t="str" cm="1">
        <f t="array" ref="P173">IF($N173="","",IFERROR(IF(INDEX(geo_grid!$B$2:$JU$231,INT(($N173+40)/0.5)+1,INT(($O173+30)/0.5)+1)="","",INDEX(geo_grid!$B$2:$JU$231,INT(($N173+40)/0.5)+1,INT(($O173+30)/0.5)+1)),"OUTSIDE GRID"))</f>
        <v>TCD</v>
      </c>
      <c r="Q173">
        <f t="shared" si="32"/>
        <v>2020</v>
      </c>
    </row>
    <row r="174" spans="1:17" x14ac:dyDescent="0.3">
      <c r="A174">
        <f t="shared" si="22"/>
        <v>2</v>
      </c>
      <c r="B174">
        <f t="shared" si="23"/>
        <v>21</v>
      </c>
      <c r="C174" cm="1">
        <f t="array" ref="C174">IFERROR(INDEX('TRIP MANAGER'!$O$18:$O$25,$A174),"")</f>
        <v>12.133699999999999</v>
      </c>
      <c r="D174" cm="1">
        <f t="array" ref="D174">IFERROR(INDEX('TRIP MANAGER'!$P$18:$P$25,$A174),"")</f>
        <v>15.034000000000001</v>
      </c>
      <c r="E174" cm="1">
        <f t="array" ref="E174">IFERROR(INDEX('TRIP MANAGER'!$Q$18:$Q$25,$A174),"")</f>
        <v>30.111529999999998</v>
      </c>
      <c r="F174" cm="1">
        <f t="array" ref="F174">IFERROR(INDEX('TRIP MANAGER'!$R$18:$R$25,$A174),"")</f>
        <v>31.39669</v>
      </c>
      <c r="G174" cm="1">
        <f t="array" ref="G174">IFERROR(INDEX('TRIP MANAGER'!$S$18:$S$25,$A174),"")</f>
        <v>0.41049814416825092</v>
      </c>
      <c r="H174">
        <f t="shared" si="24"/>
        <v>0.14000000000000001</v>
      </c>
      <c r="I174">
        <f t="shared" si="25"/>
        <v>0.86637526667885278</v>
      </c>
      <c r="J174">
        <f t="shared" si="26"/>
        <v>0.1439313066121394</v>
      </c>
      <c r="K174">
        <f t="shared" si="27"/>
        <v>0.92430601706292914</v>
      </c>
      <c r="L174">
        <f t="shared" si="28"/>
        <v>0.28457408580340088</v>
      </c>
      <c r="M174">
        <f t="shared" si="29"/>
        <v>0.25431471941360917</v>
      </c>
      <c r="N174">
        <f t="shared" si="30"/>
        <v>14.732982861816904</v>
      </c>
      <c r="O174">
        <f t="shared" si="31"/>
        <v>17.112481536735782</v>
      </c>
      <c r="P174" t="str" cm="1">
        <f t="array" ref="P174">IF($N174="","",IFERROR(IF(INDEX(geo_grid!$B$2:$JU$231,INT(($N174+40)/0.5)+1,INT(($O174+30)/0.5)+1)="","",INDEX(geo_grid!$B$2:$JU$231,INT(($N174+40)/0.5)+1,INT(($O174+30)/0.5)+1)),"OUTSIDE GRID"))</f>
        <v>TCD</v>
      </c>
      <c r="Q174">
        <f t="shared" si="32"/>
        <v>2021</v>
      </c>
    </row>
    <row r="175" spans="1:17" x14ac:dyDescent="0.3">
      <c r="A175">
        <f t="shared" si="22"/>
        <v>2</v>
      </c>
      <c r="B175">
        <f t="shared" si="23"/>
        <v>22</v>
      </c>
      <c r="C175" cm="1">
        <f t="array" ref="C175">IFERROR(INDEX('TRIP MANAGER'!$O$18:$O$25,$A175),"")</f>
        <v>12.133699999999999</v>
      </c>
      <c r="D175" cm="1">
        <f t="array" ref="D175">IFERROR(INDEX('TRIP MANAGER'!$P$18:$P$25,$A175),"")</f>
        <v>15.034000000000001</v>
      </c>
      <c r="E175" cm="1">
        <f t="array" ref="E175">IFERROR(INDEX('TRIP MANAGER'!$Q$18:$Q$25,$A175),"")</f>
        <v>30.111529999999998</v>
      </c>
      <c r="F175" cm="1">
        <f t="array" ref="F175">IFERROR(INDEX('TRIP MANAGER'!$R$18:$R$25,$A175),"")</f>
        <v>31.39669</v>
      </c>
      <c r="G175" cm="1">
        <f t="array" ref="G175">IFERROR(INDEX('TRIP MANAGER'!$S$18:$S$25,$A175),"")</f>
        <v>0.41049814416825092</v>
      </c>
      <c r="H175">
        <f t="shared" si="24"/>
        <v>0.14666666666666667</v>
      </c>
      <c r="I175">
        <f t="shared" si="25"/>
        <v>0.85993729566657262</v>
      </c>
      <c r="J175">
        <f t="shared" si="26"/>
        <v>0.15077708358791081</v>
      </c>
      <c r="K175">
        <f t="shared" si="27"/>
        <v>0.92328216445469524</v>
      </c>
      <c r="L175">
        <f t="shared" si="28"/>
        <v>0.2860265308144837</v>
      </c>
      <c r="M175">
        <f t="shared" si="29"/>
        <v>0.25639592132107702</v>
      </c>
      <c r="N175">
        <f t="shared" si="30"/>
        <v>14.856315797717881</v>
      </c>
      <c r="O175">
        <f t="shared" si="31"/>
        <v>17.212625319702017</v>
      </c>
      <c r="P175" t="str" cm="1">
        <f t="array" ref="P175">IF($N175="","",IFERROR(IF(INDEX(geo_grid!$B$2:$JU$231,INT(($N175+40)/0.5)+1,INT(($O175+30)/0.5)+1)="","",INDEX(geo_grid!$B$2:$JU$231,INT(($N175+40)/0.5)+1,INT(($O175+30)/0.5)+1)),"OUTSIDE GRID"))</f>
        <v>TCD</v>
      </c>
      <c r="Q175">
        <f t="shared" si="32"/>
        <v>2022</v>
      </c>
    </row>
    <row r="176" spans="1:17" x14ac:dyDescent="0.3">
      <c r="A176">
        <f t="shared" si="22"/>
        <v>2</v>
      </c>
      <c r="B176">
        <f t="shared" si="23"/>
        <v>23</v>
      </c>
      <c r="C176" cm="1">
        <f t="array" ref="C176">IFERROR(INDEX('TRIP MANAGER'!$O$18:$O$25,$A176),"")</f>
        <v>12.133699999999999</v>
      </c>
      <c r="D176" cm="1">
        <f t="array" ref="D176">IFERROR(INDEX('TRIP MANAGER'!$P$18:$P$25,$A176),"")</f>
        <v>15.034000000000001</v>
      </c>
      <c r="E176" cm="1">
        <f t="array" ref="E176">IFERROR(INDEX('TRIP MANAGER'!$Q$18:$Q$25,$A176),"")</f>
        <v>30.111529999999998</v>
      </c>
      <c r="F176" cm="1">
        <f t="array" ref="F176">IFERROR(INDEX('TRIP MANAGER'!$R$18:$R$25,$A176),"")</f>
        <v>31.39669</v>
      </c>
      <c r="G176" cm="1">
        <f t="array" ref="G176">IFERROR(INDEX('TRIP MANAGER'!$S$18:$S$25,$A176),"")</f>
        <v>0.41049814416825092</v>
      </c>
      <c r="H176">
        <f t="shared" si="24"/>
        <v>0.15333333333333332</v>
      </c>
      <c r="I176">
        <f t="shared" si="25"/>
        <v>0.85349288434993686</v>
      </c>
      <c r="J176">
        <f t="shared" si="26"/>
        <v>0.15762173135308385</v>
      </c>
      <c r="K176">
        <f t="shared" si="27"/>
        <v>0.92225139713515014</v>
      </c>
      <c r="L176">
        <f t="shared" si="28"/>
        <v>0.28747683369506299</v>
      </c>
      <c r="M176">
        <f t="shared" si="29"/>
        <v>0.25847520300973681</v>
      </c>
      <c r="N176">
        <f t="shared" si="30"/>
        <v>14.979605305960378</v>
      </c>
      <c r="O176">
        <f t="shared" si="31"/>
        <v>17.312883511456814</v>
      </c>
      <c r="P176" t="str" cm="1">
        <f t="array" ref="P176">IF($N176="","",IFERROR(IF(INDEX(geo_grid!$B$2:$JU$231,INT(($N176+40)/0.5)+1,INT(($O176+30)/0.5)+1)="","",INDEX(geo_grid!$B$2:$JU$231,INT(($N176+40)/0.5)+1,INT(($O176+30)/0.5)+1)),"OUTSIDE GRID"))</f>
        <v>TCD</v>
      </c>
      <c r="Q176">
        <f t="shared" si="32"/>
        <v>2023</v>
      </c>
    </row>
    <row r="177" spans="1:17" x14ac:dyDescent="0.3">
      <c r="A177">
        <f t="shared" si="22"/>
        <v>2</v>
      </c>
      <c r="B177">
        <f t="shared" si="23"/>
        <v>24</v>
      </c>
      <c r="C177" cm="1">
        <f t="array" ref="C177">IFERROR(INDEX('TRIP MANAGER'!$O$18:$O$25,$A177),"")</f>
        <v>12.133699999999999</v>
      </c>
      <c r="D177" cm="1">
        <f t="array" ref="D177">IFERROR(INDEX('TRIP MANAGER'!$P$18:$P$25,$A177),"")</f>
        <v>15.034000000000001</v>
      </c>
      <c r="E177" cm="1">
        <f t="array" ref="E177">IFERROR(INDEX('TRIP MANAGER'!$Q$18:$Q$25,$A177),"")</f>
        <v>30.111529999999998</v>
      </c>
      <c r="F177" cm="1">
        <f t="array" ref="F177">IFERROR(INDEX('TRIP MANAGER'!$R$18:$R$25,$A177),"")</f>
        <v>31.39669</v>
      </c>
      <c r="G177" cm="1">
        <f t="array" ref="G177">IFERROR(INDEX('TRIP MANAGER'!$S$18:$S$25,$A177),"")</f>
        <v>0.41049814416825092</v>
      </c>
      <c r="H177">
        <f t="shared" si="24"/>
        <v>0.16</v>
      </c>
      <c r="I177">
        <f t="shared" si="25"/>
        <v>0.84704208099289446</v>
      </c>
      <c r="J177">
        <f t="shared" si="26"/>
        <v>0.16446519864622933</v>
      </c>
      <c r="K177">
        <f t="shared" si="27"/>
        <v>0.92121372282399017</v>
      </c>
      <c r="L177">
        <f t="shared" si="28"/>
        <v>0.28892498358342567</v>
      </c>
      <c r="M177">
        <f t="shared" si="29"/>
        <v>0.26055254890728219</v>
      </c>
      <c r="N177">
        <f t="shared" si="30"/>
        <v>15.102850959002739</v>
      </c>
      <c r="O177">
        <f t="shared" si="31"/>
        <v>17.413257197455572</v>
      </c>
      <c r="P177" t="str" cm="1">
        <f t="array" ref="P177">IF($N177="","",IFERROR(IF(INDEX(geo_grid!$B$2:$JU$231,INT(($N177+40)/0.5)+1,INT(($O177+30)/0.5)+1)="","",INDEX(geo_grid!$B$2:$JU$231,INT(($N177+40)/0.5)+1,INT(($O177+30)/0.5)+1)),"OUTSIDE GRID"))</f>
        <v>TCD</v>
      </c>
      <c r="Q177">
        <f t="shared" si="32"/>
        <v>2024</v>
      </c>
    </row>
    <row r="178" spans="1:17" x14ac:dyDescent="0.3">
      <c r="A178">
        <f t="shared" si="22"/>
        <v>2</v>
      </c>
      <c r="B178">
        <f t="shared" si="23"/>
        <v>25</v>
      </c>
      <c r="C178" cm="1">
        <f t="array" ref="C178">IFERROR(INDEX('TRIP MANAGER'!$O$18:$O$25,$A178),"")</f>
        <v>12.133699999999999</v>
      </c>
      <c r="D178" cm="1">
        <f t="array" ref="D178">IFERROR(INDEX('TRIP MANAGER'!$P$18:$P$25,$A178),"")</f>
        <v>15.034000000000001</v>
      </c>
      <c r="E178" cm="1">
        <f t="array" ref="E178">IFERROR(INDEX('TRIP MANAGER'!$Q$18:$Q$25,$A178),"")</f>
        <v>30.111529999999998</v>
      </c>
      <c r="F178" cm="1">
        <f t="array" ref="F178">IFERROR(INDEX('TRIP MANAGER'!$R$18:$R$25,$A178),"")</f>
        <v>31.39669</v>
      </c>
      <c r="G178" cm="1">
        <f t="array" ref="G178">IFERROR(INDEX('TRIP MANAGER'!$S$18:$S$25,$A178),"")</f>
        <v>0.41049814416825092</v>
      </c>
      <c r="H178">
        <f t="shared" si="24"/>
        <v>0.16666666666666666</v>
      </c>
      <c r="I178">
        <f t="shared" si="25"/>
        <v>0.84058493390726707</v>
      </c>
      <c r="J178">
        <f t="shared" si="26"/>
        <v>0.17130743421475883</v>
      </c>
      <c r="K178">
        <f t="shared" si="27"/>
        <v>0.92016914929264093</v>
      </c>
      <c r="L178">
        <f t="shared" si="28"/>
        <v>0.29037096963398334</v>
      </c>
      <c r="M178">
        <f t="shared" si="29"/>
        <v>0.26262794345590473</v>
      </c>
      <c r="N178">
        <f t="shared" si="30"/>
        <v>15.226052327657401</v>
      </c>
      <c r="O178">
        <f t="shared" si="31"/>
        <v>17.513747466284219</v>
      </c>
      <c r="P178" t="str" cm="1">
        <f t="array" ref="P178">IF($N178="","",IFERROR(IF(INDEX(geo_grid!$B$2:$JU$231,INT(($N178+40)/0.5)+1,INT(($O178+30)/0.5)+1)="","",INDEX(geo_grid!$B$2:$JU$231,INT(($N178+40)/0.5)+1,INT(($O178+30)/0.5)+1)),"OUTSIDE GRID"))</f>
        <v>TCD</v>
      </c>
      <c r="Q178">
        <f t="shared" si="32"/>
        <v>2025</v>
      </c>
    </row>
    <row r="179" spans="1:17" x14ac:dyDescent="0.3">
      <c r="A179">
        <f t="shared" si="22"/>
        <v>2</v>
      </c>
      <c r="B179">
        <f t="shared" si="23"/>
        <v>26</v>
      </c>
      <c r="C179" cm="1">
        <f t="array" ref="C179">IFERROR(INDEX('TRIP MANAGER'!$O$18:$O$25,$A179),"")</f>
        <v>12.133699999999999</v>
      </c>
      <c r="D179" cm="1">
        <f t="array" ref="D179">IFERROR(INDEX('TRIP MANAGER'!$P$18:$P$25,$A179),"")</f>
        <v>15.034000000000001</v>
      </c>
      <c r="E179" cm="1">
        <f t="array" ref="E179">IFERROR(INDEX('TRIP MANAGER'!$Q$18:$Q$25,$A179),"")</f>
        <v>30.111529999999998</v>
      </c>
      <c r="F179" cm="1">
        <f t="array" ref="F179">IFERROR(INDEX('TRIP MANAGER'!$R$18:$R$25,$A179),"")</f>
        <v>31.39669</v>
      </c>
      <c r="G179" cm="1">
        <f t="array" ref="G179">IFERROR(INDEX('TRIP MANAGER'!$S$18:$S$25,$A179),"")</f>
        <v>0.41049814416825092</v>
      </c>
      <c r="H179">
        <f t="shared" si="24"/>
        <v>0.17333333333333334</v>
      </c>
      <c r="I179">
        <f t="shared" si="25"/>
        <v>0.83412149145238557</v>
      </c>
      <c r="J179">
        <f t="shared" si="26"/>
        <v>0.17814838681530873</v>
      </c>
      <c r="K179">
        <f t="shared" si="27"/>
        <v>0.91911768436419738</v>
      </c>
      <c r="L179">
        <f t="shared" si="28"/>
        <v>0.29181478101735292</v>
      </c>
      <c r="M179">
        <f t="shared" si="29"/>
        <v>0.26470137111240982</v>
      </c>
      <c r="N179">
        <f t="shared" si="30"/>
        <v>15.34920898107365</v>
      </c>
      <c r="O179">
        <f t="shared" si="31"/>
        <v>17.614355409686457</v>
      </c>
      <c r="P179" t="str" cm="1">
        <f t="array" ref="P179">IF($N179="","",IFERROR(IF(INDEX(geo_grid!$B$2:$JU$231,INT(($N179+40)/0.5)+1,INT(($O179+30)/0.5)+1)="","",INDEX(geo_grid!$B$2:$JU$231,INT(($N179+40)/0.5)+1,INT(($O179+30)/0.5)+1)),"OUTSIDE GRID"))</f>
        <v>TCD</v>
      </c>
      <c r="Q179">
        <f t="shared" si="32"/>
        <v>2026</v>
      </c>
    </row>
    <row r="180" spans="1:17" x14ac:dyDescent="0.3">
      <c r="A180">
        <f t="shared" si="22"/>
        <v>2</v>
      </c>
      <c r="B180">
        <f t="shared" si="23"/>
        <v>27</v>
      </c>
      <c r="C180" cm="1">
        <f t="array" ref="C180">IFERROR(INDEX('TRIP MANAGER'!$O$18:$O$25,$A180),"")</f>
        <v>12.133699999999999</v>
      </c>
      <c r="D180" cm="1">
        <f t="array" ref="D180">IFERROR(INDEX('TRIP MANAGER'!$P$18:$P$25,$A180),"")</f>
        <v>15.034000000000001</v>
      </c>
      <c r="E180" cm="1">
        <f t="array" ref="E180">IFERROR(INDEX('TRIP MANAGER'!$Q$18:$Q$25,$A180),"")</f>
        <v>30.111529999999998</v>
      </c>
      <c r="F180" cm="1">
        <f t="array" ref="F180">IFERROR(INDEX('TRIP MANAGER'!$R$18:$R$25,$A180),"")</f>
        <v>31.39669</v>
      </c>
      <c r="G180" cm="1">
        <f t="array" ref="G180">IFERROR(INDEX('TRIP MANAGER'!$S$18:$S$25,$A180),"")</f>
        <v>0.41049814416825092</v>
      </c>
      <c r="H180">
        <f t="shared" si="24"/>
        <v>0.18</v>
      </c>
      <c r="I180">
        <f t="shared" si="25"/>
        <v>0.82765180203472932</v>
      </c>
      <c r="J180">
        <f t="shared" si="26"/>
        <v>0.18498800521412392</v>
      </c>
      <c r="K180">
        <f t="shared" si="27"/>
        <v>0.91805933591336686</v>
      </c>
      <c r="L180">
        <f t="shared" si="28"/>
        <v>0.29325640692043842</v>
      </c>
      <c r="M180">
        <f t="shared" si="29"/>
        <v>0.26677281634833383</v>
      </c>
      <c r="N180">
        <f t="shared" si="30"/>
        <v>15.472320486720371</v>
      </c>
      <c r="O180">
        <f t="shared" si="31"/>
        <v>17.715082122591063</v>
      </c>
      <c r="P180" t="str" cm="1">
        <f t="array" ref="P180">IF($N180="","",IFERROR(IF(INDEX(geo_grid!$B$2:$JU$231,INT(($N180+40)/0.5)+1,INT(($O180+30)/0.5)+1)="","",INDEX(geo_grid!$B$2:$JU$231,INT(($N180+40)/0.5)+1,INT(($O180+30)/0.5)+1)),"OUTSIDE GRID"))</f>
        <v>TCD</v>
      </c>
      <c r="Q180">
        <f t="shared" si="32"/>
        <v>2027</v>
      </c>
    </row>
    <row r="181" spans="1:17" x14ac:dyDescent="0.3">
      <c r="A181">
        <f t="shared" si="22"/>
        <v>2</v>
      </c>
      <c r="B181">
        <f t="shared" si="23"/>
        <v>28</v>
      </c>
      <c r="C181" cm="1">
        <f t="array" ref="C181">IFERROR(INDEX('TRIP MANAGER'!$O$18:$O$25,$A181),"")</f>
        <v>12.133699999999999</v>
      </c>
      <c r="D181" cm="1">
        <f t="array" ref="D181">IFERROR(INDEX('TRIP MANAGER'!$P$18:$P$25,$A181),"")</f>
        <v>15.034000000000001</v>
      </c>
      <c r="E181" cm="1">
        <f t="array" ref="E181">IFERROR(INDEX('TRIP MANAGER'!$Q$18:$Q$25,$A181),"")</f>
        <v>30.111529999999998</v>
      </c>
      <c r="F181" cm="1">
        <f t="array" ref="F181">IFERROR(INDEX('TRIP MANAGER'!$R$18:$R$25,$A181),"")</f>
        <v>31.39669</v>
      </c>
      <c r="G181" cm="1">
        <f t="array" ref="G181">IFERROR(INDEX('TRIP MANAGER'!$S$18:$S$25,$A181),"")</f>
        <v>0.41049814416825092</v>
      </c>
      <c r="H181">
        <f t="shared" si="24"/>
        <v>0.18666666666666668</v>
      </c>
      <c r="I181">
        <f t="shared" si="25"/>
        <v>0.8211759141075623</v>
      </c>
      <c r="J181">
        <f t="shared" si="26"/>
        <v>0.19182623818744149</v>
      </c>
      <c r="K181">
        <f t="shared" si="27"/>
        <v>0.91699411186640867</v>
      </c>
      <c r="L181">
        <f t="shared" si="28"/>
        <v>0.29469583654651116</v>
      </c>
      <c r="M181">
        <f t="shared" si="29"/>
        <v>0.26884226365005981</v>
      </c>
      <c r="N181">
        <f t="shared" si="30"/>
        <v>15.59538641036864</v>
      </c>
      <c r="O181">
        <f t="shared" si="31"/>
        <v>17.815928703139093</v>
      </c>
      <c r="P181" t="str" cm="1">
        <f t="array" ref="P181">IF($N181="","",IFERROR(IF(INDEX(geo_grid!$B$2:$JU$231,INT(($N181+40)/0.5)+1,INT(($O181+30)/0.5)+1)="","",INDEX(geo_grid!$B$2:$JU$231,INT(($N181+40)/0.5)+1,INT(($O181+30)/0.5)+1)),"OUTSIDE GRID"))</f>
        <v>TCD</v>
      </c>
      <c r="Q181">
        <f t="shared" si="32"/>
        <v>2028</v>
      </c>
    </row>
    <row r="182" spans="1:17" x14ac:dyDescent="0.3">
      <c r="A182">
        <f t="shared" si="22"/>
        <v>2</v>
      </c>
      <c r="B182">
        <f t="shared" si="23"/>
        <v>29</v>
      </c>
      <c r="C182" cm="1">
        <f t="array" ref="C182">IFERROR(INDEX('TRIP MANAGER'!$O$18:$O$25,$A182),"")</f>
        <v>12.133699999999999</v>
      </c>
      <c r="D182" cm="1">
        <f t="array" ref="D182">IFERROR(INDEX('TRIP MANAGER'!$P$18:$P$25,$A182),"")</f>
        <v>15.034000000000001</v>
      </c>
      <c r="E182" cm="1">
        <f t="array" ref="E182">IFERROR(INDEX('TRIP MANAGER'!$Q$18:$Q$25,$A182),"")</f>
        <v>30.111529999999998</v>
      </c>
      <c r="F182" cm="1">
        <f t="array" ref="F182">IFERROR(INDEX('TRIP MANAGER'!$R$18:$R$25,$A182),"")</f>
        <v>31.39669</v>
      </c>
      <c r="G182" cm="1">
        <f t="array" ref="G182">IFERROR(INDEX('TRIP MANAGER'!$S$18:$S$25,$A182),"")</f>
        <v>0.41049814416825092</v>
      </c>
      <c r="H182">
        <f t="shared" si="24"/>
        <v>0.19333333333333333</v>
      </c>
      <c r="I182">
        <f t="shared" si="25"/>
        <v>0.81469387617057076</v>
      </c>
      <c r="J182">
        <f t="shared" si="26"/>
        <v>0.19866303452187434</v>
      </c>
      <c r="K182">
        <f t="shared" si="27"/>
        <v>0.91592202020107549</v>
      </c>
      <c r="L182">
        <f t="shared" si="28"/>
        <v>0.29613305911529098</v>
      </c>
      <c r="M182">
        <f t="shared" si="29"/>
        <v>0.2709096975189339</v>
      </c>
      <c r="N182">
        <f t="shared" si="30"/>
        <v>15.718406316074253</v>
      </c>
      <c r="O182">
        <f t="shared" si="31"/>
        <v>17.916896252711197</v>
      </c>
      <c r="P182" t="str" cm="1">
        <f t="array" ref="P182">IF($N182="","",IFERROR(IF(INDEX(geo_grid!$B$2:$JU$231,INT(($N182+40)/0.5)+1,INT(($O182+30)/0.5)+1)="","",INDEX(geo_grid!$B$2:$JU$231,INT(($N182+40)/0.5)+1,INT(($O182+30)/0.5)+1)),"OUTSIDE GRID"))</f>
        <v>TCD</v>
      </c>
      <c r="Q182">
        <f t="shared" si="32"/>
        <v>2029</v>
      </c>
    </row>
    <row r="183" spans="1:17" x14ac:dyDescent="0.3">
      <c r="A183">
        <f t="shared" si="22"/>
        <v>2</v>
      </c>
      <c r="B183">
        <f t="shared" si="23"/>
        <v>30</v>
      </c>
      <c r="C183" cm="1">
        <f t="array" ref="C183">IFERROR(INDEX('TRIP MANAGER'!$O$18:$O$25,$A183),"")</f>
        <v>12.133699999999999</v>
      </c>
      <c r="D183" cm="1">
        <f t="array" ref="D183">IFERROR(INDEX('TRIP MANAGER'!$P$18:$P$25,$A183),"")</f>
        <v>15.034000000000001</v>
      </c>
      <c r="E183" cm="1">
        <f t="array" ref="E183">IFERROR(INDEX('TRIP MANAGER'!$Q$18:$Q$25,$A183),"")</f>
        <v>30.111529999999998</v>
      </c>
      <c r="F183" cm="1">
        <f t="array" ref="F183">IFERROR(INDEX('TRIP MANAGER'!$R$18:$R$25,$A183),"")</f>
        <v>31.39669</v>
      </c>
      <c r="G183" cm="1">
        <f t="array" ref="G183">IFERROR(INDEX('TRIP MANAGER'!$S$18:$S$25,$A183),"")</f>
        <v>0.41049814416825092</v>
      </c>
      <c r="H183">
        <f t="shared" si="24"/>
        <v>0.2</v>
      </c>
      <c r="I183">
        <f t="shared" si="25"/>
        <v>0.80820573676950058</v>
      </c>
      <c r="J183">
        <f t="shared" si="26"/>
        <v>0.20549834301479469</v>
      </c>
      <c r="K183">
        <f t="shared" si="27"/>
        <v>0.91484306894655343</v>
      </c>
      <c r="L183">
        <f t="shared" si="28"/>
        <v>0.29756806386302714</v>
      </c>
      <c r="M183">
        <f t="shared" si="29"/>
        <v>0.2729751024713814</v>
      </c>
      <c r="N183">
        <f t="shared" si="30"/>
        <v>15.841379766160141</v>
      </c>
      <c r="O183">
        <f t="shared" si="31"/>
        <v>18.017985875954857</v>
      </c>
      <c r="P183" t="str" cm="1">
        <f t="array" ref="P183">IF($N183="","",IFERROR(IF(INDEX(geo_grid!$B$2:$JU$231,INT(($N183+40)/0.5)+1,INT(($O183+30)/0.5)+1)="","",INDEX(geo_grid!$B$2:$JU$231,INT(($N183+40)/0.5)+1,INT(($O183+30)/0.5)+1)),"OUTSIDE GRID"))</f>
        <v>TCD</v>
      </c>
      <c r="Q183">
        <f t="shared" si="32"/>
        <v>2030</v>
      </c>
    </row>
    <row r="184" spans="1:17" x14ac:dyDescent="0.3">
      <c r="A184">
        <f t="shared" si="22"/>
        <v>2</v>
      </c>
      <c r="B184">
        <f t="shared" si="23"/>
        <v>31</v>
      </c>
      <c r="C184" cm="1">
        <f t="array" ref="C184">IFERROR(INDEX('TRIP MANAGER'!$O$18:$O$25,$A184),"")</f>
        <v>12.133699999999999</v>
      </c>
      <c r="D184" cm="1">
        <f t="array" ref="D184">IFERROR(INDEX('TRIP MANAGER'!$P$18:$P$25,$A184),"")</f>
        <v>15.034000000000001</v>
      </c>
      <c r="E184" cm="1">
        <f t="array" ref="E184">IFERROR(INDEX('TRIP MANAGER'!$Q$18:$Q$25,$A184),"")</f>
        <v>30.111529999999998</v>
      </c>
      <c r="F184" cm="1">
        <f t="array" ref="F184">IFERROR(INDEX('TRIP MANAGER'!$R$18:$R$25,$A184),"")</f>
        <v>31.39669</v>
      </c>
      <c r="G184" cm="1">
        <f t="array" ref="G184">IFERROR(INDEX('TRIP MANAGER'!$S$18:$S$25,$A184),"")</f>
        <v>0.41049814416825092</v>
      </c>
      <c r="H184">
        <f t="shared" si="24"/>
        <v>0.20666666666666667</v>
      </c>
      <c r="I184">
        <f t="shared" si="25"/>
        <v>0.80171154449579252</v>
      </c>
      <c r="J184">
        <f t="shared" si="26"/>
        <v>0.21233211247471775</v>
      </c>
      <c r="K184">
        <f t="shared" si="27"/>
        <v>0.91375726618340181</v>
      </c>
      <c r="L184">
        <f t="shared" si="28"/>
        <v>0.2990008400425786</v>
      </c>
      <c r="M184">
        <f t="shared" si="29"/>
        <v>0.27503846303902268</v>
      </c>
      <c r="N184">
        <f t="shared" si="30"/>
        <v>15.964306321198769</v>
      </c>
      <c r="O184">
        <f t="shared" si="31"/>
        <v>18.119198680811632</v>
      </c>
      <c r="P184" t="str" cm="1">
        <f t="array" ref="P184">IF($N184="","",IFERROR(IF(INDEX(geo_grid!$B$2:$JU$231,INT(($N184+40)/0.5)+1,INT(($O184+30)/0.5)+1)="","",INDEX(geo_grid!$B$2:$JU$231,INT(($N184+40)/0.5)+1,INT(($O184+30)/0.5)+1)),"OUTSIDE GRID"))</f>
        <v>TCD</v>
      </c>
      <c r="Q184">
        <f t="shared" si="32"/>
        <v>2031</v>
      </c>
    </row>
    <row r="185" spans="1:17" x14ac:dyDescent="0.3">
      <c r="A185">
        <f t="shared" si="22"/>
        <v>2</v>
      </c>
      <c r="B185">
        <f t="shared" si="23"/>
        <v>32</v>
      </c>
      <c r="C185" cm="1">
        <f t="array" ref="C185">IFERROR(INDEX('TRIP MANAGER'!$O$18:$O$25,$A185),"")</f>
        <v>12.133699999999999</v>
      </c>
      <c r="D185" cm="1">
        <f t="array" ref="D185">IFERROR(INDEX('TRIP MANAGER'!$P$18:$P$25,$A185),"")</f>
        <v>15.034000000000001</v>
      </c>
      <c r="E185" cm="1">
        <f t="array" ref="E185">IFERROR(INDEX('TRIP MANAGER'!$Q$18:$Q$25,$A185),"")</f>
        <v>30.111529999999998</v>
      </c>
      <c r="F185" cm="1">
        <f t="array" ref="F185">IFERROR(INDEX('TRIP MANAGER'!$R$18:$R$25,$A185),"")</f>
        <v>31.39669</v>
      </c>
      <c r="G185" cm="1">
        <f t="array" ref="G185">IFERROR(INDEX('TRIP MANAGER'!$S$18:$S$25,$A185),"")</f>
        <v>0.41049814416825092</v>
      </c>
      <c r="H185">
        <f t="shared" si="24"/>
        <v>0.21333333333333335</v>
      </c>
      <c r="I185">
        <f t="shared" si="25"/>
        <v>0.79521134798621973</v>
      </c>
      <c r="J185">
        <f t="shared" si="26"/>
        <v>0.21916429172168481</v>
      </c>
      <c r="K185">
        <f t="shared" si="27"/>
        <v>0.91266462004349336</v>
      </c>
      <c r="L185">
        <f t="shared" si="28"/>
        <v>0.30043137692349492</v>
      </c>
      <c r="M185">
        <f t="shared" si="29"/>
        <v>0.2770997637687892</v>
      </c>
      <c r="N185">
        <f t="shared" si="30"/>
        <v>16.087185539994302</v>
      </c>
      <c r="O185">
        <f t="shared" si="31"/>
        <v>18.220535778544395</v>
      </c>
      <c r="P185" t="str" cm="1">
        <f t="array" ref="P185">IF($N185="","",IFERROR(IF(INDEX(geo_grid!$B$2:$JU$231,INT(($N185+40)/0.5)+1,INT(($O185+30)/0.5)+1)="","",INDEX(geo_grid!$B$2:$JU$231,INT(($N185+40)/0.5)+1,INT(($O185+30)/0.5)+1)),"OUTSIDE GRID"))</f>
        <v>TCD</v>
      </c>
      <c r="Q185">
        <f t="shared" si="32"/>
        <v>2032</v>
      </c>
    </row>
    <row r="186" spans="1:17" x14ac:dyDescent="0.3">
      <c r="A186">
        <f t="shared" si="22"/>
        <v>2</v>
      </c>
      <c r="B186">
        <f t="shared" si="23"/>
        <v>33</v>
      </c>
      <c r="C186" cm="1">
        <f t="array" ref="C186">IFERROR(INDEX('TRIP MANAGER'!$O$18:$O$25,$A186),"")</f>
        <v>12.133699999999999</v>
      </c>
      <c r="D186" cm="1">
        <f t="array" ref="D186">IFERROR(INDEX('TRIP MANAGER'!$P$18:$P$25,$A186),"")</f>
        <v>15.034000000000001</v>
      </c>
      <c r="E186" cm="1">
        <f t="array" ref="E186">IFERROR(INDEX('TRIP MANAGER'!$Q$18:$Q$25,$A186),"")</f>
        <v>30.111529999999998</v>
      </c>
      <c r="F186" cm="1">
        <f t="array" ref="F186">IFERROR(INDEX('TRIP MANAGER'!$R$18:$R$25,$A186),"")</f>
        <v>31.39669</v>
      </c>
      <c r="G186" cm="1">
        <f t="array" ref="G186">IFERROR(INDEX('TRIP MANAGER'!$S$18:$S$25,$A186),"")</f>
        <v>0.41049814416825092</v>
      </c>
      <c r="H186">
        <f t="shared" si="24"/>
        <v>0.22</v>
      </c>
      <c r="I186">
        <f t="shared" si="25"/>
        <v>0.78870519592252197</v>
      </c>
      <c r="J186">
        <f t="shared" si="26"/>
        <v>0.22599482958764683</v>
      </c>
      <c r="K186">
        <f t="shared" si="27"/>
        <v>0.91156513870995193</v>
      </c>
      <c r="L186">
        <f t="shared" si="28"/>
        <v>0.30185966379209606</v>
      </c>
      <c r="M186">
        <f t="shared" si="29"/>
        <v>0.27915898922303894</v>
      </c>
      <c r="N186">
        <f t="shared" si="30"/>
        <v>16.210016979564848</v>
      </c>
      <c r="O186">
        <f t="shared" si="31"/>
        <v>18.321998283764582</v>
      </c>
      <c r="P186" t="str" cm="1">
        <f t="array" ref="P186">IF($N186="","",IFERROR(IF(INDEX(geo_grid!$B$2:$JU$231,INT(($N186+40)/0.5)+1,INT(($O186+30)/0.5)+1)="","",INDEX(geo_grid!$B$2:$JU$231,INT(($N186+40)/0.5)+1,INT(($O186+30)/0.5)+1)),"OUTSIDE GRID"))</f>
        <v>TCD</v>
      </c>
      <c r="Q186">
        <f t="shared" si="32"/>
        <v>2033</v>
      </c>
    </row>
    <row r="187" spans="1:17" x14ac:dyDescent="0.3">
      <c r="A187">
        <f t="shared" si="22"/>
        <v>2</v>
      </c>
      <c r="B187">
        <f t="shared" si="23"/>
        <v>34</v>
      </c>
      <c r="C187" cm="1">
        <f t="array" ref="C187">IFERROR(INDEX('TRIP MANAGER'!$O$18:$O$25,$A187),"")</f>
        <v>12.133699999999999</v>
      </c>
      <c r="D187" cm="1">
        <f t="array" ref="D187">IFERROR(INDEX('TRIP MANAGER'!$P$18:$P$25,$A187),"")</f>
        <v>15.034000000000001</v>
      </c>
      <c r="E187" cm="1">
        <f t="array" ref="E187">IFERROR(INDEX('TRIP MANAGER'!$Q$18:$Q$25,$A187),"")</f>
        <v>30.111529999999998</v>
      </c>
      <c r="F187" cm="1">
        <f t="array" ref="F187">IFERROR(INDEX('TRIP MANAGER'!$R$18:$R$25,$A187),"")</f>
        <v>31.39669</v>
      </c>
      <c r="G187" cm="1">
        <f t="array" ref="G187">IFERROR(INDEX('TRIP MANAGER'!$S$18:$S$25,$A187),"")</f>
        <v>0.41049814416825092</v>
      </c>
      <c r="H187">
        <f t="shared" si="24"/>
        <v>0.22666666666666666</v>
      </c>
      <c r="I187">
        <f t="shared" si="25"/>
        <v>0.7821931370310421</v>
      </c>
      <c r="J187">
        <f t="shared" si="26"/>
        <v>0.23282367491684741</v>
      </c>
      <c r="K187">
        <f t="shared" si="27"/>
        <v>0.9104588304170923</v>
      </c>
      <c r="L187">
        <f t="shared" si="28"/>
        <v>0.30328568995155319</v>
      </c>
      <c r="M187">
        <f t="shared" si="29"/>
        <v>0.28121612397967227</v>
      </c>
      <c r="N187">
        <f t="shared" si="30"/>
        <v>16.332800195124445</v>
      </c>
      <c r="O187">
        <f t="shared" si="31"/>
        <v>18.4235873144594</v>
      </c>
      <c r="P187" t="str" cm="1">
        <f t="array" ref="P187">IF($N187="","",IFERROR(IF(INDEX(geo_grid!$B$2:$JU$231,INT(($N187+40)/0.5)+1,INT(($O187+30)/0.5)+1)="","",INDEX(geo_grid!$B$2:$JU$231,INT(($N187+40)/0.5)+1,INT(($O187+30)/0.5)+1)),"OUTSIDE GRID"))</f>
        <v>TCD</v>
      </c>
      <c r="Q187">
        <f t="shared" si="32"/>
        <v>2034</v>
      </c>
    </row>
    <row r="188" spans="1:17" x14ac:dyDescent="0.3">
      <c r="A188">
        <f t="shared" si="22"/>
        <v>2</v>
      </c>
      <c r="B188">
        <f t="shared" si="23"/>
        <v>35</v>
      </c>
      <c r="C188" cm="1">
        <f t="array" ref="C188">IFERROR(INDEX('TRIP MANAGER'!$O$18:$O$25,$A188),"")</f>
        <v>12.133699999999999</v>
      </c>
      <c r="D188" cm="1">
        <f t="array" ref="D188">IFERROR(INDEX('TRIP MANAGER'!$P$18:$P$25,$A188),"")</f>
        <v>15.034000000000001</v>
      </c>
      <c r="E188" cm="1">
        <f t="array" ref="E188">IFERROR(INDEX('TRIP MANAGER'!$Q$18:$Q$25,$A188),"")</f>
        <v>30.111529999999998</v>
      </c>
      <c r="F188" cm="1">
        <f t="array" ref="F188">IFERROR(INDEX('TRIP MANAGER'!$R$18:$R$25,$A188),"")</f>
        <v>31.39669</v>
      </c>
      <c r="G188" cm="1">
        <f t="array" ref="G188">IFERROR(INDEX('TRIP MANAGER'!$S$18:$S$25,$A188),"")</f>
        <v>0.41049814416825092</v>
      </c>
      <c r="H188">
        <f t="shared" si="24"/>
        <v>0.23333333333333334</v>
      </c>
      <c r="I188">
        <f t="shared" si="25"/>
        <v>0.77567522008236078</v>
      </c>
      <c r="J188">
        <f t="shared" si="26"/>
        <v>0.23965077656620615</v>
      </c>
      <c r="K188">
        <f t="shared" si="27"/>
        <v>0.90934570345035859</v>
      </c>
      <c r="L188">
        <f t="shared" si="28"/>
        <v>0.30470944472196843</v>
      </c>
      <c r="M188">
        <f t="shared" si="29"/>
        <v>0.28327115263224739</v>
      </c>
      <c r="N188">
        <f t="shared" si="30"/>
        <v>16.45553474006508</v>
      </c>
      <c r="O188">
        <f t="shared" si="31"/>
        <v>18.525303992018998</v>
      </c>
      <c r="P188" t="str" cm="1">
        <f t="array" ref="P188">IF($N188="","",IFERROR(IF(INDEX(geo_grid!$B$2:$JU$231,INT(($N188+40)/0.5)+1,INT(($O188+30)/0.5)+1)="","",INDEX(geo_grid!$B$2:$JU$231,INT(($N188+40)/0.5)+1,INT(($O188+30)/0.5)+1)),"OUTSIDE GRID"))</f>
        <v>TCD</v>
      </c>
      <c r="Q188">
        <f t="shared" si="32"/>
        <v>2035</v>
      </c>
    </row>
    <row r="189" spans="1:17" x14ac:dyDescent="0.3">
      <c r="A189">
        <f t="shared" si="22"/>
        <v>2</v>
      </c>
      <c r="B189">
        <f t="shared" si="23"/>
        <v>36</v>
      </c>
      <c r="C189" cm="1">
        <f t="array" ref="C189">IFERROR(INDEX('TRIP MANAGER'!$O$18:$O$25,$A189),"")</f>
        <v>12.133699999999999</v>
      </c>
      <c r="D189" cm="1">
        <f t="array" ref="D189">IFERROR(INDEX('TRIP MANAGER'!$P$18:$P$25,$A189),"")</f>
        <v>15.034000000000001</v>
      </c>
      <c r="E189" cm="1">
        <f t="array" ref="E189">IFERROR(INDEX('TRIP MANAGER'!$Q$18:$Q$25,$A189),"")</f>
        <v>30.111529999999998</v>
      </c>
      <c r="F189" cm="1">
        <f t="array" ref="F189">IFERROR(INDEX('TRIP MANAGER'!$R$18:$R$25,$A189),"")</f>
        <v>31.39669</v>
      </c>
      <c r="G189" cm="1">
        <f t="array" ref="G189">IFERROR(INDEX('TRIP MANAGER'!$S$18:$S$25,$A189),"")</f>
        <v>0.41049814416825092</v>
      </c>
      <c r="H189">
        <f t="shared" si="24"/>
        <v>0.24</v>
      </c>
      <c r="I189">
        <f t="shared" si="25"/>
        <v>0.76915149389093151</v>
      </c>
      <c r="J189">
        <f t="shared" si="26"/>
        <v>0.24647608340570137</v>
      </c>
      <c r="K189">
        <f t="shared" si="27"/>
        <v>0.90822576614626138</v>
      </c>
      <c r="L189">
        <f t="shared" si="28"/>
        <v>0.30613091744045495</v>
      </c>
      <c r="M189">
        <f t="shared" si="29"/>
        <v>0.28532405979009562</v>
      </c>
      <c r="N189">
        <f t="shared" si="30"/>
        <v>16.578220165938543</v>
      </c>
      <c r="O189">
        <f t="shared" si="31"/>
        <v>18.627149441263722</v>
      </c>
      <c r="P189" t="str" cm="1">
        <f t="array" ref="P189">IF($N189="","",IFERROR(IF(INDEX(geo_grid!$B$2:$JU$231,INT(($N189+40)/0.5)+1,INT(($O189+30)/0.5)+1)="","",INDEX(geo_grid!$B$2:$JU$231,INT(($N189+40)/0.5)+1,INT(($O189+30)/0.5)+1)),"OUTSIDE GRID"))</f>
        <v>TCD</v>
      </c>
      <c r="Q189">
        <f t="shared" si="32"/>
        <v>2036</v>
      </c>
    </row>
    <row r="190" spans="1:17" x14ac:dyDescent="0.3">
      <c r="A190">
        <f t="shared" si="22"/>
        <v>2</v>
      </c>
      <c r="B190">
        <f t="shared" si="23"/>
        <v>37</v>
      </c>
      <c r="C190" cm="1">
        <f t="array" ref="C190">IFERROR(INDEX('TRIP MANAGER'!$O$18:$O$25,$A190),"")</f>
        <v>12.133699999999999</v>
      </c>
      <c r="D190" cm="1">
        <f t="array" ref="D190">IFERROR(INDEX('TRIP MANAGER'!$P$18:$P$25,$A190),"")</f>
        <v>15.034000000000001</v>
      </c>
      <c r="E190" cm="1">
        <f t="array" ref="E190">IFERROR(INDEX('TRIP MANAGER'!$Q$18:$Q$25,$A190),"")</f>
        <v>30.111529999999998</v>
      </c>
      <c r="F190" cm="1">
        <f t="array" ref="F190">IFERROR(INDEX('TRIP MANAGER'!$R$18:$R$25,$A190),"")</f>
        <v>31.39669</v>
      </c>
      <c r="G190" cm="1">
        <f t="array" ref="G190">IFERROR(INDEX('TRIP MANAGER'!$S$18:$S$25,$A190),"")</f>
        <v>0.41049814416825092</v>
      </c>
      <c r="H190">
        <f t="shared" si="24"/>
        <v>0.24666666666666667</v>
      </c>
      <c r="I190">
        <f t="shared" si="25"/>
        <v>0.76262200731471419</v>
      </c>
      <c r="J190">
        <f t="shared" si="26"/>
        <v>0.2532995443187534</v>
      </c>
      <c r="K190">
        <f t="shared" si="27"/>
        <v>0.90709902689231559</v>
      </c>
      <c r="L190">
        <f t="shared" si="28"/>
        <v>0.30755009746121686</v>
      </c>
      <c r="M190">
        <f t="shared" si="29"/>
        <v>0.28737483007843678</v>
      </c>
      <c r="N190">
        <f t="shared" si="30"/>
        <v>16.700856022438199</v>
      </c>
      <c r="O190">
        <f t="shared" si="31"/>
        <v>18.729124790471225</v>
      </c>
      <c r="P190" t="str" cm="1">
        <f t="array" ref="P190">IF($N190="","",IFERROR(IF(INDEX(geo_grid!$B$2:$JU$231,INT(($N190+40)/0.5)+1,INT(($O190+30)/0.5)+1)="","",INDEX(geo_grid!$B$2:$JU$231,INT(($N190+40)/0.5)+1,INT(($O190+30)/0.5)+1)),"OUTSIDE GRID"))</f>
        <v>TCD</v>
      </c>
      <c r="Q190">
        <f t="shared" si="32"/>
        <v>2037</v>
      </c>
    </row>
    <row r="191" spans="1:17" x14ac:dyDescent="0.3">
      <c r="A191">
        <f t="shared" si="22"/>
        <v>2</v>
      </c>
      <c r="B191">
        <f t="shared" si="23"/>
        <v>38</v>
      </c>
      <c r="C191" cm="1">
        <f t="array" ref="C191">IFERROR(INDEX('TRIP MANAGER'!$O$18:$O$25,$A191),"")</f>
        <v>12.133699999999999</v>
      </c>
      <c r="D191" cm="1">
        <f t="array" ref="D191">IFERROR(INDEX('TRIP MANAGER'!$P$18:$P$25,$A191),"")</f>
        <v>15.034000000000001</v>
      </c>
      <c r="E191" cm="1">
        <f t="array" ref="E191">IFERROR(INDEX('TRIP MANAGER'!$Q$18:$Q$25,$A191),"")</f>
        <v>30.111529999999998</v>
      </c>
      <c r="F191" cm="1">
        <f t="array" ref="F191">IFERROR(INDEX('TRIP MANAGER'!$R$18:$R$25,$A191),"")</f>
        <v>31.39669</v>
      </c>
      <c r="G191" cm="1">
        <f t="array" ref="G191">IFERROR(INDEX('TRIP MANAGER'!$S$18:$S$25,$A191),"")</f>
        <v>0.41049814416825092</v>
      </c>
      <c r="H191">
        <f t="shared" si="24"/>
        <v>0.25333333333333335</v>
      </c>
      <c r="I191">
        <f t="shared" si="25"/>
        <v>0.75608680925481009</v>
      </c>
      <c r="J191">
        <f t="shared" si="26"/>
        <v>0.26012110820260698</v>
      </c>
      <c r="K191">
        <f t="shared" si="27"/>
        <v>0.9059654941269778</v>
      </c>
      <c r="L191">
        <f t="shared" si="28"/>
        <v>0.30896697415562879</v>
      </c>
      <c r="M191">
        <f t="shared" si="29"/>
        <v>0.28942344813849408</v>
      </c>
      <c r="N191">
        <f t="shared" si="30"/>
        <v>16.823441857380661</v>
      </c>
      <c r="O191">
        <f t="shared" si="31"/>
        <v>18.831231171403658</v>
      </c>
      <c r="P191" t="str" cm="1">
        <f t="array" ref="P191">IF($N191="","",IFERROR(IF(INDEX(geo_grid!$B$2:$JU$231,INT(($N191+40)/0.5)+1,INT(($O191+30)/0.5)+1)="","",INDEX(geo_grid!$B$2:$JU$231,INT(($N191+40)/0.5)+1,INT(($O191+30)/0.5)+1)),"OUTSIDE GRID"))</f>
        <v>TCD</v>
      </c>
      <c r="Q191">
        <f t="shared" si="32"/>
        <v>2038</v>
      </c>
    </row>
    <row r="192" spans="1:17" x14ac:dyDescent="0.3">
      <c r="A192">
        <f t="shared" si="22"/>
        <v>2</v>
      </c>
      <c r="B192">
        <f t="shared" si="23"/>
        <v>39</v>
      </c>
      <c r="C192" cm="1">
        <f t="array" ref="C192">IFERROR(INDEX('TRIP MANAGER'!$O$18:$O$25,$A192),"")</f>
        <v>12.133699999999999</v>
      </c>
      <c r="D192" cm="1">
        <f t="array" ref="D192">IFERROR(INDEX('TRIP MANAGER'!$P$18:$P$25,$A192),"")</f>
        <v>15.034000000000001</v>
      </c>
      <c r="E192" cm="1">
        <f t="array" ref="E192">IFERROR(INDEX('TRIP MANAGER'!$Q$18:$Q$25,$A192),"")</f>
        <v>30.111529999999998</v>
      </c>
      <c r="F192" cm="1">
        <f t="array" ref="F192">IFERROR(INDEX('TRIP MANAGER'!$R$18:$R$25,$A192),"")</f>
        <v>31.39669</v>
      </c>
      <c r="G192" cm="1">
        <f t="array" ref="G192">IFERROR(INDEX('TRIP MANAGER'!$S$18:$S$25,$A192),"")</f>
        <v>0.41049814416825092</v>
      </c>
      <c r="H192">
        <f t="shared" si="24"/>
        <v>0.26</v>
      </c>
      <c r="I192">
        <f t="shared" si="25"/>
        <v>0.74954594865509583</v>
      </c>
      <c r="J192">
        <f t="shared" si="26"/>
        <v>0.26694072396871449</v>
      </c>
      <c r="K192">
        <f t="shared" si="27"/>
        <v>0.90482517633958404</v>
      </c>
      <c r="L192">
        <f t="shared" si="28"/>
        <v>0.31038153691231585</v>
      </c>
      <c r="M192">
        <f t="shared" si="29"/>
        <v>0.29146989862760975</v>
      </c>
      <c r="N192">
        <f t="shared" si="30"/>
        <v>16.945977216687389</v>
      </c>
      <c r="O192">
        <f t="shared" si="31"/>
        <v>18.933469719334774</v>
      </c>
      <c r="P192" t="str" cm="1">
        <f t="array" ref="P192">IF($N192="","",IFERROR(IF(INDEX(geo_grid!$B$2:$JU$231,INT(($N192+40)/0.5)+1,INT(($O192+30)/0.5)+1)="","",INDEX(geo_grid!$B$2:$JU$231,INT(($N192+40)/0.5)+1,INT(($O192+30)/0.5)+1)),"OUTSIDE GRID"))</f>
        <v>TCD</v>
      </c>
      <c r="Q192">
        <f t="shared" si="32"/>
        <v>2039</v>
      </c>
    </row>
    <row r="193" spans="1:17" x14ac:dyDescent="0.3">
      <c r="A193">
        <f t="shared" si="22"/>
        <v>2</v>
      </c>
      <c r="B193">
        <f t="shared" si="23"/>
        <v>40</v>
      </c>
      <c r="C193" cm="1">
        <f t="array" ref="C193">IFERROR(INDEX('TRIP MANAGER'!$O$18:$O$25,$A193),"")</f>
        <v>12.133699999999999</v>
      </c>
      <c r="D193" cm="1">
        <f t="array" ref="D193">IFERROR(INDEX('TRIP MANAGER'!$P$18:$P$25,$A193),"")</f>
        <v>15.034000000000001</v>
      </c>
      <c r="E193" cm="1">
        <f t="array" ref="E193">IFERROR(INDEX('TRIP MANAGER'!$Q$18:$Q$25,$A193),"")</f>
        <v>30.111529999999998</v>
      </c>
      <c r="F193" cm="1">
        <f t="array" ref="F193">IFERROR(INDEX('TRIP MANAGER'!$R$18:$R$25,$A193),"")</f>
        <v>31.39669</v>
      </c>
      <c r="G193" cm="1">
        <f t="array" ref="G193">IFERROR(INDEX('TRIP MANAGER'!$S$18:$S$25,$A193),"")</f>
        <v>0.41049814416825092</v>
      </c>
      <c r="H193">
        <f t="shared" si="24"/>
        <v>0.26666666666666666</v>
      </c>
      <c r="I193">
        <f t="shared" si="25"/>
        <v>0.74299947450185577</v>
      </c>
      <c r="J193">
        <f t="shared" si="26"/>
        <v>0.27375834054311804</v>
      </c>
      <c r="K193">
        <f t="shared" si="27"/>
        <v>0.90367808207028411</v>
      </c>
      <c r="L193">
        <f t="shared" si="28"/>
        <v>0.31179377513723272</v>
      </c>
      <c r="M193">
        <f t="shared" si="29"/>
        <v>0.29351416621935933</v>
      </c>
      <c r="N193">
        <f t="shared" si="30"/>
        <v>17.068461644366153</v>
      </c>
      <c r="O193">
        <f t="shared" si="31"/>
        <v>19.035841573077061</v>
      </c>
      <c r="P193" t="str" cm="1">
        <f t="array" ref="P193">IF($N193="","",IFERROR(IF(INDEX(geo_grid!$B$2:$JU$231,INT(($N193+40)/0.5)+1,INT(($O193+30)/0.5)+1)="","",INDEX(geo_grid!$B$2:$JU$231,INT(($N193+40)/0.5)+1,INT(($O193+30)/0.5)+1)),"OUTSIDE GRID"))</f>
        <v>TCD</v>
      </c>
      <c r="Q193">
        <f t="shared" si="32"/>
        <v>2040</v>
      </c>
    </row>
    <row r="194" spans="1:17" x14ac:dyDescent="0.3">
      <c r="A194">
        <f t="shared" si="22"/>
        <v>2</v>
      </c>
      <c r="B194">
        <f t="shared" si="23"/>
        <v>41</v>
      </c>
      <c r="C194" cm="1">
        <f t="array" ref="C194">IFERROR(INDEX('TRIP MANAGER'!$O$18:$O$25,$A194),"")</f>
        <v>12.133699999999999</v>
      </c>
      <c r="D194" cm="1">
        <f t="array" ref="D194">IFERROR(INDEX('TRIP MANAGER'!$P$18:$P$25,$A194),"")</f>
        <v>15.034000000000001</v>
      </c>
      <c r="E194" cm="1">
        <f t="array" ref="E194">IFERROR(INDEX('TRIP MANAGER'!$Q$18:$Q$25,$A194),"")</f>
        <v>30.111529999999998</v>
      </c>
      <c r="F194" cm="1">
        <f t="array" ref="F194">IFERROR(INDEX('TRIP MANAGER'!$R$18:$R$25,$A194),"")</f>
        <v>31.39669</v>
      </c>
      <c r="G194" cm="1">
        <f t="array" ref="G194">IFERROR(INDEX('TRIP MANAGER'!$S$18:$S$25,$A194),"")</f>
        <v>0.41049814416825092</v>
      </c>
      <c r="H194">
        <f t="shared" si="24"/>
        <v>0.27333333333333332</v>
      </c>
      <c r="I194">
        <f t="shared" si="25"/>
        <v>0.73644743582341554</v>
      </c>
      <c r="J194">
        <f t="shared" si="26"/>
        <v>0.28057390686683248</v>
      </c>
      <c r="K194">
        <f t="shared" si="27"/>
        <v>0.90252421990997878</v>
      </c>
      <c r="L194">
        <f t="shared" si="28"/>
        <v>0.31320367825374307</v>
      </c>
      <c r="M194">
        <f t="shared" si="29"/>
        <v>0.29555623560366651</v>
      </c>
      <c r="N194">
        <f t="shared" si="30"/>
        <v>17.190894682492424</v>
      </c>
      <c r="O194">
        <f t="shared" si="31"/>
        <v>19.138347875008805</v>
      </c>
      <c r="P194" t="str" cm="1">
        <f t="array" ref="P194">IF($N194="","",IFERROR(IF(INDEX(geo_grid!$B$2:$JU$231,INT(($N194+40)/0.5)+1,INT(($O194+30)/0.5)+1)="","",INDEX(geo_grid!$B$2:$JU$231,INT(($N194+40)/0.5)+1,INT(($O194+30)/0.5)+1)),"OUTSIDE GRID"))</f>
        <v>TCD</v>
      </c>
      <c r="Q194">
        <f t="shared" si="32"/>
        <v>2041</v>
      </c>
    </row>
    <row r="195" spans="1:17" x14ac:dyDescent="0.3">
      <c r="A195">
        <f t="shared" ref="A195:A258" si="33">INT((ROW()-2)/151)+1</f>
        <v>2</v>
      </c>
      <c r="B195">
        <f t="shared" ref="B195:B258" si="34">MOD(ROW()-2,151)</f>
        <v>42</v>
      </c>
      <c r="C195" cm="1">
        <f t="array" ref="C195">IFERROR(INDEX('TRIP MANAGER'!$O$18:$O$25,$A195),"")</f>
        <v>12.133699999999999</v>
      </c>
      <c r="D195" cm="1">
        <f t="array" ref="D195">IFERROR(INDEX('TRIP MANAGER'!$P$18:$P$25,$A195),"")</f>
        <v>15.034000000000001</v>
      </c>
      <c r="E195" cm="1">
        <f t="array" ref="E195">IFERROR(INDEX('TRIP MANAGER'!$Q$18:$Q$25,$A195),"")</f>
        <v>30.111529999999998</v>
      </c>
      <c r="F195" cm="1">
        <f t="array" ref="F195">IFERROR(INDEX('TRIP MANAGER'!$R$18:$R$25,$A195),"")</f>
        <v>31.39669</v>
      </c>
      <c r="G195" cm="1">
        <f t="array" ref="G195">IFERROR(INDEX('TRIP MANAGER'!$S$18:$S$25,$A195),"")</f>
        <v>0.41049814416825092</v>
      </c>
      <c r="H195">
        <f t="shared" ref="H195:H258" si="35">$B195/150</f>
        <v>0.28000000000000003</v>
      </c>
      <c r="I195">
        <f t="shared" ref="I195:I258" si="36">IF(OR($G195="",$G195=0),"",SIN((1-$H195)*$G195)/SIN($G195))</f>
        <v>0.72988988168977553</v>
      </c>
      <c r="J195">
        <f t="shared" ref="J195:J258" si="37">IF($I195="","",SIN($H195*$G195)/SIN($G195))</f>
        <v>0.28738737189622737</v>
      </c>
      <c r="K195">
        <f t="shared" ref="K195:K258" si="38">IF($I195="","",$I195*COS(RADIANS($C195))*COS(RADIANS($D195))+$J195*COS(RADIANS($E195))*COS(RADIANS($F195)))</f>
        <v>0.90136359850025594</v>
      </c>
      <c r="L195">
        <f t="shared" ref="L195:L258" si="39">IF($I195="","",$I195*COS(RADIANS($C195))*SIN(RADIANS($D195))+$J195*COS(RADIANS($E195))*SIN(RADIANS($F195)))</f>
        <v>0.31461123570269878</v>
      </c>
      <c r="M195">
        <f t="shared" ref="M195:M258" si="40">IF($I195="","",$I195*SIN(RADIANS($C195))+$J195*SIN(RADIANS($E195)))</f>
        <v>0.29759609148691823</v>
      </c>
      <c r="N195">
        <f t="shared" ref="N195:N258" si="41">IF($M195="","",DEGREES(ATAN2(SQRT($K195^2+$L195^2),$M195)))</f>
        <v>17.313275871190648</v>
      </c>
      <c r="O195">
        <f t="shared" ref="O195:O258" si="42">IF($M195="","",DEGREES(ATAN2($K195,$L195)))</f>
        <v>19.240989771101134</v>
      </c>
      <c r="P195" t="str" cm="1">
        <f t="array" ref="P195">IF($N195="","",IFERROR(IF(INDEX(geo_grid!$B$2:$JU$231,INT(($N195+40)/0.5)+1,INT(($O195+30)/0.5)+1)="","",INDEX(geo_grid!$B$2:$JU$231,INT(($N195+40)/0.5)+1,INT(($O195+30)/0.5)+1)),"OUTSIDE GRID"))</f>
        <v>TCD</v>
      </c>
      <c r="Q195">
        <f t="shared" ref="Q195:Q258" si="43">IF($P195="","",$A195*1000+$B195)</f>
        <v>2042</v>
      </c>
    </row>
    <row r="196" spans="1:17" x14ac:dyDescent="0.3">
      <c r="A196">
        <f t="shared" si="33"/>
        <v>2</v>
      </c>
      <c r="B196">
        <f t="shared" si="34"/>
        <v>43</v>
      </c>
      <c r="C196" cm="1">
        <f t="array" ref="C196">IFERROR(INDEX('TRIP MANAGER'!$O$18:$O$25,$A196),"")</f>
        <v>12.133699999999999</v>
      </c>
      <c r="D196" cm="1">
        <f t="array" ref="D196">IFERROR(INDEX('TRIP MANAGER'!$P$18:$P$25,$A196),"")</f>
        <v>15.034000000000001</v>
      </c>
      <c r="E196" cm="1">
        <f t="array" ref="E196">IFERROR(INDEX('TRIP MANAGER'!$Q$18:$Q$25,$A196),"")</f>
        <v>30.111529999999998</v>
      </c>
      <c r="F196" cm="1">
        <f t="array" ref="F196">IFERROR(INDEX('TRIP MANAGER'!$R$18:$R$25,$A196),"")</f>
        <v>31.39669</v>
      </c>
      <c r="G196" cm="1">
        <f t="array" ref="G196">IFERROR(INDEX('TRIP MANAGER'!$S$18:$S$25,$A196),"")</f>
        <v>0.41049814416825092</v>
      </c>
      <c r="H196">
        <f t="shared" si="35"/>
        <v>0.28666666666666668</v>
      </c>
      <c r="I196">
        <f t="shared" si="36"/>
        <v>0.72332686121224277</v>
      </c>
      <c r="J196">
        <f t="shared" si="37"/>
        <v>0.29419868460340942</v>
      </c>
      <c r="K196">
        <f t="shared" si="38"/>
        <v>0.90019622653332498</v>
      </c>
      <c r="L196">
        <f t="shared" si="39"/>
        <v>0.31601643694251941</v>
      </c>
      <c r="M196">
        <f t="shared" si="40"/>
        <v>0.29963371859207888</v>
      </c>
      <c r="N196">
        <f t="shared" si="41"/>
        <v>17.435604748615432</v>
      </c>
      <c r="O196">
        <f t="shared" si="42"/>
        <v>19.343768410945081</v>
      </c>
      <c r="P196" t="str" cm="1">
        <f t="array" ref="P196">IF($N196="","",IFERROR(IF(INDEX(geo_grid!$B$2:$JU$231,INT(($N196+40)/0.5)+1,INT(($O196+30)/0.5)+1)="","",INDEX(geo_grid!$B$2:$JU$231,INT(($N196+40)/0.5)+1,INT(($O196+30)/0.5)+1)),"OUTSIDE GRID"))</f>
        <v>TCD</v>
      </c>
      <c r="Q196">
        <f t="shared" si="43"/>
        <v>2043</v>
      </c>
    </row>
    <row r="197" spans="1:17" x14ac:dyDescent="0.3">
      <c r="A197">
        <f t="shared" si="33"/>
        <v>2</v>
      </c>
      <c r="B197">
        <f t="shared" si="34"/>
        <v>44</v>
      </c>
      <c r="C197" cm="1">
        <f t="array" ref="C197">IFERROR(INDEX('TRIP MANAGER'!$O$18:$O$25,$A197),"")</f>
        <v>12.133699999999999</v>
      </c>
      <c r="D197" cm="1">
        <f t="array" ref="D197">IFERROR(INDEX('TRIP MANAGER'!$P$18:$P$25,$A197),"")</f>
        <v>15.034000000000001</v>
      </c>
      <c r="E197" cm="1">
        <f t="array" ref="E197">IFERROR(INDEX('TRIP MANAGER'!$Q$18:$Q$25,$A197),"")</f>
        <v>30.111529999999998</v>
      </c>
      <c r="F197" cm="1">
        <f t="array" ref="F197">IFERROR(INDEX('TRIP MANAGER'!$R$18:$R$25,$A197),"")</f>
        <v>31.39669</v>
      </c>
      <c r="G197" cm="1">
        <f t="array" ref="G197">IFERROR(INDEX('TRIP MANAGER'!$S$18:$S$25,$A197),"")</f>
        <v>0.41049814416825092</v>
      </c>
      <c r="H197">
        <f t="shared" si="35"/>
        <v>0.29333333333333333</v>
      </c>
      <c r="I197">
        <f t="shared" si="36"/>
        <v>0.71675842354306285</v>
      </c>
      <c r="J197">
        <f t="shared" si="37"/>
        <v>0.30100779397660471</v>
      </c>
      <c r="K197">
        <f t="shared" si="38"/>
        <v>0.89902211275195232</v>
      </c>
      <c r="L197">
        <f t="shared" si="39"/>
        <v>0.3174192714492704</v>
      </c>
      <c r="M197">
        <f t="shared" si="40"/>
        <v>0.30166910165880467</v>
      </c>
      <c r="N197">
        <f t="shared" si="41"/>
        <v>17.557880850932634</v>
      </c>
      <c r="O197">
        <f t="shared" si="42"/>
        <v>19.44668494777854</v>
      </c>
      <c r="P197" t="str" cm="1">
        <f t="array" ref="P197">IF($N197="","",IFERROR(IF(INDEX(geo_grid!$B$2:$JU$231,INT(($N197+40)/0.5)+1,INT(($O197+30)/0.5)+1)="","",INDEX(geo_grid!$B$2:$JU$231,INT(($N197+40)/0.5)+1,INT(($O197+30)/0.5)+1)),"OUTSIDE GRID"))</f>
        <v>TCD</v>
      </c>
      <c r="Q197">
        <f t="shared" si="43"/>
        <v>2044</v>
      </c>
    </row>
    <row r="198" spans="1:17" x14ac:dyDescent="0.3">
      <c r="A198">
        <f t="shared" si="33"/>
        <v>2</v>
      </c>
      <c r="B198">
        <f t="shared" si="34"/>
        <v>45</v>
      </c>
      <c r="C198" cm="1">
        <f t="array" ref="C198">IFERROR(INDEX('TRIP MANAGER'!$O$18:$O$25,$A198),"")</f>
        <v>12.133699999999999</v>
      </c>
      <c r="D198" cm="1">
        <f t="array" ref="D198">IFERROR(INDEX('TRIP MANAGER'!$P$18:$P$25,$A198),"")</f>
        <v>15.034000000000001</v>
      </c>
      <c r="E198" cm="1">
        <f t="array" ref="E198">IFERROR(INDEX('TRIP MANAGER'!$Q$18:$Q$25,$A198),"")</f>
        <v>30.111529999999998</v>
      </c>
      <c r="F198" cm="1">
        <f t="array" ref="F198">IFERROR(INDEX('TRIP MANAGER'!$R$18:$R$25,$A198),"")</f>
        <v>31.39669</v>
      </c>
      <c r="G198" cm="1">
        <f t="array" ref="G198">IFERROR(INDEX('TRIP MANAGER'!$S$18:$S$25,$A198),"")</f>
        <v>0.41049814416825092</v>
      </c>
      <c r="H198">
        <f t="shared" si="35"/>
        <v>0.3</v>
      </c>
      <c r="I198">
        <f t="shared" si="36"/>
        <v>0.71018461787505249</v>
      </c>
      <c r="J198">
        <f t="shared" si="37"/>
        <v>0.30781464902054084</v>
      </c>
      <c r="K198">
        <f t="shared" si="38"/>
        <v>0.89784126594939528</v>
      </c>
      <c r="L198">
        <f t="shared" si="39"/>
        <v>0.31881972871674263</v>
      </c>
      <c r="M198">
        <f t="shared" si="40"/>
        <v>0.30370222544355796</v>
      </c>
      <c r="N198">
        <f t="shared" si="41"/>
        <v>17.680103712300287</v>
      </c>
      <c r="O198">
        <f t="shared" si="42"/>
        <v>19.54974053851323</v>
      </c>
      <c r="P198" t="str" cm="1">
        <f t="array" ref="P198">IF($N198="","",IFERROR(IF(INDEX(geo_grid!$B$2:$JU$231,INT(($N198+40)/0.5)+1,INT(($O198+30)/0.5)+1)="","",INDEX(geo_grid!$B$2:$JU$231,INT(($N198+40)/0.5)+1,INT(($O198+30)/0.5)+1)),"OUTSIDE GRID"))</f>
        <v>TCD</v>
      </c>
      <c r="Q198">
        <f t="shared" si="43"/>
        <v>2045</v>
      </c>
    </row>
    <row r="199" spans="1:17" x14ac:dyDescent="0.3">
      <c r="A199">
        <f t="shared" si="33"/>
        <v>2</v>
      </c>
      <c r="B199">
        <f t="shared" si="34"/>
        <v>46</v>
      </c>
      <c r="C199" cm="1">
        <f t="array" ref="C199">IFERROR(INDEX('TRIP MANAGER'!$O$18:$O$25,$A199),"")</f>
        <v>12.133699999999999</v>
      </c>
      <c r="D199" cm="1">
        <f t="array" ref="D199">IFERROR(INDEX('TRIP MANAGER'!$P$18:$P$25,$A199),"")</f>
        <v>15.034000000000001</v>
      </c>
      <c r="E199" cm="1">
        <f t="array" ref="E199">IFERROR(INDEX('TRIP MANAGER'!$Q$18:$Q$25,$A199),"")</f>
        <v>30.111529999999998</v>
      </c>
      <c r="F199" cm="1">
        <f t="array" ref="F199">IFERROR(INDEX('TRIP MANAGER'!$R$18:$R$25,$A199),"")</f>
        <v>31.39669</v>
      </c>
      <c r="G199" cm="1">
        <f t="array" ref="G199">IFERROR(INDEX('TRIP MANAGER'!$S$18:$S$25,$A199),"")</f>
        <v>0.41049814416825092</v>
      </c>
      <c r="H199">
        <f t="shared" si="35"/>
        <v>0.30666666666666664</v>
      </c>
      <c r="I199">
        <f t="shared" si="36"/>
        <v>0.70360549344123091</v>
      </c>
      <c r="J199">
        <f t="shared" si="37"/>
        <v>0.31461919875682842</v>
      </c>
      <c r="K199">
        <f t="shared" si="38"/>
        <v>0.89665369496933689</v>
      </c>
      <c r="L199">
        <f t="shared" si="39"/>
        <v>0.32021779825653052</v>
      </c>
      <c r="M199">
        <f t="shared" si="40"/>
        <v>0.30573307471972183</v>
      </c>
      <c r="N199">
        <f t="shared" si="41"/>
        <v>17.802272864849556</v>
      </c>
      <c r="O199">
        <f t="shared" si="42"/>
        <v>19.652936343761642</v>
      </c>
      <c r="P199" t="str" cm="1">
        <f t="array" ref="P199">IF($N199="","",IFERROR(IF(INDEX(geo_grid!$B$2:$JU$231,INT(($N199+40)/0.5)+1,INT(($O199+30)/0.5)+1)="","",INDEX(geo_grid!$B$2:$JU$231,INT(($N199+40)/0.5)+1,INT(($O199+30)/0.5)+1)),"OUTSIDE GRID"))</f>
        <v>TCD</v>
      </c>
      <c r="Q199">
        <f t="shared" si="43"/>
        <v>2046</v>
      </c>
    </row>
    <row r="200" spans="1:17" x14ac:dyDescent="0.3">
      <c r="A200">
        <f t="shared" si="33"/>
        <v>2</v>
      </c>
      <c r="B200">
        <f t="shared" si="34"/>
        <v>47</v>
      </c>
      <c r="C200" cm="1">
        <f t="array" ref="C200">IFERROR(INDEX('TRIP MANAGER'!$O$18:$O$25,$A200),"")</f>
        <v>12.133699999999999</v>
      </c>
      <c r="D200" cm="1">
        <f t="array" ref="D200">IFERROR(INDEX('TRIP MANAGER'!$P$18:$P$25,$A200),"")</f>
        <v>15.034000000000001</v>
      </c>
      <c r="E200" cm="1">
        <f t="array" ref="E200">IFERROR(INDEX('TRIP MANAGER'!$Q$18:$Q$25,$A200),"")</f>
        <v>30.111529999999998</v>
      </c>
      <c r="F200" cm="1">
        <f t="array" ref="F200">IFERROR(INDEX('TRIP MANAGER'!$R$18:$R$25,$A200),"")</f>
        <v>31.39669</v>
      </c>
      <c r="G200" cm="1">
        <f t="array" ref="G200">IFERROR(INDEX('TRIP MANAGER'!$S$18:$S$25,$A200),"")</f>
        <v>0.41049814416825092</v>
      </c>
      <c r="H200">
        <f t="shared" si="35"/>
        <v>0.31333333333333335</v>
      </c>
      <c r="I200">
        <f t="shared" si="36"/>
        <v>0.69702109951445068</v>
      </c>
      <c r="J200">
        <f t="shared" si="37"/>
        <v>0.32142139222434346</v>
      </c>
      <c r="K200">
        <f t="shared" si="38"/>
        <v>0.8954594087058193</v>
      </c>
      <c r="L200">
        <f t="shared" si="39"/>
        <v>0.32161346959811099</v>
      </c>
      <c r="M200">
        <f t="shared" si="40"/>
        <v>0.30776163427771341</v>
      </c>
      <c r="N200">
        <f t="shared" si="41"/>
        <v>17.924387838665432</v>
      </c>
      <c r="O200">
        <f t="shared" si="42"/>
        <v>19.756273527863879</v>
      </c>
      <c r="P200" t="str" cm="1">
        <f t="array" ref="P200">IF($N200="","",IFERROR(IF(INDEX(geo_grid!$B$2:$JU$231,INT(($N200+40)/0.5)+1,INT(($O200+30)/0.5)+1)="","",INDEX(geo_grid!$B$2:$JU$231,INT(($N200+40)/0.5)+1,INT(($O200+30)/0.5)+1)),"OUTSIDE GRID"))</f>
        <v>TCD</v>
      </c>
      <c r="Q200">
        <f t="shared" si="43"/>
        <v>2047</v>
      </c>
    </row>
    <row r="201" spans="1:17" x14ac:dyDescent="0.3">
      <c r="A201">
        <f t="shared" si="33"/>
        <v>2</v>
      </c>
      <c r="B201">
        <f t="shared" si="34"/>
        <v>48</v>
      </c>
      <c r="C201" cm="1">
        <f t="array" ref="C201">IFERROR(INDEX('TRIP MANAGER'!$O$18:$O$25,$A201),"")</f>
        <v>12.133699999999999</v>
      </c>
      <c r="D201" cm="1">
        <f t="array" ref="D201">IFERROR(INDEX('TRIP MANAGER'!$P$18:$P$25,$A201),"")</f>
        <v>15.034000000000001</v>
      </c>
      <c r="E201" cm="1">
        <f t="array" ref="E201">IFERROR(INDEX('TRIP MANAGER'!$Q$18:$Q$25,$A201),"")</f>
        <v>30.111529999999998</v>
      </c>
      <c r="F201" cm="1">
        <f t="array" ref="F201">IFERROR(INDEX('TRIP MANAGER'!$R$18:$R$25,$A201),"")</f>
        <v>31.39669</v>
      </c>
      <c r="G201" cm="1">
        <f t="array" ref="G201">IFERROR(INDEX('TRIP MANAGER'!$S$18:$S$25,$A201),"")</f>
        <v>0.41049814416825092</v>
      </c>
      <c r="H201">
        <f t="shared" si="35"/>
        <v>0.32</v>
      </c>
      <c r="I201">
        <f t="shared" si="36"/>
        <v>0.69043148540702948</v>
      </c>
      <c r="J201">
        <f t="shared" si="37"/>
        <v>0.32822117847960824</v>
      </c>
      <c r="K201">
        <f t="shared" si="38"/>
        <v>0.89425841610317736</v>
      </c>
      <c r="L201">
        <f t="shared" si="39"/>
        <v>0.32300673228892163</v>
      </c>
      <c r="M201">
        <f t="shared" si="40"/>
        <v>0.30978788892509834</v>
      </c>
      <c r="N201">
        <f t="shared" si="41"/>
        <v>18.046448161767415</v>
      </c>
      <c r="O201">
        <f t="shared" si="42"/>
        <v>19.859753258914527</v>
      </c>
      <c r="P201" t="str" cm="1">
        <f t="array" ref="P201">IF($N201="","",IFERROR(IF(INDEX(geo_grid!$B$2:$JU$231,INT(($N201+40)/0.5)+1,INT(($O201+30)/0.5)+1)="","",INDEX(geo_grid!$B$2:$JU$231,INT(($N201+40)/0.5)+1,INT(($O201+30)/0.5)+1)),"OUTSIDE GRID"))</f>
        <v>TCD</v>
      </c>
      <c r="Q201">
        <f t="shared" si="43"/>
        <v>2048</v>
      </c>
    </row>
    <row r="202" spans="1:17" x14ac:dyDescent="0.3">
      <c r="A202">
        <f t="shared" si="33"/>
        <v>2</v>
      </c>
      <c r="B202">
        <f t="shared" si="34"/>
        <v>49</v>
      </c>
      <c r="C202" cm="1">
        <f t="array" ref="C202">IFERROR(INDEX('TRIP MANAGER'!$O$18:$O$25,$A202),"")</f>
        <v>12.133699999999999</v>
      </c>
      <c r="D202" cm="1">
        <f t="array" ref="D202">IFERROR(INDEX('TRIP MANAGER'!$P$18:$P$25,$A202),"")</f>
        <v>15.034000000000001</v>
      </c>
      <c r="E202" cm="1">
        <f t="array" ref="E202">IFERROR(INDEX('TRIP MANAGER'!$Q$18:$Q$25,$A202),"")</f>
        <v>30.111529999999998</v>
      </c>
      <c r="F202" cm="1">
        <f t="array" ref="F202">IFERROR(INDEX('TRIP MANAGER'!$R$18:$R$25,$A202),"")</f>
        <v>31.39669</v>
      </c>
      <c r="G202" cm="1">
        <f t="array" ref="G202">IFERROR(INDEX('TRIP MANAGER'!$S$18:$S$25,$A202),"")</f>
        <v>0.41049814416825092</v>
      </c>
      <c r="H202">
        <f t="shared" si="35"/>
        <v>0.32666666666666666</v>
      </c>
      <c r="I202">
        <f t="shared" si="36"/>
        <v>0.68383670047038003</v>
      </c>
      <c r="J202">
        <f t="shared" si="37"/>
        <v>0.33501850659717386</v>
      </c>
      <c r="K202">
        <f t="shared" si="38"/>
        <v>0.89305072615597159</v>
      </c>
      <c r="L202">
        <f t="shared" si="39"/>
        <v>0.32439757589443924</v>
      </c>
      <c r="M202">
        <f t="shared" si="40"/>
        <v>0.31181182348670439</v>
      </c>
      <c r="N202">
        <f t="shared" si="41"/>
        <v>18.168453360090105</v>
      </c>
      <c r="O202">
        <f t="shared" si="42"/>
        <v>19.96337670878944</v>
      </c>
      <c r="P202" t="str" cm="1">
        <f t="array" ref="P202">IF($N202="","",IFERROR(IF(INDEX(geo_grid!$B$2:$JU$231,INT(($N202+40)/0.5)+1,INT(($O202+30)/0.5)+1)="","",INDEX(geo_grid!$B$2:$JU$231,INT(($N202+40)/0.5)+1,INT(($O202+30)/0.5)+1)),"OUTSIDE GRID"))</f>
        <v>TCD</v>
      </c>
      <c r="Q202">
        <f t="shared" si="43"/>
        <v>2049</v>
      </c>
    </row>
    <row r="203" spans="1:17" x14ac:dyDescent="0.3">
      <c r="A203">
        <f t="shared" si="33"/>
        <v>2</v>
      </c>
      <c r="B203">
        <f t="shared" si="34"/>
        <v>50</v>
      </c>
      <c r="C203" cm="1">
        <f t="array" ref="C203">IFERROR(INDEX('TRIP MANAGER'!$O$18:$O$25,$A203),"")</f>
        <v>12.133699999999999</v>
      </c>
      <c r="D203" cm="1">
        <f t="array" ref="D203">IFERROR(INDEX('TRIP MANAGER'!$P$18:$P$25,$A203),"")</f>
        <v>15.034000000000001</v>
      </c>
      <c r="E203" cm="1">
        <f t="array" ref="E203">IFERROR(INDEX('TRIP MANAGER'!$Q$18:$Q$25,$A203),"")</f>
        <v>30.111529999999998</v>
      </c>
      <c r="F203" cm="1">
        <f t="array" ref="F203">IFERROR(INDEX('TRIP MANAGER'!$R$18:$R$25,$A203),"")</f>
        <v>31.39669</v>
      </c>
      <c r="G203" cm="1">
        <f t="array" ref="G203">IFERROR(INDEX('TRIP MANAGER'!$S$18:$S$25,$A203),"")</f>
        <v>0.41049814416825092</v>
      </c>
      <c r="H203">
        <f t="shared" si="35"/>
        <v>0.33333333333333331</v>
      </c>
      <c r="I203">
        <f t="shared" si="36"/>
        <v>0.67723679409464055</v>
      </c>
      <c r="J203">
        <f t="shared" si="37"/>
        <v>0.34181332567000061</v>
      </c>
      <c r="K203">
        <f t="shared" si="38"/>
        <v>0.89183634790891986</v>
      </c>
      <c r="L203">
        <f t="shared" si="39"/>
        <v>0.32578598999825742</v>
      </c>
      <c r="M203">
        <f t="shared" si="40"/>
        <v>0.31383342280473481</v>
      </c>
      <c r="N203">
        <f t="shared" si="41"/>
        <v>18.290402957463595</v>
      </c>
      <c r="O203">
        <f t="shared" si="42"/>
        <v>20.067145053172496</v>
      </c>
      <c r="P203" t="str" cm="1">
        <f t="array" ref="P203">IF($N203="","",IFERROR(IF(INDEX(geo_grid!$B$2:$JU$231,INT(($N203+40)/0.5)+1,INT(($O203+30)/0.5)+1)="","",INDEX(geo_grid!$B$2:$JU$231,INT(($N203+40)/0.5)+1,INT(($O203+30)/0.5)+1)),"OUTSIDE GRID"))</f>
        <v>TCD</v>
      </c>
      <c r="Q203">
        <f t="shared" si="43"/>
        <v>2050</v>
      </c>
    </row>
    <row r="204" spans="1:17" x14ac:dyDescent="0.3">
      <c r="A204">
        <f t="shared" si="33"/>
        <v>2</v>
      </c>
      <c r="B204">
        <f t="shared" si="34"/>
        <v>51</v>
      </c>
      <c r="C204" cm="1">
        <f t="array" ref="C204">IFERROR(INDEX('TRIP MANAGER'!$O$18:$O$25,$A204),"")</f>
        <v>12.133699999999999</v>
      </c>
      <c r="D204" cm="1">
        <f t="array" ref="D204">IFERROR(INDEX('TRIP MANAGER'!$P$18:$P$25,$A204),"")</f>
        <v>15.034000000000001</v>
      </c>
      <c r="E204" cm="1">
        <f t="array" ref="E204">IFERROR(INDEX('TRIP MANAGER'!$Q$18:$Q$25,$A204),"")</f>
        <v>30.111529999999998</v>
      </c>
      <c r="F204" cm="1">
        <f t="array" ref="F204">IFERROR(INDEX('TRIP MANAGER'!$R$18:$R$25,$A204),"")</f>
        <v>31.39669</v>
      </c>
      <c r="G204" cm="1">
        <f t="array" ref="G204">IFERROR(INDEX('TRIP MANAGER'!$S$18:$S$25,$A204),"")</f>
        <v>0.41049814416825092</v>
      </c>
      <c r="H204">
        <f t="shared" si="35"/>
        <v>0.34</v>
      </c>
      <c r="I204">
        <f t="shared" si="36"/>
        <v>0.67063181570830555</v>
      </c>
      <c r="J204">
        <f t="shared" si="37"/>
        <v>0.34860558480984005</v>
      </c>
      <c r="K204">
        <f t="shared" si="38"/>
        <v>0.89061529045683163</v>
      </c>
      <c r="L204">
        <f t="shared" si="39"/>
        <v>0.32717196420216538</v>
      </c>
      <c r="M204">
        <f t="shared" si="40"/>
        <v>0.31585267173888243</v>
      </c>
      <c r="N204">
        <f t="shared" si="41"/>
        <v>18.412296475593877</v>
      </c>
      <c r="O204">
        <f t="shared" si="42"/>
        <v>20.171059471582282</v>
      </c>
      <c r="P204" t="str" cm="1">
        <f t="array" ref="P204">IF($N204="","",IFERROR(IF(INDEX(geo_grid!$B$2:$JU$231,INT(($N204+40)/0.5)+1,INT(($O204+30)/0.5)+1)="","",INDEX(geo_grid!$B$2:$JU$231,INT(($N204+40)/0.5)+1,INT(($O204+30)/0.5)+1)),"OUTSIDE GRID"))</f>
        <v>TCD</v>
      </c>
      <c r="Q204">
        <f t="shared" si="43"/>
        <v>2051</v>
      </c>
    </row>
    <row r="205" spans="1:17" x14ac:dyDescent="0.3">
      <c r="A205">
        <f t="shared" si="33"/>
        <v>2</v>
      </c>
      <c r="B205">
        <f t="shared" si="34"/>
        <v>52</v>
      </c>
      <c r="C205" cm="1">
        <f t="array" ref="C205">IFERROR(INDEX('TRIP MANAGER'!$O$18:$O$25,$A205),"")</f>
        <v>12.133699999999999</v>
      </c>
      <c r="D205" cm="1">
        <f t="array" ref="D205">IFERROR(INDEX('TRIP MANAGER'!$P$18:$P$25,$A205),"")</f>
        <v>15.034000000000001</v>
      </c>
      <c r="E205" cm="1">
        <f t="array" ref="E205">IFERROR(INDEX('TRIP MANAGER'!$Q$18:$Q$25,$A205),"")</f>
        <v>30.111529999999998</v>
      </c>
      <c r="F205" cm="1">
        <f t="array" ref="F205">IFERROR(INDEX('TRIP MANAGER'!$R$18:$R$25,$A205),"")</f>
        <v>31.39669</v>
      </c>
      <c r="G205" cm="1">
        <f t="array" ref="G205">IFERROR(INDEX('TRIP MANAGER'!$S$18:$S$25,$A205),"")</f>
        <v>0.41049814416825092</v>
      </c>
      <c r="H205">
        <f t="shared" si="35"/>
        <v>0.34666666666666668</v>
      </c>
      <c r="I205">
        <f t="shared" si="36"/>
        <v>0.66402181477785538</v>
      </c>
      <c r="J205">
        <f t="shared" si="37"/>
        <v>0.35539523314761551</v>
      </c>
      <c r="K205">
        <f t="shared" si="38"/>
        <v>0.88938756294453847</v>
      </c>
      <c r="L205">
        <f t="shared" si="39"/>
        <v>0.32855548812622526</v>
      </c>
      <c r="M205">
        <f t="shared" si="40"/>
        <v>0.31786955516644272</v>
      </c>
      <c r="N205">
        <f t="shared" si="41"/>
        <v>18.534133434043028</v>
      </c>
      <c r="O205">
        <f t="shared" si="42"/>
        <v>20.27512114739875</v>
      </c>
      <c r="P205" t="str" cm="1">
        <f t="array" ref="P205">IF($N205="","",IFERROR(IF(INDEX(geo_grid!$B$2:$JU$231,INT(($N205+40)/0.5)+1,INT(($O205+30)/0.5)+1)="","",INDEX(geo_grid!$B$2:$JU$231,INT(($N205+40)/0.5)+1,INT(($O205+30)/0.5)+1)),"OUTSIDE GRID"))</f>
        <v>TCD</v>
      </c>
      <c r="Q205">
        <f t="shared" si="43"/>
        <v>2052</v>
      </c>
    </row>
    <row r="206" spans="1:17" x14ac:dyDescent="0.3">
      <c r="A206">
        <f t="shared" si="33"/>
        <v>2</v>
      </c>
      <c r="B206">
        <f t="shared" si="34"/>
        <v>53</v>
      </c>
      <c r="C206" cm="1">
        <f t="array" ref="C206">IFERROR(INDEX('TRIP MANAGER'!$O$18:$O$25,$A206),"")</f>
        <v>12.133699999999999</v>
      </c>
      <c r="D206" cm="1">
        <f t="array" ref="D206">IFERROR(INDEX('TRIP MANAGER'!$P$18:$P$25,$A206),"")</f>
        <v>15.034000000000001</v>
      </c>
      <c r="E206" cm="1">
        <f t="array" ref="E206">IFERROR(INDEX('TRIP MANAGER'!$Q$18:$Q$25,$A206),"")</f>
        <v>30.111529999999998</v>
      </c>
      <c r="F206" cm="1">
        <f t="array" ref="F206">IFERROR(INDEX('TRIP MANAGER'!$R$18:$R$25,$A206),"")</f>
        <v>31.39669</v>
      </c>
      <c r="G206" cm="1">
        <f t="array" ref="G206">IFERROR(INDEX('TRIP MANAGER'!$S$18:$S$25,$A206),"")</f>
        <v>0.41049814416825092</v>
      </c>
      <c r="H206">
        <f t="shared" si="35"/>
        <v>0.35333333333333333</v>
      </c>
      <c r="I206">
        <f t="shared" si="36"/>
        <v>0.6574068408073851</v>
      </c>
      <c r="J206">
        <f t="shared" si="37"/>
        <v>0.36218221983380355</v>
      </c>
      <c r="K206">
        <f t="shared" si="38"/>
        <v>0.88815317456682608</v>
      </c>
      <c r="L206">
        <f t="shared" si="39"/>
        <v>0.32993655140885003</v>
      </c>
      <c r="M206">
        <f t="shared" si="40"/>
        <v>0.31988405798242692</v>
      </c>
      <c r="N206">
        <f t="shared" si="41"/>
        <v>18.655913350209357</v>
      </c>
      <c r="O206">
        <f t="shared" si="42"/>
        <v>20.379331267889796</v>
      </c>
      <c r="P206" t="str" cm="1">
        <f t="array" ref="P206">IF($N206="","",IFERROR(IF(INDEX(geo_grid!$B$2:$JU$231,INT(($N206+40)/0.5)+1,INT(($O206+30)/0.5)+1)="","",INDEX(geo_grid!$B$2:$JU$231,INT(($N206+40)/0.5)+1,INT(($O206+30)/0.5)+1)),"OUTSIDE GRID"))</f>
        <v>TCD</v>
      </c>
      <c r="Q206">
        <f t="shared" si="43"/>
        <v>2053</v>
      </c>
    </row>
    <row r="207" spans="1:17" x14ac:dyDescent="0.3">
      <c r="A207">
        <f t="shared" si="33"/>
        <v>2</v>
      </c>
      <c r="B207">
        <f t="shared" si="34"/>
        <v>54</v>
      </c>
      <c r="C207" cm="1">
        <f t="array" ref="C207">IFERROR(INDEX('TRIP MANAGER'!$O$18:$O$25,$A207),"")</f>
        <v>12.133699999999999</v>
      </c>
      <c r="D207" cm="1">
        <f t="array" ref="D207">IFERROR(INDEX('TRIP MANAGER'!$P$18:$P$25,$A207),"")</f>
        <v>15.034000000000001</v>
      </c>
      <c r="E207" cm="1">
        <f t="array" ref="E207">IFERROR(INDEX('TRIP MANAGER'!$Q$18:$Q$25,$A207),"")</f>
        <v>30.111529999999998</v>
      </c>
      <c r="F207" cm="1">
        <f t="array" ref="F207">IFERROR(INDEX('TRIP MANAGER'!$R$18:$R$25,$A207),"")</f>
        <v>31.39669</v>
      </c>
      <c r="G207" cm="1">
        <f t="array" ref="G207">IFERROR(INDEX('TRIP MANAGER'!$S$18:$S$25,$A207),"")</f>
        <v>0.41049814416825092</v>
      </c>
      <c r="H207">
        <f t="shared" si="35"/>
        <v>0.36</v>
      </c>
      <c r="I207">
        <f t="shared" si="36"/>
        <v>0.65078694333823395</v>
      </c>
      <c r="J207">
        <f t="shared" si="37"/>
        <v>0.36896649403881437</v>
      </c>
      <c r="K207">
        <f t="shared" si="38"/>
        <v>0.88691213456836371</v>
      </c>
      <c r="L207">
        <f t="shared" si="39"/>
        <v>0.33131514370688087</v>
      </c>
      <c r="M207">
        <f t="shared" si="40"/>
        <v>0.32189616509967534</v>
      </c>
      <c r="N207">
        <f t="shared" si="41"/>
        <v>18.777635739307438</v>
      </c>
      <c r="O207">
        <f t="shared" si="42"/>
        <v>20.483691024237832</v>
      </c>
      <c r="P207" t="str" cm="1">
        <f t="array" ref="P207">IF($N207="","",IFERROR(IF(INDEX(geo_grid!$B$2:$JU$231,INT(($N207+40)/0.5)+1,INT(($O207+30)/0.5)+1)="","",INDEX(geo_grid!$B$2:$JU$231,INT(($N207+40)/0.5)+1,INT(($O207+30)/0.5)+1)),"OUTSIDE GRID"))</f>
        <v>TCD</v>
      </c>
      <c r="Q207">
        <f t="shared" si="43"/>
        <v>2054</v>
      </c>
    </row>
    <row r="208" spans="1:17" x14ac:dyDescent="0.3">
      <c r="A208">
        <f t="shared" si="33"/>
        <v>2</v>
      </c>
      <c r="B208">
        <f t="shared" si="34"/>
        <v>55</v>
      </c>
      <c r="C208" cm="1">
        <f t="array" ref="C208">IFERROR(INDEX('TRIP MANAGER'!$O$18:$O$25,$A208),"")</f>
        <v>12.133699999999999</v>
      </c>
      <c r="D208" cm="1">
        <f t="array" ref="D208">IFERROR(INDEX('TRIP MANAGER'!$P$18:$P$25,$A208),"")</f>
        <v>15.034000000000001</v>
      </c>
      <c r="E208" cm="1">
        <f t="array" ref="E208">IFERROR(INDEX('TRIP MANAGER'!$Q$18:$Q$25,$A208),"")</f>
        <v>30.111529999999998</v>
      </c>
      <c r="F208" cm="1">
        <f t="array" ref="F208">IFERROR(INDEX('TRIP MANAGER'!$R$18:$R$25,$A208),"")</f>
        <v>31.39669</v>
      </c>
      <c r="G208" cm="1">
        <f t="array" ref="G208">IFERROR(INDEX('TRIP MANAGER'!$S$18:$S$25,$A208),"")</f>
        <v>0.41049814416825092</v>
      </c>
      <c r="H208">
        <f t="shared" si="35"/>
        <v>0.36666666666666664</v>
      </c>
      <c r="I208">
        <f t="shared" si="36"/>
        <v>0.64416217194861558</v>
      </c>
      <c r="J208">
        <f t="shared" si="37"/>
        <v>0.37574800495337285</v>
      </c>
      <c r="K208">
        <f t="shared" si="38"/>
        <v>0.88566445224363832</v>
      </c>
      <c r="L208">
        <f t="shared" si="39"/>
        <v>0.33269125469566513</v>
      </c>
      <c r="M208">
        <f t="shared" si="40"/>
        <v>0.32390586144897043</v>
      </c>
      <c r="N208">
        <f t="shared" si="41"/>
        <v>18.899300114347987</v>
      </c>
      <c r="O208">
        <f t="shared" si="42"/>
        <v>20.588201611566191</v>
      </c>
      <c r="P208" t="str" cm="1">
        <f t="array" ref="P208">IF($N208="","",IFERROR(IF(INDEX(geo_grid!$B$2:$JU$231,INT(($N208+40)/0.5)+1,INT(($O208+30)/0.5)+1)="","",INDEX(geo_grid!$B$2:$JU$231,INT(($N208+40)/0.5)+1,INT(($O208+30)/0.5)+1)),"OUTSIDE GRID"))</f>
        <v>TCD</v>
      </c>
      <c r="Q208">
        <f t="shared" si="43"/>
        <v>2055</v>
      </c>
    </row>
    <row r="209" spans="1:17" x14ac:dyDescent="0.3">
      <c r="A209">
        <f t="shared" si="33"/>
        <v>2</v>
      </c>
      <c r="B209">
        <f t="shared" si="34"/>
        <v>56</v>
      </c>
      <c r="C209" cm="1">
        <f t="array" ref="C209">IFERROR(INDEX('TRIP MANAGER'!$O$18:$O$25,$A209),"")</f>
        <v>12.133699999999999</v>
      </c>
      <c r="D209" cm="1">
        <f t="array" ref="D209">IFERROR(INDEX('TRIP MANAGER'!$P$18:$P$25,$A209),"")</f>
        <v>15.034000000000001</v>
      </c>
      <c r="E209" cm="1">
        <f t="array" ref="E209">IFERROR(INDEX('TRIP MANAGER'!$Q$18:$Q$25,$A209),"")</f>
        <v>30.111529999999998</v>
      </c>
      <c r="F209" cm="1">
        <f t="array" ref="F209">IFERROR(INDEX('TRIP MANAGER'!$R$18:$R$25,$A209),"")</f>
        <v>31.39669</v>
      </c>
      <c r="G209" cm="1">
        <f t="array" ref="G209">IFERROR(INDEX('TRIP MANAGER'!$S$18:$S$25,$A209),"")</f>
        <v>0.41049814416825092</v>
      </c>
      <c r="H209">
        <f t="shared" si="35"/>
        <v>0.37333333333333335</v>
      </c>
      <c r="I209">
        <f t="shared" si="36"/>
        <v>0.63753257625324522</v>
      </c>
      <c r="J209">
        <f t="shared" si="37"/>
        <v>0.38252670178889869</v>
      </c>
      <c r="K209">
        <f t="shared" si="38"/>
        <v>0.88441013693688242</v>
      </c>
      <c r="L209">
        <f t="shared" si="39"/>
        <v>0.33406487406913332</v>
      </c>
      <c r="M209">
        <f t="shared" si="40"/>
        <v>0.32591313197914951</v>
      </c>
      <c r="N209">
        <f t="shared" si="41"/>
        <v>19.020905986117679</v>
      </c>
      <c r="O209">
        <f t="shared" si="42"/>
        <v>20.692864228965593</v>
      </c>
      <c r="P209" t="str" cm="1">
        <f t="array" ref="P209">IF($N209="","",IFERROR(IF(INDEX(geo_grid!$B$2:$JU$231,INT(($N209+40)/0.5)+1,INT(($O209+30)/0.5)+1)="","",INDEX(geo_grid!$B$2:$JU$231,INT(($N209+40)/0.5)+1,INT(($O209+30)/0.5)+1)),"OUTSIDE GRID"))</f>
        <v>TCD</v>
      </c>
      <c r="Q209">
        <f t="shared" si="43"/>
        <v>2056</v>
      </c>
    </row>
    <row r="210" spans="1:17" x14ac:dyDescent="0.3">
      <c r="A210">
        <f t="shared" si="33"/>
        <v>2</v>
      </c>
      <c r="B210">
        <f t="shared" si="34"/>
        <v>57</v>
      </c>
      <c r="C210" cm="1">
        <f t="array" ref="C210">IFERROR(INDEX('TRIP MANAGER'!$O$18:$O$25,$A210),"")</f>
        <v>12.133699999999999</v>
      </c>
      <c r="D210" cm="1">
        <f t="array" ref="D210">IFERROR(INDEX('TRIP MANAGER'!$P$18:$P$25,$A210),"")</f>
        <v>15.034000000000001</v>
      </c>
      <c r="E210" cm="1">
        <f t="array" ref="E210">IFERROR(INDEX('TRIP MANAGER'!$Q$18:$Q$25,$A210),"")</f>
        <v>30.111529999999998</v>
      </c>
      <c r="F210" cm="1">
        <f t="array" ref="F210">IFERROR(INDEX('TRIP MANAGER'!$R$18:$R$25,$A210),"")</f>
        <v>31.39669</v>
      </c>
      <c r="G210" cm="1">
        <f t="array" ref="G210">IFERROR(INDEX('TRIP MANAGER'!$S$18:$S$25,$A210),"")</f>
        <v>0.41049814416825092</v>
      </c>
      <c r="H210">
        <f t="shared" si="35"/>
        <v>0.38</v>
      </c>
      <c r="I210">
        <f t="shared" si="36"/>
        <v>0.63089820590296841</v>
      </c>
      <c r="J210">
        <f t="shared" si="37"/>
        <v>0.38930253377788732</v>
      </c>
      <c r="K210">
        <f t="shared" si="38"/>
        <v>0.88314919804200454</v>
      </c>
      <c r="L210">
        <f t="shared" si="39"/>
        <v>0.33543599153987613</v>
      </c>
      <c r="M210">
        <f t="shared" si="40"/>
        <v>0.32791796165721754</v>
      </c>
      <c r="N210">
        <f t="shared" si="41"/>
        <v>19.142452863158841</v>
      </c>
      <c r="O210">
        <f t="shared" si="42"/>
        <v>20.797680079520443</v>
      </c>
      <c r="P210" t="str" cm="1">
        <f t="array" ref="P210">IF($N210="","",IFERROR(IF(INDEX(geo_grid!$B$2:$JU$231,INT(($N210+40)/0.5)+1,INT(($O210+30)/0.5)+1)="","",INDEX(geo_grid!$B$2:$JU$231,INT(($N210+40)/0.5)+1,INT(($O210+30)/0.5)+1)),"OUTSIDE GRID"))</f>
        <v>TCD</v>
      </c>
      <c r="Q210">
        <f t="shared" si="43"/>
        <v>2057</v>
      </c>
    </row>
    <row r="211" spans="1:17" x14ac:dyDescent="0.3">
      <c r="A211">
        <f t="shared" si="33"/>
        <v>2</v>
      </c>
      <c r="B211">
        <f t="shared" si="34"/>
        <v>58</v>
      </c>
      <c r="C211" cm="1">
        <f t="array" ref="C211">IFERROR(INDEX('TRIP MANAGER'!$O$18:$O$25,$A211),"")</f>
        <v>12.133699999999999</v>
      </c>
      <c r="D211" cm="1">
        <f t="array" ref="D211">IFERROR(INDEX('TRIP MANAGER'!$P$18:$P$25,$A211),"")</f>
        <v>15.034000000000001</v>
      </c>
      <c r="E211" cm="1">
        <f t="array" ref="E211">IFERROR(INDEX('TRIP MANAGER'!$Q$18:$Q$25,$A211),"")</f>
        <v>30.111529999999998</v>
      </c>
      <c r="F211" cm="1">
        <f t="array" ref="F211">IFERROR(INDEX('TRIP MANAGER'!$R$18:$R$25,$A211),"")</f>
        <v>31.39669</v>
      </c>
      <c r="G211" cm="1">
        <f t="array" ref="G211">IFERROR(INDEX('TRIP MANAGER'!$S$18:$S$25,$A211),"")</f>
        <v>0.41049814416825092</v>
      </c>
      <c r="H211">
        <f t="shared" si="35"/>
        <v>0.38666666666666666</v>
      </c>
      <c r="I211">
        <f t="shared" si="36"/>
        <v>0.62425911058438976</v>
      </c>
      <c r="J211">
        <f t="shared" si="37"/>
        <v>0.39607545017428936</v>
      </c>
      <c r="K211">
        <f t="shared" si="38"/>
        <v>0.88188164500251853</v>
      </c>
      <c r="L211">
        <f t="shared" si="39"/>
        <v>0.33680459683922187</v>
      </c>
      <c r="M211">
        <f t="shared" si="40"/>
        <v>0.32992033546845945</v>
      </c>
      <c r="N211">
        <f t="shared" si="41"/>
        <v>19.263940251748998</v>
      </c>
      <c r="O211">
        <f t="shared" si="42"/>
        <v>20.902650370335152</v>
      </c>
      <c r="P211" t="str" cm="1">
        <f t="array" ref="P211">IF($N211="","",IFERROR(IF(INDEX(geo_grid!$B$2:$JU$231,INT(($N211+40)/0.5)+1,INT(($O211+30)/0.5)+1)="","",INDEX(geo_grid!$B$2:$JU$231,INT(($N211+40)/0.5)+1,INT(($O211+30)/0.5)+1)),"OUTSIDE GRID"))</f>
        <v>TCD</v>
      </c>
      <c r="Q211">
        <f t="shared" si="43"/>
        <v>2058</v>
      </c>
    </row>
    <row r="212" spans="1:17" x14ac:dyDescent="0.3">
      <c r="A212">
        <f t="shared" si="33"/>
        <v>2</v>
      </c>
      <c r="B212">
        <f t="shared" si="34"/>
        <v>59</v>
      </c>
      <c r="C212" cm="1">
        <f t="array" ref="C212">IFERROR(INDEX('TRIP MANAGER'!$O$18:$O$25,$A212),"")</f>
        <v>12.133699999999999</v>
      </c>
      <c r="D212" cm="1">
        <f t="array" ref="D212">IFERROR(INDEX('TRIP MANAGER'!$P$18:$P$25,$A212),"")</f>
        <v>15.034000000000001</v>
      </c>
      <c r="E212" cm="1">
        <f t="array" ref="E212">IFERROR(INDEX('TRIP MANAGER'!$Q$18:$Q$25,$A212),"")</f>
        <v>30.111529999999998</v>
      </c>
      <c r="F212" cm="1">
        <f t="array" ref="F212">IFERROR(INDEX('TRIP MANAGER'!$R$18:$R$25,$A212),"")</f>
        <v>31.39669</v>
      </c>
      <c r="G212" cm="1">
        <f t="array" ref="G212">IFERROR(INDEX('TRIP MANAGER'!$S$18:$S$25,$A212),"")</f>
        <v>0.41049814416825092</v>
      </c>
      <c r="H212">
        <f t="shared" si="35"/>
        <v>0.39333333333333331</v>
      </c>
      <c r="I212">
        <f t="shared" si="36"/>
        <v>0.61761534001950025</v>
      </c>
      <c r="J212">
        <f t="shared" si="37"/>
        <v>0.40284540025389143</v>
      </c>
      <c r="K212">
        <f t="shared" si="38"/>
        <v>0.88060748731147465</v>
      </c>
      <c r="L212">
        <f t="shared" si="39"/>
        <v>0.33817067971731307</v>
      </c>
      <c r="M212">
        <f t="shared" si="40"/>
        <v>0.33192023841655327</v>
      </c>
      <c r="N212">
        <f t="shared" si="41"/>
        <v>19.385367655880362</v>
      </c>
      <c r="O212">
        <f t="shared" si="42"/>
        <v>21.007776312560246</v>
      </c>
      <c r="P212" t="str" cm="1">
        <f t="array" ref="P212">IF($N212="","",IFERROR(IF(INDEX(geo_grid!$B$2:$JU$231,INT(($N212+40)/0.5)+1,INT(($O212+30)/0.5)+1)="","",INDEX(geo_grid!$B$2:$JU$231,INT(($N212+40)/0.5)+1,INT(($O212+30)/0.5)+1)),"OUTSIDE GRID"))</f>
        <v>TCD</v>
      </c>
      <c r="Q212">
        <f t="shared" si="43"/>
        <v>2059</v>
      </c>
    </row>
    <row r="213" spans="1:17" x14ac:dyDescent="0.3">
      <c r="A213">
        <f t="shared" si="33"/>
        <v>2</v>
      </c>
      <c r="B213">
        <f t="shared" si="34"/>
        <v>60</v>
      </c>
      <c r="C213" cm="1">
        <f t="array" ref="C213">IFERROR(INDEX('TRIP MANAGER'!$O$18:$O$25,$A213),"")</f>
        <v>12.133699999999999</v>
      </c>
      <c r="D213" cm="1">
        <f t="array" ref="D213">IFERROR(INDEX('TRIP MANAGER'!$P$18:$P$25,$A213),"")</f>
        <v>15.034000000000001</v>
      </c>
      <c r="E213" cm="1">
        <f t="array" ref="E213">IFERROR(INDEX('TRIP MANAGER'!$Q$18:$Q$25,$A213),"")</f>
        <v>30.111529999999998</v>
      </c>
      <c r="F213" cm="1">
        <f t="array" ref="F213">IFERROR(INDEX('TRIP MANAGER'!$R$18:$R$25,$A213),"")</f>
        <v>31.39669</v>
      </c>
      <c r="G213" cm="1">
        <f t="array" ref="G213">IFERROR(INDEX('TRIP MANAGER'!$S$18:$S$25,$A213),"")</f>
        <v>0.41049814416825092</v>
      </c>
      <c r="H213">
        <f t="shared" si="35"/>
        <v>0.4</v>
      </c>
      <c r="I213">
        <f t="shared" si="36"/>
        <v>0.61096694396530493</v>
      </c>
      <c r="J213">
        <f t="shared" si="37"/>
        <v>0.4096123333146956</v>
      </c>
      <c r="K213">
        <f t="shared" si="38"/>
        <v>0.87932673451138599</v>
      </c>
      <c r="L213">
        <f t="shared" si="39"/>
        <v>0.33953422994318344</v>
      </c>
      <c r="M213">
        <f t="shared" si="40"/>
        <v>0.33391765552368147</v>
      </c>
      <c r="N213">
        <f t="shared" si="41"/>
        <v>19.506734577239161</v>
      </c>
      <c r="O213">
        <f t="shared" si="42"/>
        <v>21.11305912141858</v>
      </c>
      <c r="P213" t="str" cm="1">
        <f t="array" ref="P213">IF($N213="","",IFERROR(IF(INDEX(geo_grid!$B$2:$JU$231,INT(($N213+40)/0.5)+1,INT(($O213+30)/0.5)+1)="","",INDEX(geo_grid!$B$2:$JU$231,INT(($N213+40)/0.5)+1,INT(($O213+30)/0.5)+1)),"OUTSIDE GRID"))</f>
        <v>TCD</v>
      </c>
      <c r="Q213">
        <f t="shared" si="43"/>
        <v>2060</v>
      </c>
    </row>
    <row r="214" spans="1:17" x14ac:dyDescent="0.3">
      <c r="A214">
        <f t="shared" si="33"/>
        <v>2</v>
      </c>
      <c r="B214">
        <f t="shared" si="34"/>
        <v>61</v>
      </c>
      <c r="C214" cm="1">
        <f t="array" ref="C214">IFERROR(INDEX('TRIP MANAGER'!$O$18:$O$25,$A214),"")</f>
        <v>12.133699999999999</v>
      </c>
      <c r="D214" cm="1">
        <f t="array" ref="D214">IFERROR(INDEX('TRIP MANAGER'!$P$18:$P$25,$A214),"")</f>
        <v>15.034000000000001</v>
      </c>
      <c r="E214" cm="1">
        <f t="array" ref="E214">IFERROR(INDEX('TRIP MANAGER'!$Q$18:$Q$25,$A214),"")</f>
        <v>30.111529999999998</v>
      </c>
      <c r="F214" cm="1">
        <f t="array" ref="F214">IFERROR(INDEX('TRIP MANAGER'!$R$18:$R$25,$A214),"")</f>
        <v>31.39669</v>
      </c>
      <c r="G214" cm="1">
        <f t="array" ref="G214">IFERROR(INDEX('TRIP MANAGER'!$S$18:$S$25,$A214),"")</f>
        <v>0.41049814416825092</v>
      </c>
      <c r="H214">
        <f t="shared" si="35"/>
        <v>0.40666666666666668</v>
      </c>
      <c r="I214">
        <f t="shared" si="36"/>
        <v>0.60431397221345073</v>
      </c>
      <c r="J214">
        <f t="shared" si="37"/>
        <v>0.4163761986772993</v>
      </c>
      <c r="K214">
        <f t="shared" si="38"/>
        <v>0.87803939619415883</v>
      </c>
      <c r="L214">
        <f t="shared" si="39"/>
        <v>0.3408952373048344</v>
      </c>
      <c r="M214">
        <f t="shared" si="40"/>
        <v>0.33591257183064416</v>
      </c>
      <c r="N214">
        <f t="shared" si="41"/>
        <v>19.628040515184892</v>
      </c>
      <c r="O214">
        <f t="shared" si="42"/>
        <v>21.2185000162313</v>
      </c>
      <c r="P214" t="str" cm="1">
        <f t="array" ref="P214">IF($N214="","",IFERROR(IF(INDEX(geo_grid!$B$2:$JU$231,INT(($N214+40)/0.5)+1,INT(($O214+30)/0.5)+1)="","",INDEX(geo_grid!$B$2:$JU$231,INT(($N214+40)/0.5)+1,INT(($O214+30)/0.5)+1)),"OUTSIDE GRID"))</f>
        <v>TCD</v>
      </c>
      <c r="Q214">
        <f t="shared" si="43"/>
        <v>2061</v>
      </c>
    </row>
    <row r="215" spans="1:17" x14ac:dyDescent="0.3">
      <c r="A215">
        <f t="shared" si="33"/>
        <v>2</v>
      </c>
      <c r="B215">
        <f t="shared" si="34"/>
        <v>62</v>
      </c>
      <c r="C215" cm="1">
        <f t="array" ref="C215">IFERROR(INDEX('TRIP MANAGER'!$O$18:$O$25,$A215),"")</f>
        <v>12.133699999999999</v>
      </c>
      <c r="D215" cm="1">
        <f t="array" ref="D215">IFERROR(INDEX('TRIP MANAGER'!$P$18:$P$25,$A215),"")</f>
        <v>15.034000000000001</v>
      </c>
      <c r="E215" cm="1">
        <f t="array" ref="E215">IFERROR(INDEX('TRIP MANAGER'!$Q$18:$Q$25,$A215),"")</f>
        <v>30.111529999999998</v>
      </c>
      <c r="F215" cm="1">
        <f t="array" ref="F215">IFERROR(INDEX('TRIP MANAGER'!$R$18:$R$25,$A215),"")</f>
        <v>31.39669</v>
      </c>
      <c r="G215" cm="1">
        <f t="array" ref="G215">IFERROR(INDEX('TRIP MANAGER'!$S$18:$S$25,$A215),"")</f>
        <v>0.41049814416825092</v>
      </c>
      <c r="H215">
        <f t="shared" si="35"/>
        <v>0.41333333333333333</v>
      </c>
      <c r="I215">
        <f t="shared" si="36"/>
        <v>0.59765647458985305</v>
      </c>
      <c r="J215">
        <f t="shared" si="37"/>
        <v>0.42313694568527449</v>
      </c>
      <c r="K215">
        <f t="shared" si="38"/>
        <v>0.87674548200102009</v>
      </c>
      <c r="L215">
        <f t="shared" si="39"/>
        <v>0.34225369160931152</v>
      </c>
      <c r="M215">
        <f t="shared" si="40"/>
        <v>0.33790497239697026</v>
      </c>
      <c r="N215">
        <f t="shared" si="41"/>
        <v>19.749284966729402</v>
      </c>
      <c r="O215">
        <f t="shared" si="42"/>
        <v>21.324100220443828</v>
      </c>
      <c r="P215" t="str" cm="1">
        <f t="array" ref="P215">IF($N215="","",IFERROR(IF(INDEX(geo_grid!$B$2:$JU$231,INT(($N215+40)/0.5)+1,INT(($O215+30)/0.5)+1)="","",INDEX(geo_grid!$B$2:$JU$231,INT(($N215+40)/0.5)+1,INT(($O215+30)/0.5)+1)),"OUTSIDE GRID"))</f>
        <v>TCD</v>
      </c>
      <c r="Q215">
        <f t="shared" si="43"/>
        <v>2062</v>
      </c>
    </row>
    <row r="216" spans="1:17" x14ac:dyDescent="0.3">
      <c r="A216">
        <f t="shared" si="33"/>
        <v>2</v>
      </c>
      <c r="B216">
        <f t="shared" si="34"/>
        <v>63</v>
      </c>
      <c r="C216" cm="1">
        <f t="array" ref="C216">IFERROR(INDEX('TRIP MANAGER'!$O$18:$O$25,$A216),"")</f>
        <v>12.133699999999999</v>
      </c>
      <c r="D216" cm="1">
        <f t="array" ref="D216">IFERROR(INDEX('TRIP MANAGER'!$P$18:$P$25,$A216),"")</f>
        <v>15.034000000000001</v>
      </c>
      <c r="E216" cm="1">
        <f t="array" ref="E216">IFERROR(INDEX('TRIP MANAGER'!$Q$18:$Q$25,$A216),"")</f>
        <v>30.111529999999998</v>
      </c>
      <c r="F216" cm="1">
        <f t="array" ref="F216">IFERROR(INDEX('TRIP MANAGER'!$R$18:$R$25,$A216),"")</f>
        <v>31.39669</v>
      </c>
      <c r="G216" cm="1">
        <f t="array" ref="G216">IFERROR(INDEX('TRIP MANAGER'!$S$18:$S$25,$A216),"")</f>
        <v>0.41049814416825092</v>
      </c>
      <c r="H216">
        <f t="shared" si="35"/>
        <v>0.42</v>
      </c>
      <c r="I216">
        <f t="shared" si="36"/>
        <v>0.59099450095432282</v>
      </c>
      <c r="J216">
        <f t="shared" si="37"/>
        <v>0.4298945237055477</v>
      </c>
      <c r="K216">
        <f t="shared" si="38"/>
        <v>0.87544500162244521</v>
      </c>
      <c r="L216">
        <f t="shared" si="39"/>
        <v>0.34360958268278091</v>
      </c>
      <c r="M216">
        <f t="shared" si="40"/>
        <v>0.33989484230102995</v>
      </c>
      <c r="N216">
        <f t="shared" si="41"/>
        <v>19.87046742651593</v>
      </c>
      <c r="O216">
        <f t="shared" si="42"/>
        <v>21.429860961651716</v>
      </c>
      <c r="P216" t="str" cm="1">
        <f t="array" ref="P216">IF($N216="","",IFERROR(IF(INDEX(geo_grid!$B$2:$JU$231,INT(($N216+40)/0.5)+1,INT(($O216+30)/0.5)+1)="","",INDEX(geo_grid!$B$2:$JU$231,INT(($N216+40)/0.5)+1,INT(($O216+30)/0.5)+1)),"OUTSIDE GRID"))</f>
        <v>TCD</v>
      </c>
      <c r="Q216">
        <f t="shared" si="43"/>
        <v>2063</v>
      </c>
    </row>
    <row r="217" spans="1:17" x14ac:dyDescent="0.3">
      <c r="A217">
        <f t="shared" si="33"/>
        <v>2</v>
      </c>
      <c r="B217">
        <f t="shared" si="34"/>
        <v>64</v>
      </c>
      <c r="C217" cm="1">
        <f t="array" ref="C217">IFERROR(INDEX('TRIP MANAGER'!$O$18:$O$25,$A217),"")</f>
        <v>12.133699999999999</v>
      </c>
      <c r="D217" cm="1">
        <f t="array" ref="D217">IFERROR(INDEX('TRIP MANAGER'!$P$18:$P$25,$A217),"")</f>
        <v>15.034000000000001</v>
      </c>
      <c r="E217" cm="1">
        <f t="array" ref="E217">IFERROR(INDEX('TRIP MANAGER'!$Q$18:$Q$25,$A217),"")</f>
        <v>30.111529999999998</v>
      </c>
      <c r="F217" cm="1">
        <f t="array" ref="F217">IFERROR(INDEX('TRIP MANAGER'!$R$18:$R$25,$A217),"")</f>
        <v>31.39669</v>
      </c>
      <c r="G217" cm="1">
        <f t="array" ref="G217">IFERROR(INDEX('TRIP MANAGER'!$S$18:$S$25,$A217),"")</f>
        <v>0.41049814416825092</v>
      </c>
      <c r="H217">
        <f t="shared" si="35"/>
        <v>0.42666666666666669</v>
      </c>
      <c r="I217">
        <f t="shared" si="36"/>
        <v>0.58432810120019285</v>
      </c>
      <c r="J217">
        <f t="shared" si="37"/>
        <v>0.43664888212877867</v>
      </c>
      <c r="K217">
        <f t="shared" si="38"/>
        <v>0.87413796479808548</v>
      </c>
      <c r="L217">
        <f t="shared" si="39"/>
        <v>0.34496290037060545</v>
      </c>
      <c r="M217">
        <f t="shared" si="40"/>
        <v>0.34188216664014609</v>
      </c>
      <c r="N217">
        <f t="shared" si="41"/>
        <v>19.991587386797971</v>
      </c>
      <c r="O217">
        <f t="shared" si="42"/>
        <v>21.535783471626413</v>
      </c>
      <c r="P217" t="str" cm="1">
        <f t="array" ref="P217">IF($N217="","",IFERROR(IF(INDEX(geo_grid!$B$2:$JU$231,INT(($N217+40)/0.5)+1,INT(($O217+30)/0.5)+1)="","",INDEX(geo_grid!$B$2:$JU$231,INT(($N217+40)/0.5)+1,INT(($O217+30)/0.5)+1)),"OUTSIDE GRID"))</f>
        <v>TCD</v>
      </c>
      <c r="Q217">
        <f t="shared" si="43"/>
        <v>2064</v>
      </c>
    </row>
    <row r="218" spans="1:17" x14ac:dyDescent="0.3">
      <c r="A218">
        <f t="shared" si="33"/>
        <v>2</v>
      </c>
      <c r="B218">
        <f t="shared" si="34"/>
        <v>65</v>
      </c>
      <c r="C218" cm="1">
        <f t="array" ref="C218">IFERROR(INDEX('TRIP MANAGER'!$O$18:$O$25,$A218),"")</f>
        <v>12.133699999999999</v>
      </c>
      <c r="D218" cm="1">
        <f t="array" ref="D218">IFERROR(INDEX('TRIP MANAGER'!$P$18:$P$25,$A218),"")</f>
        <v>15.034000000000001</v>
      </c>
      <c r="E218" cm="1">
        <f t="array" ref="E218">IFERROR(INDEX('TRIP MANAGER'!$Q$18:$Q$25,$A218),"")</f>
        <v>30.111529999999998</v>
      </c>
      <c r="F218" cm="1">
        <f t="array" ref="F218">IFERROR(INDEX('TRIP MANAGER'!$R$18:$R$25,$A218),"")</f>
        <v>31.39669</v>
      </c>
      <c r="G218" cm="1">
        <f t="array" ref="G218">IFERROR(INDEX('TRIP MANAGER'!$S$18:$S$25,$A218),"")</f>
        <v>0.41049814416825092</v>
      </c>
      <c r="H218">
        <f t="shared" si="35"/>
        <v>0.43333333333333335</v>
      </c>
      <c r="I218">
        <f t="shared" si="36"/>
        <v>0.57765732525394475</v>
      </c>
      <c r="J218">
        <f t="shared" si="37"/>
        <v>0.44339997036973966</v>
      </c>
      <c r="K218">
        <f t="shared" si="38"/>
        <v>0.87282438131669537</v>
      </c>
      <c r="L218">
        <f t="shared" si="39"/>
        <v>0.34631363453742092</v>
      </c>
      <c r="M218">
        <f t="shared" si="40"/>
        <v>0.34386693053070616</v>
      </c>
      <c r="N218">
        <f t="shared" si="41"/>
        <v>20.112644337418043</v>
      </c>
      <c r="O218">
        <f t="shared" si="42"/>
        <v>21.64186898634096</v>
      </c>
      <c r="P218" t="str" cm="1">
        <f t="array" ref="P218">IF($N218="","",IFERROR(IF(INDEX(geo_grid!$B$2:$JU$231,INT(($N218+40)/0.5)+1,INT(($O218+30)/0.5)+1)="","",INDEX(geo_grid!$B$2:$JU$231,INT(($N218+40)/0.5)+1,INT(($O218+30)/0.5)+1)),"OUTSIDE GRID"))</f>
        <v>TCD</v>
      </c>
      <c r="Q218">
        <f t="shared" si="43"/>
        <v>2065</v>
      </c>
    </row>
    <row r="219" spans="1:17" x14ac:dyDescent="0.3">
      <c r="A219">
        <f t="shared" si="33"/>
        <v>2</v>
      </c>
      <c r="B219">
        <f t="shared" si="34"/>
        <v>66</v>
      </c>
      <c r="C219" cm="1">
        <f t="array" ref="C219">IFERROR(INDEX('TRIP MANAGER'!$O$18:$O$25,$A219),"")</f>
        <v>12.133699999999999</v>
      </c>
      <c r="D219" cm="1">
        <f t="array" ref="D219">IFERROR(INDEX('TRIP MANAGER'!$P$18:$P$25,$A219),"")</f>
        <v>15.034000000000001</v>
      </c>
      <c r="E219" cm="1">
        <f t="array" ref="E219">IFERROR(INDEX('TRIP MANAGER'!$Q$18:$Q$25,$A219),"")</f>
        <v>30.111529999999998</v>
      </c>
      <c r="F219" cm="1">
        <f t="array" ref="F219">IFERROR(INDEX('TRIP MANAGER'!$R$18:$R$25,$A219),"")</f>
        <v>31.39669</v>
      </c>
      <c r="G219" cm="1">
        <f t="array" ref="G219">IFERROR(INDEX('TRIP MANAGER'!$S$18:$S$25,$A219),"")</f>
        <v>0.41049814416825092</v>
      </c>
      <c r="H219">
        <f t="shared" si="35"/>
        <v>0.44</v>
      </c>
      <c r="I219">
        <f t="shared" si="36"/>
        <v>0.57098222307483426</v>
      </c>
      <c r="J219">
        <f t="shared" si="37"/>
        <v>0.45014773786769413</v>
      </c>
      <c r="K219">
        <f t="shared" si="38"/>
        <v>0.87150426101605882</v>
      </c>
      <c r="L219">
        <f t="shared" si="39"/>
        <v>0.34766177506721152</v>
      </c>
      <c r="M219">
        <f t="shared" si="40"/>
        <v>0.34584911910827337</v>
      </c>
      <c r="N219">
        <f t="shared" si="41"/>
        <v>20.233637765786366</v>
      </c>
      <c r="O219">
        <f t="shared" si="42"/>
        <v>21.748118745995534</v>
      </c>
      <c r="P219" t="str" cm="1">
        <f t="array" ref="P219">IF($N219="","",IFERROR(IF(INDEX(geo_grid!$B$2:$JU$231,INT(($N219+40)/0.5)+1,INT(($O219+30)/0.5)+1)="","",INDEX(geo_grid!$B$2:$JU$231,INT(($N219+40)/0.5)+1,INT(($O219+30)/0.5)+1)),"OUTSIDE GRID"))</f>
        <v>TCD</v>
      </c>
      <c r="Q219">
        <f t="shared" si="43"/>
        <v>2066</v>
      </c>
    </row>
    <row r="220" spans="1:17" x14ac:dyDescent="0.3">
      <c r="A220">
        <f t="shared" si="33"/>
        <v>2</v>
      </c>
      <c r="B220">
        <f t="shared" si="34"/>
        <v>67</v>
      </c>
      <c r="C220" cm="1">
        <f t="array" ref="C220">IFERROR(INDEX('TRIP MANAGER'!$O$18:$O$25,$A220),"")</f>
        <v>12.133699999999999</v>
      </c>
      <c r="D220" cm="1">
        <f t="array" ref="D220">IFERROR(INDEX('TRIP MANAGER'!$P$18:$P$25,$A220),"")</f>
        <v>15.034000000000001</v>
      </c>
      <c r="E220" cm="1">
        <f t="array" ref="E220">IFERROR(INDEX('TRIP MANAGER'!$Q$18:$Q$25,$A220),"")</f>
        <v>30.111529999999998</v>
      </c>
      <c r="F220" cm="1">
        <f t="array" ref="F220">IFERROR(INDEX('TRIP MANAGER'!$R$18:$R$25,$A220),"")</f>
        <v>31.39669</v>
      </c>
      <c r="G220" cm="1">
        <f t="array" ref="G220">IFERROR(INDEX('TRIP MANAGER'!$S$18:$S$25,$A220),"")</f>
        <v>0.41049814416825092</v>
      </c>
      <c r="H220">
        <f t="shared" si="35"/>
        <v>0.44666666666666666</v>
      </c>
      <c r="I220">
        <f t="shared" si="36"/>
        <v>0.56430284465451752</v>
      </c>
      <c r="J220">
        <f t="shared" si="37"/>
        <v>0.45689213408677554</v>
      </c>
      <c r="K220">
        <f t="shared" si="38"/>
        <v>0.87017761378291603</v>
      </c>
      <c r="L220">
        <f t="shared" si="39"/>
        <v>0.34900731186338613</v>
      </c>
      <c r="M220">
        <f t="shared" si="40"/>
        <v>0.34782871752769817</v>
      </c>
      <c r="N220">
        <f t="shared" si="41"/>
        <v>20.354567156859343</v>
      </c>
      <c r="O220">
        <f t="shared" si="42"/>
        <v>21.854533995042939</v>
      </c>
      <c r="P220" t="str" cm="1">
        <f t="array" ref="P220">IF($N220="","",IFERROR(IF(INDEX(geo_grid!$B$2:$JU$231,INT(($N220+40)/0.5)+1,INT(($O220+30)/0.5)+1)="","",INDEX(geo_grid!$B$2:$JU$231,INT(($N220+40)/0.5)+1,INT(($O220+30)/0.5)+1)),"OUTSIDE GRID"))</f>
        <v>TCD</v>
      </c>
      <c r="Q220">
        <f t="shared" si="43"/>
        <v>2067</v>
      </c>
    </row>
    <row r="221" spans="1:17" x14ac:dyDescent="0.3">
      <c r="A221">
        <f t="shared" si="33"/>
        <v>2</v>
      </c>
      <c r="B221">
        <f t="shared" si="34"/>
        <v>68</v>
      </c>
      <c r="C221" cm="1">
        <f t="array" ref="C221">IFERROR(INDEX('TRIP MANAGER'!$O$18:$O$25,$A221),"")</f>
        <v>12.133699999999999</v>
      </c>
      <c r="D221" cm="1">
        <f t="array" ref="D221">IFERROR(INDEX('TRIP MANAGER'!$P$18:$P$25,$A221),"")</f>
        <v>15.034000000000001</v>
      </c>
      <c r="E221" cm="1">
        <f t="array" ref="E221">IFERROR(INDEX('TRIP MANAGER'!$Q$18:$Q$25,$A221),"")</f>
        <v>30.111529999999998</v>
      </c>
      <c r="F221" cm="1">
        <f t="array" ref="F221">IFERROR(INDEX('TRIP MANAGER'!$R$18:$R$25,$A221),"")</f>
        <v>31.39669</v>
      </c>
      <c r="G221" cm="1">
        <f t="array" ref="G221">IFERROR(INDEX('TRIP MANAGER'!$S$18:$S$25,$A221),"")</f>
        <v>0.41049814416825092</v>
      </c>
      <c r="H221">
        <f t="shared" si="35"/>
        <v>0.45333333333333331</v>
      </c>
      <c r="I221">
        <f t="shared" si="36"/>
        <v>0.55761924001667673</v>
      </c>
      <c r="J221">
        <f t="shared" si="37"/>
        <v>0.46363310851636574</v>
      </c>
      <c r="K221">
        <f t="shared" si="38"/>
        <v>0.86884444955288886</v>
      </c>
      <c r="L221">
        <f t="shared" si="39"/>
        <v>0.35035023484885364</v>
      </c>
      <c r="M221">
        <f t="shared" si="40"/>
        <v>0.34980571096322949</v>
      </c>
      <c r="N221">
        <f t="shared" si="41"/>
        <v>20.475431993118026</v>
      </c>
      <c r="O221">
        <f t="shared" si="42"/>
        <v>21.961115982213979</v>
      </c>
      <c r="P221" t="str" cm="1">
        <f t="array" ref="P221">IF($N221="","",IFERROR(IF(INDEX(geo_grid!$B$2:$JU$231,INT(($N221+40)/0.5)+1,INT(($O221+30)/0.5)+1)="","",INDEX(geo_grid!$B$2:$JU$231,INT(($N221+40)/0.5)+1,INT(($O221+30)/0.5)+1)),"OUTSIDE GRID"))</f>
        <v>TCD</v>
      </c>
      <c r="Q221">
        <f t="shared" si="43"/>
        <v>2068</v>
      </c>
    </row>
    <row r="222" spans="1:17" x14ac:dyDescent="0.3">
      <c r="A222">
        <f t="shared" si="33"/>
        <v>2</v>
      </c>
      <c r="B222">
        <f t="shared" si="34"/>
        <v>69</v>
      </c>
      <c r="C222" cm="1">
        <f t="array" ref="C222">IFERROR(INDEX('TRIP MANAGER'!$O$18:$O$25,$A222),"")</f>
        <v>12.133699999999999</v>
      </c>
      <c r="D222" cm="1">
        <f t="array" ref="D222">IFERROR(INDEX('TRIP MANAGER'!$P$18:$P$25,$A222),"")</f>
        <v>15.034000000000001</v>
      </c>
      <c r="E222" cm="1">
        <f t="array" ref="E222">IFERROR(INDEX('TRIP MANAGER'!$Q$18:$Q$25,$A222),"")</f>
        <v>30.111529999999998</v>
      </c>
      <c r="F222" cm="1">
        <f t="array" ref="F222">IFERROR(INDEX('TRIP MANAGER'!$R$18:$R$25,$A222),"")</f>
        <v>31.39669</v>
      </c>
      <c r="G222" cm="1">
        <f t="array" ref="G222">IFERROR(INDEX('TRIP MANAGER'!$S$18:$S$25,$A222),"")</f>
        <v>0.41049814416825092</v>
      </c>
      <c r="H222">
        <f t="shared" si="35"/>
        <v>0.46</v>
      </c>
      <c r="I222">
        <f t="shared" si="36"/>
        <v>0.55093145921664555</v>
      </c>
      <c r="J222">
        <f t="shared" si="37"/>
        <v>0.4703706106714734</v>
      </c>
      <c r="K222">
        <f t="shared" si="38"/>
        <v>0.86750477831040718</v>
      </c>
      <c r="L222">
        <f t="shared" si="39"/>
        <v>0.35169053396609851</v>
      </c>
      <c r="M222">
        <f t="shared" si="40"/>
        <v>0.35178008460862564</v>
      </c>
      <c r="N222">
        <f t="shared" si="41"/>
        <v>20.59623175454638</v>
      </c>
      <c r="O222">
        <f t="shared" si="42"/>
        <v>22.067865960542672</v>
      </c>
      <c r="P222" t="str" cm="1">
        <f t="array" ref="P222">IF($N222="","",IFERROR(IF(INDEX(geo_grid!$B$2:$JU$231,INT(($N222+40)/0.5)+1,INT(($O222+30)/0.5)+1)="","",INDEX(geo_grid!$B$2:$JU$231,INT(($N222+40)/0.5)+1,INT(($O222+30)/0.5)+1)),"OUTSIDE GRID"))</f>
        <v>LBY</v>
      </c>
      <c r="Q222">
        <f t="shared" si="43"/>
        <v>2069</v>
      </c>
    </row>
    <row r="223" spans="1:17" x14ac:dyDescent="0.3">
      <c r="A223">
        <f t="shared" si="33"/>
        <v>2</v>
      </c>
      <c r="B223">
        <f t="shared" si="34"/>
        <v>70</v>
      </c>
      <c r="C223" cm="1">
        <f t="array" ref="C223">IFERROR(INDEX('TRIP MANAGER'!$O$18:$O$25,$A223),"")</f>
        <v>12.133699999999999</v>
      </c>
      <c r="D223" cm="1">
        <f t="array" ref="D223">IFERROR(INDEX('TRIP MANAGER'!$P$18:$P$25,$A223),"")</f>
        <v>15.034000000000001</v>
      </c>
      <c r="E223" cm="1">
        <f t="array" ref="E223">IFERROR(INDEX('TRIP MANAGER'!$Q$18:$Q$25,$A223),"")</f>
        <v>30.111529999999998</v>
      </c>
      <c r="F223" cm="1">
        <f t="array" ref="F223">IFERROR(INDEX('TRIP MANAGER'!$R$18:$R$25,$A223),"")</f>
        <v>31.39669</v>
      </c>
      <c r="G223" cm="1">
        <f t="array" ref="G223">IFERROR(INDEX('TRIP MANAGER'!$S$18:$S$25,$A223),"")</f>
        <v>0.41049814416825092</v>
      </c>
      <c r="H223">
        <f t="shared" si="35"/>
        <v>0.46666666666666667</v>
      </c>
      <c r="I223">
        <f t="shared" si="36"/>
        <v>0.54423955234103327</v>
      </c>
      <c r="J223">
        <f t="shared" si="37"/>
        <v>0.47710459009311201</v>
      </c>
      <c r="K223">
        <f t="shared" si="38"/>
        <v>0.86615861008863315</v>
      </c>
      <c r="L223">
        <f t="shared" si="39"/>
        <v>0.35302819917725592</v>
      </c>
      <c r="M223">
        <f t="shared" si="40"/>
        <v>0.35375182367726526</v>
      </c>
      <c r="N223">
        <f t="shared" si="41"/>
        <v>20.716965918609468</v>
      </c>
      <c r="O223">
        <f t="shared" si="42"/>
        <v>22.174785187391439</v>
      </c>
      <c r="P223" t="str" cm="1">
        <f t="array" ref="P223">IF($N223="","",IFERROR(IF(INDEX(geo_grid!$B$2:$JU$231,INT(($N223+40)/0.5)+1,INT(($O223+30)/0.5)+1)="","",INDEX(geo_grid!$B$2:$JU$231,INT(($N223+40)/0.5)+1,INT(($O223+30)/0.5)+1)),"OUTSIDE GRID"))</f>
        <v>LBY</v>
      </c>
      <c r="Q223">
        <f t="shared" si="43"/>
        <v>2070</v>
      </c>
    </row>
    <row r="224" spans="1:17" x14ac:dyDescent="0.3">
      <c r="A224">
        <f t="shared" si="33"/>
        <v>2</v>
      </c>
      <c r="B224">
        <f t="shared" si="34"/>
        <v>71</v>
      </c>
      <c r="C224" cm="1">
        <f t="array" ref="C224">IFERROR(INDEX('TRIP MANAGER'!$O$18:$O$25,$A224),"")</f>
        <v>12.133699999999999</v>
      </c>
      <c r="D224" cm="1">
        <f t="array" ref="D224">IFERROR(INDEX('TRIP MANAGER'!$P$18:$P$25,$A224),"")</f>
        <v>15.034000000000001</v>
      </c>
      <c r="E224" cm="1">
        <f t="array" ref="E224">IFERROR(INDEX('TRIP MANAGER'!$Q$18:$Q$25,$A224),"")</f>
        <v>30.111529999999998</v>
      </c>
      <c r="F224" cm="1">
        <f t="array" ref="F224">IFERROR(INDEX('TRIP MANAGER'!$R$18:$R$25,$A224),"")</f>
        <v>31.39669</v>
      </c>
      <c r="G224" cm="1">
        <f t="array" ref="G224">IFERROR(INDEX('TRIP MANAGER'!$S$18:$S$25,$A224),"")</f>
        <v>0.41049814416825092</v>
      </c>
      <c r="H224">
        <f t="shared" si="35"/>
        <v>0.47333333333333333</v>
      </c>
      <c r="I224">
        <f t="shared" si="36"/>
        <v>0.53754356950735149</v>
      </c>
      <c r="J224">
        <f t="shared" si="37"/>
        <v>0.48383499634867738</v>
      </c>
      <c r="K224">
        <f t="shared" si="38"/>
        <v>0.86480595496938673</v>
      </c>
      <c r="L224">
        <f t="shared" si="39"/>
        <v>0.35436322046418711</v>
      </c>
      <c r="M224">
        <f t="shared" si="40"/>
        <v>0.35572091340225798</v>
      </c>
      <c r="N224">
        <f t="shared" si="41"/>
        <v>20.837633960231496</v>
      </c>
      <c r="O224">
        <f t="shared" si="42"/>
        <v>22.281874924476067</v>
      </c>
      <c r="P224" t="str" cm="1">
        <f t="array" ref="P224">IF($N224="","",IFERROR(IF(INDEX(geo_grid!$B$2:$JU$231,INT(($N224+40)/0.5)+1,INT(($O224+30)/0.5)+1)="","",INDEX(geo_grid!$B$2:$JU$231,INT(($N224+40)/0.5)+1,INT(($O224+30)/0.5)+1)),"OUTSIDE GRID"))</f>
        <v>LBY</v>
      </c>
      <c r="Q224">
        <f t="shared" si="43"/>
        <v>2071</v>
      </c>
    </row>
    <row r="225" spans="1:17" x14ac:dyDescent="0.3">
      <c r="A225">
        <f t="shared" si="33"/>
        <v>2</v>
      </c>
      <c r="B225">
        <f t="shared" si="34"/>
        <v>72</v>
      </c>
      <c r="C225" cm="1">
        <f t="array" ref="C225">IFERROR(INDEX('TRIP MANAGER'!$O$18:$O$25,$A225),"")</f>
        <v>12.133699999999999</v>
      </c>
      <c r="D225" cm="1">
        <f t="array" ref="D225">IFERROR(INDEX('TRIP MANAGER'!$P$18:$P$25,$A225),"")</f>
        <v>15.034000000000001</v>
      </c>
      <c r="E225" cm="1">
        <f t="array" ref="E225">IFERROR(INDEX('TRIP MANAGER'!$Q$18:$Q$25,$A225),"")</f>
        <v>30.111529999999998</v>
      </c>
      <c r="F225" cm="1">
        <f t="array" ref="F225">IFERROR(INDEX('TRIP MANAGER'!$R$18:$R$25,$A225),"")</f>
        <v>31.39669</v>
      </c>
      <c r="G225" cm="1">
        <f t="array" ref="G225">IFERROR(INDEX('TRIP MANAGER'!$S$18:$S$25,$A225),"")</f>
        <v>0.41049814416825092</v>
      </c>
      <c r="H225">
        <f t="shared" si="35"/>
        <v>0.48</v>
      </c>
      <c r="I225">
        <f t="shared" si="36"/>
        <v>0.53084356086363738</v>
      </c>
      <c r="J225">
        <f t="shared" si="37"/>
        <v>0.49056177903232623</v>
      </c>
      <c r="K225">
        <f t="shared" si="38"/>
        <v>0.86344682308307052</v>
      </c>
      <c r="L225">
        <f t="shared" si="39"/>
        <v>0.3556955878285547</v>
      </c>
      <c r="M225">
        <f t="shared" si="40"/>
        <v>0.35768733903655514</v>
      </c>
      <c r="N225">
        <f t="shared" si="41"/>
        <v>20.958235351773745</v>
      </c>
      <c r="O225">
        <f t="shared" si="42"/>
        <v>22.389136437890627</v>
      </c>
      <c r="P225" t="str" cm="1">
        <f t="array" ref="P225">IF($N225="","",IFERROR(IF(INDEX(geo_grid!$B$2:$JU$231,INT(($N225+40)/0.5)+1,INT(($O225+30)/0.5)+1)="","",INDEX(geo_grid!$B$2:$JU$231,INT(($N225+40)/0.5)+1,INT(($O225+30)/0.5)+1)),"OUTSIDE GRID"))</f>
        <v>LBY</v>
      </c>
      <c r="Q225">
        <f t="shared" si="43"/>
        <v>2072</v>
      </c>
    </row>
    <row r="226" spans="1:17" x14ac:dyDescent="0.3">
      <c r="A226">
        <f t="shared" si="33"/>
        <v>2</v>
      </c>
      <c r="B226">
        <f t="shared" si="34"/>
        <v>73</v>
      </c>
      <c r="C226" cm="1">
        <f t="array" ref="C226">IFERROR(INDEX('TRIP MANAGER'!$O$18:$O$25,$A226),"")</f>
        <v>12.133699999999999</v>
      </c>
      <c r="D226" cm="1">
        <f t="array" ref="D226">IFERROR(INDEX('TRIP MANAGER'!$P$18:$P$25,$A226),"")</f>
        <v>15.034000000000001</v>
      </c>
      <c r="E226" cm="1">
        <f t="array" ref="E226">IFERROR(INDEX('TRIP MANAGER'!$Q$18:$Q$25,$A226),"")</f>
        <v>30.111529999999998</v>
      </c>
      <c r="F226" cm="1">
        <f t="array" ref="F226">IFERROR(INDEX('TRIP MANAGER'!$R$18:$R$25,$A226),"")</f>
        <v>31.39669</v>
      </c>
      <c r="G226" cm="1">
        <f t="array" ref="G226">IFERROR(INDEX('TRIP MANAGER'!$S$18:$S$25,$A226),"")</f>
        <v>0.41049814416825092</v>
      </c>
      <c r="H226">
        <f t="shared" si="35"/>
        <v>0.48666666666666669</v>
      </c>
      <c r="I226">
        <f t="shared" si="36"/>
        <v>0.52413957658807808</v>
      </c>
      <c r="J226">
        <f t="shared" si="37"/>
        <v>0.49728488776535301</v>
      </c>
      <c r="K226">
        <f t="shared" si="38"/>
        <v>0.86208122460859271</v>
      </c>
      <c r="L226">
        <f t="shared" si="39"/>
        <v>0.35702529129189686</v>
      </c>
      <c r="M226">
        <f t="shared" si="40"/>
        <v>0.35965108585306038</v>
      </c>
      <c r="N226">
        <f t="shared" si="41"/>
        <v>21.078769563012404</v>
      </c>
      <c r="O226">
        <f t="shared" si="42"/>
        <v>22.496570998132235</v>
      </c>
      <c r="P226" t="str" cm="1">
        <f t="array" ref="P226">IF($N226="","",IFERROR(IF(INDEX(geo_grid!$B$2:$JU$231,INT(($N226+40)/0.5)+1,INT(($O226+30)/0.5)+1)="","",INDEX(geo_grid!$B$2:$JU$231,INT(($N226+40)/0.5)+1,INT(($O226+30)/0.5)+1)),"OUTSIDE GRID"))</f>
        <v>LBY</v>
      </c>
      <c r="Q226">
        <f t="shared" si="43"/>
        <v>2073</v>
      </c>
    </row>
    <row r="227" spans="1:17" x14ac:dyDescent="0.3">
      <c r="A227">
        <f t="shared" si="33"/>
        <v>2</v>
      </c>
      <c r="B227">
        <f t="shared" si="34"/>
        <v>74</v>
      </c>
      <c r="C227" cm="1">
        <f t="array" ref="C227">IFERROR(INDEX('TRIP MANAGER'!$O$18:$O$25,$A227),"")</f>
        <v>12.133699999999999</v>
      </c>
      <c r="D227" cm="1">
        <f t="array" ref="D227">IFERROR(INDEX('TRIP MANAGER'!$P$18:$P$25,$A227),"")</f>
        <v>15.034000000000001</v>
      </c>
      <c r="E227" cm="1">
        <f t="array" ref="E227">IFERROR(INDEX('TRIP MANAGER'!$Q$18:$Q$25,$A227),"")</f>
        <v>30.111529999999998</v>
      </c>
      <c r="F227" cm="1">
        <f t="array" ref="F227">IFERROR(INDEX('TRIP MANAGER'!$R$18:$R$25,$A227),"")</f>
        <v>31.39669</v>
      </c>
      <c r="G227" cm="1">
        <f t="array" ref="G227">IFERROR(INDEX('TRIP MANAGER'!$S$18:$S$25,$A227),"")</f>
        <v>0.41049814416825092</v>
      </c>
      <c r="H227">
        <f t="shared" si="35"/>
        <v>0.49333333333333335</v>
      </c>
      <c r="I227">
        <f t="shared" si="36"/>
        <v>0.51743166688863562</v>
      </c>
      <c r="J227">
        <f t="shared" si="37"/>
        <v>0.5040042721965674</v>
      </c>
      <c r="K227">
        <f t="shared" si="38"/>
        <v>0.86070916977329159</v>
      </c>
      <c r="L227">
        <f t="shared" si="39"/>
        <v>0.35835232089570263</v>
      </c>
      <c r="M227">
        <f t="shared" si="40"/>
        <v>0.36161213914473928</v>
      </c>
      <c r="N227">
        <f t="shared" si="41"/>
        <v>21.199236061116217</v>
      </c>
      <c r="O227">
        <f t="shared" si="42"/>
        <v>22.60417988012567</v>
      </c>
      <c r="P227" t="str" cm="1">
        <f t="array" ref="P227">IF($N227="","",IFERROR(IF(INDEX(geo_grid!$B$2:$JU$231,INT(($N227+40)/0.5)+1,INT(($O227+30)/0.5)+1)="","",INDEX(geo_grid!$B$2:$JU$231,INT(($N227+40)/0.5)+1,INT(($O227+30)/0.5)+1)),"OUTSIDE GRID"))</f>
        <v>LBY</v>
      </c>
      <c r="Q227">
        <f t="shared" si="43"/>
        <v>2074</v>
      </c>
    </row>
    <row r="228" spans="1:17" x14ac:dyDescent="0.3">
      <c r="A228">
        <f t="shared" si="33"/>
        <v>2</v>
      </c>
      <c r="B228">
        <f t="shared" si="34"/>
        <v>75</v>
      </c>
      <c r="C228" cm="1">
        <f t="array" ref="C228">IFERROR(INDEX('TRIP MANAGER'!$O$18:$O$25,$A228),"")</f>
        <v>12.133699999999999</v>
      </c>
      <c r="D228" cm="1">
        <f t="array" ref="D228">IFERROR(INDEX('TRIP MANAGER'!$P$18:$P$25,$A228),"")</f>
        <v>15.034000000000001</v>
      </c>
      <c r="E228" cm="1">
        <f t="array" ref="E228">IFERROR(INDEX('TRIP MANAGER'!$Q$18:$Q$25,$A228),"")</f>
        <v>30.111529999999998</v>
      </c>
      <c r="F228" cm="1">
        <f t="array" ref="F228">IFERROR(INDEX('TRIP MANAGER'!$R$18:$R$25,$A228),"")</f>
        <v>31.39669</v>
      </c>
      <c r="G228" cm="1">
        <f t="array" ref="G228">IFERROR(INDEX('TRIP MANAGER'!$S$18:$S$25,$A228),"")</f>
        <v>0.41049814416825092</v>
      </c>
      <c r="H228">
        <f t="shared" si="35"/>
        <v>0.5</v>
      </c>
      <c r="I228">
        <f t="shared" si="36"/>
        <v>0.51071988200267127</v>
      </c>
      <c r="J228">
        <f t="shared" si="37"/>
        <v>0.51071988200267127</v>
      </c>
      <c r="K228">
        <f t="shared" si="38"/>
        <v>0.85933066885285947</v>
      </c>
      <c r="L228">
        <f t="shared" si="39"/>
        <v>0.35967666670148635</v>
      </c>
      <c r="M228">
        <f t="shared" si="40"/>
        <v>0.36357048422473054</v>
      </c>
      <c r="N228">
        <f t="shared" si="41"/>
        <v>21.319634310624085</v>
      </c>
      <c r="O228">
        <f t="shared" si="42"/>
        <v>22.711964363247859</v>
      </c>
      <c r="P228" t="str" cm="1">
        <f t="array" ref="P228">IF($N228="","",IFERROR(IF(INDEX(geo_grid!$B$2:$JU$231,INT(($N228+40)/0.5)+1,INT(($O228+30)/0.5)+1)="","",INDEX(geo_grid!$B$2:$JU$231,INT(($N228+40)/0.5)+1,INT(($O228+30)/0.5)+1)),"OUTSIDE GRID"))</f>
        <v>LBY</v>
      </c>
      <c r="Q228">
        <f t="shared" si="43"/>
        <v>2075</v>
      </c>
    </row>
    <row r="229" spans="1:17" x14ac:dyDescent="0.3">
      <c r="A229">
        <f t="shared" si="33"/>
        <v>2</v>
      </c>
      <c r="B229">
        <f t="shared" si="34"/>
        <v>76</v>
      </c>
      <c r="C229" cm="1">
        <f t="array" ref="C229">IFERROR(INDEX('TRIP MANAGER'!$O$18:$O$25,$A229),"")</f>
        <v>12.133699999999999</v>
      </c>
      <c r="D229" cm="1">
        <f t="array" ref="D229">IFERROR(INDEX('TRIP MANAGER'!$P$18:$P$25,$A229),"")</f>
        <v>15.034000000000001</v>
      </c>
      <c r="E229" cm="1">
        <f t="array" ref="E229">IFERROR(INDEX('TRIP MANAGER'!$Q$18:$Q$25,$A229),"")</f>
        <v>30.111529999999998</v>
      </c>
      <c r="F229" cm="1">
        <f t="array" ref="F229">IFERROR(INDEX('TRIP MANAGER'!$R$18:$R$25,$A229),"")</f>
        <v>31.39669</v>
      </c>
      <c r="G229" cm="1">
        <f t="array" ref="G229">IFERROR(INDEX('TRIP MANAGER'!$S$18:$S$25,$A229),"")</f>
        <v>0.41049814416825092</v>
      </c>
      <c r="H229">
        <f t="shared" si="35"/>
        <v>0.50666666666666671</v>
      </c>
      <c r="I229">
        <f t="shared" si="36"/>
        <v>0.5040042721965674</v>
      </c>
      <c r="J229">
        <f t="shared" si="37"/>
        <v>0.51743166688863584</v>
      </c>
      <c r="K229">
        <f t="shared" si="38"/>
        <v>0.85794573217126469</v>
      </c>
      <c r="L229">
        <f t="shared" si="39"/>
        <v>0.36099831879086192</v>
      </c>
      <c r="M229">
        <f t="shared" si="40"/>
        <v>0.36552610642645478</v>
      </c>
      <c r="N229">
        <f t="shared" si="41"/>
        <v>21.439963773422463</v>
      </c>
      <c r="O229">
        <f t="shared" si="42"/>
        <v>22.819925731352214</v>
      </c>
      <c r="P229" t="str" cm="1">
        <f t="array" ref="P229">IF($N229="","",IFERROR(IF(INDEX(geo_grid!$B$2:$JU$231,INT(($N229+40)/0.5)+1,INT(($O229+30)/0.5)+1)="","",INDEX(geo_grid!$B$2:$JU$231,INT(($N229+40)/0.5)+1,INT(($O229+30)/0.5)+1)),"OUTSIDE GRID"))</f>
        <v>LBY</v>
      </c>
      <c r="Q229">
        <f t="shared" si="43"/>
        <v>2076</v>
      </c>
    </row>
    <row r="230" spans="1:17" x14ac:dyDescent="0.3">
      <c r="A230">
        <f t="shared" si="33"/>
        <v>2</v>
      </c>
      <c r="B230">
        <f t="shared" si="34"/>
        <v>77</v>
      </c>
      <c r="C230" cm="1">
        <f t="array" ref="C230">IFERROR(INDEX('TRIP MANAGER'!$O$18:$O$25,$A230),"")</f>
        <v>12.133699999999999</v>
      </c>
      <c r="D230" cm="1">
        <f t="array" ref="D230">IFERROR(INDEX('TRIP MANAGER'!$P$18:$P$25,$A230),"")</f>
        <v>15.034000000000001</v>
      </c>
      <c r="E230" cm="1">
        <f t="array" ref="E230">IFERROR(INDEX('TRIP MANAGER'!$Q$18:$Q$25,$A230),"")</f>
        <v>30.111529999999998</v>
      </c>
      <c r="F230" cm="1">
        <f t="array" ref="F230">IFERROR(INDEX('TRIP MANAGER'!$R$18:$R$25,$A230),"")</f>
        <v>31.39669</v>
      </c>
      <c r="G230" cm="1">
        <f t="array" ref="G230">IFERROR(INDEX('TRIP MANAGER'!$S$18:$S$25,$A230),"")</f>
        <v>0.41049814416825092</v>
      </c>
      <c r="H230">
        <f t="shared" si="35"/>
        <v>0.51333333333333331</v>
      </c>
      <c r="I230">
        <f t="shared" si="36"/>
        <v>0.49728488776535301</v>
      </c>
      <c r="J230">
        <f t="shared" si="37"/>
        <v>0.52413957658807808</v>
      </c>
      <c r="K230">
        <f t="shared" si="38"/>
        <v>0.85655437010067459</v>
      </c>
      <c r="L230">
        <f t="shared" si="39"/>
        <v>0.36231726726561719</v>
      </c>
      <c r="M230">
        <f t="shared" si="40"/>
        <v>0.36747899110372551</v>
      </c>
      <c r="N230">
        <f t="shared" si="41"/>
        <v>21.560223908722726</v>
      </c>
      <c r="O230">
        <f t="shared" si="42"/>
        <v>22.928065272792843</v>
      </c>
      <c r="P230" t="str" cm="1">
        <f t="array" ref="P230">IF($N230="","",IFERROR(IF(INDEX(geo_grid!$B$2:$JU$231,INT(($N230+40)/0.5)+1,INT(($O230+30)/0.5)+1)="","",INDEX(geo_grid!$B$2:$JU$231,INT(($N230+40)/0.5)+1,INT(($O230+30)/0.5)+1)),"OUTSIDE GRID"))</f>
        <v>LBY</v>
      </c>
      <c r="Q230">
        <f t="shared" si="43"/>
        <v>2077</v>
      </c>
    </row>
    <row r="231" spans="1:17" x14ac:dyDescent="0.3">
      <c r="A231">
        <f t="shared" si="33"/>
        <v>2</v>
      </c>
      <c r="B231">
        <f t="shared" si="34"/>
        <v>78</v>
      </c>
      <c r="C231" cm="1">
        <f t="array" ref="C231">IFERROR(INDEX('TRIP MANAGER'!$O$18:$O$25,$A231),"")</f>
        <v>12.133699999999999</v>
      </c>
      <c r="D231" cm="1">
        <f t="array" ref="D231">IFERROR(INDEX('TRIP MANAGER'!$P$18:$P$25,$A231),"")</f>
        <v>15.034000000000001</v>
      </c>
      <c r="E231" cm="1">
        <f t="array" ref="E231">IFERROR(INDEX('TRIP MANAGER'!$Q$18:$Q$25,$A231),"")</f>
        <v>30.111529999999998</v>
      </c>
      <c r="F231" cm="1">
        <f t="array" ref="F231">IFERROR(INDEX('TRIP MANAGER'!$R$18:$R$25,$A231),"")</f>
        <v>31.39669</v>
      </c>
      <c r="G231" cm="1">
        <f t="array" ref="G231">IFERROR(INDEX('TRIP MANAGER'!$S$18:$S$25,$A231),"")</f>
        <v>0.41049814416825092</v>
      </c>
      <c r="H231">
        <f t="shared" si="35"/>
        <v>0.52</v>
      </c>
      <c r="I231">
        <f t="shared" si="36"/>
        <v>0.49056177903232623</v>
      </c>
      <c r="J231">
        <f t="shared" si="37"/>
        <v>0.53084356086363738</v>
      </c>
      <c r="K231">
        <f t="shared" si="38"/>
        <v>0.85515659306137848</v>
      </c>
      <c r="L231">
        <f t="shared" si="39"/>
        <v>0.36363350224778845</v>
      </c>
      <c r="M231">
        <f t="shared" si="40"/>
        <v>0.36942912363085789</v>
      </c>
      <c r="N231">
        <f t="shared" si="41"/>
        <v>21.680414173038312</v>
      </c>
      <c r="O231">
        <f t="shared" si="42"/>
        <v>23.036384280448576</v>
      </c>
      <c r="P231" t="str" cm="1">
        <f t="array" ref="P231">IF($N231="","",IFERROR(IF(INDEX(geo_grid!$B$2:$JU$231,INT(($N231+40)/0.5)+1,INT(($O231+30)/0.5)+1)="","",INDEX(geo_grid!$B$2:$JU$231,INT(($N231+40)/0.5)+1,INT(($O231+30)/0.5)+1)),"OUTSIDE GRID"))</f>
        <v>LBY</v>
      </c>
      <c r="Q231">
        <f t="shared" si="43"/>
        <v>2078</v>
      </c>
    </row>
    <row r="232" spans="1:17" x14ac:dyDescent="0.3">
      <c r="A232">
        <f t="shared" si="33"/>
        <v>2</v>
      </c>
      <c r="B232">
        <f t="shared" si="34"/>
        <v>79</v>
      </c>
      <c r="C232" cm="1">
        <f t="array" ref="C232">IFERROR(INDEX('TRIP MANAGER'!$O$18:$O$25,$A232),"")</f>
        <v>12.133699999999999</v>
      </c>
      <c r="D232" cm="1">
        <f t="array" ref="D232">IFERROR(INDEX('TRIP MANAGER'!$P$18:$P$25,$A232),"")</f>
        <v>15.034000000000001</v>
      </c>
      <c r="E232" cm="1">
        <f t="array" ref="E232">IFERROR(INDEX('TRIP MANAGER'!$Q$18:$Q$25,$A232),"")</f>
        <v>30.111529999999998</v>
      </c>
      <c r="F232" cm="1">
        <f t="array" ref="F232">IFERROR(INDEX('TRIP MANAGER'!$R$18:$R$25,$A232),"")</f>
        <v>31.39669</v>
      </c>
      <c r="G232" cm="1">
        <f t="array" ref="G232">IFERROR(INDEX('TRIP MANAGER'!$S$18:$S$25,$A232),"")</f>
        <v>0.41049814416825092</v>
      </c>
      <c r="H232">
        <f t="shared" si="35"/>
        <v>0.52666666666666662</v>
      </c>
      <c r="I232">
        <f t="shared" si="36"/>
        <v>0.48383499634867744</v>
      </c>
      <c r="J232">
        <f t="shared" si="37"/>
        <v>0.53754356950735149</v>
      </c>
      <c r="K232">
        <f t="shared" si="38"/>
        <v>0.85375241152170867</v>
      </c>
      <c r="L232">
        <f t="shared" si="39"/>
        <v>0.36494701387973361</v>
      </c>
      <c r="M232">
        <f t="shared" si="40"/>
        <v>0.37137648940277901</v>
      </c>
      <c r="N232">
        <f t="shared" si="41"/>
        <v>21.800534020161823</v>
      </c>
      <c r="O232">
        <f t="shared" si="42"/>
        <v>23.14488405174685</v>
      </c>
      <c r="P232" t="str" cm="1">
        <f t="array" ref="P232">IF($N232="","",IFERROR(IF(INDEX(geo_grid!$B$2:$JU$231,INT(($N232+40)/0.5)+1,INT(($O232+30)/0.5)+1)="","",INDEX(geo_grid!$B$2:$JU$231,INT(($N232+40)/0.5)+1,INT(($O232+30)/0.5)+1)),"OUTSIDE GRID"))</f>
        <v>LBY</v>
      </c>
      <c r="Q232">
        <f t="shared" si="43"/>
        <v>2079</v>
      </c>
    </row>
    <row r="233" spans="1:17" x14ac:dyDescent="0.3">
      <c r="A233">
        <f t="shared" si="33"/>
        <v>2</v>
      </c>
      <c r="B233">
        <f t="shared" si="34"/>
        <v>80</v>
      </c>
      <c r="C233" cm="1">
        <f t="array" ref="C233">IFERROR(INDEX('TRIP MANAGER'!$O$18:$O$25,$A233),"")</f>
        <v>12.133699999999999</v>
      </c>
      <c r="D233" cm="1">
        <f t="array" ref="D233">IFERROR(INDEX('TRIP MANAGER'!$P$18:$P$25,$A233),"")</f>
        <v>15.034000000000001</v>
      </c>
      <c r="E233" cm="1">
        <f t="array" ref="E233">IFERROR(INDEX('TRIP MANAGER'!$Q$18:$Q$25,$A233),"")</f>
        <v>30.111529999999998</v>
      </c>
      <c r="F233" cm="1">
        <f t="array" ref="F233">IFERROR(INDEX('TRIP MANAGER'!$R$18:$R$25,$A233),"")</f>
        <v>31.39669</v>
      </c>
      <c r="G233" cm="1">
        <f t="array" ref="G233">IFERROR(INDEX('TRIP MANAGER'!$S$18:$S$25,$A233),"")</f>
        <v>0.41049814416825092</v>
      </c>
      <c r="H233">
        <f t="shared" si="35"/>
        <v>0.53333333333333333</v>
      </c>
      <c r="I233">
        <f t="shared" si="36"/>
        <v>0.47710459009311201</v>
      </c>
      <c r="J233">
        <f t="shared" si="37"/>
        <v>0.54423955234103327</v>
      </c>
      <c r="K233">
        <f t="shared" si="38"/>
        <v>0.85234183599796298</v>
      </c>
      <c r="L233">
        <f t="shared" si="39"/>
        <v>0.36625779232420685</v>
      </c>
      <c r="M233">
        <f t="shared" si="40"/>
        <v>0.37332107383513691</v>
      </c>
      <c r="N233">
        <f t="shared" si="41"/>
        <v>21.920582901141948</v>
      </c>
      <c r="O233">
        <f t="shared" si="42"/>
        <v>23.253565888687415</v>
      </c>
      <c r="P233" t="str" cm="1">
        <f t="array" ref="P233">IF($N233="","",IFERROR(IF(INDEX(geo_grid!$B$2:$JU$231,INT(($N233+40)/0.5)+1,INT(($O233+30)/0.5)+1)="","",INDEX(geo_grid!$B$2:$JU$231,INT(($N233+40)/0.5)+1,INT(($O233+30)/0.5)+1)),"OUTSIDE GRID"))</f>
        <v>LBY</v>
      </c>
      <c r="Q233">
        <f t="shared" si="43"/>
        <v>2080</v>
      </c>
    </row>
    <row r="234" spans="1:17" x14ac:dyDescent="0.3">
      <c r="A234">
        <f t="shared" si="33"/>
        <v>2</v>
      </c>
      <c r="B234">
        <f t="shared" si="34"/>
        <v>81</v>
      </c>
      <c r="C234" cm="1">
        <f t="array" ref="C234">IFERROR(INDEX('TRIP MANAGER'!$O$18:$O$25,$A234),"")</f>
        <v>12.133699999999999</v>
      </c>
      <c r="D234" cm="1">
        <f t="array" ref="D234">IFERROR(INDEX('TRIP MANAGER'!$P$18:$P$25,$A234),"")</f>
        <v>15.034000000000001</v>
      </c>
      <c r="E234" cm="1">
        <f t="array" ref="E234">IFERROR(INDEX('TRIP MANAGER'!$Q$18:$Q$25,$A234),"")</f>
        <v>30.111529999999998</v>
      </c>
      <c r="F234" cm="1">
        <f t="array" ref="F234">IFERROR(INDEX('TRIP MANAGER'!$R$18:$R$25,$A234),"")</f>
        <v>31.39669</v>
      </c>
      <c r="G234" cm="1">
        <f t="array" ref="G234">IFERROR(INDEX('TRIP MANAGER'!$S$18:$S$25,$A234),"")</f>
        <v>0.41049814416825092</v>
      </c>
      <c r="H234">
        <f t="shared" si="35"/>
        <v>0.54</v>
      </c>
      <c r="I234">
        <f t="shared" si="36"/>
        <v>0.4703706106714734</v>
      </c>
      <c r="J234">
        <f t="shared" si="37"/>
        <v>0.55093145921664555</v>
      </c>
      <c r="K234">
        <f t="shared" si="38"/>
        <v>0.85092487705432507</v>
      </c>
      <c r="L234">
        <f t="shared" si="39"/>
        <v>0.36756582776443175</v>
      </c>
      <c r="M234">
        <f t="shared" si="40"/>
        <v>0.37526286236440964</v>
      </c>
      <c r="N234">
        <f t="shared" si="41"/>
        <v>22.040560264260264</v>
      </c>
      <c r="O234">
        <f t="shared" si="42"/>
        <v>23.362431097865894</v>
      </c>
      <c r="P234" t="str" cm="1">
        <f t="array" ref="P234">IF($N234="","",IFERROR(IF(INDEX(geo_grid!$B$2:$JU$231,INT(($N234+40)/0.5)+1,INT(($O234+30)/0.5)+1)="","",INDEX(geo_grid!$B$2:$JU$231,INT(($N234+40)/0.5)+1,INT(($O234+30)/0.5)+1)),"OUTSIDE GRID"))</f>
        <v>LBY</v>
      </c>
      <c r="Q234">
        <f t="shared" si="43"/>
        <v>2081</v>
      </c>
    </row>
    <row r="235" spans="1:17" x14ac:dyDescent="0.3">
      <c r="A235">
        <f t="shared" si="33"/>
        <v>2</v>
      </c>
      <c r="B235">
        <f t="shared" si="34"/>
        <v>82</v>
      </c>
      <c r="C235" cm="1">
        <f t="array" ref="C235">IFERROR(INDEX('TRIP MANAGER'!$O$18:$O$25,$A235),"")</f>
        <v>12.133699999999999</v>
      </c>
      <c r="D235" cm="1">
        <f t="array" ref="D235">IFERROR(INDEX('TRIP MANAGER'!$P$18:$P$25,$A235),"")</f>
        <v>15.034000000000001</v>
      </c>
      <c r="E235" cm="1">
        <f t="array" ref="E235">IFERROR(INDEX('TRIP MANAGER'!$Q$18:$Q$25,$A235),"")</f>
        <v>30.111529999999998</v>
      </c>
      <c r="F235" cm="1">
        <f t="array" ref="F235">IFERROR(INDEX('TRIP MANAGER'!$R$18:$R$25,$A235),"")</f>
        <v>31.39669</v>
      </c>
      <c r="G235" cm="1">
        <f t="array" ref="G235">IFERROR(INDEX('TRIP MANAGER'!$S$18:$S$25,$A235),"")</f>
        <v>0.41049814416825092</v>
      </c>
      <c r="H235">
        <f t="shared" si="35"/>
        <v>0.54666666666666663</v>
      </c>
      <c r="I235">
        <f t="shared" si="36"/>
        <v>0.4636331085163658</v>
      </c>
      <c r="J235">
        <f t="shared" si="37"/>
        <v>0.55761924001667673</v>
      </c>
      <c r="K235">
        <f t="shared" si="38"/>
        <v>0.8495015453027861</v>
      </c>
      <c r="L235">
        <f t="shared" si="39"/>
        <v>0.36887111040417497</v>
      </c>
      <c r="M235">
        <f t="shared" si="40"/>
        <v>0.37720184044801452</v>
      </c>
      <c r="N235">
        <f t="shared" si="41"/>
        <v>22.160465555007928</v>
      </c>
      <c r="O235">
        <f t="shared" si="42"/>
        <v>23.471480990497131</v>
      </c>
      <c r="P235" t="str" cm="1">
        <f t="array" ref="P235">IF($N235="","",IFERROR(IF(INDEX(geo_grid!$B$2:$JU$231,INT(($N235+40)/0.5)+1,INT(($O235+30)/0.5)+1)="","",INDEX(geo_grid!$B$2:$JU$231,INT(($N235+40)/0.5)+1,INT(($O235+30)/0.5)+1)),"OUTSIDE GRID"))</f>
        <v>LBY</v>
      </c>
      <c r="Q235">
        <f t="shared" si="43"/>
        <v>2082</v>
      </c>
    </row>
    <row r="236" spans="1:17" x14ac:dyDescent="0.3">
      <c r="A236">
        <f t="shared" si="33"/>
        <v>2</v>
      </c>
      <c r="B236">
        <f t="shared" si="34"/>
        <v>83</v>
      </c>
      <c r="C236" cm="1">
        <f t="array" ref="C236">IFERROR(INDEX('TRIP MANAGER'!$O$18:$O$25,$A236),"")</f>
        <v>12.133699999999999</v>
      </c>
      <c r="D236" cm="1">
        <f t="array" ref="D236">IFERROR(INDEX('TRIP MANAGER'!$P$18:$P$25,$A236),"")</f>
        <v>15.034000000000001</v>
      </c>
      <c r="E236" cm="1">
        <f t="array" ref="E236">IFERROR(INDEX('TRIP MANAGER'!$Q$18:$Q$25,$A236),"")</f>
        <v>30.111529999999998</v>
      </c>
      <c r="F236" cm="1">
        <f t="array" ref="F236">IFERROR(INDEX('TRIP MANAGER'!$R$18:$R$25,$A236),"")</f>
        <v>31.39669</v>
      </c>
      <c r="G236" cm="1">
        <f t="array" ref="G236">IFERROR(INDEX('TRIP MANAGER'!$S$18:$S$25,$A236),"")</f>
        <v>0.41049814416825092</v>
      </c>
      <c r="H236">
        <f t="shared" si="35"/>
        <v>0.55333333333333334</v>
      </c>
      <c r="I236">
        <f t="shared" si="36"/>
        <v>0.45689213408677554</v>
      </c>
      <c r="J236">
        <f t="shared" si="37"/>
        <v>0.56430284465451752</v>
      </c>
      <c r="K236">
        <f t="shared" si="38"/>
        <v>0.84807185140306451</v>
      </c>
      <c r="L236">
        <f t="shared" si="39"/>
        <v>0.37017363046781993</v>
      </c>
      <c r="M236">
        <f t="shared" si="40"/>
        <v>0.37913799356441746</v>
      </c>
      <c r="N236">
        <f t="shared" si="41"/>
        <v>22.280298216062281</v>
      </c>
      <c r="O236">
        <f t="shared" si="42"/>
        <v>23.58071688243842</v>
      </c>
      <c r="P236" t="str" cm="1">
        <f t="array" ref="P236">IF($N236="","",IFERROR(IF(INDEX(geo_grid!$B$2:$JU$231,INT(($N236+40)/0.5)+1,INT(($O236+30)/0.5)+1)="","",INDEX(geo_grid!$B$2:$JU$231,INT(($N236+40)/0.5)+1,INT(($O236+30)/0.5)+1)),"OUTSIDE GRID"))</f>
        <v>LBY</v>
      </c>
      <c r="Q236">
        <f t="shared" si="43"/>
        <v>2083</v>
      </c>
    </row>
    <row r="237" spans="1:17" x14ac:dyDescent="0.3">
      <c r="A237">
        <f t="shared" si="33"/>
        <v>2</v>
      </c>
      <c r="B237">
        <f t="shared" si="34"/>
        <v>84</v>
      </c>
      <c r="C237" cm="1">
        <f t="array" ref="C237">IFERROR(INDEX('TRIP MANAGER'!$O$18:$O$25,$A237),"")</f>
        <v>12.133699999999999</v>
      </c>
      <c r="D237" cm="1">
        <f t="array" ref="D237">IFERROR(INDEX('TRIP MANAGER'!$P$18:$P$25,$A237),"")</f>
        <v>15.034000000000001</v>
      </c>
      <c r="E237" cm="1">
        <f t="array" ref="E237">IFERROR(INDEX('TRIP MANAGER'!$Q$18:$Q$25,$A237),"")</f>
        <v>30.111529999999998</v>
      </c>
      <c r="F237" cm="1">
        <f t="array" ref="F237">IFERROR(INDEX('TRIP MANAGER'!$R$18:$R$25,$A237),"")</f>
        <v>31.39669</v>
      </c>
      <c r="G237" cm="1">
        <f t="array" ref="G237">IFERROR(INDEX('TRIP MANAGER'!$S$18:$S$25,$A237),"")</f>
        <v>0.41049814416825092</v>
      </c>
      <c r="H237">
        <f t="shared" si="35"/>
        <v>0.56000000000000005</v>
      </c>
      <c r="I237">
        <f t="shared" si="36"/>
        <v>0.45014773786769402</v>
      </c>
      <c r="J237">
        <f t="shared" si="37"/>
        <v>0.57098222307483426</v>
      </c>
      <c r="K237">
        <f t="shared" si="38"/>
        <v>0.8466358060625272</v>
      </c>
      <c r="L237">
        <f t="shared" si="39"/>
        <v>0.37147337820043924</v>
      </c>
      <c r="M237">
        <f t="shared" si="40"/>
        <v>0.38107130721324073</v>
      </c>
      <c r="N237">
        <f t="shared" si="41"/>
        <v>22.400057687263178</v>
      </c>
      <c r="O237">
        <f t="shared" si="42"/>
        <v>23.690140094212442</v>
      </c>
      <c r="P237" t="str" cm="1">
        <f t="array" ref="P237">IF($N237="","",IFERROR(IF(INDEX(geo_grid!$B$2:$JU$231,INT(($N237+40)/0.5)+1,INT(($O237+30)/0.5)+1)="","",INDEX(geo_grid!$B$2:$JU$231,INT(($N237+40)/0.5)+1,INT(($O237+30)/0.5)+1)),"OUTSIDE GRID"))</f>
        <v>LBY</v>
      </c>
      <c r="Q237">
        <f t="shared" si="43"/>
        <v>2084</v>
      </c>
    </row>
    <row r="238" spans="1:17" x14ac:dyDescent="0.3">
      <c r="A238">
        <f t="shared" si="33"/>
        <v>2</v>
      </c>
      <c r="B238">
        <f t="shared" si="34"/>
        <v>85</v>
      </c>
      <c r="C238" cm="1">
        <f t="array" ref="C238">IFERROR(INDEX('TRIP MANAGER'!$O$18:$O$25,$A238),"")</f>
        <v>12.133699999999999</v>
      </c>
      <c r="D238" cm="1">
        <f t="array" ref="D238">IFERROR(INDEX('TRIP MANAGER'!$P$18:$P$25,$A238),"")</f>
        <v>15.034000000000001</v>
      </c>
      <c r="E238" cm="1">
        <f t="array" ref="E238">IFERROR(INDEX('TRIP MANAGER'!$Q$18:$Q$25,$A238),"")</f>
        <v>30.111529999999998</v>
      </c>
      <c r="F238" cm="1">
        <f t="array" ref="F238">IFERROR(INDEX('TRIP MANAGER'!$R$18:$R$25,$A238),"")</f>
        <v>31.39669</v>
      </c>
      <c r="G238" cm="1">
        <f t="array" ref="G238">IFERROR(INDEX('TRIP MANAGER'!$S$18:$S$25,$A238),"")</f>
        <v>0.41049814416825092</v>
      </c>
      <c r="H238">
        <f t="shared" si="35"/>
        <v>0.56666666666666665</v>
      </c>
      <c r="I238">
        <f t="shared" si="36"/>
        <v>0.44339997036973966</v>
      </c>
      <c r="J238">
        <f t="shared" si="37"/>
        <v>0.57765732525394475</v>
      </c>
      <c r="K238">
        <f t="shared" si="38"/>
        <v>0.84519342003610831</v>
      </c>
      <c r="L238">
        <f t="shared" si="39"/>
        <v>0.37277034386786878</v>
      </c>
      <c r="M238">
        <f t="shared" si="40"/>
        <v>0.38300176691537269</v>
      </c>
      <c r="N238">
        <f t="shared" si="41"/>
        <v>22.519743405589395</v>
      </c>
      <c r="O238">
        <f t="shared" si="42"/>
        <v>23.799751951030125</v>
      </c>
      <c r="P238" t="str" cm="1">
        <f t="array" ref="P238">IF($N238="","",IFERROR(IF(INDEX(geo_grid!$B$2:$JU$231,INT(($N238+40)/0.5)+1,INT(($O238+30)/0.5)+1)="","",INDEX(geo_grid!$B$2:$JU$231,INT(($N238+40)/0.5)+1,INT(($O238+30)/0.5)+1)),"OUTSIDE GRID"))</f>
        <v>LBY</v>
      </c>
      <c r="Q238">
        <f t="shared" si="43"/>
        <v>2085</v>
      </c>
    </row>
    <row r="239" spans="1:17" x14ac:dyDescent="0.3">
      <c r="A239">
        <f t="shared" si="33"/>
        <v>2</v>
      </c>
      <c r="B239">
        <f t="shared" si="34"/>
        <v>86</v>
      </c>
      <c r="C239" cm="1">
        <f t="array" ref="C239">IFERROR(INDEX('TRIP MANAGER'!$O$18:$O$25,$A239),"")</f>
        <v>12.133699999999999</v>
      </c>
      <c r="D239" cm="1">
        <f t="array" ref="D239">IFERROR(INDEX('TRIP MANAGER'!$P$18:$P$25,$A239),"")</f>
        <v>15.034000000000001</v>
      </c>
      <c r="E239" cm="1">
        <f t="array" ref="E239">IFERROR(INDEX('TRIP MANAGER'!$Q$18:$Q$25,$A239),"")</f>
        <v>30.111529999999998</v>
      </c>
      <c r="F239" cm="1">
        <f t="array" ref="F239">IFERROR(INDEX('TRIP MANAGER'!$R$18:$R$25,$A239),"")</f>
        <v>31.39669</v>
      </c>
      <c r="G239" cm="1">
        <f t="array" ref="G239">IFERROR(INDEX('TRIP MANAGER'!$S$18:$S$25,$A239),"")</f>
        <v>0.41049814416825092</v>
      </c>
      <c r="H239">
        <f t="shared" si="35"/>
        <v>0.57333333333333336</v>
      </c>
      <c r="I239">
        <f t="shared" si="36"/>
        <v>0.43664888212877861</v>
      </c>
      <c r="J239">
        <f t="shared" si="37"/>
        <v>0.58432810120019296</v>
      </c>
      <c r="K239">
        <f t="shared" si="38"/>
        <v>0.84374470412622915</v>
      </c>
      <c r="L239">
        <f t="shared" si="39"/>
        <v>0.37406451775677968</v>
      </c>
      <c r="M239">
        <f t="shared" si="40"/>
        <v>0.38492935821307528</v>
      </c>
      <c r="N239">
        <f t="shared" si="41"/>
        <v>22.639354805134715</v>
      </c>
      <c r="O239">
        <f t="shared" si="42"/>
        <v>23.909553782813237</v>
      </c>
      <c r="P239" t="str" cm="1">
        <f t="array" ref="P239">IF($N239="","",IFERROR(IF(INDEX(geo_grid!$B$2:$JU$231,INT(($N239+40)/0.5)+1,INT(($O239+30)/0.5)+1)="","",INDEX(geo_grid!$B$2:$JU$231,INT(($N239+40)/0.5)+1,INT(($O239+30)/0.5)+1)),"OUTSIDE GRID"))</f>
        <v>LBY</v>
      </c>
      <c r="Q239">
        <f t="shared" si="43"/>
        <v>2086</v>
      </c>
    </row>
    <row r="240" spans="1:17" x14ac:dyDescent="0.3">
      <c r="A240">
        <f t="shared" si="33"/>
        <v>2</v>
      </c>
      <c r="B240">
        <f t="shared" si="34"/>
        <v>87</v>
      </c>
      <c r="C240" cm="1">
        <f t="array" ref="C240">IFERROR(INDEX('TRIP MANAGER'!$O$18:$O$25,$A240),"")</f>
        <v>12.133699999999999</v>
      </c>
      <c r="D240" cm="1">
        <f t="array" ref="D240">IFERROR(INDEX('TRIP MANAGER'!$P$18:$P$25,$A240),"")</f>
        <v>15.034000000000001</v>
      </c>
      <c r="E240" cm="1">
        <f t="array" ref="E240">IFERROR(INDEX('TRIP MANAGER'!$Q$18:$Q$25,$A240),"")</f>
        <v>30.111529999999998</v>
      </c>
      <c r="F240" cm="1">
        <f t="array" ref="F240">IFERROR(INDEX('TRIP MANAGER'!$R$18:$R$25,$A240),"")</f>
        <v>31.39669</v>
      </c>
      <c r="G240" cm="1">
        <f t="array" ref="G240">IFERROR(INDEX('TRIP MANAGER'!$S$18:$S$25,$A240),"")</f>
        <v>0.41049814416825092</v>
      </c>
      <c r="H240">
        <f t="shared" si="35"/>
        <v>0.57999999999999996</v>
      </c>
      <c r="I240">
        <f t="shared" si="36"/>
        <v>0.42989452370554776</v>
      </c>
      <c r="J240">
        <f t="shared" si="37"/>
        <v>0.59099450095432271</v>
      </c>
      <c r="K240">
        <f t="shared" si="38"/>
        <v>0.84228966918271708</v>
      </c>
      <c r="L240">
        <f t="shared" si="39"/>
        <v>0.37535589017475146</v>
      </c>
      <c r="M240">
        <f t="shared" si="40"/>
        <v>0.38685406667009292</v>
      </c>
      <c r="N240">
        <f t="shared" si="41"/>
        <v>22.758891317084057</v>
      </c>
      <c r="O240">
        <f t="shared" si="42"/>
        <v>24.019546924216787</v>
      </c>
      <c r="P240" t="str" cm="1">
        <f t="array" ref="P240">IF($N240="","",IFERROR(IF(INDEX(geo_grid!$B$2:$JU$231,INT(($N240+40)/0.5)+1,INT(($O240+30)/0.5)+1)="","",INDEX(geo_grid!$B$2:$JU$231,INT(($N240+40)/0.5)+1,INT(($O240+30)/0.5)+1)),"OUTSIDE GRID"))</f>
        <v>LBY</v>
      </c>
      <c r="Q240">
        <f t="shared" si="43"/>
        <v>2087</v>
      </c>
    </row>
    <row r="241" spans="1:17" x14ac:dyDescent="0.3">
      <c r="A241">
        <f t="shared" si="33"/>
        <v>2</v>
      </c>
      <c r="B241">
        <f t="shared" si="34"/>
        <v>88</v>
      </c>
      <c r="C241" cm="1">
        <f t="array" ref="C241">IFERROR(INDEX('TRIP MANAGER'!$O$18:$O$25,$A241),"")</f>
        <v>12.133699999999999</v>
      </c>
      <c r="D241" cm="1">
        <f t="array" ref="D241">IFERROR(INDEX('TRIP MANAGER'!$P$18:$P$25,$A241),"")</f>
        <v>15.034000000000001</v>
      </c>
      <c r="E241" cm="1">
        <f t="array" ref="E241">IFERROR(INDEX('TRIP MANAGER'!$Q$18:$Q$25,$A241),"")</f>
        <v>30.111529999999998</v>
      </c>
      <c r="F241" cm="1">
        <f t="array" ref="F241">IFERROR(INDEX('TRIP MANAGER'!$R$18:$R$25,$A241),"")</f>
        <v>31.39669</v>
      </c>
      <c r="G241" cm="1">
        <f t="array" ref="G241">IFERROR(INDEX('TRIP MANAGER'!$S$18:$S$25,$A241),"")</f>
        <v>0.41049814416825092</v>
      </c>
      <c r="H241">
        <f t="shared" si="35"/>
        <v>0.58666666666666667</v>
      </c>
      <c r="I241">
        <f t="shared" si="36"/>
        <v>0.42313694568527449</v>
      </c>
      <c r="J241">
        <f t="shared" si="37"/>
        <v>0.59765647458985305</v>
      </c>
      <c r="K241">
        <f t="shared" si="38"/>
        <v>0.84082832610272495</v>
      </c>
      <c r="L241">
        <f t="shared" si="39"/>
        <v>0.37664445145034509</v>
      </c>
      <c r="M241">
        <f t="shared" si="40"/>
        <v>0.38877587787176038</v>
      </c>
      <c r="N241">
        <f t="shared" si="41"/>
        <v>22.878352369689292</v>
      </c>
      <c r="O241">
        <f t="shared" si="42"/>
        <v>24.129732714651222</v>
      </c>
      <c r="P241" t="str" cm="1">
        <f t="array" ref="P241">IF($N241="","",IFERROR(IF(INDEX(geo_grid!$B$2:$JU$231,INT(($N241+40)/0.5)+1,INT(($O241+30)/0.5)+1)="","",INDEX(geo_grid!$B$2:$JU$231,INT(($N241+40)/0.5)+1,INT(($O241+30)/0.5)+1)),"OUTSIDE GRID"))</f>
        <v>LBY</v>
      </c>
      <c r="Q241">
        <f t="shared" si="43"/>
        <v>2088</v>
      </c>
    </row>
    <row r="242" spans="1:17" x14ac:dyDescent="0.3">
      <c r="A242">
        <f t="shared" si="33"/>
        <v>2</v>
      </c>
      <c r="B242">
        <f t="shared" si="34"/>
        <v>89</v>
      </c>
      <c r="C242" cm="1">
        <f t="array" ref="C242">IFERROR(INDEX('TRIP MANAGER'!$O$18:$O$25,$A242),"")</f>
        <v>12.133699999999999</v>
      </c>
      <c r="D242" cm="1">
        <f t="array" ref="D242">IFERROR(INDEX('TRIP MANAGER'!$P$18:$P$25,$A242),"")</f>
        <v>15.034000000000001</v>
      </c>
      <c r="E242" cm="1">
        <f t="array" ref="E242">IFERROR(INDEX('TRIP MANAGER'!$Q$18:$Q$25,$A242),"")</f>
        <v>30.111529999999998</v>
      </c>
      <c r="F242" cm="1">
        <f t="array" ref="F242">IFERROR(INDEX('TRIP MANAGER'!$R$18:$R$25,$A242),"")</f>
        <v>31.39669</v>
      </c>
      <c r="G242" cm="1">
        <f t="array" ref="G242">IFERROR(INDEX('TRIP MANAGER'!$S$18:$S$25,$A242),"")</f>
        <v>0.41049814416825092</v>
      </c>
      <c r="H242">
        <f t="shared" si="35"/>
        <v>0.59333333333333338</v>
      </c>
      <c r="I242">
        <f t="shared" si="36"/>
        <v>0.41637619867729925</v>
      </c>
      <c r="J242">
        <f t="shared" si="37"/>
        <v>0.60431397221345073</v>
      </c>
      <c r="K242">
        <f t="shared" si="38"/>
        <v>0.83936068583064871</v>
      </c>
      <c r="L242">
        <f t="shared" si="39"/>
        <v>0.37793019193317445</v>
      </c>
      <c r="M242">
        <f t="shared" si="40"/>
        <v>0.39069477742511077</v>
      </c>
      <c r="N242">
        <f t="shared" si="41"/>
        <v>22.997737388245106</v>
      </c>
      <c r="O242">
        <f t="shared" si="42"/>
        <v>24.240112498304381</v>
      </c>
      <c r="P242" t="str" cm="1">
        <f t="array" ref="P242">IF($N242="","",IFERROR(IF(INDEX(geo_grid!$B$2:$JU$231,INT(($N242+40)/0.5)+1,INT(($O242+30)/0.5)+1)="","",INDEX(geo_grid!$B$2:$JU$231,INT(($N242+40)/0.5)+1,INT(($O242+30)/0.5)+1)),"OUTSIDE GRID"))</f>
        <v>LBY</v>
      </c>
      <c r="Q242">
        <f t="shared" si="43"/>
        <v>2089</v>
      </c>
    </row>
    <row r="243" spans="1:17" x14ac:dyDescent="0.3">
      <c r="A243">
        <f t="shared" si="33"/>
        <v>2</v>
      </c>
      <c r="B243">
        <f t="shared" si="34"/>
        <v>90</v>
      </c>
      <c r="C243" cm="1">
        <f t="array" ref="C243">IFERROR(INDEX('TRIP MANAGER'!$O$18:$O$25,$A243),"")</f>
        <v>12.133699999999999</v>
      </c>
      <c r="D243" cm="1">
        <f t="array" ref="D243">IFERROR(INDEX('TRIP MANAGER'!$P$18:$P$25,$A243),"")</f>
        <v>15.034000000000001</v>
      </c>
      <c r="E243" cm="1">
        <f t="array" ref="E243">IFERROR(INDEX('TRIP MANAGER'!$Q$18:$Q$25,$A243),"")</f>
        <v>30.111529999999998</v>
      </c>
      <c r="F243" cm="1">
        <f t="array" ref="F243">IFERROR(INDEX('TRIP MANAGER'!$R$18:$R$25,$A243),"")</f>
        <v>31.39669</v>
      </c>
      <c r="G243" cm="1">
        <f t="array" ref="G243">IFERROR(INDEX('TRIP MANAGER'!$S$18:$S$25,$A243),"")</f>
        <v>0.41049814416825092</v>
      </c>
      <c r="H243">
        <f t="shared" si="35"/>
        <v>0.6</v>
      </c>
      <c r="I243">
        <f t="shared" si="36"/>
        <v>0.4096123333146956</v>
      </c>
      <c r="J243">
        <f t="shared" si="37"/>
        <v>0.61096694396530493</v>
      </c>
      <c r="K243">
        <f t="shared" si="38"/>
        <v>0.83788675935804546</v>
      </c>
      <c r="L243">
        <f t="shared" si="39"/>
        <v>0.37921310199397928</v>
      </c>
      <c r="M243">
        <f t="shared" si="40"/>
        <v>0.39261075095898318</v>
      </c>
      <c r="N243">
        <f t="shared" si="41"/>
        <v>23.117045795064609</v>
      </c>
      <c r="O243">
        <f t="shared" si="42"/>
        <v>24.350687624163282</v>
      </c>
      <c r="P243" t="str" cm="1">
        <f t="array" ref="P243">IF($N243="","",IFERROR(IF(INDEX(geo_grid!$B$2:$JU$231,INT(($N243+40)/0.5)+1,INT(($O243+30)/0.5)+1)="","",INDEX(geo_grid!$B$2:$JU$231,INT(($N243+40)/0.5)+1,INT(($O243+30)/0.5)+1)),"OUTSIDE GRID"))</f>
        <v>LBY</v>
      </c>
      <c r="Q243">
        <f t="shared" si="43"/>
        <v>2090</v>
      </c>
    </row>
    <row r="244" spans="1:17" x14ac:dyDescent="0.3">
      <c r="A244">
        <f t="shared" si="33"/>
        <v>2</v>
      </c>
      <c r="B244">
        <f t="shared" si="34"/>
        <v>91</v>
      </c>
      <c r="C244" cm="1">
        <f t="array" ref="C244">IFERROR(INDEX('TRIP MANAGER'!$O$18:$O$25,$A244),"")</f>
        <v>12.133699999999999</v>
      </c>
      <c r="D244" cm="1">
        <f t="array" ref="D244">IFERROR(INDEX('TRIP MANAGER'!$P$18:$P$25,$A244),"")</f>
        <v>15.034000000000001</v>
      </c>
      <c r="E244" cm="1">
        <f t="array" ref="E244">IFERROR(INDEX('TRIP MANAGER'!$Q$18:$Q$25,$A244),"")</f>
        <v>30.111529999999998</v>
      </c>
      <c r="F244" cm="1">
        <f t="array" ref="F244">IFERROR(INDEX('TRIP MANAGER'!$R$18:$R$25,$A244),"")</f>
        <v>31.39669</v>
      </c>
      <c r="G244" cm="1">
        <f t="array" ref="G244">IFERROR(INDEX('TRIP MANAGER'!$S$18:$S$25,$A244),"")</f>
        <v>0.41049814416825092</v>
      </c>
      <c r="H244">
        <f t="shared" si="35"/>
        <v>0.60666666666666669</v>
      </c>
      <c r="I244">
        <f t="shared" si="36"/>
        <v>0.40284540025389143</v>
      </c>
      <c r="J244">
        <f t="shared" si="37"/>
        <v>0.61761534001950025</v>
      </c>
      <c r="K244">
        <f t="shared" si="38"/>
        <v>0.83640655772355155</v>
      </c>
      <c r="L244">
        <f t="shared" si="39"/>
        <v>0.38049317202469718</v>
      </c>
      <c r="M244">
        <f t="shared" si="40"/>
        <v>0.39452378412413069</v>
      </c>
      <c r="N244">
        <f t="shared" si="41"/>
        <v>23.236277009454877</v>
      </c>
      <c r="O244">
        <f t="shared" si="42"/>
        <v>24.461459446035601</v>
      </c>
      <c r="P244" t="str" cm="1">
        <f t="array" ref="P244">IF($N244="","",IFERROR(IF(INDEX(geo_grid!$B$2:$JU$231,INT(($N244+40)/0.5)+1,INT(($O244+30)/0.5)+1)="","",INDEX(geo_grid!$B$2:$JU$231,INT(($N244+40)/0.5)+1,INT(($O244+30)/0.5)+1)),"OUTSIDE GRID"))</f>
        <v>LBY</v>
      </c>
      <c r="Q244">
        <f t="shared" si="43"/>
        <v>2091</v>
      </c>
    </row>
    <row r="245" spans="1:17" x14ac:dyDescent="0.3">
      <c r="A245">
        <f t="shared" si="33"/>
        <v>2</v>
      </c>
      <c r="B245">
        <f t="shared" si="34"/>
        <v>92</v>
      </c>
      <c r="C245" cm="1">
        <f t="array" ref="C245">IFERROR(INDEX('TRIP MANAGER'!$O$18:$O$25,$A245),"")</f>
        <v>12.133699999999999</v>
      </c>
      <c r="D245" cm="1">
        <f t="array" ref="D245">IFERROR(INDEX('TRIP MANAGER'!$P$18:$P$25,$A245),"")</f>
        <v>15.034000000000001</v>
      </c>
      <c r="E245" cm="1">
        <f t="array" ref="E245">IFERROR(INDEX('TRIP MANAGER'!$Q$18:$Q$25,$A245),"")</f>
        <v>30.111529999999998</v>
      </c>
      <c r="F245" cm="1">
        <f t="array" ref="F245">IFERROR(INDEX('TRIP MANAGER'!$R$18:$R$25,$A245),"")</f>
        <v>31.39669</v>
      </c>
      <c r="G245" cm="1">
        <f t="array" ref="G245">IFERROR(INDEX('TRIP MANAGER'!$S$18:$S$25,$A245),"")</f>
        <v>0.41049814416825092</v>
      </c>
      <c r="H245">
        <f t="shared" si="35"/>
        <v>0.61333333333333329</v>
      </c>
      <c r="I245">
        <f t="shared" si="36"/>
        <v>0.39607545017428941</v>
      </c>
      <c r="J245">
        <f t="shared" si="37"/>
        <v>0.62425911058438976</v>
      </c>
      <c r="K245">
        <f t="shared" si="38"/>
        <v>0.8349200920127996</v>
      </c>
      <c r="L245">
        <f t="shared" si="39"/>
        <v>0.38177039243853528</v>
      </c>
      <c r="M245">
        <f t="shared" si="40"/>
        <v>0.3964338625933273</v>
      </c>
      <c r="N245">
        <f t="shared" si="41"/>
        <v>23.355430447692328</v>
      </c>
      <c r="O245">
        <f t="shared" si="42"/>
        <v>24.572429322570972</v>
      </c>
      <c r="P245" t="str" cm="1">
        <f t="array" ref="P245">IF($N245="","",IFERROR(IF(INDEX(geo_grid!$B$2:$JU$231,INT(($N245+40)/0.5)+1,INT(($O245+30)/0.5)+1)="","",INDEX(geo_grid!$B$2:$JU$231,INT(($N245+40)/0.5)+1,INT(($O245+30)/0.5)+1)),"OUTSIDE GRID"))</f>
        <v>LBY</v>
      </c>
      <c r="Q245">
        <f t="shared" si="43"/>
        <v>2092</v>
      </c>
    </row>
    <row r="246" spans="1:17" x14ac:dyDescent="0.3">
      <c r="A246">
        <f t="shared" si="33"/>
        <v>2</v>
      </c>
      <c r="B246">
        <f t="shared" si="34"/>
        <v>93</v>
      </c>
      <c r="C246" cm="1">
        <f t="array" ref="C246">IFERROR(INDEX('TRIP MANAGER'!$O$18:$O$25,$A246),"")</f>
        <v>12.133699999999999</v>
      </c>
      <c r="D246" cm="1">
        <f t="array" ref="D246">IFERROR(INDEX('TRIP MANAGER'!$P$18:$P$25,$A246),"")</f>
        <v>15.034000000000001</v>
      </c>
      <c r="E246" cm="1">
        <f t="array" ref="E246">IFERROR(INDEX('TRIP MANAGER'!$Q$18:$Q$25,$A246),"")</f>
        <v>30.111529999999998</v>
      </c>
      <c r="F246" cm="1">
        <f t="array" ref="F246">IFERROR(INDEX('TRIP MANAGER'!$R$18:$R$25,$A246),"")</f>
        <v>31.39669</v>
      </c>
      <c r="G246" cm="1">
        <f t="array" ref="G246">IFERROR(INDEX('TRIP MANAGER'!$S$18:$S$25,$A246),"")</f>
        <v>0.41049814416825092</v>
      </c>
      <c r="H246">
        <f t="shared" si="35"/>
        <v>0.62</v>
      </c>
      <c r="I246">
        <f t="shared" si="36"/>
        <v>0.38930253377788732</v>
      </c>
      <c r="J246">
        <f t="shared" si="37"/>
        <v>0.63089820590296841</v>
      </c>
      <c r="K246">
        <f t="shared" si="38"/>
        <v>0.83342737335833572</v>
      </c>
      <c r="L246">
        <f t="shared" si="39"/>
        <v>0.38304475367004254</v>
      </c>
      <c r="M246">
        <f t="shared" si="40"/>
        <v>0.3983409720614759</v>
      </c>
      <c r="N246">
        <f t="shared" si="41"/>
        <v>23.474505522997998</v>
      </c>
      <c r="O246">
        <f t="shared" si="42"/>
        <v>24.683598617282026</v>
      </c>
      <c r="P246" t="str" cm="1">
        <f t="array" ref="P246">IF($N246="","",IFERROR(IF(INDEX(geo_grid!$B$2:$JU$231,INT(($N246+40)/0.5)+1,INT(($O246+30)/0.5)+1)="","",INDEX(geo_grid!$B$2:$JU$231,INT(($N246+40)/0.5)+1,INT(($O246+30)/0.5)+1)),"OUTSIDE GRID"))</f>
        <v>LBY</v>
      </c>
      <c r="Q246">
        <f t="shared" si="43"/>
        <v>2093</v>
      </c>
    </row>
    <row r="247" spans="1:17" x14ac:dyDescent="0.3">
      <c r="A247">
        <f t="shared" si="33"/>
        <v>2</v>
      </c>
      <c r="B247">
        <f t="shared" si="34"/>
        <v>94</v>
      </c>
      <c r="C247" cm="1">
        <f t="array" ref="C247">IFERROR(INDEX('TRIP MANAGER'!$O$18:$O$25,$A247),"")</f>
        <v>12.133699999999999</v>
      </c>
      <c r="D247" cm="1">
        <f t="array" ref="D247">IFERROR(INDEX('TRIP MANAGER'!$P$18:$P$25,$A247),"")</f>
        <v>15.034000000000001</v>
      </c>
      <c r="E247" cm="1">
        <f t="array" ref="E247">IFERROR(INDEX('TRIP MANAGER'!$Q$18:$Q$25,$A247),"")</f>
        <v>30.111529999999998</v>
      </c>
      <c r="F247" cm="1">
        <f t="array" ref="F247">IFERROR(INDEX('TRIP MANAGER'!$R$18:$R$25,$A247),"")</f>
        <v>31.39669</v>
      </c>
      <c r="G247" cm="1">
        <f t="array" ref="G247">IFERROR(INDEX('TRIP MANAGER'!$S$18:$S$25,$A247),"")</f>
        <v>0.41049814416825092</v>
      </c>
      <c r="H247">
        <f t="shared" si="35"/>
        <v>0.62666666666666671</v>
      </c>
      <c r="I247">
        <f t="shared" si="36"/>
        <v>0.38252670178889869</v>
      </c>
      <c r="J247">
        <f t="shared" si="37"/>
        <v>0.63753257625324522</v>
      </c>
      <c r="K247">
        <f t="shared" si="38"/>
        <v>0.83192841293953623</v>
      </c>
      <c r="L247">
        <f t="shared" si="39"/>
        <v>0.38431624617518095</v>
      </c>
      <c r="M247">
        <f t="shared" si="40"/>
        <v>0.40024509824571475</v>
      </c>
      <c r="N247">
        <f t="shared" si="41"/>
        <v>23.593501645512635</v>
      </c>
      <c r="O247">
        <f t="shared" si="42"/>
        <v>24.79496869856515</v>
      </c>
      <c r="P247" t="str" cm="1">
        <f t="array" ref="P247">IF($N247="","",IFERROR(IF(INDEX(geo_grid!$B$2:$JU$231,INT(($N247+40)/0.5)+1,INT(($O247+30)/0.5)+1)="","",INDEX(geo_grid!$B$2:$JU$231,INT(($N247+40)/0.5)+1,INT(($O247+30)/0.5)+1)),"OUTSIDE GRID"))</f>
        <v>LBY</v>
      </c>
      <c r="Q247">
        <f t="shared" si="43"/>
        <v>2094</v>
      </c>
    </row>
    <row r="248" spans="1:17" x14ac:dyDescent="0.3">
      <c r="A248">
        <f t="shared" si="33"/>
        <v>2</v>
      </c>
      <c r="B248">
        <f t="shared" si="34"/>
        <v>95</v>
      </c>
      <c r="C248" cm="1">
        <f t="array" ref="C248">IFERROR(INDEX('TRIP MANAGER'!$O$18:$O$25,$A248),"")</f>
        <v>12.133699999999999</v>
      </c>
      <c r="D248" cm="1">
        <f t="array" ref="D248">IFERROR(INDEX('TRIP MANAGER'!$P$18:$P$25,$A248),"")</f>
        <v>15.034000000000001</v>
      </c>
      <c r="E248" cm="1">
        <f t="array" ref="E248">IFERROR(INDEX('TRIP MANAGER'!$Q$18:$Q$25,$A248),"")</f>
        <v>30.111529999999998</v>
      </c>
      <c r="F248" cm="1">
        <f t="array" ref="F248">IFERROR(INDEX('TRIP MANAGER'!$R$18:$R$25,$A248),"")</f>
        <v>31.39669</v>
      </c>
      <c r="G248" cm="1">
        <f t="array" ref="G248">IFERROR(INDEX('TRIP MANAGER'!$S$18:$S$25,$A248),"")</f>
        <v>0.41049814416825092</v>
      </c>
      <c r="H248">
        <f t="shared" si="35"/>
        <v>0.6333333333333333</v>
      </c>
      <c r="I248">
        <f t="shared" si="36"/>
        <v>0.3757480049533729</v>
      </c>
      <c r="J248">
        <f t="shared" si="37"/>
        <v>0.64416217194861558</v>
      </c>
      <c r="K248">
        <f t="shared" si="38"/>
        <v>0.83042322198252361</v>
      </c>
      <c r="L248">
        <f t="shared" si="39"/>
        <v>0.38558486043139734</v>
      </c>
      <c r="M248">
        <f t="shared" si="40"/>
        <v>0.40214622688552487</v>
      </c>
      <c r="N248">
        <f t="shared" si="41"/>
        <v>23.712418222271733</v>
      </c>
      <c r="O248">
        <f t="shared" si="42"/>
        <v>24.906540939721047</v>
      </c>
      <c r="P248" t="str" cm="1">
        <f t="array" ref="P248">IF($N248="","",IFERROR(IF(INDEX(geo_grid!$B$2:$JU$231,INT(($N248+40)/0.5)+1,INT(($O248+30)/0.5)+1)="","",INDEX(geo_grid!$B$2:$JU$231,INT(($N248+40)/0.5)+1,INT(($O248+30)/0.5)+1)),"OUTSIDE GRID"))</f>
        <v>LBY</v>
      </c>
      <c r="Q248">
        <f t="shared" si="43"/>
        <v>2095</v>
      </c>
    </row>
    <row r="249" spans="1:17" x14ac:dyDescent="0.3">
      <c r="A249">
        <f t="shared" si="33"/>
        <v>2</v>
      </c>
      <c r="B249">
        <f t="shared" si="34"/>
        <v>96</v>
      </c>
      <c r="C249" cm="1">
        <f t="array" ref="C249">IFERROR(INDEX('TRIP MANAGER'!$O$18:$O$25,$A249),"")</f>
        <v>12.133699999999999</v>
      </c>
      <c r="D249" cm="1">
        <f t="array" ref="D249">IFERROR(INDEX('TRIP MANAGER'!$P$18:$P$25,$A249),"")</f>
        <v>15.034000000000001</v>
      </c>
      <c r="E249" cm="1">
        <f t="array" ref="E249">IFERROR(INDEX('TRIP MANAGER'!$Q$18:$Q$25,$A249),"")</f>
        <v>30.111529999999998</v>
      </c>
      <c r="F249" cm="1">
        <f t="array" ref="F249">IFERROR(INDEX('TRIP MANAGER'!$R$18:$R$25,$A249),"")</f>
        <v>31.39669</v>
      </c>
      <c r="G249" cm="1">
        <f t="array" ref="G249">IFERROR(INDEX('TRIP MANAGER'!$S$18:$S$25,$A249),"")</f>
        <v>0.41049814416825092</v>
      </c>
      <c r="H249">
        <f t="shared" si="35"/>
        <v>0.64</v>
      </c>
      <c r="I249">
        <f t="shared" si="36"/>
        <v>0.36896649403881437</v>
      </c>
      <c r="J249">
        <f t="shared" si="37"/>
        <v>0.65078694333823395</v>
      </c>
      <c r="K249">
        <f t="shared" si="38"/>
        <v>0.828911811760082</v>
      </c>
      <c r="L249">
        <f t="shared" si="39"/>
        <v>0.38685058693769436</v>
      </c>
      <c r="M249">
        <f t="shared" si="40"/>
        <v>0.40404434374283665</v>
      </c>
      <c r="N249">
        <f t="shared" si="41"/>
        <v>23.831254657180363</v>
      </c>
      <c r="O249">
        <f t="shared" si="42"/>
        <v>25.018316718974969</v>
      </c>
      <c r="P249" t="str" cm="1">
        <f t="array" ref="P249">IF($N249="","",IFERROR(IF(INDEX(geo_grid!$B$2:$JU$231,INT(($N249+40)/0.5)+1,INT(($O249+30)/0.5)+1)="","",INDEX(geo_grid!$B$2:$JU$231,INT(($N249+40)/0.5)+1,INT(($O249+30)/0.5)+1)),"OUTSIDE GRID"))</f>
        <v>EGY</v>
      </c>
      <c r="Q249">
        <f t="shared" si="43"/>
        <v>2096</v>
      </c>
    </row>
    <row r="250" spans="1:17" x14ac:dyDescent="0.3">
      <c r="A250">
        <f t="shared" si="33"/>
        <v>2</v>
      </c>
      <c r="B250">
        <f t="shared" si="34"/>
        <v>97</v>
      </c>
      <c r="C250" cm="1">
        <f t="array" ref="C250">IFERROR(INDEX('TRIP MANAGER'!$O$18:$O$25,$A250),"")</f>
        <v>12.133699999999999</v>
      </c>
      <c r="D250" cm="1">
        <f t="array" ref="D250">IFERROR(INDEX('TRIP MANAGER'!$P$18:$P$25,$A250),"")</f>
        <v>15.034000000000001</v>
      </c>
      <c r="E250" cm="1">
        <f t="array" ref="E250">IFERROR(INDEX('TRIP MANAGER'!$Q$18:$Q$25,$A250),"")</f>
        <v>30.111529999999998</v>
      </c>
      <c r="F250" cm="1">
        <f t="array" ref="F250">IFERROR(INDEX('TRIP MANAGER'!$R$18:$R$25,$A250),"")</f>
        <v>31.39669</v>
      </c>
      <c r="G250" cm="1">
        <f t="array" ref="G250">IFERROR(INDEX('TRIP MANAGER'!$S$18:$S$25,$A250),"")</f>
        <v>0.41049814416825092</v>
      </c>
      <c r="H250">
        <f t="shared" si="35"/>
        <v>0.64666666666666661</v>
      </c>
      <c r="I250">
        <f t="shared" si="36"/>
        <v>0.36218221983380366</v>
      </c>
      <c r="J250">
        <f t="shared" si="37"/>
        <v>0.65740684080738487</v>
      </c>
      <c r="K250">
        <f t="shared" si="38"/>
        <v>0.82739419359157407</v>
      </c>
      <c r="L250">
        <f t="shared" si="39"/>
        <v>0.3881134162147018</v>
      </c>
      <c r="M250">
        <f t="shared" si="40"/>
        <v>0.40593943460213655</v>
      </c>
      <c r="N250">
        <f t="shared" si="41"/>
        <v>23.950010350987927</v>
      </c>
      <c r="O250">
        <f t="shared" si="42"/>
        <v>25.130297419496678</v>
      </c>
      <c r="P250" t="str" cm="1">
        <f t="array" ref="P250">IF($N250="","",IFERROR(IF(INDEX(geo_grid!$B$2:$JU$231,INT(($N250+40)/0.5)+1,INT(($O250+30)/0.5)+1)="","",INDEX(geo_grid!$B$2:$JU$231,INT(($N250+40)/0.5)+1,INT(($O250+30)/0.5)+1)),"OUTSIDE GRID"))</f>
        <v>EGY</v>
      </c>
      <c r="Q250">
        <f t="shared" si="43"/>
        <v>2097</v>
      </c>
    </row>
    <row r="251" spans="1:17" x14ac:dyDescent="0.3">
      <c r="A251">
        <f t="shared" si="33"/>
        <v>2</v>
      </c>
      <c r="B251">
        <f t="shared" si="34"/>
        <v>98</v>
      </c>
      <c r="C251" cm="1">
        <f t="array" ref="C251">IFERROR(INDEX('TRIP MANAGER'!$O$18:$O$25,$A251),"")</f>
        <v>12.133699999999999</v>
      </c>
      <c r="D251" cm="1">
        <f t="array" ref="D251">IFERROR(INDEX('TRIP MANAGER'!$P$18:$P$25,$A251),"")</f>
        <v>15.034000000000001</v>
      </c>
      <c r="E251" cm="1">
        <f t="array" ref="E251">IFERROR(INDEX('TRIP MANAGER'!$Q$18:$Q$25,$A251),"")</f>
        <v>30.111529999999998</v>
      </c>
      <c r="F251" cm="1">
        <f t="array" ref="F251">IFERROR(INDEX('TRIP MANAGER'!$R$18:$R$25,$A251),"")</f>
        <v>31.39669</v>
      </c>
      <c r="G251" cm="1">
        <f t="array" ref="G251">IFERROR(INDEX('TRIP MANAGER'!$S$18:$S$25,$A251),"")</f>
        <v>0.41049814416825092</v>
      </c>
      <c r="H251">
        <f t="shared" si="35"/>
        <v>0.65333333333333332</v>
      </c>
      <c r="I251">
        <f t="shared" si="36"/>
        <v>0.35539523314761551</v>
      </c>
      <c r="J251">
        <f t="shared" si="37"/>
        <v>0.66402181477785538</v>
      </c>
      <c r="K251">
        <f t="shared" si="38"/>
        <v>0.82587037884285497</v>
      </c>
      <c r="L251">
        <f t="shared" si="39"/>
        <v>0.38937333880474773</v>
      </c>
      <c r="M251">
        <f t="shared" si="40"/>
        <v>0.40783148527057361</v>
      </c>
      <c r="N251">
        <f t="shared" si="41"/>
        <v>24.068684701262733</v>
      </c>
      <c r="O251">
        <f t="shared" si="42"/>
        <v>25.242484429420212</v>
      </c>
      <c r="P251" t="str" cm="1">
        <f t="array" ref="P251">IF($N251="","",IFERROR(IF(INDEX(geo_grid!$B$2:$JU$231,INT(($N251+40)/0.5)+1,INT(($O251+30)/0.5)+1)="","",INDEX(geo_grid!$B$2:$JU$231,INT(($N251+40)/0.5)+1,INT(($O251+30)/0.5)+1)),"OUTSIDE GRID"))</f>
        <v>EGY</v>
      </c>
      <c r="Q251">
        <f t="shared" si="43"/>
        <v>2098</v>
      </c>
    </row>
    <row r="252" spans="1:17" x14ac:dyDescent="0.3">
      <c r="A252">
        <f t="shared" si="33"/>
        <v>2</v>
      </c>
      <c r="B252">
        <f t="shared" si="34"/>
        <v>99</v>
      </c>
      <c r="C252" cm="1">
        <f t="array" ref="C252">IFERROR(INDEX('TRIP MANAGER'!$O$18:$O$25,$A252),"")</f>
        <v>12.133699999999999</v>
      </c>
      <c r="D252" cm="1">
        <f t="array" ref="D252">IFERROR(INDEX('TRIP MANAGER'!$P$18:$P$25,$A252),"")</f>
        <v>15.034000000000001</v>
      </c>
      <c r="E252" cm="1">
        <f t="array" ref="E252">IFERROR(INDEX('TRIP MANAGER'!$Q$18:$Q$25,$A252),"")</f>
        <v>30.111529999999998</v>
      </c>
      <c r="F252" cm="1">
        <f t="array" ref="F252">IFERROR(INDEX('TRIP MANAGER'!$R$18:$R$25,$A252),"")</f>
        <v>31.39669</v>
      </c>
      <c r="G252" cm="1">
        <f t="array" ref="G252">IFERROR(INDEX('TRIP MANAGER'!$S$18:$S$25,$A252),"")</f>
        <v>0.41049814416825092</v>
      </c>
      <c r="H252">
        <f t="shared" si="35"/>
        <v>0.66</v>
      </c>
      <c r="I252">
        <f t="shared" si="36"/>
        <v>0.34860558480984</v>
      </c>
      <c r="J252">
        <f t="shared" si="37"/>
        <v>0.67063181570830566</v>
      </c>
      <c r="K252">
        <f t="shared" si="38"/>
        <v>0.82434037892618806</v>
      </c>
      <c r="L252">
        <f t="shared" si="39"/>
        <v>0.39063034527192897</v>
      </c>
      <c r="M252">
        <f t="shared" si="40"/>
        <v>0.40972048157806562</v>
      </c>
      <c r="N252">
        <f t="shared" si="41"/>
        <v>24.187277102366455</v>
      </c>
      <c r="O252">
        <f t="shared" si="42"/>
        <v>25.354879141863218</v>
      </c>
      <c r="P252" t="str" cm="1">
        <f t="array" ref="P252">IF($N252="","",IFERROR(IF(INDEX(geo_grid!$B$2:$JU$231,INT(($N252+40)/0.5)+1,INT(($O252+30)/0.5)+1)="","",INDEX(geo_grid!$B$2:$JU$231,INT(($N252+40)/0.5)+1,INT(($O252+30)/0.5)+1)),"OUTSIDE GRID"))</f>
        <v>EGY</v>
      </c>
      <c r="Q252">
        <f t="shared" si="43"/>
        <v>2099</v>
      </c>
    </row>
    <row r="253" spans="1:17" x14ac:dyDescent="0.3">
      <c r="A253">
        <f t="shared" si="33"/>
        <v>2</v>
      </c>
      <c r="B253">
        <f t="shared" si="34"/>
        <v>100</v>
      </c>
      <c r="C253" cm="1">
        <f t="array" ref="C253">IFERROR(INDEX('TRIP MANAGER'!$O$18:$O$25,$A253),"")</f>
        <v>12.133699999999999</v>
      </c>
      <c r="D253" cm="1">
        <f t="array" ref="D253">IFERROR(INDEX('TRIP MANAGER'!$P$18:$P$25,$A253),"")</f>
        <v>15.034000000000001</v>
      </c>
      <c r="E253" cm="1">
        <f t="array" ref="E253">IFERROR(INDEX('TRIP MANAGER'!$Q$18:$Q$25,$A253),"")</f>
        <v>30.111529999999998</v>
      </c>
      <c r="F253" cm="1">
        <f t="array" ref="F253">IFERROR(INDEX('TRIP MANAGER'!$R$18:$R$25,$A253),"")</f>
        <v>31.39669</v>
      </c>
      <c r="G253" cm="1">
        <f t="array" ref="G253">IFERROR(INDEX('TRIP MANAGER'!$S$18:$S$25,$A253),"")</f>
        <v>0.41049814416825092</v>
      </c>
      <c r="H253">
        <f t="shared" si="35"/>
        <v>0.66666666666666663</v>
      </c>
      <c r="I253">
        <f t="shared" si="36"/>
        <v>0.34181332567000067</v>
      </c>
      <c r="J253">
        <f t="shared" si="37"/>
        <v>0.67723679409464044</v>
      </c>
      <c r="K253">
        <f t="shared" si="38"/>
        <v>0.82280420530015896</v>
      </c>
      <c r="L253">
        <f t="shared" si="39"/>
        <v>0.39188442620218233</v>
      </c>
      <c r="M253">
        <f t="shared" si="40"/>
        <v>0.41160640937740522</v>
      </c>
      <c r="N253">
        <f t="shared" si="41"/>
        <v>24.305786945428483</v>
      </c>
      <c r="O253">
        <f t="shared" si="42"/>
        <v>25.467482954946131</v>
      </c>
      <c r="P253" t="str" cm="1">
        <f t="array" ref="P253">IF($N253="","",IFERROR(IF(INDEX(geo_grid!$B$2:$JU$231,INT(($N253+40)/0.5)+1,INT(($O253+30)/0.5)+1)="","",INDEX(geo_grid!$B$2:$JU$231,INT(($N253+40)/0.5)+1,INT(($O253+30)/0.5)+1)),"OUTSIDE GRID"))</f>
        <v>EGY</v>
      </c>
      <c r="Q253">
        <f t="shared" si="43"/>
        <v>2100</v>
      </c>
    </row>
    <row r="254" spans="1:17" x14ac:dyDescent="0.3">
      <c r="A254">
        <f t="shared" si="33"/>
        <v>2</v>
      </c>
      <c r="B254">
        <f t="shared" si="34"/>
        <v>101</v>
      </c>
      <c r="C254" cm="1">
        <f t="array" ref="C254">IFERROR(INDEX('TRIP MANAGER'!$O$18:$O$25,$A254),"")</f>
        <v>12.133699999999999</v>
      </c>
      <c r="D254" cm="1">
        <f t="array" ref="D254">IFERROR(INDEX('TRIP MANAGER'!$P$18:$P$25,$A254),"")</f>
        <v>15.034000000000001</v>
      </c>
      <c r="E254" cm="1">
        <f t="array" ref="E254">IFERROR(INDEX('TRIP MANAGER'!$Q$18:$Q$25,$A254),"")</f>
        <v>30.111529999999998</v>
      </c>
      <c r="F254" cm="1">
        <f t="array" ref="F254">IFERROR(INDEX('TRIP MANAGER'!$R$18:$R$25,$A254),"")</f>
        <v>31.39669</v>
      </c>
      <c r="G254" cm="1">
        <f t="array" ref="G254">IFERROR(INDEX('TRIP MANAGER'!$S$18:$S$25,$A254),"")</f>
        <v>0.41049814416825092</v>
      </c>
      <c r="H254">
        <f t="shared" si="35"/>
        <v>0.67333333333333334</v>
      </c>
      <c r="I254">
        <f t="shared" si="36"/>
        <v>0.33501850659717386</v>
      </c>
      <c r="J254">
        <f t="shared" si="37"/>
        <v>0.68383670047038003</v>
      </c>
      <c r="K254">
        <f t="shared" si="38"/>
        <v>0.8212618694695899</v>
      </c>
      <c r="L254">
        <f t="shared" si="39"/>
        <v>0.39313557220335449</v>
      </c>
      <c r="M254">
        <f t="shared" si="40"/>
        <v>0.41348925454436625</v>
      </c>
      <c r="N254">
        <f t="shared" si="41"/>
        <v>24.424213618320106</v>
      </c>
      <c r="O254">
        <f t="shared" si="42"/>
        <v>25.580297271810942</v>
      </c>
      <c r="P254" t="str" cm="1">
        <f t="array" ref="P254">IF($N254="","",IFERROR(IF(INDEX(geo_grid!$B$2:$JU$231,INT(($N254+40)/0.5)+1,INT(($O254+30)/0.5)+1)="","",INDEX(geo_grid!$B$2:$JU$231,INT(($N254+40)/0.5)+1,INT(($O254+30)/0.5)+1)),"OUTSIDE GRID"))</f>
        <v>EGY</v>
      </c>
      <c r="Q254">
        <f t="shared" si="43"/>
        <v>2101</v>
      </c>
    </row>
    <row r="255" spans="1:17" x14ac:dyDescent="0.3">
      <c r="A255">
        <f t="shared" si="33"/>
        <v>2</v>
      </c>
      <c r="B255">
        <f t="shared" si="34"/>
        <v>102</v>
      </c>
      <c r="C255" cm="1">
        <f t="array" ref="C255">IFERROR(INDEX('TRIP MANAGER'!$O$18:$O$25,$A255),"")</f>
        <v>12.133699999999999</v>
      </c>
      <c r="D255" cm="1">
        <f t="array" ref="D255">IFERROR(INDEX('TRIP MANAGER'!$P$18:$P$25,$A255),"")</f>
        <v>15.034000000000001</v>
      </c>
      <c r="E255" cm="1">
        <f t="array" ref="E255">IFERROR(INDEX('TRIP MANAGER'!$Q$18:$Q$25,$A255),"")</f>
        <v>30.111529999999998</v>
      </c>
      <c r="F255" cm="1">
        <f t="array" ref="F255">IFERROR(INDEX('TRIP MANAGER'!$R$18:$R$25,$A255),"")</f>
        <v>31.39669</v>
      </c>
      <c r="G255" cm="1">
        <f t="array" ref="G255">IFERROR(INDEX('TRIP MANAGER'!$S$18:$S$25,$A255),"")</f>
        <v>0.41049814416825092</v>
      </c>
      <c r="H255">
        <f t="shared" si="35"/>
        <v>0.68</v>
      </c>
      <c r="I255">
        <f t="shared" si="36"/>
        <v>0.32822117847960824</v>
      </c>
      <c r="J255">
        <f t="shared" si="37"/>
        <v>0.6904314854070297</v>
      </c>
      <c r="K255">
        <f t="shared" si="38"/>
        <v>0.81971338298545315</v>
      </c>
      <c r="L255">
        <f t="shared" si="39"/>
        <v>0.39438377390527252</v>
      </c>
      <c r="M255">
        <f t="shared" si="40"/>
        <v>0.41536900297780877</v>
      </c>
      <c r="N255">
        <f t="shared" si="41"/>
        <v>24.542556505628578</v>
      </c>
      <c r="O255">
        <f t="shared" si="42"/>
        <v>25.693323500639689</v>
      </c>
      <c r="P255" t="str" cm="1">
        <f t="array" ref="P255">IF($N255="","",IFERROR(IF(INDEX(geo_grid!$B$2:$JU$231,INT(($N255+40)/0.5)+1,INT(($O255+30)/0.5)+1)="","",INDEX(geo_grid!$B$2:$JU$231,INT(($N255+40)/0.5)+1,INT(($O255+30)/0.5)+1)),"OUTSIDE GRID"))</f>
        <v>EGY</v>
      </c>
      <c r="Q255">
        <f t="shared" si="43"/>
        <v>2102</v>
      </c>
    </row>
    <row r="256" spans="1:17" x14ac:dyDescent="0.3">
      <c r="A256">
        <f t="shared" si="33"/>
        <v>2</v>
      </c>
      <c r="B256">
        <f t="shared" si="34"/>
        <v>103</v>
      </c>
      <c r="C256" cm="1">
        <f t="array" ref="C256">IFERROR(INDEX('TRIP MANAGER'!$O$18:$O$25,$A256),"")</f>
        <v>12.133699999999999</v>
      </c>
      <c r="D256" cm="1">
        <f t="array" ref="D256">IFERROR(INDEX('TRIP MANAGER'!$P$18:$P$25,$A256),"")</f>
        <v>15.034000000000001</v>
      </c>
      <c r="E256" cm="1">
        <f t="array" ref="E256">IFERROR(INDEX('TRIP MANAGER'!$Q$18:$Q$25,$A256),"")</f>
        <v>30.111529999999998</v>
      </c>
      <c r="F256" cm="1">
        <f t="array" ref="F256">IFERROR(INDEX('TRIP MANAGER'!$R$18:$R$25,$A256),"")</f>
        <v>31.39669</v>
      </c>
      <c r="G256" cm="1">
        <f t="array" ref="G256">IFERROR(INDEX('TRIP MANAGER'!$S$18:$S$25,$A256),"")</f>
        <v>0.41049814416825092</v>
      </c>
      <c r="H256">
        <f t="shared" si="35"/>
        <v>0.68666666666666665</v>
      </c>
      <c r="I256">
        <f t="shared" si="36"/>
        <v>0.32142139222434346</v>
      </c>
      <c r="J256">
        <f t="shared" si="37"/>
        <v>0.69702109951445068</v>
      </c>
      <c r="K256">
        <f t="shared" si="38"/>
        <v>0.8181587574447855</v>
      </c>
      <c r="L256">
        <f t="shared" si="39"/>
        <v>0.39562902195981425</v>
      </c>
      <c r="M256">
        <f t="shared" si="40"/>
        <v>0.41724564059978542</v>
      </c>
      <c r="N256">
        <f t="shared" si="41"/>
        <v>24.660814988631039</v>
      </c>
      <c r="O256">
        <f t="shared" si="42"/>
        <v>25.806563054672651</v>
      </c>
      <c r="P256" t="str" cm="1">
        <f t="array" ref="P256">IF($N256="","",IFERROR(IF(INDEX(geo_grid!$B$2:$JU$231,INT(($N256+40)/0.5)+1,INT(($O256+30)/0.5)+1)="","",INDEX(geo_grid!$B$2:$JU$231,INT(($N256+40)/0.5)+1,INT(($O256+30)/0.5)+1)),"OUTSIDE GRID"))</f>
        <v>EGY</v>
      </c>
      <c r="Q256">
        <f t="shared" si="43"/>
        <v>2103</v>
      </c>
    </row>
    <row r="257" spans="1:17" x14ac:dyDescent="0.3">
      <c r="A257">
        <f t="shared" si="33"/>
        <v>2</v>
      </c>
      <c r="B257">
        <f t="shared" si="34"/>
        <v>104</v>
      </c>
      <c r="C257" cm="1">
        <f t="array" ref="C257">IFERROR(INDEX('TRIP MANAGER'!$O$18:$O$25,$A257),"")</f>
        <v>12.133699999999999</v>
      </c>
      <c r="D257" cm="1">
        <f t="array" ref="D257">IFERROR(INDEX('TRIP MANAGER'!$P$18:$P$25,$A257),"")</f>
        <v>15.034000000000001</v>
      </c>
      <c r="E257" cm="1">
        <f t="array" ref="E257">IFERROR(INDEX('TRIP MANAGER'!$Q$18:$Q$25,$A257),"")</f>
        <v>30.111529999999998</v>
      </c>
      <c r="F257" cm="1">
        <f t="array" ref="F257">IFERROR(INDEX('TRIP MANAGER'!$R$18:$R$25,$A257),"")</f>
        <v>31.39669</v>
      </c>
      <c r="G257" cm="1">
        <f t="array" ref="G257">IFERROR(INDEX('TRIP MANAGER'!$S$18:$S$25,$A257),"")</f>
        <v>0.41049814416825092</v>
      </c>
      <c r="H257">
        <f t="shared" si="35"/>
        <v>0.69333333333333336</v>
      </c>
      <c r="I257">
        <f t="shared" si="36"/>
        <v>0.31461919875682842</v>
      </c>
      <c r="J257">
        <f t="shared" si="37"/>
        <v>0.70360549344123091</v>
      </c>
      <c r="K257">
        <f t="shared" si="38"/>
        <v>0.81659800449060049</v>
      </c>
      <c r="L257">
        <f t="shared" si="39"/>
        <v>0.39687130704097845</v>
      </c>
      <c r="M257">
        <f t="shared" si="40"/>
        <v>0.41911915335564676</v>
      </c>
      <c r="N257">
        <f t="shared" si="41"/>
        <v>24.778988445268315</v>
      </c>
      <c r="O257">
        <f t="shared" si="42"/>
        <v>25.920017352226186</v>
      </c>
      <c r="P257" t="str" cm="1">
        <f t="array" ref="P257">IF($N257="","",IFERROR(IF(INDEX(geo_grid!$B$2:$JU$231,INT(($N257+40)/0.5)+1,INT(($O257+30)/0.5)+1)="","",INDEX(geo_grid!$B$2:$JU$231,INT(($N257+40)/0.5)+1,INT(($O257+30)/0.5)+1)),"OUTSIDE GRID"))</f>
        <v>EGY</v>
      </c>
      <c r="Q257">
        <f t="shared" si="43"/>
        <v>2104</v>
      </c>
    </row>
    <row r="258" spans="1:17" x14ac:dyDescent="0.3">
      <c r="A258">
        <f t="shared" si="33"/>
        <v>2</v>
      </c>
      <c r="B258">
        <f t="shared" si="34"/>
        <v>105</v>
      </c>
      <c r="C258" cm="1">
        <f t="array" ref="C258">IFERROR(INDEX('TRIP MANAGER'!$O$18:$O$25,$A258),"")</f>
        <v>12.133699999999999</v>
      </c>
      <c r="D258" cm="1">
        <f t="array" ref="D258">IFERROR(INDEX('TRIP MANAGER'!$P$18:$P$25,$A258),"")</f>
        <v>15.034000000000001</v>
      </c>
      <c r="E258" cm="1">
        <f t="array" ref="E258">IFERROR(INDEX('TRIP MANAGER'!$Q$18:$Q$25,$A258),"")</f>
        <v>30.111529999999998</v>
      </c>
      <c r="F258" cm="1">
        <f t="array" ref="F258">IFERROR(INDEX('TRIP MANAGER'!$R$18:$R$25,$A258),"")</f>
        <v>31.39669</v>
      </c>
      <c r="G258" cm="1">
        <f t="array" ref="G258">IFERROR(INDEX('TRIP MANAGER'!$S$18:$S$25,$A258),"")</f>
        <v>0.41049814416825092</v>
      </c>
      <c r="H258">
        <f t="shared" si="35"/>
        <v>0.7</v>
      </c>
      <c r="I258">
        <f t="shared" si="36"/>
        <v>0.3078146490205409</v>
      </c>
      <c r="J258">
        <f t="shared" si="37"/>
        <v>0.71018461787505249</v>
      </c>
      <c r="K258">
        <f t="shared" si="38"/>
        <v>0.81503113581180209</v>
      </c>
      <c r="L258">
        <f t="shared" si="39"/>
        <v>0.39811061984495411</v>
      </c>
      <c r="M258">
        <f t="shared" si="40"/>
        <v>0.42098952721414584</v>
      </c>
      <c r="N258">
        <f t="shared" si="41"/>
        <v>24.897076250118555</v>
      </c>
      <c r="O258">
        <f t="shared" si="42"/>
        <v>26.033687816710184</v>
      </c>
      <c r="P258" t="str" cm="1">
        <f t="array" ref="P258">IF($N258="","",IFERROR(IF(INDEX(geo_grid!$B$2:$JU$231,INT(($N258+40)/0.5)+1,INT(($O258+30)/0.5)+1)="","",INDEX(geo_grid!$B$2:$JU$231,INT(($N258+40)/0.5)+1,INT(($O258+30)/0.5)+1)),"OUTSIDE GRID"))</f>
        <v>EGY</v>
      </c>
      <c r="Q258">
        <f t="shared" si="43"/>
        <v>2105</v>
      </c>
    </row>
    <row r="259" spans="1:17" x14ac:dyDescent="0.3">
      <c r="A259">
        <f t="shared" ref="A259:A322" si="44">INT((ROW()-2)/151)+1</f>
        <v>2</v>
      </c>
      <c r="B259">
        <f t="shared" ref="B259:B322" si="45">MOD(ROW()-2,151)</f>
        <v>106</v>
      </c>
      <c r="C259" cm="1">
        <f t="array" ref="C259">IFERROR(INDEX('TRIP MANAGER'!$O$18:$O$25,$A259),"")</f>
        <v>12.133699999999999</v>
      </c>
      <c r="D259" cm="1">
        <f t="array" ref="D259">IFERROR(INDEX('TRIP MANAGER'!$P$18:$P$25,$A259),"")</f>
        <v>15.034000000000001</v>
      </c>
      <c r="E259" cm="1">
        <f t="array" ref="E259">IFERROR(INDEX('TRIP MANAGER'!$Q$18:$Q$25,$A259),"")</f>
        <v>30.111529999999998</v>
      </c>
      <c r="F259" cm="1">
        <f t="array" ref="F259">IFERROR(INDEX('TRIP MANAGER'!$R$18:$R$25,$A259),"")</f>
        <v>31.39669</v>
      </c>
      <c r="G259" cm="1">
        <f t="array" ref="G259">IFERROR(INDEX('TRIP MANAGER'!$S$18:$S$25,$A259),"")</f>
        <v>0.41049814416825092</v>
      </c>
      <c r="H259">
        <f t="shared" ref="H259:H322" si="46">$B259/150</f>
        <v>0.70666666666666667</v>
      </c>
      <c r="I259">
        <f t="shared" ref="I259:I322" si="47">IF(OR($G259="",$G259=0),"",SIN((1-$H259)*$G259)/SIN($G259))</f>
        <v>0.30100779397660471</v>
      </c>
      <c r="J259">
        <f t="shared" ref="J259:J322" si="48">IF($I259="","",SIN($H259*$G259)/SIN($G259))</f>
        <v>0.71675842354306285</v>
      </c>
      <c r="K259">
        <f t="shared" ref="K259:K322" si="49">IF($I259="","",$I259*COS(RADIANS($C259))*COS(RADIANS($D259))+$J259*COS(RADIANS($E259))*COS(RADIANS($F259)))</f>
        <v>0.8134581631430956</v>
      </c>
      <c r="L259">
        <f t="shared" ref="L259:L322" si="50">IF($I259="","",$I259*COS(RADIANS($C259))*SIN(RADIANS($D259))+$J259*COS(RADIANS($E259))*SIN(RADIANS($F259)))</f>
        <v>0.39934695109019047</v>
      </c>
      <c r="M259">
        <f t="shared" ref="M259:M322" si="51">IF($I259="","",$I259*SIN(RADIANS($C259))+$J259*SIN(RADIANS($E259)))</f>
        <v>0.42285674816754404</v>
      </c>
      <c r="N259">
        <f t="shared" ref="N259:N322" si="52">IF($M259="","",DEGREES(ATAN2(SQRT($K259^2+$L259^2),$M259)))</f>
        <v>25.015077774370809</v>
      </c>
      <c r="O259">
        <f t="shared" ref="O259:O322" si="53">IF($M259="","",DEGREES(ATAN2($K259,$L259)))</f>
        <v>26.147575876645295</v>
      </c>
      <c r="P259" t="str" cm="1">
        <f t="array" ref="P259">IF($N259="","",IFERROR(IF(INDEX(geo_grid!$B$2:$JU$231,INT(($N259+40)/0.5)+1,INT(($O259+30)/0.5)+1)="","",INDEX(geo_grid!$B$2:$JU$231,INT(($N259+40)/0.5)+1,INT(($O259+30)/0.5)+1)),"OUTSIDE GRID"))</f>
        <v>EGY</v>
      </c>
      <c r="Q259">
        <f t="shared" ref="Q259:Q322" si="54">IF($P259="","",$A259*1000+$B259)</f>
        <v>2106</v>
      </c>
    </row>
    <row r="260" spans="1:17" x14ac:dyDescent="0.3">
      <c r="A260">
        <f t="shared" si="44"/>
        <v>2</v>
      </c>
      <c r="B260">
        <f t="shared" si="45"/>
        <v>107</v>
      </c>
      <c r="C260" cm="1">
        <f t="array" ref="C260">IFERROR(INDEX('TRIP MANAGER'!$O$18:$O$25,$A260),"")</f>
        <v>12.133699999999999</v>
      </c>
      <c r="D260" cm="1">
        <f t="array" ref="D260">IFERROR(INDEX('TRIP MANAGER'!$P$18:$P$25,$A260),"")</f>
        <v>15.034000000000001</v>
      </c>
      <c r="E260" cm="1">
        <f t="array" ref="E260">IFERROR(INDEX('TRIP MANAGER'!$Q$18:$Q$25,$A260),"")</f>
        <v>30.111529999999998</v>
      </c>
      <c r="F260" cm="1">
        <f t="array" ref="F260">IFERROR(INDEX('TRIP MANAGER'!$R$18:$R$25,$A260),"")</f>
        <v>31.39669</v>
      </c>
      <c r="G260" cm="1">
        <f t="array" ref="G260">IFERROR(INDEX('TRIP MANAGER'!$S$18:$S$25,$A260),"")</f>
        <v>0.41049814416825092</v>
      </c>
      <c r="H260">
        <f t="shared" si="46"/>
        <v>0.71333333333333337</v>
      </c>
      <c r="I260">
        <f t="shared" si="47"/>
        <v>0.29419868460340937</v>
      </c>
      <c r="J260">
        <f t="shared" si="48"/>
        <v>0.72332686121224277</v>
      </c>
      <c r="K260">
        <f t="shared" si="49"/>
        <v>0.81187909826490134</v>
      </c>
      <c r="L260">
        <f t="shared" si="50"/>
        <v>0.40058029151746655</v>
      </c>
      <c r="M260">
        <f t="shared" si="51"/>
        <v>0.42472080223171571</v>
      </c>
      <c r="N260">
        <f t="shared" si="52"/>
        <v>25.13299238579836</v>
      </c>
      <c r="O260">
        <f t="shared" si="53"/>
        <v>26.261682965679647</v>
      </c>
      <c r="P260" t="str" cm="1">
        <f t="array" ref="P260">IF($N260="","",IFERROR(IF(INDEX(geo_grid!$B$2:$JU$231,INT(($N260+40)/0.5)+1,INT(($O260+30)/0.5)+1)="","",INDEX(geo_grid!$B$2:$JU$231,INT(($N260+40)/0.5)+1,INT(($O260+30)/0.5)+1)),"OUTSIDE GRID"))</f>
        <v>EGY</v>
      </c>
      <c r="Q260">
        <f t="shared" si="54"/>
        <v>2107</v>
      </c>
    </row>
    <row r="261" spans="1:17" x14ac:dyDescent="0.3">
      <c r="A261">
        <f t="shared" si="44"/>
        <v>2</v>
      </c>
      <c r="B261">
        <f t="shared" si="45"/>
        <v>108</v>
      </c>
      <c r="C261" cm="1">
        <f t="array" ref="C261">IFERROR(INDEX('TRIP MANAGER'!$O$18:$O$25,$A261),"")</f>
        <v>12.133699999999999</v>
      </c>
      <c r="D261" cm="1">
        <f t="array" ref="D261">IFERROR(INDEX('TRIP MANAGER'!$P$18:$P$25,$A261),"")</f>
        <v>15.034000000000001</v>
      </c>
      <c r="E261" cm="1">
        <f t="array" ref="E261">IFERROR(INDEX('TRIP MANAGER'!$Q$18:$Q$25,$A261),"")</f>
        <v>30.111529999999998</v>
      </c>
      <c r="F261" cm="1">
        <f t="array" ref="F261">IFERROR(INDEX('TRIP MANAGER'!$R$18:$R$25,$A261),"")</f>
        <v>31.39669</v>
      </c>
      <c r="G261" cm="1">
        <f t="array" ref="G261">IFERROR(INDEX('TRIP MANAGER'!$S$18:$S$25,$A261),"")</f>
        <v>0.41049814416825092</v>
      </c>
      <c r="H261">
        <f t="shared" si="46"/>
        <v>0.72</v>
      </c>
      <c r="I261">
        <f t="shared" si="47"/>
        <v>0.28738737189622737</v>
      </c>
      <c r="J261">
        <f t="shared" si="48"/>
        <v>0.72988988168977553</v>
      </c>
      <c r="K261">
        <f t="shared" si="49"/>
        <v>0.81029395300326579</v>
      </c>
      <c r="L261">
        <f t="shared" si="50"/>
        <v>0.40181063188996013</v>
      </c>
      <c r="M261">
        <f t="shared" si="51"/>
        <v>0.42658167544625269</v>
      </c>
      <c r="N261">
        <f t="shared" si="52"/>
        <v>25.250819448732006</v>
      </c>
      <c r="O261">
        <f t="shared" si="53"/>
        <v>26.376010522605309</v>
      </c>
      <c r="P261" t="str" cm="1">
        <f t="array" ref="P261">IF($N261="","",IFERROR(IF(INDEX(geo_grid!$B$2:$JU$231,INT(($N261+40)/0.5)+1,INT(($O261+30)/0.5)+1)="","",INDEX(geo_grid!$B$2:$JU$231,INT(($N261+40)/0.5)+1,INT(($O261+30)/0.5)+1)),"OUTSIDE GRID"))</f>
        <v>EGY</v>
      </c>
      <c r="Q261">
        <f t="shared" si="54"/>
        <v>2108</v>
      </c>
    </row>
    <row r="262" spans="1:17" x14ac:dyDescent="0.3">
      <c r="A262">
        <f t="shared" si="44"/>
        <v>2</v>
      </c>
      <c r="B262">
        <f t="shared" si="45"/>
        <v>109</v>
      </c>
      <c r="C262" cm="1">
        <f t="array" ref="C262">IFERROR(INDEX('TRIP MANAGER'!$O$18:$O$25,$A262),"")</f>
        <v>12.133699999999999</v>
      </c>
      <c r="D262" cm="1">
        <f t="array" ref="D262">IFERROR(INDEX('TRIP MANAGER'!$P$18:$P$25,$A262),"")</f>
        <v>15.034000000000001</v>
      </c>
      <c r="E262" cm="1">
        <f t="array" ref="E262">IFERROR(INDEX('TRIP MANAGER'!$Q$18:$Q$25,$A262),"")</f>
        <v>30.111529999999998</v>
      </c>
      <c r="F262" cm="1">
        <f t="array" ref="F262">IFERROR(INDEX('TRIP MANAGER'!$R$18:$R$25,$A262),"")</f>
        <v>31.39669</v>
      </c>
      <c r="G262" cm="1">
        <f t="array" ref="G262">IFERROR(INDEX('TRIP MANAGER'!$S$18:$S$25,$A262),"")</f>
        <v>0.41049814416825092</v>
      </c>
      <c r="H262">
        <f t="shared" si="46"/>
        <v>0.72666666666666668</v>
      </c>
      <c r="I262">
        <f t="shared" si="47"/>
        <v>0.28057390686683248</v>
      </c>
      <c r="J262">
        <f t="shared" si="48"/>
        <v>0.73644743582341554</v>
      </c>
      <c r="K262">
        <f t="shared" si="49"/>
        <v>0.8087027392297732</v>
      </c>
      <c r="L262">
        <f t="shared" si="50"/>
        <v>0.40303796299331773</v>
      </c>
      <c r="M262">
        <f t="shared" si="51"/>
        <v>0.42843935387456938</v>
      </c>
      <c r="N262">
        <f t="shared" si="52"/>
        <v>25.368558324033202</v>
      </c>
      <c r="O262">
        <f t="shared" si="53"/>
        <v>26.490559991374329</v>
      </c>
      <c r="P262" t="str" cm="1">
        <f t="array" ref="P262">IF($N262="","",IFERROR(IF(INDEX(geo_grid!$B$2:$JU$231,INT(($N262+40)/0.5)+1,INT(($O262+30)/0.5)+1)="","",INDEX(geo_grid!$B$2:$JU$231,INT(($N262+40)/0.5)+1,INT(($O262+30)/0.5)+1)),"OUTSIDE GRID"))</f>
        <v>EGY</v>
      </c>
      <c r="Q262">
        <f t="shared" si="54"/>
        <v>2109</v>
      </c>
    </row>
    <row r="263" spans="1:17" x14ac:dyDescent="0.3">
      <c r="A263">
        <f t="shared" si="44"/>
        <v>2</v>
      </c>
      <c r="B263">
        <f t="shared" si="45"/>
        <v>110</v>
      </c>
      <c r="C263" cm="1">
        <f t="array" ref="C263">IFERROR(INDEX('TRIP MANAGER'!$O$18:$O$25,$A263),"")</f>
        <v>12.133699999999999</v>
      </c>
      <c r="D263" cm="1">
        <f t="array" ref="D263">IFERROR(INDEX('TRIP MANAGER'!$P$18:$P$25,$A263),"")</f>
        <v>15.034000000000001</v>
      </c>
      <c r="E263" cm="1">
        <f t="array" ref="E263">IFERROR(INDEX('TRIP MANAGER'!$Q$18:$Q$25,$A263),"")</f>
        <v>30.111529999999998</v>
      </c>
      <c r="F263" cm="1">
        <f t="array" ref="F263">IFERROR(INDEX('TRIP MANAGER'!$R$18:$R$25,$A263),"")</f>
        <v>31.39669</v>
      </c>
      <c r="G263" cm="1">
        <f t="array" ref="G263">IFERROR(INDEX('TRIP MANAGER'!$S$18:$S$25,$A263),"")</f>
        <v>0.41049814416825092</v>
      </c>
      <c r="H263">
        <f t="shared" si="46"/>
        <v>0.73333333333333328</v>
      </c>
      <c r="I263">
        <f t="shared" si="47"/>
        <v>0.27375834054311809</v>
      </c>
      <c r="J263">
        <f t="shared" si="48"/>
        <v>0.74299947450185566</v>
      </c>
      <c r="K263">
        <f t="shared" si="49"/>
        <v>0.80710546886145629</v>
      </c>
      <c r="L263">
        <f t="shared" si="50"/>
        <v>0.40426227563572259</v>
      </c>
      <c r="M263">
        <f t="shared" si="51"/>
        <v>0.43029382360400653</v>
      </c>
      <c r="N263">
        <f t="shared" si="52"/>
        <v>25.486208369067022</v>
      </c>
      <c r="O263">
        <f t="shared" si="53"/>
        <v>26.605332821114391</v>
      </c>
      <c r="P263" t="str" cm="1">
        <f t="array" ref="P263">IF($N263="","",IFERROR(IF(INDEX(geo_grid!$B$2:$JU$231,INT(($N263+40)/0.5)+1,INT(($O263+30)/0.5)+1)="","",INDEX(geo_grid!$B$2:$JU$231,INT(($N263+40)/0.5)+1,INT(($O263+30)/0.5)+1)),"OUTSIDE GRID"))</f>
        <v>EGY</v>
      </c>
      <c r="Q263">
        <f t="shared" si="54"/>
        <v>2110</v>
      </c>
    </row>
    <row r="264" spans="1:17" x14ac:dyDescent="0.3">
      <c r="A264">
        <f t="shared" si="44"/>
        <v>2</v>
      </c>
      <c r="B264">
        <f t="shared" si="45"/>
        <v>111</v>
      </c>
      <c r="C264" cm="1">
        <f t="array" ref="C264">IFERROR(INDEX('TRIP MANAGER'!$O$18:$O$25,$A264),"")</f>
        <v>12.133699999999999</v>
      </c>
      <c r="D264" cm="1">
        <f t="array" ref="D264">IFERROR(INDEX('TRIP MANAGER'!$P$18:$P$25,$A264),"")</f>
        <v>15.034000000000001</v>
      </c>
      <c r="E264" cm="1">
        <f t="array" ref="E264">IFERROR(INDEX('TRIP MANAGER'!$Q$18:$Q$25,$A264),"")</f>
        <v>30.111529999999998</v>
      </c>
      <c r="F264" cm="1">
        <f t="array" ref="F264">IFERROR(INDEX('TRIP MANAGER'!$R$18:$R$25,$A264),"")</f>
        <v>31.39669</v>
      </c>
      <c r="G264" cm="1">
        <f t="array" ref="G264">IFERROR(INDEX('TRIP MANAGER'!$S$18:$S$25,$A264),"")</f>
        <v>0.41049814416825092</v>
      </c>
      <c r="H264">
        <f t="shared" si="46"/>
        <v>0.74</v>
      </c>
      <c r="I264">
        <f t="shared" si="47"/>
        <v>0.26694072396871449</v>
      </c>
      <c r="J264">
        <f t="shared" si="48"/>
        <v>0.74954594865509583</v>
      </c>
      <c r="K264">
        <f t="shared" si="49"/>
        <v>0.80550215386070723</v>
      </c>
      <c r="L264">
        <f t="shared" si="50"/>
        <v>0.40548356064796437</v>
      </c>
      <c r="M264">
        <f t="shared" si="51"/>
        <v>0.43214507074593589</v>
      </c>
      <c r="N264">
        <f t="shared" si="52"/>
        <v>25.603768937675003</v>
      </c>
      <c r="O264">
        <f t="shared" si="53"/>
        <v>26.720330466144098</v>
      </c>
      <c r="P264" t="str" cm="1">
        <f t="array" ref="P264">IF($N264="","",IFERROR(IF(INDEX(geo_grid!$B$2:$JU$231,INT(($N264+40)/0.5)+1,INT(($O264+30)/0.5)+1)="","",INDEX(geo_grid!$B$2:$JU$231,INT(($N264+40)/0.5)+1,INT(($O264+30)/0.5)+1)),"OUTSIDE GRID"))</f>
        <v>EGY</v>
      </c>
      <c r="Q264">
        <f t="shared" si="54"/>
        <v>2111</v>
      </c>
    </row>
    <row r="265" spans="1:17" x14ac:dyDescent="0.3">
      <c r="A265">
        <f t="shared" si="44"/>
        <v>2</v>
      </c>
      <c r="B265">
        <f t="shared" si="45"/>
        <v>112</v>
      </c>
      <c r="C265" cm="1">
        <f t="array" ref="C265">IFERROR(INDEX('TRIP MANAGER'!$O$18:$O$25,$A265),"")</f>
        <v>12.133699999999999</v>
      </c>
      <c r="D265" cm="1">
        <f t="array" ref="D265">IFERROR(INDEX('TRIP MANAGER'!$P$18:$P$25,$A265),"")</f>
        <v>15.034000000000001</v>
      </c>
      <c r="E265" cm="1">
        <f t="array" ref="E265">IFERROR(INDEX('TRIP MANAGER'!$Q$18:$Q$25,$A265),"")</f>
        <v>30.111529999999998</v>
      </c>
      <c r="F265" cm="1">
        <f t="array" ref="F265">IFERROR(INDEX('TRIP MANAGER'!$R$18:$R$25,$A265),"")</f>
        <v>31.39669</v>
      </c>
      <c r="G265" cm="1">
        <f t="array" ref="G265">IFERROR(INDEX('TRIP MANAGER'!$S$18:$S$25,$A265),"")</f>
        <v>0.41049814416825092</v>
      </c>
      <c r="H265">
        <f t="shared" si="46"/>
        <v>0.7466666666666667</v>
      </c>
      <c r="I265">
        <f t="shared" si="47"/>
        <v>0.26012110820260692</v>
      </c>
      <c r="J265">
        <f t="shared" si="48"/>
        <v>0.75608680925481009</v>
      </c>
      <c r="K265">
        <f t="shared" si="49"/>
        <v>0.80389280623518844</v>
      </c>
      <c r="L265">
        <f t="shared" si="50"/>
        <v>0.40670180888350732</v>
      </c>
      <c r="M265">
        <f t="shared" si="51"/>
        <v>0.43399308143586396</v>
      </c>
      <c r="N265">
        <f t="shared" si="52"/>
        <v>25.721239380147917</v>
      </c>
      <c r="O265">
        <f t="shared" si="53"/>
        <v>26.835554385987777</v>
      </c>
      <c r="P265" t="str" cm="1">
        <f t="array" ref="P265">IF($N265="","",IFERROR(IF(INDEX(geo_grid!$B$2:$JU$231,INT(($N265+40)/0.5)+1,INT(($O265+30)/0.5)+1)="","",INDEX(geo_grid!$B$2:$JU$231,INT(($N265+40)/0.5)+1,INT(($O265+30)/0.5)+1)),"OUTSIDE GRID"))</f>
        <v>EGY</v>
      </c>
      <c r="Q265">
        <f t="shared" si="54"/>
        <v>2112</v>
      </c>
    </row>
    <row r="266" spans="1:17" x14ac:dyDescent="0.3">
      <c r="A266">
        <f t="shared" si="44"/>
        <v>2</v>
      </c>
      <c r="B266">
        <f t="shared" si="45"/>
        <v>113</v>
      </c>
      <c r="C266" cm="1">
        <f t="array" ref="C266">IFERROR(INDEX('TRIP MANAGER'!$O$18:$O$25,$A266),"")</f>
        <v>12.133699999999999</v>
      </c>
      <c r="D266" cm="1">
        <f t="array" ref="D266">IFERROR(INDEX('TRIP MANAGER'!$P$18:$P$25,$A266),"")</f>
        <v>15.034000000000001</v>
      </c>
      <c r="E266" cm="1">
        <f t="array" ref="E266">IFERROR(INDEX('TRIP MANAGER'!$Q$18:$Q$25,$A266),"")</f>
        <v>30.111529999999998</v>
      </c>
      <c r="F266" cm="1">
        <f t="array" ref="F266">IFERROR(INDEX('TRIP MANAGER'!$R$18:$R$25,$A266),"")</f>
        <v>31.39669</v>
      </c>
      <c r="G266" cm="1">
        <f t="array" ref="G266">IFERROR(INDEX('TRIP MANAGER'!$S$18:$S$25,$A266),"")</f>
        <v>0.41049814416825092</v>
      </c>
      <c r="H266">
        <f t="shared" si="46"/>
        <v>0.7533333333333333</v>
      </c>
      <c r="I266">
        <f t="shared" si="47"/>
        <v>0.25329954431875346</v>
      </c>
      <c r="J266">
        <f t="shared" si="48"/>
        <v>0.76262200731471419</v>
      </c>
      <c r="K266">
        <f t="shared" si="49"/>
        <v>0.80227743803774243</v>
      </c>
      <c r="L266">
        <f t="shared" si="50"/>
        <v>0.40791701121855911</v>
      </c>
      <c r="M266">
        <f t="shared" si="51"/>
        <v>0.43583784183353608</v>
      </c>
      <c r="N266">
        <f t="shared" si="52"/>
        <v>25.838619043198285</v>
      </c>
      <c r="O266">
        <f t="shared" si="53"/>
        <v>26.951006045389992</v>
      </c>
      <c r="P266" t="str" cm="1">
        <f t="array" ref="P266">IF($N266="","",IFERROR(IF(INDEX(geo_grid!$B$2:$JU$231,INT(($N266+40)/0.5)+1,INT(($O266+30)/0.5)+1)="","",INDEX(geo_grid!$B$2:$JU$231,INT(($N266+40)/0.5)+1,INT(($O266+30)/0.5)+1)),"OUTSIDE GRID"))</f>
        <v>EGY</v>
      </c>
      <c r="Q266">
        <f t="shared" si="54"/>
        <v>2113</v>
      </c>
    </row>
    <row r="267" spans="1:17" x14ac:dyDescent="0.3">
      <c r="A267">
        <f t="shared" si="44"/>
        <v>2</v>
      </c>
      <c r="B267">
        <f t="shared" si="45"/>
        <v>114</v>
      </c>
      <c r="C267" cm="1">
        <f t="array" ref="C267">IFERROR(INDEX('TRIP MANAGER'!$O$18:$O$25,$A267),"")</f>
        <v>12.133699999999999</v>
      </c>
      <c r="D267" cm="1">
        <f t="array" ref="D267">IFERROR(INDEX('TRIP MANAGER'!$P$18:$P$25,$A267),"")</f>
        <v>15.034000000000001</v>
      </c>
      <c r="E267" cm="1">
        <f t="array" ref="E267">IFERROR(INDEX('TRIP MANAGER'!$Q$18:$Q$25,$A267),"")</f>
        <v>30.111529999999998</v>
      </c>
      <c r="F267" cm="1">
        <f t="array" ref="F267">IFERROR(INDEX('TRIP MANAGER'!$R$18:$R$25,$A267),"")</f>
        <v>31.39669</v>
      </c>
      <c r="G267" cm="1">
        <f t="array" ref="G267">IFERROR(INDEX('TRIP MANAGER'!$S$18:$S$25,$A267),"")</f>
        <v>0.41049814416825092</v>
      </c>
      <c r="H267">
        <f t="shared" si="46"/>
        <v>0.76</v>
      </c>
      <c r="I267">
        <f t="shared" si="47"/>
        <v>0.24647608340570137</v>
      </c>
      <c r="J267">
        <f t="shared" si="48"/>
        <v>0.76915149389093151</v>
      </c>
      <c r="K267">
        <f t="shared" si="49"/>
        <v>0.80065606136630052</v>
      </c>
      <c r="L267">
        <f t="shared" si="50"/>
        <v>0.40912915855213861</v>
      </c>
      <c r="M267">
        <f t="shared" si="51"/>
        <v>0.43767933812303944</v>
      </c>
      <c r="N267">
        <f t="shared" si="52"/>
        <v>25.955907269932894</v>
      </c>
      <c r="O267">
        <f t="shared" si="53"/>
        <v>27.066686914329519</v>
      </c>
      <c r="P267" t="str" cm="1">
        <f t="array" ref="P267">IF($N267="","",IFERROR(IF(INDEX(geo_grid!$B$2:$JU$231,INT(($N267+40)/0.5)+1,INT(($O267+30)/0.5)+1)="","",INDEX(geo_grid!$B$2:$JU$231,INT(($N267+40)/0.5)+1,INT(($O267+30)/0.5)+1)),"OUTSIDE GRID"))</f>
        <v>EGY</v>
      </c>
      <c r="Q267">
        <f t="shared" si="54"/>
        <v>2114</v>
      </c>
    </row>
    <row r="268" spans="1:17" x14ac:dyDescent="0.3">
      <c r="A268">
        <f t="shared" si="44"/>
        <v>2</v>
      </c>
      <c r="B268">
        <f t="shared" si="45"/>
        <v>115</v>
      </c>
      <c r="C268" cm="1">
        <f t="array" ref="C268">IFERROR(INDEX('TRIP MANAGER'!$O$18:$O$25,$A268),"")</f>
        <v>12.133699999999999</v>
      </c>
      <c r="D268" cm="1">
        <f t="array" ref="D268">IFERROR(INDEX('TRIP MANAGER'!$P$18:$P$25,$A268),"")</f>
        <v>15.034000000000001</v>
      </c>
      <c r="E268" cm="1">
        <f t="array" ref="E268">IFERROR(INDEX('TRIP MANAGER'!$Q$18:$Q$25,$A268),"")</f>
        <v>30.111529999999998</v>
      </c>
      <c r="F268" cm="1">
        <f t="array" ref="F268">IFERROR(INDEX('TRIP MANAGER'!$R$18:$R$25,$A268),"")</f>
        <v>31.39669</v>
      </c>
      <c r="G268" cm="1">
        <f t="array" ref="G268">IFERROR(INDEX('TRIP MANAGER'!$S$18:$S$25,$A268),"")</f>
        <v>0.41049814416825092</v>
      </c>
      <c r="H268">
        <f t="shared" si="46"/>
        <v>0.76666666666666672</v>
      </c>
      <c r="I268">
        <f t="shared" si="47"/>
        <v>0.23965077656620606</v>
      </c>
      <c r="J268">
        <f t="shared" si="48"/>
        <v>0.77567522008236101</v>
      </c>
      <c r="K268">
        <f t="shared" si="49"/>
        <v>0.79902868836379393</v>
      </c>
      <c r="L268">
        <f t="shared" si="50"/>
        <v>0.41033824180614487</v>
      </c>
      <c r="M268">
        <f t="shared" si="51"/>
        <v>0.43951755651290758</v>
      </c>
      <c r="N268">
        <f t="shared" si="52"/>
        <v>26.07310339982509</v>
      </c>
      <c r="O268">
        <f t="shared" si="53"/>
        <v>27.182598468032911</v>
      </c>
      <c r="P268" t="str" cm="1">
        <f t="array" ref="P268">IF($N268="","",IFERROR(IF(INDEX(geo_grid!$B$2:$JU$231,INT(($N268+40)/0.5)+1,INT(($O268+30)/0.5)+1)="","",INDEX(geo_grid!$B$2:$JU$231,INT(($N268+40)/0.5)+1,INT(($O268+30)/0.5)+1)),"OUTSIDE GRID"))</f>
        <v>EGY</v>
      </c>
      <c r="Q268">
        <f t="shared" si="54"/>
        <v>2115</v>
      </c>
    </row>
    <row r="269" spans="1:17" x14ac:dyDescent="0.3">
      <c r="A269">
        <f t="shared" si="44"/>
        <v>2</v>
      </c>
      <c r="B269">
        <f t="shared" si="45"/>
        <v>116</v>
      </c>
      <c r="C269" cm="1">
        <f t="array" ref="C269">IFERROR(INDEX('TRIP MANAGER'!$O$18:$O$25,$A269),"")</f>
        <v>12.133699999999999</v>
      </c>
      <c r="D269" cm="1">
        <f t="array" ref="D269">IFERROR(INDEX('TRIP MANAGER'!$P$18:$P$25,$A269),"")</f>
        <v>15.034000000000001</v>
      </c>
      <c r="E269" cm="1">
        <f t="array" ref="E269">IFERROR(INDEX('TRIP MANAGER'!$Q$18:$Q$25,$A269),"")</f>
        <v>30.111529999999998</v>
      </c>
      <c r="F269" cm="1">
        <f t="array" ref="F269">IFERROR(INDEX('TRIP MANAGER'!$R$18:$R$25,$A269),"")</f>
        <v>31.39669</v>
      </c>
      <c r="G269" cm="1">
        <f t="array" ref="G269">IFERROR(INDEX('TRIP MANAGER'!$S$18:$S$25,$A269),"")</f>
        <v>0.41049814416825092</v>
      </c>
      <c r="H269">
        <f t="shared" si="46"/>
        <v>0.77333333333333332</v>
      </c>
      <c r="I269">
        <f t="shared" si="47"/>
        <v>0.23282367491684747</v>
      </c>
      <c r="J269">
        <f t="shared" si="48"/>
        <v>0.7821931370310421</v>
      </c>
      <c r="K269">
        <f t="shared" si="49"/>
        <v>0.79739533121806194</v>
      </c>
      <c r="L269">
        <f t="shared" si="50"/>
        <v>0.41154425192542426</v>
      </c>
      <c r="M269">
        <f t="shared" si="51"/>
        <v>0.44135248323622267</v>
      </c>
      <c r="N269">
        <f t="shared" si="52"/>
        <v>26.190206768686938</v>
      </c>
      <c r="O269">
        <f t="shared" si="53"/>
        <v>27.298742186987621</v>
      </c>
      <c r="P269" t="str" cm="1">
        <f t="array" ref="P269">IF($N269="","",IFERROR(IF(INDEX(geo_grid!$B$2:$JU$231,INT(($N269+40)/0.5)+1,INT(($O269+30)/0.5)+1)="","",INDEX(geo_grid!$B$2:$JU$231,INT(($N269+40)/0.5)+1,INT(($O269+30)/0.5)+1)),"OUTSIDE GRID"))</f>
        <v>EGY</v>
      </c>
      <c r="Q269">
        <f t="shared" si="54"/>
        <v>2116</v>
      </c>
    </row>
    <row r="270" spans="1:17" x14ac:dyDescent="0.3">
      <c r="A270">
        <f t="shared" si="44"/>
        <v>2</v>
      </c>
      <c r="B270">
        <f t="shared" si="45"/>
        <v>117</v>
      </c>
      <c r="C270" cm="1">
        <f t="array" ref="C270">IFERROR(INDEX('TRIP MANAGER'!$O$18:$O$25,$A270),"")</f>
        <v>12.133699999999999</v>
      </c>
      <c r="D270" cm="1">
        <f t="array" ref="D270">IFERROR(INDEX('TRIP MANAGER'!$P$18:$P$25,$A270),"")</f>
        <v>15.034000000000001</v>
      </c>
      <c r="E270" cm="1">
        <f t="array" ref="E270">IFERROR(INDEX('TRIP MANAGER'!$Q$18:$Q$25,$A270),"")</f>
        <v>30.111529999999998</v>
      </c>
      <c r="F270" cm="1">
        <f t="array" ref="F270">IFERROR(INDEX('TRIP MANAGER'!$R$18:$R$25,$A270),"")</f>
        <v>31.39669</v>
      </c>
      <c r="G270" cm="1">
        <f t="array" ref="G270">IFERROR(INDEX('TRIP MANAGER'!$S$18:$S$25,$A270),"")</f>
        <v>0.41049814416825092</v>
      </c>
      <c r="H270">
        <f t="shared" si="46"/>
        <v>0.78</v>
      </c>
      <c r="I270">
        <f t="shared" si="47"/>
        <v>0.2259948295876468</v>
      </c>
      <c r="J270">
        <f t="shared" si="48"/>
        <v>0.78870519592252197</v>
      </c>
      <c r="K270">
        <f t="shared" si="49"/>
        <v>0.79575600216176023</v>
      </c>
      <c r="L270">
        <f t="shared" si="50"/>
        <v>0.4127471798778391</v>
      </c>
      <c r="M270">
        <f t="shared" si="51"/>
        <v>0.44318410455071955</v>
      </c>
      <c r="N270">
        <f t="shared" si="52"/>
        <v>26.307216708641352</v>
      </c>
      <c r="O270">
        <f t="shared" si="53"/>
        <v>27.41511955695476</v>
      </c>
      <c r="P270" t="str" cm="1">
        <f t="array" ref="P270">IF($N270="","",IFERROR(IF(INDEX(geo_grid!$B$2:$JU$231,INT(($N270+40)/0.5)+1,INT(($O270+30)/0.5)+1)="","",INDEX(geo_grid!$B$2:$JU$231,INT(($N270+40)/0.5)+1,INT(($O270+30)/0.5)+1)),"OUTSIDE GRID"))</f>
        <v>EGY</v>
      </c>
      <c r="Q270">
        <f t="shared" si="54"/>
        <v>2117</v>
      </c>
    </row>
    <row r="271" spans="1:17" x14ac:dyDescent="0.3">
      <c r="A271">
        <f t="shared" si="44"/>
        <v>2</v>
      </c>
      <c r="B271">
        <f t="shared" si="45"/>
        <v>118</v>
      </c>
      <c r="C271" cm="1">
        <f t="array" ref="C271">IFERROR(INDEX('TRIP MANAGER'!$O$18:$O$25,$A271),"")</f>
        <v>12.133699999999999</v>
      </c>
      <c r="D271" cm="1">
        <f t="array" ref="D271">IFERROR(INDEX('TRIP MANAGER'!$P$18:$P$25,$A271),"")</f>
        <v>15.034000000000001</v>
      </c>
      <c r="E271" cm="1">
        <f t="array" ref="E271">IFERROR(INDEX('TRIP MANAGER'!$Q$18:$Q$25,$A271),"")</f>
        <v>30.111529999999998</v>
      </c>
      <c r="F271" cm="1">
        <f t="array" ref="F271">IFERROR(INDEX('TRIP MANAGER'!$R$18:$R$25,$A271),"")</f>
        <v>31.39669</v>
      </c>
      <c r="G271" cm="1">
        <f t="array" ref="G271">IFERROR(INDEX('TRIP MANAGER'!$S$18:$S$25,$A271),"")</f>
        <v>0.41049814416825092</v>
      </c>
      <c r="H271">
        <f t="shared" si="46"/>
        <v>0.78666666666666663</v>
      </c>
      <c r="I271">
        <f t="shared" si="47"/>
        <v>0.21916429172168483</v>
      </c>
      <c r="J271">
        <f t="shared" si="48"/>
        <v>0.79521134798621973</v>
      </c>
      <c r="K271">
        <f t="shared" si="49"/>
        <v>0.79411071347227069</v>
      </c>
      <c r="L271">
        <f t="shared" si="50"/>
        <v>0.4139470166543347</v>
      </c>
      <c r="M271">
        <f t="shared" si="51"/>
        <v>0.44501240673888776</v>
      </c>
      <c r="N271">
        <f t="shared" si="52"/>
        <v>26.424132548093919</v>
      </c>
      <c r="O271">
        <f t="shared" si="53"/>
        <v>27.531732068981146</v>
      </c>
      <c r="P271" t="str" cm="1">
        <f t="array" ref="P271">IF($N271="","",IFERROR(IF(INDEX(geo_grid!$B$2:$JU$231,INT(($N271+40)/0.5)+1,INT(($O271+30)/0.5)+1)="","",INDEX(geo_grid!$B$2:$JU$231,INT(($N271+40)/0.5)+1,INT(($O271+30)/0.5)+1)),"OUTSIDE GRID"))</f>
        <v>EGY</v>
      </c>
      <c r="Q271">
        <f t="shared" si="54"/>
        <v>2118</v>
      </c>
    </row>
    <row r="272" spans="1:17" x14ac:dyDescent="0.3">
      <c r="A272">
        <f t="shared" si="44"/>
        <v>2</v>
      </c>
      <c r="B272">
        <f t="shared" si="45"/>
        <v>119</v>
      </c>
      <c r="C272" cm="1">
        <f t="array" ref="C272">IFERROR(INDEX('TRIP MANAGER'!$O$18:$O$25,$A272),"")</f>
        <v>12.133699999999999</v>
      </c>
      <c r="D272" cm="1">
        <f t="array" ref="D272">IFERROR(INDEX('TRIP MANAGER'!$P$18:$P$25,$A272),"")</f>
        <v>15.034000000000001</v>
      </c>
      <c r="E272" cm="1">
        <f t="array" ref="E272">IFERROR(INDEX('TRIP MANAGER'!$Q$18:$Q$25,$A272),"")</f>
        <v>30.111529999999998</v>
      </c>
      <c r="F272" cm="1">
        <f t="array" ref="F272">IFERROR(INDEX('TRIP MANAGER'!$R$18:$R$25,$A272),"")</f>
        <v>31.39669</v>
      </c>
      <c r="G272" cm="1">
        <f t="array" ref="G272">IFERROR(INDEX('TRIP MANAGER'!$S$18:$S$25,$A272),"")</f>
        <v>0.41049814416825092</v>
      </c>
      <c r="H272">
        <f t="shared" si="46"/>
        <v>0.79333333333333333</v>
      </c>
      <c r="I272">
        <f t="shared" si="47"/>
        <v>0.21233211247471775</v>
      </c>
      <c r="J272">
        <f t="shared" si="48"/>
        <v>0.80171154449579252</v>
      </c>
      <c r="K272">
        <f t="shared" si="49"/>
        <v>0.79245947747160717</v>
      </c>
      <c r="L272">
        <f t="shared" si="50"/>
        <v>0.41514375326900677</v>
      </c>
      <c r="M272">
        <f t="shared" si="51"/>
        <v>0.44683737610807478</v>
      </c>
      <c r="N272">
        <f t="shared" si="52"/>
        <v>26.540953611704765</v>
      </c>
      <c r="O272">
        <f t="shared" si="53"/>
        <v>27.648581219411138</v>
      </c>
      <c r="P272" t="str" cm="1">
        <f t="array" ref="P272">IF($N272="","",IFERROR(IF(INDEX(geo_grid!$B$2:$JU$231,INT(($N272+40)/0.5)+1,INT(($O272+30)/0.5)+1)="","",INDEX(geo_grid!$B$2:$JU$231,INT(($N272+40)/0.5)+1,INT(($O272+30)/0.5)+1)),"OUTSIDE GRID"))</f>
        <v>EGY</v>
      </c>
      <c r="Q272">
        <f t="shared" si="54"/>
        <v>2119</v>
      </c>
    </row>
    <row r="273" spans="1:17" x14ac:dyDescent="0.3">
      <c r="A273">
        <f t="shared" si="44"/>
        <v>2</v>
      </c>
      <c r="B273">
        <f t="shared" si="45"/>
        <v>120</v>
      </c>
      <c r="C273" cm="1">
        <f t="array" ref="C273">IFERROR(INDEX('TRIP MANAGER'!$O$18:$O$25,$A273),"")</f>
        <v>12.133699999999999</v>
      </c>
      <c r="D273" cm="1">
        <f t="array" ref="D273">IFERROR(INDEX('TRIP MANAGER'!$P$18:$P$25,$A273),"")</f>
        <v>15.034000000000001</v>
      </c>
      <c r="E273" cm="1">
        <f t="array" ref="E273">IFERROR(INDEX('TRIP MANAGER'!$Q$18:$Q$25,$A273),"")</f>
        <v>30.111529999999998</v>
      </c>
      <c r="F273" cm="1">
        <f t="array" ref="F273">IFERROR(INDEX('TRIP MANAGER'!$R$18:$R$25,$A273),"")</f>
        <v>31.39669</v>
      </c>
      <c r="G273" cm="1">
        <f t="array" ref="G273">IFERROR(INDEX('TRIP MANAGER'!$S$18:$S$25,$A273),"")</f>
        <v>0.41049814416825092</v>
      </c>
      <c r="H273">
        <f t="shared" si="46"/>
        <v>0.8</v>
      </c>
      <c r="I273">
        <f t="shared" si="47"/>
        <v>0.20549834301479467</v>
      </c>
      <c r="J273">
        <f t="shared" si="48"/>
        <v>0.80820573676950058</v>
      </c>
      <c r="K273">
        <f t="shared" si="49"/>
        <v>0.79080230652632599</v>
      </c>
      <c r="L273">
        <f t="shared" si="50"/>
        <v>0.4163373807591696</v>
      </c>
      <c r="M273">
        <f t="shared" si="51"/>
        <v>0.4486589989905887</v>
      </c>
      <c r="N273">
        <f t="shared" si="52"/>
        <v>26.657679220360144</v>
      </c>
      <c r="O273">
        <f t="shared" si="53"/>
        <v>27.765668509897822</v>
      </c>
      <c r="P273" t="str" cm="1">
        <f t="array" ref="P273">IF($N273="","",IFERROR(IF(INDEX(geo_grid!$B$2:$JU$231,INT(($N273+40)/0.5)+1,INT(($O273+30)/0.5)+1)="","",INDEX(geo_grid!$B$2:$JU$231,INT(($N273+40)/0.5)+1,INT(($O273+30)/0.5)+1)),"OUTSIDE GRID"))</f>
        <v>EGY</v>
      </c>
      <c r="Q273">
        <f t="shared" si="54"/>
        <v>2120</v>
      </c>
    </row>
    <row r="274" spans="1:17" x14ac:dyDescent="0.3">
      <c r="A274">
        <f t="shared" si="44"/>
        <v>2</v>
      </c>
      <c r="B274">
        <f t="shared" si="45"/>
        <v>121</v>
      </c>
      <c r="C274" cm="1">
        <f t="array" ref="C274">IFERROR(INDEX('TRIP MANAGER'!$O$18:$O$25,$A274),"")</f>
        <v>12.133699999999999</v>
      </c>
      <c r="D274" cm="1">
        <f t="array" ref="D274">IFERROR(INDEX('TRIP MANAGER'!$P$18:$P$25,$A274),"")</f>
        <v>15.034000000000001</v>
      </c>
      <c r="E274" cm="1">
        <f t="array" ref="E274">IFERROR(INDEX('TRIP MANAGER'!$Q$18:$Q$25,$A274),"")</f>
        <v>30.111529999999998</v>
      </c>
      <c r="F274" cm="1">
        <f t="array" ref="F274">IFERROR(INDEX('TRIP MANAGER'!$R$18:$R$25,$A274),"")</f>
        <v>31.39669</v>
      </c>
      <c r="G274" cm="1">
        <f t="array" ref="G274">IFERROR(INDEX('TRIP MANAGER'!$S$18:$S$25,$A274),"")</f>
        <v>0.41049814416825092</v>
      </c>
      <c r="H274">
        <f t="shared" si="46"/>
        <v>0.80666666666666664</v>
      </c>
      <c r="I274">
        <f t="shared" si="47"/>
        <v>0.19866303452187437</v>
      </c>
      <c r="J274">
        <f t="shared" si="48"/>
        <v>0.81469387617057076</v>
      </c>
      <c r="K274">
        <f t="shared" si="49"/>
        <v>0.78913921304743084</v>
      </c>
      <c r="L274">
        <f t="shared" si="50"/>
        <v>0.41752789018542191</v>
      </c>
      <c r="M274">
        <f t="shared" si="51"/>
        <v>0.45047726174379998</v>
      </c>
      <c r="N274">
        <f t="shared" si="52"/>
        <v>26.774308691144046</v>
      </c>
      <c r="O274">
        <f t="shared" si="53"/>
        <v>27.882995447413705</v>
      </c>
      <c r="P274" t="str" cm="1">
        <f t="array" ref="P274">IF($N274="","",IFERROR(IF(INDEX(geo_grid!$B$2:$JU$231,INT(($N274+40)/0.5)+1,INT(($O274+30)/0.5)+1)="","",INDEX(geo_grid!$B$2:$JU$231,INT(($N274+40)/0.5)+1,INT(($O274+30)/0.5)+1)),"OUTSIDE GRID"))</f>
        <v>EGY</v>
      </c>
      <c r="Q274">
        <f t="shared" si="54"/>
        <v>2121</v>
      </c>
    </row>
    <row r="275" spans="1:17" x14ac:dyDescent="0.3">
      <c r="A275">
        <f t="shared" si="44"/>
        <v>2</v>
      </c>
      <c r="B275">
        <f t="shared" si="45"/>
        <v>122</v>
      </c>
      <c r="C275" cm="1">
        <f t="array" ref="C275">IFERROR(INDEX('TRIP MANAGER'!$O$18:$O$25,$A275),"")</f>
        <v>12.133699999999999</v>
      </c>
      <c r="D275" cm="1">
        <f t="array" ref="D275">IFERROR(INDEX('TRIP MANAGER'!$P$18:$P$25,$A275),"")</f>
        <v>15.034000000000001</v>
      </c>
      <c r="E275" cm="1">
        <f t="array" ref="E275">IFERROR(INDEX('TRIP MANAGER'!$Q$18:$Q$25,$A275),"")</f>
        <v>30.111529999999998</v>
      </c>
      <c r="F275" cm="1">
        <f t="array" ref="F275">IFERROR(INDEX('TRIP MANAGER'!$R$18:$R$25,$A275),"")</f>
        <v>31.39669</v>
      </c>
      <c r="G275" cm="1">
        <f t="array" ref="G275">IFERROR(INDEX('TRIP MANAGER'!$S$18:$S$25,$A275),"")</f>
        <v>0.41049814416825092</v>
      </c>
      <c r="H275">
        <f t="shared" si="46"/>
        <v>0.81333333333333335</v>
      </c>
      <c r="I275">
        <f t="shared" si="47"/>
        <v>0.19182623818744149</v>
      </c>
      <c r="J275">
        <f t="shared" si="48"/>
        <v>0.8211759141075623</v>
      </c>
      <c r="K275">
        <f t="shared" si="49"/>
        <v>0.78747020949028113</v>
      </c>
      <c r="L275">
        <f t="shared" si="50"/>
        <v>0.41871527263171482</v>
      </c>
      <c r="M275">
        <f t="shared" si="51"/>
        <v>0.4522921507502442</v>
      </c>
      <c r="N275">
        <f t="shared" si="52"/>
        <v>26.890841337309507</v>
      </c>
      <c r="O275">
        <f t="shared" si="53"/>
        <v>28.00056354426096</v>
      </c>
      <c r="P275" t="str" cm="1">
        <f t="array" ref="P275">IF($N275="","",IFERROR(IF(INDEX(geo_grid!$B$2:$JU$231,INT(($N275+40)/0.5)+1,INT(($O275+30)/0.5)+1)="","",INDEX(geo_grid!$B$2:$JU$231,INT(($N275+40)/0.5)+1,INT(($O275+30)/0.5)+1)),"OUTSIDE GRID"))</f>
        <v>EGY</v>
      </c>
      <c r="Q275">
        <f t="shared" si="54"/>
        <v>2122</v>
      </c>
    </row>
    <row r="276" spans="1:17" x14ac:dyDescent="0.3">
      <c r="A276">
        <f t="shared" si="44"/>
        <v>2</v>
      </c>
      <c r="B276">
        <f t="shared" si="45"/>
        <v>123</v>
      </c>
      <c r="C276" cm="1">
        <f t="array" ref="C276">IFERROR(INDEX('TRIP MANAGER'!$O$18:$O$25,$A276),"")</f>
        <v>12.133699999999999</v>
      </c>
      <c r="D276" cm="1">
        <f t="array" ref="D276">IFERROR(INDEX('TRIP MANAGER'!$P$18:$P$25,$A276),"")</f>
        <v>15.034000000000001</v>
      </c>
      <c r="E276" cm="1">
        <f t="array" ref="E276">IFERROR(INDEX('TRIP MANAGER'!$Q$18:$Q$25,$A276),"")</f>
        <v>30.111529999999998</v>
      </c>
      <c r="F276" cm="1">
        <f t="array" ref="F276">IFERROR(INDEX('TRIP MANAGER'!$R$18:$R$25,$A276),"")</f>
        <v>31.39669</v>
      </c>
      <c r="G276" cm="1">
        <f t="array" ref="G276">IFERROR(INDEX('TRIP MANAGER'!$S$18:$S$25,$A276),"")</f>
        <v>0.41049814416825092</v>
      </c>
      <c r="H276">
        <f t="shared" si="46"/>
        <v>0.82</v>
      </c>
      <c r="I276">
        <f t="shared" si="47"/>
        <v>0.18498800521412398</v>
      </c>
      <c r="J276">
        <f t="shared" si="48"/>
        <v>0.82765180203472921</v>
      </c>
      <c r="K276">
        <f t="shared" si="49"/>
        <v>0.78579530835449873</v>
      </c>
      <c r="L276">
        <f t="shared" si="50"/>
        <v>0.41989951920541801</v>
      </c>
      <c r="M276">
        <f t="shared" si="51"/>
        <v>0.45410365241772382</v>
      </c>
      <c r="N276">
        <f t="shared" si="52"/>
        <v>27.00727646824992</v>
      </c>
      <c r="O276">
        <f t="shared" si="53"/>
        <v>28.118374318081038</v>
      </c>
      <c r="P276" t="str" cm="1">
        <f t="array" ref="P276">IF($N276="","",IFERROR(IF(INDEX(geo_grid!$B$2:$JU$231,INT(($N276+40)/0.5)+1,INT(($O276+30)/0.5)+1)="","",INDEX(geo_grid!$B$2:$JU$231,INT(($N276+40)/0.5)+1,INT(($O276+30)/0.5)+1)),"OUTSIDE GRID"))</f>
        <v>EGY</v>
      </c>
      <c r="Q276">
        <f t="shared" si="54"/>
        <v>2123</v>
      </c>
    </row>
    <row r="277" spans="1:17" x14ac:dyDescent="0.3">
      <c r="A277">
        <f t="shared" si="44"/>
        <v>2</v>
      </c>
      <c r="B277">
        <f t="shared" si="45"/>
        <v>124</v>
      </c>
      <c r="C277" cm="1">
        <f t="array" ref="C277">IFERROR(INDEX('TRIP MANAGER'!$O$18:$O$25,$A277),"")</f>
        <v>12.133699999999999</v>
      </c>
      <c r="D277" cm="1">
        <f t="array" ref="D277">IFERROR(INDEX('TRIP MANAGER'!$P$18:$P$25,$A277),"")</f>
        <v>15.034000000000001</v>
      </c>
      <c r="E277" cm="1">
        <f t="array" ref="E277">IFERROR(INDEX('TRIP MANAGER'!$Q$18:$Q$25,$A277),"")</f>
        <v>30.111529999999998</v>
      </c>
      <c r="F277" cm="1">
        <f t="array" ref="F277">IFERROR(INDEX('TRIP MANAGER'!$R$18:$R$25,$A277),"")</f>
        <v>31.39669</v>
      </c>
      <c r="G277" cm="1">
        <f t="array" ref="G277">IFERROR(INDEX('TRIP MANAGER'!$S$18:$S$25,$A277),"")</f>
        <v>0.41049814416825092</v>
      </c>
      <c r="H277">
        <f t="shared" si="46"/>
        <v>0.82666666666666666</v>
      </c>
      <c r="I277">
        <f t="shared" si="47"/>
        <v>0.17814838681530873</v>
      </c>
      <c r="J277">
        <f t="shared" si="48"/>
        <v>0.83412149145238557</v>
      </c>
      <c r="K277">
        <f t="shared" si="49"/>
        <v>0.7841145221838739</v>
      </c>
      <c r="L277">
        <f t="shared" si="50"/>
        <v>0.42108062103738692</v>
      </c>
      <c r="M277">
        <f t="shared" si="51"/>
        <v>0.45591175317941018</v>
      </c>
      <c r="N277">
        <f t="shared" si="52"/>
        <v>27.123613389470172</v>
      </c>
      <c r="O277">
        <f t="shared" si="53"/>
        <v>28.236429291863864</v>
      </c>
      <c r="P277" t="str" cm="1">
        <f t="array" ref="P277">IF($N277="","",IFERROR(IF(INDEX(geo_grid!$B$2:$JU$231,INT(($N277+40)/0.5)+1,INT(($O277+30)/0.5)+1)="","",INDEX(geo_grid!$B$2:$JU$231,INT(($N277+40)/0.5)+1,INT(($O277+30)/0.5)+1)),"OUTSIDE GRID"))</f>
        <v>EGY</v>
      </c>
      <c r="Q277">
        <f t="shared" si="54"/>
        <v>2124</v>
      </c>
    </row>
    <row r="278" spans="1:17" x14ac:dyDescent="0.3">
      <c r="A278">
        <f t="shared" si="44"/>
        <v>2</v>
      </c>
      <c r="B278">
        <f t="shared" si="45"/>
        <v>125</v>
      </c>
      <c r="C278" cm="1">
        <f t="array" ref="C278">IFERROR(INDEX('TRIP MANAGER'!$O$18:$O$25,$A278),"")</f>
        <v>12.133699999999999</v>
      </c>
      <c r="D278" cm="1">
        <f t="array" ref="D278">IFERROR(INDEX('TRIP MANAGER'!$P$18:$P$25,$A278),"")</f>
        <v>15.034000000000001</v>
      </c>
      <c r="E278" cm="1">
        <f t="array" ref="E278">IFERROR(INDEX('TRIP MANAGER'!$Q$18:$Q$25,$A278),"")</f>
        <v>30.111529999999998</v>
      </c>
      <c r="F278" cm="1">
        <f t="array" ref="F278">IFERROR(INDEX('TRIP MANAGER'!$R$18:$R$25,$A278),"")</f>
        <v>31.39669</v>
      </c>
      <c r="G278" cm="1">
        <f t="array" ref="G278">IFERROR(INDEX('TRIP MANAGER'!$S$18:$S$25,$A278),"")</f>
        <v>0.41049814416825092</v>
      </c>
      <c r="H278">
        <f t="shared" si="46"/>
        <v>0.83333333333333337</v>
      </c>
      <c r="I278">
        <f t="shared" si="47"/>
        <v>0.17130743421475877</v>
      </c>
      <c r="J278">
        <f t="shared" si="48"/>
        <v>0.84058493390726707</v>
      </c>
      <c r="K278">
        <f t="shared" si="49"/>
        <v>0.78242786356627159</v>
      </c>
      <c r="L278">
        <f t="shared" si="50"/>
        <v>0.42225856928202854</v>
      </c>
      <c r="M278">
        <f t="shared" si="51"/>
        <v>0.45771643949394486</v>
      </c>
      <c r="N278">
        <f t="shared" si="52"/>
        <v>27.239851402557605</v>
      </c>
      <c r="O278">
        <f t="shared" si="53"/>
        <v>28.354729993956369</v>
      </c>
      <c r="P278" t="str" cm="1">
        <f t="array" ref="P278">IF($N278="","",IFERROR(IF(INDEX(geo_grid!$B$2:$JU$231,INT(($N278+40)/0.5)+1,INT(($O278+30)/0.5)+1)="","",INDEX(geo_grid!$B$2:$JU$231,INT(($N278+40)/0.5)+1,INT(($O278+30)/0.5)+1)),"OUTSIDE GRID"))</f>
        <v>EGY</v>
      </c>
      <c r="Q278">
        <f t="shared" si="54"/>
        <v>2125</v>
      </c>
    </row>
    <row r="279" spans="1:17" x14ac:dyDescent="0.3">
      <c r="A279">
        <f t="shared" si="44"/>
        <v>2</v>
      </c>
      <c r="B279">
        <f t="shared" si="45"/>
        <v>126</v>
      </c>
      <c r="C279" cm="1">
        <f t="array" ref="C279">IFERROR(INDEX('TRIP MANAGER'!$O$18:$O$25,$A279),"")</f>
        <v>12.133699999999999</v>
      </c>
      <c r="D279" cm="1">
        <f t="array" ref="D279">IFERROR(INDEX('TRIP MANAGER'!$P$18:$P$25,$A279),"")</f>
        <v>15.034000000000001</v>
      </c>
      <c r="E279" cm="1">
        <f t="array" ref="E279">IFERROR(INDEX('TRIP MANAGER'!$Q$18:$Q$25,$A279),"")</f>
        <v>30.111529999999998</v>
      </c>
      <c r="F279" cm="1">
        <f t="array" ref="F279">IFERROR(INDEX('TRIP MANAGER'!$R$18:$R$25,$A279),"")</f>
        <v>31.39669</v>
      </c>
      <c r="G279" cm="1">
        <f t="array" ref="G279">IFERROR(INDEX('TRIP MANAGER'!$S$18:$S$25,$A279),"")</f>
        <v>0.41049814416825092</v>
      </c>
      <c r="H279">
        <f t="shared" si="46"/>
        <v>0.84</v>
      </c>
      <c r="I279">
        <f t="shared" si="47"/>
        <v>0.16446519864622935</v>
      </c>
      <c r="J279">
        <f t="shared" si="48"/>
        <v>0.84704208099289446</v>
      </c>
      <c r="K279">
        <f t="shared" si="49"/>
        <v>0.78073534513353715</v>
      </c>
      <c r="L279">
        <f t="shared" si="50"/>
        <v>0.42343335511736807</v>
      </c>
      <c r="M279">
        <f t="shared" si="51"/>
        <v>0.45951769784554075</v>
      </c>
      <c r="N279">
        <f t="shared" si="52"/>
        <v>27.35598980515293</v>
      </c>
      <c r="O279">
        <f t="shared" si="53"/>
        <v>28.473277958070486</v>
      </c>
      <c r="P279" t="str" cm="1">
        <f t="array" ref="P279">IF($N279="","",IFERROR(IF(INDEX(geo_grid!$B$2:$JU$231,INT(($N279+40)/0.5)+1,INT(($O279+30)/0.5)+1)="","",INDEX(geo_grid!$B$2:$JU$231,INT(($N279+40)/0.5)+1,INT(($O279+30)/0.5)+1)),"OUTSIDE GRID"))</f>
        <v>EGY</v>
      </c>
      <c r="Q279">
        <f t="shared" si="54"/>
        <v>2126</v>
      </c>
    </row>
    <row r="280" spans="1:17" x14ac:dyDescent="0.3">
      <c r="A280">
        <f t="shared" si="44"/>
        <v>2</v>
      </c>
      <c r="B280">
        <f t="shared" si="45"/>
        <v>127</v>
      </c>
      <c r="C280" cm="1">
        <f t="array" ref="C280">IFERROR(INDEX('TRIP MANAGER'!$O$18:$O$25,$A280),"")</f>
        <v>12.133699999999999</v>
      </c>
      <c r="D280" cm="1">
        <f t="array" ref="D280">IFERROR(INDEX('TRIP MANAGER'!$P$18:$P$25,$A280),"")</f>
        <v>15.034000000000001</v>
      </c>
      <c r="E280" cm="1">
        <f t="array" ref="E280">IFERROR(INDEX('TRIP MANAGER'!$Q$18:$Q$25,$A280),"")</f>
        <v>30.111529999999998</v>
      </c>
      <c r="F280" cm="1">
        <f t="array" ref="F280">IFERROR(INDEX('TRIP MANAGER'!$R$18:$R$25,$A280),"")</f>
        <v>31.39669</v>
      </c>
      <c r="G280" cm="1">
        <f t="array" ref="G280">IFERROR(INDEX('TRIP MANAGER'!$S$18:$S$25,$A280),"")</f>
        <v>0.41049814416825092</v>
      </c>
      <c r="H280">
        <f t="shared" si="46"/>
        <v>0.84666666666666668</v>
      </c>
      <c r="I280">
        <f t="shared" si="47"/>
        <v>0.15762173135308385</v>
      </c>
      <c r="J280">
        <f t="shared" si="48"/>
        <v>0.85349288434993686</v>
      </c>
      <c r="K280">
        <f t="shared" si="49"/>
        <v>0.77903697956140117</v>
      </c>
      <c r="L280">
        <f t="shared" si="50"/>
        <v>0.42460496974511458</v>
      </c>
      <c r="M280">
        <f t="shared" si="51"/>
        <v>0.46131551474408422</v>
      </c>
      <c r="N280">
        <f t="shared" si="52"/>
        <v>27.472027890920977</v>
      </c>
      <c r="O280">
        <f t="shared" si="53"/>
        <v>28.592074723290633</v>
      </c>
      <c r="P280" t="str" cm="1">
        <f t="array" ref="P280">IF($N280="","",IFERROR(IF(INDEX(geo_grid!$B$2:$JU$231,INT(($N280+40)/0.5)+1,INT(($O280+30)/0.5)+1)="","",INDEX(geo_grid!$B$2:$JU$231,INT(($N280+40)/0.5)+1,INT(($O280+30)/0.5)+1)),"OUTSIDE GRID"))</f>
        <v>EGY</v>
      </c>
      <c r="Q280">
        <f t="shared" si="54"/>
        <v>2127</v>
      </c>
    </row>
    <row r="281" spans="1:17" x14ac:dyDescent="0.3">
      <c r="A281">
        <f t="shared" si="44"/>
        <v>2</v>
      </c>
      <c r="B281">
        <f t="shared" si="45"/>
        <v>128</v>
      </c>
      <c r="C281" cm="1">
        <f t="array" ref="C281">IFERROR(INDEX('TRIP MANAGER'!$O$18:$O$25,$A281),"")</f>
        <v>12.133699999999999</v>
      </c>
      <c r="D281" cm="1">
        <f t="array" ref="D281">IFERROR(INDEX('TRIP MANAGER'!$P$18:$P$25,$A281),"")</f>
        <v>15.034000000000001</v>
      </c>
      <c r="E281" cm="1">
        <f t="array" ref="E281">IFERROR(INDEX('TRIP MANAGER'!$Q$18:$Q$25,$A281),"")</f>
        <v>30.111529999999998</v>
      </c>
      <c r="F281" cm="1">
        <f t="array" ref="F281">IFERROR(INDEX('TRIP MANAGER'!$R$18:$R$25,$A281),"")</f>
        <v>31.39669</v>
      </c>
      <c r="G281" cm="1">
        <f t="array" ref="G281">IFERROR(INDEX('TRIP MANAGER'!$S$18:$S$25,$A281),"")</f>
        <v>0.41049814416825092</v>
      </c>
      <c r="H281">
        <f t="shared" si="46"/>
        <v>0.85333333333333339</v>
      </c>
      <c r="I281">
        <f t="shared" si="47"/>
        <v>0.15077708358791075</v>
      </c>
      <c r="J281">
        <f t="shared" si="48"/>
        <v>0.85993729566657273</v>
      </c>
      <c r="K281">
        <f t="shared" si="49"/>
        <v>0.77733277956938562</v>
      </c>
      <c r="L281">
        <f t="shared" si="50"/>
        <v>0.42577340439072747</v>
      </c>
      <c r="M281">
        <f t="shared" si="51"/>
        <v>0.46310987672523535</v>
      </c>
      <c r="N281">
        <f t="shared" si="52"/>
        <v>27.587964949521268</v>
      </c>
      <c r="O281">
        <f t="shared" si="53"/>
        <v>28.71112183408048</v>
      </c>
      <c r="P281" t="str" cm="1">
        <f t="array" ref="P281">IF($N281="","",IFERROR(IF(INDEX(geo_grid!$B$2:$JU$231,INT(($N281+40)/0.5)+1,INT(($O281+30)/0.5)+1)="","",INDEX(geo_grid!$B$2:$JU$231,INT(($N281+40)/0.5)+1,INT(($O281+30)/0.5)+1)),"OUTSIDE GRID"))</f>
        <v>EGY</v>
      </c>
      <c r="Q281">
        <f t="shared" si="54"/>
        <v>2128</v>
      </c>
    </row>
    <row r="282" spans="1:17" x14ac:dyDescent="0.3">
      <c r="A282">
        <f t="shared" si="44"/>
        <v>2</v>
      </c>
      <c r="B282">
        <f t="shared" si="45"/>
        <v>129</v>
      </c>
      <c r="C282" cm="1">
        <f t="array" ref="C282">IFERROR(INDEX('TRIP MANAGER'!$O$18:$O$25,$A282),"")</f>
        <v>12.133699999999999</v>
      </c>
      <c r="D282" cm="1">
        <f t="array" ref="D282">IFERROR(INDEX('TRIP MANAGER'!$P$18:$P$25,$A282),"")</f>
        <v>15.034000000000001</v>
      </c>
      <c r="E282" cm="1">
        <f t="array" ref="E282">IFERROR(INDEX('TRIP MANAGER'!$Q$18:$Q$25,$A282),"")</f>
        <v>30.111529999999998</v>
      </c>
      <c r="F282" cm="1">
        <f t="array" ref="F282">IFERROR(INDEX('TRIP MANAGER'!$R$18:$R$25,$A282),"")</f>
        <v>31.39669</v>
      </c>
      <c r="G282" cm="1">
        <f t="array" ref="G282">IFERROR(INDEX('TRIP MANAGER'!$S$18:$S$25,$A282),"")</f>
        <v>0.41049814416825092</v>
      </c>
      <c r="H282">
        <f t="shared" si="46"/>
        <v>0.86</v>
      </c>
      <c r="I282">
        <f t="shared" si="47"/>
        <v>0.1439313066121394</v>
      </c>
      <c r="J282">
        <f t="shared" si="48"/>
        <v>0.86637526667885278</v>
      </c>
      <c r="K282">
        <f t="shared" si="49"/>
        <v>0.77562275792070823</v>
      </c>
      <c r="L282">
        <f t="shared" si="50"/>
        <v>0.42693865030348194</v>
      </c>
      <c r="M282">
        <f t="shared" si="51"/>
        <v>0.46490077035052924</v>
      </c>
      <c r="N282">
        <f t="shared" si="52"/>
        <v>27.703800266578565</v>
      </c>
      <c r="O282">
        <f t="shared" si="53"/>
        <v>28.830420840289214</v>
      </c>
      <c r="P282" t="str" cm="1">
        <f t="array" ref="P282">IF($N282="","",IFERROR(IF(INDEX(geo_grid!$B$2:$JU$231,INT(($N282+40)/0.5)+1,INT(($O282+30)/0.5)+1)="","",INDEX(geo_grid!$B$2:$JU$231,INT(($N282+40)/0.5)+1,INT(($O282+30)/0.5)+1)),"OUTSIDE GRID"))</f>
        <v>EGY</v>
      </c>
      <c r="Q282">
        <f t="shared" si="54"/>
        <v>2129</v>
      </c>
    </row>
    <row r="283" spans="1:17" x14ac:dyDescent="0.3">
      <c r="A283">
        <f t="shared" si="44"/>
        <v>2</v>
      </c>
      <c r="B283">
        <f t="shared" si="45"/>
        <v>130</v>
      </c>
      <c r="C283" cm="1">
        <f t="array" ref="C283">IFERROR(INDEX('TRIP MANAGER'!$O$18:$O$25,$A283),"")</f>
        <v>12.133699999999999</v>
      </c>
      <c r="D283" cm="1">
        <f t="array" ref="D283">IFERROR(INDEX('TRIP MANAGER'!$P$18:$P$25,$A283),"")</f>
        <v>15.034000000000001</v>
      </c>
      <c r="E283" cm="1">
        <f t="array" ref="E283">IFERROR(INDEX('TRIP MANAGER'!$Q$18:$Q$25,$A283),"")</f>
        <v>30.111529999999998</v>
      </c>
      <c r="F283" cm="1">
        <f t="array" ref="F283">IFERROR(INDEX('TRIP MANAGER'!$R$18:$R$25,$A283),"")</f>
        <v>31.39669</v>
      </c>
      <c r="G283" cm="1">
        <f t="array" ref="G283">IFERROR(INDEX('TRIP MANAGER'!$S$18:$S$25,$A283),"")</f>
        <v>0.41049814416825092</v>
      </c>
      <c r="H283">
        <f t="shared" si="46"/>
        <v>0.8666666666666667</v>
      </c>
      <c r="I283">
        <f t="shared" si="47"/>
        <v>0.13708445169565572</v>
      </c>
      <c r="J283">
        <f t="shared" si="48"/>
        <v>0.87280674917106038</v>
      </c>
      <c r="K283">
        <f t="shared" si="49"/>
        <v>0.77390692742218603</v>
      </c>
      <c r="L283">
        <f t="shared" si="50"/>
        <v>0.42810069875653417</v>
      </c>
      <c r="M283">
        <f t="shared" si="51"/>
        <v>0.4666881822074761</v>
      </c>
      <c r="N283">
        <f t="shared" si="52"/>
        <v>27.819533123653187</v>
      </c>
      <c r="O283">
        <f t="shared" si="53"/>
        <v>28.94997329715714</v>
      </c>
      <c r="P283" t="str" cm="1">
        <f t="array" ref="P283">IF($N283="","",IFERROR(IF(INDEX(geo_grid!$B$2:$JU$231,INT(($N283+40)/0.5)+1,INT(($O283+30)/0.5)+1)="","",INDEX(geo_grid!$B$2:$JU$231,INT(($N283+40)/0.5)+1,INT(($O283+30)/0.5)+1)),"OUTSIDE GRID"))</f>
        <v>EGY</v>
      </c>
      <c r="Q283">
        <f t="shared" si="54"/>
        <v>2130</v>
      </c>
    </row>
    <row r="284" spans="1:17" x14ac:dyDescent="0.3">
      <c r="A284">
        <f t="shared" si="44"/>
        <v>2</v>
      </c>
      <c r="B284">
        <f t="shared" si="45"/>
        <v>131</v>
      </c>
      <c r="C284" cm="1">
        <f t="array" ref="C284">IFERROR(INDEX('TRIP MANAGER'!$O$18:$O$25,$A284),"")</f>
        <v>12.133699999999999</v>
      </c>
      <c r="D284" cm="1">
        <f t="array" ref="D284">IFERROR(INDEX('TRIP MANAGER'!$P$18:$P$25,$A284),"")</f>
        <v>15.034000000000001</v>
      </c>
      <c r="E284" cm="1">
        <f t="array" ref="E284">IFERROR(INDEX('TRIP MANAGER'!$Q$18:$Q$25,$A284),"")</f>
        <v>30.111529999999998</v>
      </c>
      <c r="F284" cm="1">
        <f t="array" ref="F284">IFERROR(INDEX('TRIP MANAGER'!$R$18:$R$25,$A284),"")</f>
        <v>31.39669</v>
      </c>
      <c r="G284" cm="1">
        <f t="array" ref="G284">IFERROR(INDEX('TRIP MANAGER'!$S$18:$S$25,$A284),"")</f>
        <v>0.41049814416825092</v>
      </c>
      <c r="H284">
        <f t="shared" si="46"/>
        <v>0.87333333333333329</v>
      </c>
      <c r="I284">
        <f t="shared" si="47"/>
        <v>0.13023657011641912</v>
      </c>
      <c r="J284">
        <f t="shared" si="48"/>
        <v>0.87923169497607345</v>
      </c>
      <c r="K284">
        <f t="shared" si="49"/>
        <v>0.77218530092414039</v>
      </c>
      <c r="L284">
        <f t="shared" si="50"/>
        <v>0.42925954104698727</v>
      </c>
      <c r="M284">
        <f t="shared" si="51"/>
        <v>0.46847209890966246</v>
      </c>
      <c r="N284">
        <f t="shared" si="52"/>
        <v>27.935162798211294</v>
      </c>
      <c r="O284">
        <f t="shared" si="53"/>
        <v>29.069780765320647</v>
      </c>
      <c r="P284" t="str" cm="1">
        <f t="array" ref="P284">IF($N284="","",IFERROR(IF(INDEX(geo_grid!$B$2:$JU$231,INT(($N284+40)/0.5)+1,INT(($O284+30)/0.5)+1)="","",INDEX(geo_grid!$B$2:$JU$231,INT(($N284+40)/0.5)+1,INT(($O284+30)/0.5)+1)),"OUTSIDE GRID"))</f>
        <v>EGY</v>
      </c>
      <c r="Q284">
        <f t="shared" si="54"/>
        <v>2131</v>
      </c>
    </row>
    <row r="285" spans="1:17" x14ac:dyDescent="0.3">
      <c r="A285">
        <f t="shared" si="44"/>
        <v>2</v>
      </c>
      <c r="B285">
        <f t="shared" si="45"/>
        <v>132</v>
      </c>
      <c r="C285" cm="1">
        <f t="array" ref="C285">IFERROR(INDEX('TRIP MANAGER'!$O$18:$O$25,$A285),"")</f>
        <v>12.133699999999999</v>
      </c>
      <c r="D285" cm="1">
        <f t="array" ref="D285">IFERROR(INDEX('TRIP MANAGER'!$P$18:$P$25,$A285),"")</f>
        <v>15.034000000000001</v>
      </c>
      <c r="E285" cm="1">
        <f t="array" ref="E285">IFERROR(INDEX('TRIP MANAGER'!$Q$18:$Q$25,$A285),"")</f>
        <v>30.111529999999998</v>
      </c>
      <c r="F285" cm="1">
        <f t="array" ref="F285">IFERROR(INDEX('TRIP MANAGER'!$R$18:$R$25,$A285),"")</f>
        <v>31.39669</v>
      </c>
      <c r="G285" cm="1">
        <f t="array" ref="G285">IFERROR(INDEX('TRIP MANAGER'!$S$18:$S$25,$A285),"")</f>
        <v>0.41049814416825092</v>
      </c>
      <c r="H285">
        <f t="shared" si="46"/>
        <v>0.88</v>
      </c>
      <c r="I285">
        <f t="shared" si="47"/>
        <v>0.12338771316007752</v>
      </c>
      <c r="J285">
        <f t="shared" si="48"/>
        <v>0.8856500559757251</v>
      </c>
      <c r="K285">
        <f t="shared" si="49"/>
        <v>0.77045789132030063</v>
      </c>
      <c r="L285">
        <f t="shared" si="50"/>
        <v>0.43041516849595601</v>
      </c>
      <c r="M285">
        <f t="shared" si="51"/>
        <v>0.47025250709685068</v>
      </c>
      <c r="N285">
        <f t="shared" si="52"/>
        <v>28.050688563594974</v>
      </c>
      <c r="O285">
        <f t="shared" si="53"/>
        <v>29.189844810816513</v>
      </c>
      <c r="P285" t="str" cm="1">
        <f t="array" ref="P285">IF($N285="","",IFERROR(IF(INDEX(geo_grid!$B$2:$JU$231,INT(($N285+40)/0.5)+1,INT(($O285+30)/0.5)+1)="","",INDEX(geo_grid!$B$2:$JU$231,INT(($N285+40)/0.5)+1,INT(($O285+30)/0.5)+1)),"OUTSIDE GRID"))</f>
        <v>EGY</v>
      </c>
      <c r="Q285">
        <f t="shared" si="54"/>
        <v>2132</v>
      </c>
    </row>
    <row r="286" spans="1:17" x14ac:dyDescent="0.3">
      <c r="A286">
        <f t="shared" si="44"/>
        <v>2</v>
      </c>
      <c r="B286">
        <f t="shared" si="45"/>
        <v>133</v>
      </c>
      <c r="C286" cm="1">
        <f t="array" ref="C286">IFERROR(INDEX('TRIP MANAGER'!$O$18:$O$25,$A286),"")</f>
        <v>12.133699999999999</v>
      </c>
      <c r="D286" cm="1">
        <f t="array" ref="D286">IFERROR(INDEX('TRIP MANAGER'!$P$18:$P$25,$A286),"")</f>
        <v>15.034000000000001</v>
      </c>
      <c r="E286" cm="1">
        <f t="array" ref="E286">IFERROR(INDEX('TRIP MANAGER'!$Q$18:$Q$25,$A286),"")</f>
        <v>30.111529999999998</v>
      </c>
      <c r="F286" cm="1">
        <f t="array" ref="F286">IFERROR(INDEX('TRIP MANAGER'!$R$18:$R$25,$A286),"")</f>
        <v>31.39669</v>
      </c>
      <c r="G286" cm="1">
        <f t="array" ref="G286">IFERROR(INDEX('TRIP MANAGER'!$S$18:$S$25,$A286),"")</f>
        <v>0.41049814416825092</v>
      </c>
      <c r="H286">
        <f t="shared" si="46"/>
        <v>0.88666666666666671</v>
      </c>
      <c r="I286">
        <f t="shared" si="47"/>
        <v>0.11653793211958406</v>
      </c>
      <c r="J286">
        <f t="shared" si="48"/>
        <v>0.89206178410116366</v>
      </c>
      <c r="K286">
        <f t="shared" si="49"/>
        <v>0.76872471154770716</v>
      </c>
      <c r="L286">
        <f t="shared" si="50"/>
        <v>0.43156757244863209</v>
      </c>
      <c r="M286">
        <f t="shared" si="51"/>
        <v>0.47202939343507955</v>
      </c>
      <c r="N286">
        <f t="shared" si="52"/>
        <v>28.166109688992247</v>
      </c>
      <c r="O286">
        <f t="shared" si="53"/>
        <v>29.310167005085606</v>
      </c>
      <c r="P286" t="str" cm="1">
        <f t="array" ref="P286">IF($N286="","",IFERROR(IF(INDEX(geo_grid!$B$2:$JU$231,INT(($N286+40)/0.5)+1,INT(($O286+30)/0.5)+1)="","",INDEX(geo_grid!$B$2:$JU$231,INT(($N286+40)/0.5)+1,INT(($O286+30)/0.5)+1)),"OUTSIDE GRID"))</f>
        <v>EGY</v>
      </c>
      <c r="Q286">
        <f t="shared" si="54"/>
        <v>2133</v>
      </c>
    </row>
    <row r="287" spans="1:17" x14ac:dyDescent="0.3">
      <c r="A287">
        <f t="shared" si="44"/>
        <v>2</v>
      </c>
      <c r="B287">
        <f t="shared" si="45"/>
        <v>134</v>
      </c>
      <c r="C287" cm="1">
        <f t="array" ref="C287">IFERROR(INDEX('TRIP MANAGER'!$O$18:$O$25,$A287),"")</f>
        <v>12.133699999999999</v>
      </c>
      <c r="D287" cm="1">
        <f t="array" ref="D287">IFERROR(INDEX('TRIP MANAGER'!$P$18:$P$25,$A287),"")</f>
        <v>15.034000000000001</v>
      </c>
      <c r="E287" cm="1">
        <f t="array" ref="E287">IFERROR(INDEX('TRIP MANAGER'!$Q$18:$Q$25,$A287),"")</f>
        <v>30.111529999999998</v>
      </c>
      <c r="F287" cm="1">
        <f t="array" ref="F287">IFERROR(INDEX('TRIP MANAGER'!$R$18:$R$25,$A287),"")</f>
        <v>31.39669</v>
      </c>
      <c r="G287" cm="1">
        <f t="array" ref="G287">IFERROR(INDEX('TRIP MANAGER'!$S$18:$S$25,$A287),"")</f>
        <v>0.41049814416825092</v>
      </c>
      <c r="H287">
        <f t="shared" si="46"/>
        <v>0.89333333333333331</v>
      </c>
      <c r="I287">
        <f t="shared" si="47"/>
        <v>0.10968727829481253</v>
      </c>
      <c r="J287">
        <f t="shared" si="48"/>
        <v>0.89846683133321248</v>
      </c>
      <c r="K287">
        <f t="shared" si="49"/>
        <v>0.76698577458661488</v>
      </c>
      <c r="L287">
        <f t="shared" si="50"/>
        <v>0.4327167442743487</v>
      </c>
      <c r="M287">
        <f t="shared" si="51"/>
        <v>0.4738027446167638</v>
      </c>
      <c r="N287">
        <f t="shared" si="52"/>
        <v>28.281425439406927</v>
      </c>
      <c r="O287">
        <f t="shared" si="53"/>
        <v>29.430748924975791</v>
      </c>
      <c r="P287" t="str" cm="1">
        <f t="array" ref="P287">IF($N287="","",IFERROR(IF(INDEX(geo_grid!$B$2:$JU$231,INT(($N287+40)/0.5)+1,INT(($O287+30)/0.5)+1)="","",INDEX(geo_grid!$B$2:$JU$231,INT(($N287+40)/0.5)+1,INT(($O287+30)/0.5)+1)),"OUTSIDE GRID"))</f>
        <v>EGY</v>
      </c>
      <c r="Q287">
        <f t="shared" si="54"/>
        <v>2134</v>
      </c>
    </row>
    <row r="288" spans="1:17" x14ac:dyDescent="0.3">
      <c r="A288">
        <f t="shared" si="44"/>
        <v>2</v>
      </c>
      <c r="B288">
        <f t="shared" si="45"/>
        <v>135</v>
      </c>
      <c r="C288" cm="1">
        <f t="array" ref="C288">IFERROR(INDEX('TRIP MANAGER'!$O$18:$O$25,$A288),"")</f>
        <v>12.133699999999999</v>
      </c>
      <c r="D288" cm="1">
        <f t="array" ref="D288">IFERROR(INDEX('TRIP MANAGER'!$P$18:$P$25,$A288),"")</f>
        <v>15.034000000000001</v>
      </c>
      <c r="E288" cm="1">
        <f t="array" ref="E288">IFERROR(INDEX('TRIP MANAGER'!$Q$18:$Q$25,$A288),"")</f>
        <v>30.111529999999998</v>
      </c>
      <c r="F288" cm="1">
        <f t="array" ref="F288">IFERROR(INDEX('TRIP MANAGER'!$R$18:$R$25,$A288),"")</f>
        <v>31.39669</v>
      </c>
      <c r="G288" cm="1">
        <f t="array" ref="G288">IFERROR(INDEX('TRIP MANAGER'!$S$18:$S$25,$A288),"")</f>
        <v>0.41049814416825092</v>
      </c>
      <c r="H288">
        <f t="shared" si="46"/>
        <v>0.9</v>
      </c>
      <c r="I288">
        <f t="shared" si="47"/>
        <v>0.10283580299217296</v>
      </c>
      <c r="J288">
        <f t="shared" si="48"/>
        <v>0.9048651497027308</v>
      </c>
      <c r="K288">
        <f t="shared" si="49"/>
        <v>0.76524109346039559</v>
      </c>
      <c r="L288">
        <f t="shared" si="50"/>
        <v>0.43386267536664536</v>
      </c>
      <c r="M288">
        <f t="shared" si="51"/>
        <v>0.47557254736079407</v>
      </c>
      <c r="N288">
        <f t="shared" si="52"/>
        <v>28.396635075628396</v>
      </c>
      <c r="O288">
        <f t="shared" si="53"/>
        <v>29.551592152744291</v>
      </c>
      <c r="P288" t="str" cm="1">
        <f t="array" ref="P288">IF($N288="","",IFERROR(IF(INDEX(geo_grid!$B$2:$JU$231,INT(($N288+40)/0.5)+1,INT(($O288+30)/0.5)+1)="","",INDEX(geo_grid!$B$2:$JU$231,INT(($N288+40)/0.5)+1,INT(($O288+30)/0.5)+1)),"OUTSIDE GRID"))</f>
        <v>EGY</v>
      </c>
      <c r="Q288">
        <f t="shared" si="54"/>
        <v>2135</v>
      </c>
    </row>
    <row r="289" spans="1:17" x14ac:dyDescent="0.3">
      <c r="A289">
        <f t="shared" si="44"/>
        <v>2</v>
      </c>
      <c r="B289">
        <f t="shared" si="45"/>
        <v>136</v>
      </c>
      <c r="C289" cm="1">
        <f t="array" ref="C289">IFERROR(INDEX('TRIP MANAGER'!$O$18:$O$25,$A289),"")</f>
        <v>12.133699999999999</v>
      </c>
      <c r="D289" cm="1">
        <f t="array" ref="D289">IFERROR(INDEX('TRIP MANAGER'!$P$18:$P$25,$A289),"")</f>
        <v>15.034000000000001</v>
      </c>
      <c r="E289" cm="1">
        <f t="array" ref="E289">IFERROR(INDEX('TRIP MANAGER'!$Q$18:$Q$25,$A289),"")</f>
        <v>30.111529999999998</v>
      </c>
      <c r="F289" cm="1">
        <f t="array" ref="F289">IFERROR(INDEX('TRIP MANAGER'!$R$18:$R$25,$A289),"")</f>
        <v>31.39669</v>
      </c>
      <c r="G289" cm="1">
        <f t="array" ref="G289">IFERROR(INDEX('TRIP MANAGER'!$S$18:$S$25,$A289),"")</f>
        <v>0.41049814416825092</v>
      </c>
      <c r="H289">
        <f t="shared" si="46"/>
        <v>0.90666666666666662</v>
      </c>
      <c r="I289">
        <f t="shared" si="47"/>
        <v>9.5983557524228075E-2</v>
      </c>
      <c r="J289">
        <f t="shared" si="48"/>
        <v>0.91125669129097142</v>
      </c>
      <c r="K289">
        <f t="shared" si="49"/>
        <v>0.76349068123544139</v>
      </c>
      <c r="L289">
        <f t="shared" si="50"/>
        <v>0.43500535714333249</v>
      </c>
      <c r="M289">
        <f t="shared" si="51"/>
        <v>0.47733878841263605</v>
      </c>
      <c r="N289">
        <f t="shared" si="52"/>
        <v>28.511737854201183</v>
      </c>
      <c r="O289">
        <f t="shared" si="53"/>
        <v>29.672698276059226</v>
      </c>
      <c r="P289" t="str" cm="1">
        <f t="array" ref="P289">IF($N289="","",IFERROR(IF(INDEX(geo_grid!$B$2:$JU$231,INT(($N289+40)/0.5)+1,INT(($O289+30)/0.5)+1)="","",INDEX(geo_grid!$B$2:$JU$231,INT(($N289+40)/0.5)+1,INT(($O289+30)/0.5)+1)),"OUTSIDE GRID"))</f>
        <v>EGY</v>
      </c>
      <c r="Q289">
        <f t="shared" si="54"/>
        <v>2136</v>
      </c>
    </row>
    <row r="290" spans="1:17" x14ac:dyDescent="0.3">
      <c r="A290">
        <f t="shared" si="44"/>
        <v>2</v>
      </c>
      <c r="B290">
        <f t="shared" si="45"/>
        <v>137</v>
      </c>
      <c r="C290" cm="1">
        <f t="array" ref="C290">IFERROR(INDEX('TRIP MANAGER'!$O$18:$O$25,$A290),"")</f>
        <v>12.133699999999999</v>
      </c>
      <c r="D290" cm="1">
        <f t="array" ref="D290">IFERROR(INDEX('TRIP MANAGER'!$P$18:$P$25,$A290),"")</f>
        <v>15.034000000000001</v>
      </c>
      <c r="E290" cm="1">
        <f t="array" ref="E290">IFERROR(INDEX('TRIP MANAGER'!$Q$18:$Q$25,$A290),"")</f>
        <v>30.111529999999998</v>
      </c>
      <c r="F290" cm="1">
        <f t="array" ref="F290">IFERROR(INDEX('TRIP MANAGER'!$R$18:$R$25,$A290),"")</f>
        <v>31.39669</v>
      </c>
      <c r="G290" cm="1">
        <f t="array" ref="G290">IFERROR(INDEX('TRIP MANAGER'!$S$18:$S$25,$A290),"")</f>
        <v>0.41049814416825092</v>
      </c>
      <c r="H290">
        <f t="shared" si="46"/>
        <v>0.91333333333333333</v>
      </c>
      <c r="I290">
        <f t="shared" si="47"/>
        <v>8.9130593209308134E-2</v>
      </c>
      <c r="J290">
        <f t="shared" si="48"/>
        <v>0.91764140822994067</v>
      </c>
      <c r="K290">
        <f t="shared" si="49"/>
        <v>0.76173455102106502</v>
      </c>
      <c r="L290">
        <f t="shared" si="50"/>
        <v>0.43614478104655541</v>
      </c>
      <c r="M290">
        <f t="shared" si="51"/>
        <v>0.47910145454443004</v>
      </c>
      <c r="N290">
        <f t="shared" si="52"/>
        <v>28.62673302739455</v>
      </c>
      <c r="O290">
        <f t="shared" si="53"/>
        <v>29.794068888000481</v>
      </c>
      <c r="P290" t="str" cm="1">
        <f t="array" ref="P290">IF($N290="","",IFERROR(IF(INDEX(geo_grid!$B$2:$JU$231,INT(($N290+40)/0.5)+1,INT(($O290+30)/0.5)+1)="","",INDEX(geo_grid!$B$2:$JU$231,INT(($N290+40)/0.5)+1,INT(($O290+30)/0.5)+1)),"OUTSIDE GRID"))</f>
        <v>EGY</v>
      </c>
      <c r="Q290">
        <f t="shared" si="54"/>
        <v>2137</v>
      </c>
    </row>
    <row r="291" spans="1:17" x14ac:dyDescent="0.3">
      <c r="A291">
        <f t="shared" si="44"/>
        <v>2</v>
      </c>
      <c r="B291">
        <f t="shared" si="45"/>
        <v>138</v>
      </c>
      <c r="C291" cm="1">
        <f t="array" ref="C291">IFERROR(INDEX('TRIP MANAGER'!$O$18:$O$25,$A291),"")</f>
        <v>12.133699999999999</v>
      </c>
      <c r="D291" cm="1">
        <f t="array" ref="D291">IFERROR(INDEX('TRIP MANAGER'!$P$18:$P$25,$A291),"")</f>
        <v>15.034000000000001</v>
      </c>
      <c r="E291" cm="1">
        <f t="array" ref="E291">IFERROR(INDEX('TRIP MANAGER'!$Q$18:$Q$25,$A291),"")</f>
        <v>30.111529999999998</v>
      </c>
      <c r="F291" cm="1">
        <f t="array" ref="F291">IFERROR(INDEX('TRIP MANAGER'!$R$18:$R$25,$A291),"")</f>
        <v>31.39669</v>
      </c>
      <c r="G291" cm="1">
        <f t="array" ref="G291">IFERROR(INDEX('TRIP MANAGER'!$S$18:$S$25,$A291),"")</f>
        <v>0.41049814416825092</v>
      </c>
      <c r="H291">
        <f t="shared" si="46"/>
        <v>0.92</v>
      </c>
      <c r="I291">
        <f t="shared" si="47"/>
        <v>8.2276961371127402E-2</v>
      </c>
      <c r="J291">
        <f t="shared" si="48"/>
        <v>0.92401925270275631</v>
      </c>
      <c r="K291">
        <f t="shared" si="49"/>
        <v>0.75997271596940363</v>
      </c>
      <c r="L291">
        <f t="shared" si="50"/>
        <v>0.43728093854285832</v>
      </c>
      <c r="M291">
        <f t="shared" si="51"/>
        <v>0.48086053255508987</v>
      </c>
      <c r="N291">
        <f t="shared" si="52"/>
        <v>28.741619843171812</v>
      </c>
      <c r="O291">
        <f t="shared" si="53"/>
        <v>29.915705587059776</v>
      </c>
      <c r="P291" t="str" cm="1">
        <f t="array" ref="P291">IF($N291="","",IFERROR(IF(INDEX(geo_grid!$B$2:$JU$231,INT(($N291+40)/0.5)+1,INT(($O291+30)/0.5)+1)="","",INDEX(geo_grid!$B$2:$JU$231,INT(($N291+40)/0.5)+1,INT(($O291+30)/0.5)+1)),"OUTSIDE GRID"))</f>
        <v>EGY</v>
      </c>
      <c r="Q291">
        <f t="shared" si="54"/>
        <v>2138</v>
      </c>
    </row>
    <row r="292" spans="1:17" x14ac:dyDescent="0.3">
      <c r="A292">
        <f t="shared" si="44"/>
        <v>2</v>
      </c>
      <c r="B292">
        <f t="shared" si="45"/>
        <v>139</v>
      </c>
      <c r="C292" cm="1">
        <f t="array" ref="C292">IFERROR(INDEX('TRIP MANAGER'!$O$18:$O$25,$A292),"")</f>
        <v>12.133699999999999</v>
      </c>
      <c r="D292" cm="1">
        <f t="array" ref="D292">IFERROR(INDEX('TRIP MANAGER'!$P$18:$P$25,$A292),"")</f>
        <v>15.034000000000001</v>
      </c>
      <c r="E292" cm="1">
        <f t="array" ref="E292">IFERROR(INDEX('TRIP MANAGER'!$Q$18:$Q$25,$A292),"")</f>
        <v>30.111529999999998</v>
      </c>
      <c r="F292" cm="1">
        <f t="array" ref="F292">IFERROR(INDEX('TRIP MANAGER'!$R$18:$R$25,$A292),"")</f>
        <v>31.39669</v>
      </c>
      <c r="G292" cm="1">
        <f t="array" ref="G292">IFERROR(INDEX('TRIP MANAGER'!$S$18:$S$25,$A292),"")</f>
        <v>0.41049814416825092</v>
      </c>
      <c r="H292">
        <f t="shared" si="46"/>
        <v>0.92666666666666664</v>
      </c>
      <c r="I292">
        <f t="shared" si="47"/>
        <v>7.5422713338399339E-2</v>
      </c>
      <c r="J292">
        <f t="shared" si="48"/>
        <v>0.93039017694400628</v>
      </c>
      <c r="K292">
        <f t="shared" si="49"/>
        <v>0.75820518927531977</v>
      </c>
      <c r="L292">
        <f t="shared" si="50"/>
        <v>0.43841382112324906</v>
      </c>
      <c r="M292">
        <f t="shared" si="51"/>
        <v>0.48261600927040188</v>
      </c>
      <c r="N292">
        <f t="shared" si="52"/>
        <v>28.856397545159631</v>
      </c>
      <c r="O292">
        <f t="shared" si="53"/>
        <v>30.037609977140097</v>
      </c>
      <c r="P292" t="str" cm="1">
        <f t="array" ref="P292">IF($N292="","",IFERROR(IF(INDEX(geo_grid!$B$2:$JU$231,INT(($N292+40)/0.5)+1,INT(($O292+30)/0.5)+1)="","",INDEX(geo_grid!$B$2:$JU$231,INT(($N292+40)/0.5)+1,INT(($O292+30)/0.5)+1)),"OUTSIDE GRID"))</f>
        <v>EGY</v>
      </c>
      <c r="Q292">
        <f t="shared" si="54"/>
        <v>2139</v>
      </c>
    </row>
    <row r="293" spans="1:17" x14ac:dyDescent="0.3">
      <c r="A293">
        <f t="shared" si="44"/>
        <v>2</v>
      </c>
      <c r="B293">
        <f t="shared" si="45"/>
        <v>140</v>
      </c>
      <c r="C293" cm="1">
        <f t="array" ref="C293">IFERROR(INDEX('TRIP MANAGER'!$O$18:$O$25,$A293),"")</f>
        <v>12.133699999999999</v>
      </c>
      <c r="D293" cm="1">
        <f t="array" ref="D293">IFERROR(INDEX('TRIP MANAGER'!$P$18:$P$25,$A293),"")</f>
        <v>15.034000000000001</v>
      </c>
      <c r="E293" cm="1">
        <f t="array" ref="E293">IFERROR(INDEX('TRIP MANAGER'!$Q$18:$Q$25,$A293),"")</f>
        <v>30.111529999999998</v>
      </c>
      <c r="F293" cm="1">
        <f t="array" ref="F293">IFERROR(INDEX('TRIP MANAGER'!$R$18:$R$25,$A293),"")</f>
        <v>31.39669</v>
      </c>
      <c r="G293" cm="1">
        <f t="array" ref="G293">IFERROR(INDEX('TRIP MANAGER'!$S$18:$S$25,$A293),"")</f>
        <v>0.41049814416825092</v>
      </c>
      <c r="H293">
        <f t="shared" si="46"/>
        <v>0.93333333333333335</v>
      </c>
      <c r="I293">
        <f t="shared" si="47"/>
        <v>6.856790044445199E-2</v>
      </c>
      <c r="J293">
        <f t="shared" si="48"/>
        <v>0.93675413324010504</v>
      </c>
      <c r="K293">
        <f t="shared" si="49"/>
        <v>0.75643198417630064</v>
      </c>
      <c r="L293">
        <f t="shared" si="50"/>
        <v>0.43954342030326121</v>
      </c>
      <c r="M293">
        <f t="shared" si="51"/>
        <v>0.48436787154312294</v>
      </c>
      <c r="N293">
        <f t="shared" si="52"/>
        <v>28.971065372617222</v>
      </c>
      <c r="O293">
        <f t="shared" si="53"/>
        <v>30.159783667554233</v>
      </c>
      <c r="P293" t="str" cm="1">
        <f t="array" ref="P293">IF($N293="","",IFERROR(IF(INDEX(geo_grid!$B$2:$JU$231,INT(($N293+40)/0.5)+1,INT(($O293+30)/0.5)+1)="","",INDEX(geo_grid!$B$2:$JU$231,INT(($N293+40)/0.5)+1,INT(($O293+30)/0.5)+1)),"OUTSIDE GRID"))</f>
        <v>EGY</v>
      </c>
      <c r="Q293">
        <f t="shared" si="54"/>
        <v>2140</v>
      </c>
    </row>
    <row r="294" spans="1:17" x14ac:dyDescent="0.3">
      <c r="A294">
        <f t="shared" si="44"/>
        <v>2</v>
      </c>
      <c r="B294">
        <f t="shared" si="45"/>
        <v>141</v>
      </c>
      <c r="C294" cm="1">
        <f t="array" ref="C294">IFERROR(INDEX('TRIP MANAGER'!$O$18:$O$25,$A294),"")</f>
        <v>12.133699999999999</v>
      </c>
      <c r="D294" cm="1">
        <f t="array" ref="D294">IFERROR(INDEX('TRIP MANAGER'!$P$18:$P$25,$A294),"")</f>
        <v>15.034000000000001</v>
      </c>
      <c r="E294" cm="1">
        <f t="array" ref="E294">IFERROR(INDEX('TRIP MANAGER'!$Q$18:$Q$25,$A294),"")</f>
        <v>30.111529999999998</v>
      </c>
      <c r="F294" cm="1">
        <f t="array" ref="F294">IFERROR(INDEX('TRIP MANAGER'!$R$18:$R$25,$A294),"")</f>
        <v>31.39669</v>
      </c>
      <c r="G294" cm="1">
        <f t="array" ref="G294">IFERROR(INDEX('TRIP MANAGER'!$S$18:$S$25,$A294),"")</f>
        <v>0.41049814416825092</v>
      </c>
      <c r="H294">
        <f t="shared" si="46"/>
        <v>0.94</v>
      </c>
      <c r="I294">
        <f t="shared" si="47"/>
        <v>6.1712574026844193E-2</v>
      </c>
      <c r="J294">
        <f t="shared" si="48"/>
        <v>0.94311107392965321</v>
      </c>
      <c r="K294">
        <f t="shared" si="49"/>
        <v>0.75465311395236268</v>
      </c>
      <c r="L294">
        <f t="shared" si="50"/>
        <v>0.4406697276230197</v>
      </c>
      <c r="M294">
        <f t="shared" si="51"/>
        <v>0.48611610625308033</v>
      </c>
      <c r="N294">
        <f t="shared" si="52"/>
        <v>29.085622560405334</v>
      </c>
      <c r="O294">
        <f t="shared" si="53"/>
        <v>30.282228273022572</v>
      </c>
      <c r="P294" t="str" cm="1">
        <f t="array" ref="P294">IF($N294="","",IFERROR(IF(INDEX(geo_grid!$B$2:$JU$231,INT(($N294+40)/0.5)+1,INT(($O294+30)/0.5)+1)="","",INDEX(geo_grid!$B$2:$JU$231,INT(($N294+40)/0.5)+1,INT(($O294+30)/0.5)+1)),"OUTSIDE GRID"))</f>
        <v>EGY</v>
      </c>
      <c r="Q294">
        <f t="shared" si="54"/>
        <v>2141</v>
      </c>
    </row>
    <row r="295" spans="1:17" x14ac:dyDescent="0.3">
      <c r="A295">
        <f t="shared" si="44"/>
        <v>2</v>
      </c>
      <c r="B295">
        <f t="shared" si="45"/>
        <v>142</v>
      </c>
      <c r="C295" cm="1">
        <f t="array" ref="C295">IFERROR(INDEX('TRIP MANAGER'!$O$18:$O$25,$A295),"")</f>
        <v>12.133699999999999</v>
      </c>
      <c r="D295" cm="1">
        <f t="array" ref="D295">IFERROR(INDEX('TRIP MANAGER'!$P$18:$P$25,$A295),"")</f>
        <v>15.034000000000001</v>
      </c>
      <c r="E295" cm="1">
        <f t="array" ref="E295">IFERROR(INDEX('TRIP MANAGER'!$Q$18:$Q$25,$A295),"")</f>
        <v>30.111529999999998</v>
      </c>
      <c r="F295" cm="1">
        <f t="array" ref="F295">IFERROR(INDEX('TRIP MANAGER'!$R$18:$R$25,$A295),"")</f>
        <v>31.39669</v>
      </c>
      <c r="G295" cm="1">
        <f t="array" ref="G295">IFERROR(INDEX('TRIP MANAGER'!$S$18:$S$25,$A295),"")</f>
        <v>0.41049814416825092</v>
      </c>
      <c r="H295">
        <f t="shared" si="46"/>
        <v>0.94666666666666666</v>
      </c>
      <c r="I295">
        <f t="shared" si="47"/>
        <v>5.485678542698029E-2</v>
      </c>
      <c r="J295">
        <f t="shared" si="48"/>
        <v>0.94946095140379216</v>
      </c>
      <c r="K295">
        <f t="shared" si="49"/>
        <v>0.75286859192594813</v>
      </c>
      <c r="L295">
        <f t="shared" si="50"/>
        <v>0.44179273464730223</v>
      </c>
      <c r="M295">
        <f t="shared" si="51"/>
        <v>0.48786070030726847</v>
      </c>
      <c r="N295">
        <f t="shared" si="52"/>
        <v>29.200068338955223</v>
      </c>
      <c r="O295">
        <f t="shared" si="53"/>
        <v>30.40494541367012</v>
      </c>
      <c r="P295" t="str" cm="1">
        <f t="array" ref="P295">IF($N295="","",IFERROR(IF(INDEX(geo_grid!$B$2:$JU$231,INT(($N295+40)/0.5)+1,INT(($O295+30)/0.5)+1)="","",INDEX(geo_grid!$B$2:$JU$231,INT(($N295+40)/0.5)+1,INT(($O295+30)/0.5)+1)),"OUTSIDE GRID"))</f>
        <v>EGY</v>
      </c>
      <c r="Q295">
        <f t="shared" si="54"/>
        <v>2142</v>
      </c>
    </row>
    <row r="296" spans="1:17" x14ac:dyDescent="0.3">
      <c r="A296">
        <f t="shared" si="44"/>
        <v>2</v>
      </c>
      <c r="B296">
        <f t="shared" si="45"/>
        <v>143</v>
      </c>
      <c r="C296" cm="1">
        <f t="array" ref="C296">IFERROR(INDEX('TRIP MANAGER'!$O$18:$O$25,$A296),"")</f>
        <v>12.133699999999999</v>
      </c>
      <c r="D296" cm="1">
        <f t="array" ref="D296">IFERROR(INDEX('TRIP MANAGER'!$P$18:$P$25,$A296),"")</f>
        <v>15.034000000000001</v>
      </c>
      <c r="E296" cm="1">
        <f t="array" ref="E296">IFERROR(INDEX('TRIP MANAGER'!$Q$18:$Q$25,$A296),"")</f>
        <v>30.111529999999998</v>
      </c>
      <c r="F296" cm="1">
        <f t="array" ref="F296">IFERROR(INDEX('TRIP MANAGER'!$R$18:$R$25,$A296),"")</f>
        <v>31.39669</v>
      </c>
      <c r="G296" cm="1">
        <f t="array" ref="G296">IFERROR(INDEX('TRIP MANAGER'!$S$18:$S$25,$A296),"")</f>
        <v>0.41049814416825092</v>
      </c>
      <c r="H296">
        <f t="shared" si="46"/>
        <v>0.95333333333333337</v>
      </c>
      <c r="I296">
        <f t="shared" si="47"/>
        <v>4.8000585989726362E-2</v>
      </c>
      <c r="J296">
        <f t="shared" si="48"/>
        <v>0.95580371810656217</v>
      </c>
      <c r="K296">
        <f t="shared" si="49"/>
        <v>0.75107843146182851</v>
      </c>
      <c r="L296">
        <f t="shared" si="50"/>
        <v>0.44291243296560384</v>
      </c>
      <c r="M296">
        <f t="shared" si="51"/>
        <v>0.48960164063994788</v>
      </c>
      <c r="N296">
        <f t="shared" si="52"/>
        <v>29.314401934237448</v>
      </c>
      <c r="O296">
        <f t="shared" si="53"/>
        <v>30.527936715022651</v>
      </c>
      <c r="P296" t="str" cm="1">
        <f t="array" ref="P296">IF($N296="","",IFERROR(IF(INDEX(geo_grid!$B$2:$JU$231,INT(($N296+40)/0.5)+1,INT(($O296+30)/0.5)+1)="","",INDEX(geo_grid!$B$2:$JU$231,INT(($N296+40)/0.5)+1,INT(($O296+30)/0.5)+1)),"OUTSIDE GRID"))</f>
        <v>EGY</v>
      </c>
      <c r="Q296">
        <f t="shared" si="54"/>
        <v>2143</v>
      </c>
    </row>
    <row r="297" spans="1:17" x14ac:dyDescent="0.3">
      <c r="A297">
        <f t="shared" si="44"/>
        <v>2</v>
      </c>
      <c r="B297">
        <f t="shared" si="45"/>
        <v>144</v>
      </c>
      <c r="C297" cm="1">
        <f t="array" ref="C297">IFERROR(INDEX('TRIP MANAGER'!$O$18:$O$25,$A297),"")</f>
        <v>12.133699999999999</v>
      </c>
      <c r="D297" cm="1">
        <f t="array" ref="D297">IFERROR(INDEX('TRIP MANAGER'!$P$18:$P$25,$A297),"")</f>
        <v>15.034000000000001</v>
      </c>
      <c r="E297" cm="1">
        <f t="array" ref="E297">IFERROR(INDEX('TRIP MANAGER'!$Q$18:$Q$25,$A297),"")</f>
        <v>30.111529999999998</v>
      </c>
      <c r="F297" cm="1">
        <f t="array" ref="F297">IFERROR(INDEX('TRIP MANAGER'!$R$18:$R$25,$A297),"")</f>
        <v>31.39669</v>
      </c>
      <c r="G297" cm="1">
        <f t="array" ref="G297">IFERROR(INDEX('TRIP MANAGER'!$S$18:$S$25,$A297),"")</f>
        <v>0.41049814416825092</v>
      </c>
      <c r="H297">
        <f t="shared" si="46"/>
        <v>0.96</v>
      </c>
      <c r="I297">
        <f t="shared" si="47"/>
        <v>4.1144027063025369E-2</v>
      </c>
      <c r="J297">
        <f t="shared" si="48"/>
        <v>0.96213932653525769</v>
      </c>
      <c r="K297">
        <f t="shared" si="49"/>
        <v>0.74928264596700234</v>
      </c>
      <c r="L297">
        <f t="shared" si="50"/>
        <v>0.44402881419219925</v>
      </c>
      <c r="M297">
        <f t="shared" si="51"/>
        <v>0.49133891421274289</v>
      </c>
      <c r="N297">
        <f t="shared" si="52"/>
        <v>29.428622567730642</v>
      </c>
      <c r="O297">
        <f t="shared" si="53"/>
        <v>30.651203808002069</v>
      </c>
      <c r="P297" t="str" cm="1">
        <f t="array" ref="P297">IF($N297="","",IFERROR(IF(INDEX(geo_grid!$B$2:$JU$231,INT(($N297+40)/0.5)+1,INT(($O297+30)/0.5)+1)="","",INDEX(geo_grid!$B$2:$JU$231,INT(($N297+40)/0.5)+1,INT(($O297+30)/0.5)+1)),"OUTSIDE GRID"))</f>
        <v>EGY</v>
      </c>
      <c r="Q297">
        <f t="shared" si="54"/>
        <v>2144</v>
      </c>
    </row>
    <row r="298" spans="1:17" x14ac:dyDescent="0.3">
      <c r="A298">
        <f t="shared" si="44"/>
        <v>2</v>
      </c>
      <c r="B298">
        <f t="shared" si="45"/>
        <v>145</v>
      </c>
      <c r="C298" cm="1">
        <f t="array" ref="C298">IFERROR(INDEX('TRIP MANAGER'!$O$18:$O$25,$A298),"")</f>
        <v>12.133699999999999</v>
      </c>
      <c r="D298" cm="1">
        <f t="array" ref="D298">IFERROR(INDEX('TRIP MANAGER'!$P$18:$P$25,$A298),"")</f>
        <v>15.034000000000001</v>
      </c>
      <c r="E298" cm="1">
        <f t="array" ref="E298">IFERROR(INDEX('TRIP MANAGER'!$Q$18:$Q$25,$A298),"")</f>
        <v>30.111529999999998</v>
      </c>
      <c r="F298" cm="1">
        <f t="array" ref="F298">IFERROR(INDEX('TRIP MANAGER'!$R$18:$R$25,$A298),"")</f>
        <v>31.39669</v>
      </c>
      <c r="G298" cm="1">
        <f t="array" ref="G298">IFERROR(INDEX('TRIP MANAGER'!$S$18:$S$25,$A298),"")</f>
        <v>0.41049814416825092</v>
      </c>
      <c r="H298">
        <f t="shared" si="46"/>
        <v>0.96666666666666667</v>
      </c>
      <c r="I298">
        <f t="shared" si="47"/>
        <v>3.4287159997512202E-2</v>
      </c>
      <c r="J298">
        <f t="shared" si="48"/>
        <v>0.96846772924078373</v>
      </c>
      <c r="K298">
        <f t="shared" si="49"/>
        <v>0.74748124889059564</v>
      </c>
      <c r="L298">
        <f t="shared" si="50"/>
        <v>0.44514186996620575</v>
      </c>
      <c r="M298">
        <f t="shared" si="51"/>
        <v>0.49307250801473895</v>
      </c>
      <c r="N298">
        <f t="shared" si="52"/>
        <v>29.542729456390028</v>
      </c>
      <c r="O298">
        <f t="shared" si="53"/>
        <v>30.774748328920833</v>
      </c>
      <c r="P298" t="str" cm="1">
        <f t="array" ref="P298">IF($N298="","",IFERROR(IF(INDEX(geo_grid!$B$2:$JU$231,INT(($N298+40)/0.5)+1,INT(($O298+30)/0.5)+1)="","",INDEX(geo_grid!$B$2:$JU$231,INT(($N298+40)/0.5)+1,INT(($O298+30)/0.5)+1)),"OUTSIDE GRID"))</f>
        <v>EGY</v>
      </c>
      <c r="Q298">
        <f t="shared" si="54"/>
        <v>2145</v>
      </c>
    </row>
    <row r="299" spans="1:17" x14ac:dyDescent="0.3">
      <c r="A299">
        <f t="shared" si="44"/>
        <v>2</v>
      </c>
      <c r="B299">
        <f t="shared" si="45"/>
        <v>146</v>
      </c>
      <c r="C299" cm="1">
        <f t="array" ref="C299">IFERROR(INDEX('TRIP MANAGER'!$O$18:$O$25,$A299),"")</f>
        <v>12.133699999999999</v>
      </c>
      <c r="D299" cm="1">
        <f t="array" ref="D299">IFERROR(INDEX('TRIP MANAGER'!$P$18:$P$25,$A299),"")</f>
        <v>15.034000000000001</v>
      </c>
      <c r="E299" cm="1">
        <f t="array" ref="E299">IFERROR(INDEX('TRIP MANAGER'!$Q$18:$Q$25,$A299),"")</f>
        <v>30.111529999999998</v>
      </c>
      <c r="F299" cm="1">
        <f t="array" ref="F299">IFERROR(INDEX('TRIP MANAGER'!$R$18:$R$25,$A299),"")</f>
        <v>31.39669</v>
      </c>
      <c r="G299" cm="1">
        <f t="array" ref="G299">IFERROR(INDEX('TRIP MANAGER'!$S$18:$S$25,$A299),"")</f>
        <v>0.41049814416825092</v>
      </c>
      <c r="H299">
        <f t="shared" si="46"/>
        <v>0.97333333333333338</v>
      </c>
      <c r="I299">
        <f t="shared" si="47"/>
        <v>2.743003614612988E-2</v>
      </c>
      <c r="J299">
        <f t="shared" si="48"/>
        <v>0.97478887882801069</v>
      </c>
      <c r="K299">
        <f t="shared" si="49"/>
        <v>0.74567425372376128</v>
      </c>
      <c r="L299">
        <f t="shared" si="50"/>
        <v>0.44625159195164571</v>
      </c>
      <c r="M299">
        <f t="shared" si="51"/>
        <v>0.49480240906258055</v>
      </c>
      <c r="N299">
        <f t="shared" si="52"/>
        <v>29.656721812615981</v>
      </c>
      <c r="O299">
        <f t="shared" si="53"/>
        <v>30.898571919475582</v>
      </c>
      <c r="P299" t="str" cm="1">
        <f t="array" ref="P299">IF($N299="","",IFERROR(IF(INDEX(geo_grid!$B$2:$JU$231,INT(($N299+40)/0.5)+1,INT(($O299+30)/0.5)+1)="","",INDEX(geo_grid!$B$2:$JU$231,INT(($N299+40)/0.5)+1,INT(($O299+30)/0.5)+1)),"OUTSIDE GRID"))</f>
        <v>EGY</v>
      </c>
      <c r="Q299">
        <f t="shared" si="54"/>
        <v>2146</v>
      </c>
    </row>
    <row r="300" spans="1:17" x14ac:dyDescent="0.3">
      <c r="A300">
        <f t="shared" si="44"/>
        <v>2</v>
      </c>
      <c r="B300">
        <f t="shared" si="45"/>
        <v>147</v>
      </c>
      <c r="C300" cm="1">
        <f t="array" ref="C300">IFERROR(INDEX('TRIP MANAGER'!$O$18:$O$25,$A300),"")</f>
        <v>12.133699999999999</v>
      </c>
      <c r="D300" cm="1">
        <f t="array" ref="D300">IFERROR(INDEX('TRIP MANAGER'!$P$18:$P$25,$A300),"")</f>
        <v>15.034000000000001</v>
      </c>
      <c r="E300" cm="1">
        <f t="array" ref="E300">IFERROR(INDEX('TRIP MANAGER'!$Q$18:$Q$25,$A300),"")</f>
        <v>30.111529999999998</v>
      </c>
      <c r="F300" cm="1">
        <f t="array" ref="F300">IFERROR(INDEX('TRIP MANAGER'!$R$18:$R$25,$A300),"")</f>
        <v>31.39669</v>
      </c>
      <c r="G300" cm="1">
        <f t="array" ref="G300">IFERROR(INDEX('TRIP MANAGER'!$S$18:$S$25,$A300),"")</f>
        <v>0.41049814416825092</v>
      </c>
      <c r="H300">
        <f t="shared" si="46"/>
        <v>0.98</v>
      </c>
      <c r="I300">
        <f t="shared" si="47"/>
        <v>2.0572706863744551E-2</v>
      </c>
      <c r="J300">
        <f t="shared" si="48"/>
        <v>0.98110272795612963</v>
      </c>
      <c r="K300">
        <f t="shared" si="49"/>
        <v>0.74386167399957803</v>
      </c>
      <c r="L300">
        <f t="shared" si="50"/>
        <v>0.44735797183750942</v>
      </c>
      <c r="M300">
        <f t="shared" si="51"/>
        <v>0.49652860440056806</v>
      </c>
      <c r="N300">
        <f t="shared" si="52"/>
        <v>29.770598844222413</v>
      </c>
      <c r="O300">
        <f t="shared" si="53"/>
        <v>31.022676226739879</v>
      </c>
      <c r="P300" t="str" cm="1">
        <f t="array" ref="P300">IF($N300="","",IFERROR(IF(INDEX(geo_grid!$B$2:$JU$231,INT(($N300+40)/0.5)+1,INT(($O300+30)/0.5)+1)="","",INDEX(geo_grid!$B$2:$JU$231,INT(($N300+40)/0.5)+1,INT(($O300+30)/0.5)+1)),"OUTSIDE GRID"))</f>
        <v>EGY</v>
      </c>
      <c r="Q300">
        <f t="shared" si="54"/>
        <v>2147</v>
      </c>
    </row>
    <row r="301" spans="1:17" x14ac:dyDescent="0.3">
      <c r="A301">
        <f t="shared" si="44"/>
        <v>2</v>
      </c>
      <c r="B301">
        <f t="shared" si="45"/>
        <v>148</v>
      </c>
      <c r="C301" cm="1">
        <f t="array" ref="C301">IFERROR(INDEX('TRIP MANAGER'!$O$18:$O$25,$A301),"")</f>
        <v>12.133699999999999</v>
      </c>
      <c r="D301" cm="1">
        <f t="array" ref="D301">IFERROR(INDEX('TRIP MANAGER'!$P$18:$P$25,$A301),"")</f>
        <v>15.034000000000001</v>
      </c>
      <c r="E301" cm="1">
        <f t="array" ref="E301">IFERROR(INDEX('TRIP MANAGER'!$Q$18:$Q$25,$A301),"")</f>
        <v>30.111529999999998</v>
      </c>
      <c r="F301" cm="1">
        <f t="array" ref="F301">IFERROR(INDEX('TRIP MANAGER'!$R$18:$R$25,$A301),"")</f>
        <v>31.39669</v>
      </c>
      <c r="G301" cm="1">
        <f t="array" ref="G301">IFERROR(INDEX('TRIP MANAGER'!$S$18:$S$25,$A301),"")</f>
        <v>0.41049814416825092</v>
      </c>
      <c r="H301">
        <f t="shared" si="46"/>
        <v>0.98666666666666669</v>
      </c>
      <c r="I301">
        <f t="shared" si="47"/>
        <v>1.371522350676053E-2</v>
      </c>
      <c r="J301">
        <f t="shared" si="48"/>
        <v>0.98740922933900677</v>
      </c>
      <c r="K301">
        <f t="shared" si="49"/>
        <v>0.74204352329294787</v>
      </c>
      <c r="L301">
        <f t="shared" si="50"/>
        <v>0.4484610013378168</v>
      </c>
      <c r="M301">
        <f t="shared" si="51"/>
        <v>0.498251081100755</v>
      </c>
      <c r="N301">
        <f t="shared" si="52"/>
        <v>29.884359754405054</v>
      </c>
      <c r="O301">
        <f t="shared" si="53"/>
        <v>31.147062903155955</v>
      </c>
      <c r="P301" t="str" cm="1">
        <f t="array" ref="P301">IF($N301="","",IFERROR(IF(INDEX(geo_grid!$B$2:$JU$231,INT(($N301+40)/0.5)+1,INT(($O301+30)/0.5)+1)="","",INDEX(geo_grid!$B$2:$JU$231,INT(($N301+40)/0.5)+1,INT(($O301+30)/0.5)+1)),"OUTSIDE GRID"))</f>
        <v>EGY</v>
      </c>
      <c r="Q301">
        <f t="shared" si="54"/>
        <v>2148</v>
      </c>
    </row>
    <row r="302" spans="1:17" x14ac:dyDescent="0.3">
      <c r="A302">
        <f t="shared" si="44"/>
        <v>2</v>
      </c>
      <c r="B302">
        <f t="shared" si="45"/>
        <v>149</v>
      </c>
      <c r="C302" cm="1">
        <f t="array" ref="C302">IFERROR(INDEX('TRIP MANAGER'!$O$18:$O$25,$A302),"")</f>
        <v>12.133699999999999</v>
      </c>
      <c r="D302" cm="1">
        <f t="array" ref="D302">IFERROR(INDEX('TRIP MANAGER'!$P$18:$P$25,$A302),"")</f>
        <v>15.034000000000001</v>
      </c>
      <c r="E302" cm="1">
        <f t="array" ref="E302">IFERROR(INDEX('TRIP MANAGER'!$Q$18:$Q$25,$A302),"")</f>
        <v>30.111529999999998</v>
      </c>
      <c r="F302" cm="1">
        <f t="array" ref="F302">IFERROR(INDEX('TRIP MANAGER'!$R$18:$R$25,$A302),"")</f>
        <v>31.39669</v>
      </c>
      <c r="G302" cm="1">
        <f t="array" ref="G302">IFERROR(INDEX('TRIP MANAGER'!$S$18:$S$25,$A302),"")</f>
        <v>0.41049814416825092</v>
      </c>
      <c r="H302">
        <f t="shared" si="46"/>
        <v>0.99333333333333329</v>
      </c>
      <c r="I302">
        <f t="shared" si="47"/>
        <v>6.8576374327365113E-3</v>
      </c>
      <c r="J302">
        <f t="shared" si="48"/>
        <v>0.99370833574553719</v>
      </c>
      <c r="K302">
        <f t="shared" si="49"/>
        <v>0.7402198152204964</v>
      </c>
      <c r="L302">
        <f t="shared" si="50"/>
        <v>0.44956067219167978</v>
      </c>
      <c r="M302">
        <f t="shared" si="51"/>
        <v>0.49996982626304465</v>
      </c>
      <c r="N302">
        <f t="shared" si="52"/>
        <v>29.998003741709621</v>
      </c>
      <c r="O302">
        <f t="shared" si="53"/>
        <v>31.271733606525572</v>
      </c>
      <c r="P302" t="str" cm="1">
        <f t="array" ref="P302">IF($N302="","",IFERROR(IF(INDEX(geo_grid!$B$2:$JU$231,INT(($N302+40)/0.5)+1,INT(($O302+30)/0.5)+1)="","",INDEX(geo_grid!$B$2:$JU$231,INT(($N302+40)/0.5)+1,INT(($O302+30)/0.5)+1)),"OUTSIDE GRID"))</f>
        <v>EGY</v>
      </c>
      <c r="Q302">
        <f t="shared" si="54"/>
        <v>2149</v>
      </c>
    </row>
    <row r="303" spans="1:17" x14ac:dyDescent="0.3">
      <c r="A303">
        <f t="shared" si="44"/>
        <v>2</v>
      </c>
      <c r="B303">
        <f t="shared" si="45"/>
        <v>150</v>
      </c>
      <c r="C303" cm="1">
        <f t="array" ref="C303">IFERROR(INDEX('TRIP MANAGER'!$O$18:$O$25,$A303),"")</f>
        <v>12.133699999999999</v>
      </c>
      <c r="D303" cm="1">
        <f t="array" ref="D303">IFERROR(INDEX('TRIP MANAGER'!$P$18:$P$25,$A303),"")</f>
        <v>15.034000000000001</v>
      </c>
      <c r="E303" cm="1">
        <f t="array" ref="E303">IFERROR(INDEX('TRIP MANAGER'!$Q$18:$Q$25,$A303),"")</f>
        <v>30.111529999999998</v>
      </c>
      <c r="F303" cm="1">
        <f t="array" ref="F303">IFERROR(INDEX('TRIP MANAGER'!$R$18:$R$25,$A303),"")</f>
        <v>31.39669</v>
      </c>
      <c r="G303" cm="1">
        <f t="array" ref="G303">IFERROR(INDEX('TRIP MANAGER'!$S$18:$S$25,$A303),"")</f>
        <v>0.41049814416825092</v>
      </c>
      <c r="H303">
        <f t="shared" si="46"/>
        <v>1</v>
      </c>
      <c r="I303">
        <f t="shared" si="47"/>
        <v>0</v>
      </c>
      <c r="J303">
        <f t="shared" si="48"/>
        <v>1</v>
      </c>
      <c r="K303">
        <f t="shared" si="49"/>
        <v>0.73839056344046961</v>
      </c>
      <c r="L303">
        <f t="shared" si="50"/>
        <v>0.45065697616336448</v>
      </c>
      <c r="M303">
        <f t="shared" si="51"/>
        <v>0.50168482701528716</v>
      </c>
      <c r="N303">
        <f t="shared" si="52"/>
        <v>30.111529999999998</v>
      </c>
      <c r="O303">
        <f t="shared" si="53"/>
        <v>31.39669000000001</v>
      </c>
      <c r="P303" t="str" cm="1">
        <f t="array" ref="P303">IF($N303="","",IFERROR(IF(INDEX(geo_grid!$B$2:$JU$231,INT(($N303+40)/0.5)+1,INT(($O303+30)/0.5)+1)="","",INDEX(geo_grid!$B$2:$JU$231,INT(($N303+40)/0.5)+1,INT(($O303+30)/0.5)+1)),"OUTSIDE GRID"))</f>
        <v>EGY</v>
      </c>
      <c r="Q303">
        <f t="shared" si="54"/>
        <v>2150</v>
      </c>
    </row>
    <row r="304" spans="1:17" x14ac:dyDescent="0.3">
      <c r="A304">
        <f t="shared" si="44"/>
        <v>3</v>
      </c>
      <c r="B304">
        <f t="shared" si="45"/>
        <v>0</v>
      </c>
      <c r="C304" cm="1">
        <f t="array" ref="C304">IFERROR(INDEX('TRIP MANAGER'!$O$18:$O$25,$A304),"")</f>
        <v>30.111529999999998</v>
      </c>
      <c r="D304" cm="1">
        <f t="array" ref="D304">IFERROR(INDEX('TRIP MANAGER'!$P$18:$P$25,$A304),"")</f>
        <v>31.39669</v>
      </c>
      <c r="E304" cm="1">
        <f t="array" ref="E304">IFERROR(INDEX('TRIP MANAGER'!$Q$18:$Q$25,$A304),"")</f>
        <v>30.322479999999999</v>
      </c>
      <c r="F304" cm="1">
        <f t="array" ref="F304">IFERROR(INDEX('TRIP MANAGER'!$R$18:$R$25,$A304),"")</f>
        <v>-9.4120000000000008</v>
      </c>
      <c r="G304" cm="1">
        <f t="array" ref="G304">IFERROR(INDEX('TRIP MANAGER'!$S$18:$S$25,$A304),"")</f>
        <v>0.61206181805380777</v>
      </c>
      <c r="H304">
        <f t="shared" si="46"/>
        <v>0</v>
      </c>
      <c r="I304">
        <f t="shared" si="47"/>
        <v>1</v>
      </c>
      <c r="J304">
        <f t="shared" si="48"/>
        <v>0</v>
      </c>
      <c r="K304">
        <f t="shared" si="49"/>
        <v>0.73839056344046961</v>
      </c>
      <c r="L304">
        <f t="shared" si="50"/>
        <v>0.45065697616336448</v>
      </c>
      <c r="M304">
        <f t="shared" si="51"/>
        <v>0.50168482701528716</v>
      </c>
      <c r="N304">
        <f t="shared" si="52"/>
        <v>30.111529999999998</v>
      </c>
      <c r="O304">
        <f t="shared" si="53"/>
        <v>31.39669000000001</v>
      </c>
      <c r="P304" t="str" cm="1">
        <f t="array" ref="P304">IF($N304="","",IFERROR(IF(INDEX(geo_grid!$B$2:$JU$231,INT(($N304+40)/0.5)+1,INT(($O304+30)/0.5)+1)="","",INDEX(geo_grid!$B$2:$JU$231,INT(($N304+40)/0.5)+1,INT(($O304+30)/0.5)+1)),"OUTSIDE GRID"))</f>
        <v>EGY</v>
      </c>
      <c r="Q304">
        <f t="shared" si="54"/>
        <v>3000</v>
      </c>
    </row>
    <row r="305" spans="1:17" x14ac:dyDescent="0.3">
      <c r="A305">
        <f t="shared" si="44"/>
        <v>3</v>
      </c>
      <c r="B305">
        <f t="shared" si="45"/>
        <v>1</v>
      </c>
      <c r="C305" cm="1">
        <f t="array" ref="C305">IFERROR(INDEX('TRIP MANAGER'!$O$18:$O$25,$A305),"")</f>
        <v>30.111529999999998</v>
      </c>
      <c r="D305" cm="1">
        <f t="array" ref="D305">IFERROR(INDEX('TRIP MANAGER'!$P$18:$P$25,$A305),"")</f>
        <v>31.39669</v>
      </c>
      <c r="E305" cm="1">
        <f t="array" ref="E305">IFERROR(INDEX('TRIP MANAGER'!$Q$18:$Q$25,$A305),"")</f>
        <v>30.322479999999999</v>
      </c>
      <c r="F305" cm="1">
        <f t="array" ref="F305">IFERROR(INDEX('TRIP MANAGER'!$R$18:$R$25,$A305),"")</f>
        <v>-9.4120000000000008</v>
      </c>
      <c r="G305" cm="1">
        <f t="array" ref="G305">IFERROR(INDEX('TRIP MANAGER'!$S$18:$S$25,$A305),"")</f>
        <v>0.61206181805380777</v>
      </c>
      <c r="H305">
        <f t="shared" si="46"/>
        <v>6.6666666666666671E-3</v>
      </c>
      <c r="I305">
        <f t="shared" si="47"/>
        <v>0.99417907451028931</v>
      </c>
      <c r="J305">
        <f t="shared" si="48"/>
        <v>7.1018305127436843E-3</v>
      </c>
      <c r="K305">
        <f t="shared" si="49"/>
        <v>0.74014020329047714</v>
      </c>
      <c r="L305">
        <f t="shared" si="50"/>
        <v>0.44703123452198201</v>
      </c>
      <c r="M305">
        <f t="shared" si="51"/>
        <v>0.50235003218362007</v>
      </c>
      <c r="N305">
        <f t="shared" si="52"/>
        <v>30.155599052318625</v>
      </c>
      <c r="O305">
        <f t="shared" si="53"/>
        <v>31.131213399435261</v>
      </c>
      <c r="P305" t="str" cm="1">
        <f t="array" ref="P305">IF($N305="","",IFERROR(IF(INDEX(geo_grid!$B$2:$JU$231,INT(($N305+40)/0.5)+1,INT(($O305+30)/0.5)+1)="","",INDEX(geo_grid!$B$2:$JU$231,INT(($N305+40)/0.5)+1,INT(($O305+30)/0.5)+1)),"OUTSIDE GRID"))</f>
        <v>EGY</v>
      </c>
      <c r="Q305">
        <f t="shared" si="54"/>
        <v>3001</v>
      </c>
    </row>
    <row r="306" spans="1:17" x14ac:dyDescent="0.3">
      <c r="A306">
        <f t="shared" si="44"/>
        <v>3</v>
      </c>
      <c r="B306">
        <f t="shared" si="45"/>
        <v>2</v>
      </c>
      <c r="C306" cm="1">
        <f t="array" ref="C306">IFERROR(INDEX('TRIP MANAGER'!$O$18:$O$25,$A306),"")</f>
        <v>30.111529999999998</v>
      </c>
      <c r="D306" cm="1">
        <f t="array" ref="D306">IFERROR(INDEX('TRIP MANAGER'!$P$18:$P$25,$A306),"")</f>
        <v>31.39669</v>
      </c>
      <c r="E306" cm="1">
        <f t="array" ref="E306">IFERROR(INDEX('TRIP MANAGER'!$Q$18:$Q$25,$A306),"")</f>
        <v>30.322479999999999</v>
      </c>
      <c r="F306" cm="1">
        <f t="array" ref="F306">IFERROR(INDEX('TRIP MANAGER'!$R$18:$R$25,$A306),"")</f>
        <v>-9.4120000000000008</v>
      </c>
      <c r="G306" cm="1">
        <f t="array" ref="G306">IFERROR(INDEX('TRIP MANAGER'!$S$18:$S$25,$A306),"")</f>
        <v>0.61206181805380777</v>
      </c>
      <c r="H306">
        <f t="shared" si="46"/>
        <v>1.3333333333333334E-2</v>
      </c>
      <c r="I306">
        <f t="shared" si="47"/>
        <v>0.9883415961975035</v>
      </c>
      <c r="J306">
        <f t="shared" si="48"/>
        <v>1.4203542781856014E-2</v>
      </c>
      <c r="K306">
        <f t="shared" si="49"/>
        <v>0.74187751999855778</v>
      </c>
      <c r="L306">
        <f t="shared" si="50"/>
        <v>0.44339804992678589</v>
      </c>
      <c r="M306">
        <f t="shared" si="51"/>
        <v>0.50300687335454275</v>
      </c>
      <c r="N306">
        <f t="shared" si="52"/>
        <v>30.199133330946637</v>
      </c>
      <c r="O306">
        <f t="shared" si="53"/>
        <v>30.865500873537812</v>
      </c>
      <c r="P306" t="str" cm="1">
        <f t="array" ref="P306">IF($N306="","",IFERROR(IF(INDEX(geo_grid!$B$2:$JU$231,INT(($N306+40)/0.5)+1,INT(($O306+30)/0.5)+1)="","",INDEX(geo_grid!$B$2:$JU$231,INT(($N306+40)/0.5)+1,INT(($O306+30)/0.5)+1)),"OUTSIDE GRID"))</f>
        <v>EGY</v>
      </c>
      <c r="Q306">
        <f t="shared" si="54"/>
        <v>3002</v>
      </c>
    </row>
    <row r="307" spans="1:17" x14ac:dyDescent="0.3">
      <c r="A307">
        <f t="shared" si="44"/>
        <v>3</v>
      </c>
      <c r="B307">
        <f t="shared" si="45"/>
        <v>3</v>
      </c>
      <c r="C307" cm="1">
        <f t="array" ref="C307">IFERROR(INDEX('TRIP MANAGER'!$O$18:$O$25,$A307),"")</f>
        <v>30.111529999999998</v>
      </c>
      <c r="D307" cm="1">
        <f t="array" ref="D307">IFERROR(INDEX('TRIP MANAGER'!$P$18:$P$25,$A307),"")</f>
        <v>31.39669</v>
      </c>
      <c r="E307" cm="1">
        <f t="array" ref="E307">IFERROR(INDEX('TRIP MANAGER'!$Q$18:$Q$25,$A307),"")</f>
        <v>30.322479999999999</v>
      </c>
      <c r="F307" cm="1">
        <f t="array" ref="F307">IFERROR(INDEX('TRIP MANAGER'!$R$18:$R$25,$A307),"")</f>
        <v>-9.4120000000000008</v>
      </c>
      <c r="G307" cm="1">
        <f t="array" ref="G307">IFERROR(INDEX('TRIP MANAGER'!$S$18:$S$25,$A307),"")</f>
        <v>0.61206181805380777</v>
      </c>
      <c r="H307">
        <f t="shared" si="46"/>
        <v>0.02</v>
      </c>
      <c r="I307">
        <f t="shared" si="47"/>
        <v>0.98248766225413864</v>
      </c>
      <c r="J307">
        <f t="shared" si="48"/>
        <v>2.130501856567436E-2</v>
      </c>
      <c r="K307">
        <f t="shared" si="49"/>
        <v>0.74360248463884027</v>
      </c>
      <c r="L307">
        <f t="shared" si="50"/>
        <v>0.43975748286935495</v>
      </c>
      <c r="M307">
        <f t="shared" si="51"/>
        <v>0.50365533959182052</v>
      </c>
      <c r="N307">
        <f t="shared" si="52"/>
        <v>30.242131426437009</v>
      </c>
      <c r="O307">
        <f t="shared" si="53"/>
        <v>30.59955469231085</v>
      </c>
      <c r="P307" t="str" cm="1">
        <f t="array" ref="P307">IF($N307="","",IFERROR(IF(INDEX(geo_grid!$B$2:$JU$231,INT(($N307+40)/0.5)+1,INT(($O307+30)/0.5)+1)="","",INDEX(geo_grid!$B$2:$JU$231,INT(($N307+40)/0.5)+1,INT(($O307+30)/0.5)+1)),"OUTSIDE GRID"))</f>
        <v>EGY</v>
      </c>
      <c r="Q307">
        <f t="shared" si="54"/>
        <v>3003</v>
      </c>
    </row>
    <row r="308" spans="1:17" x14ac:dyDescent="0.3">
      <c r="A308">
        <f t="shared" si="44"/>
        <v>3</v>
      </c>
      <c r="B308">
        <f t="shared" si="45"/>
        <v>4</v>
      </c>
      <c r="C308" cm="1">
        <f t="array" ref="C308">IFERROR(INDEX('TRIP MANAGER'!$O$18:$O$25,$A308),"")</f>
        <v>30.111529999999998</v>
      </c>
      <c r="D308" cm="1">
        <f t="array" ref="D308">IFERROR(INDEX('TRIP MANAGER'!$P$18:$P$25,$A308),"")</f>
        <v>31.39669</v>
      </c>
      <c r="E308" cm="1">
        <f t="array" ref="E308">IFERROR(INDEX('TRIP MANAGER'!$Q$18:$Q$25,$A308),"")</f>
        <v>30.322479999999999</v>
      </c>
      <c r="F308" cm="1">
        <f t="array" ref="F308">IFERROR(INDEX('TRIP MANAGER'!$R$18:$R$25,$A308),"")</f>
        <v>-9.4120000000000008</v>
      </c>
      <c r="G308" cm="1">
        <f t="array" ref="G308">IFERROR(INDEX('TRIP MANAGER'!$S$18:$S$25,$A308),"")</f>
        <v>0.61206181805380777</v>
      </c>
      <c r="H308">
        <f t="shared" si="46"/>
        <v>2.6666666666666668E-2</v>
      </c>
      <c r="I308">
        <f t="shared" si="47"/>
        <v>0.97661737014667316</v>
      </c>
      <c r="J308">
        <f t="shared" si="48"/>
        <v>2.8406139626473519E-2</v>
      </c>
      <c r="K308">
        <f t="shared" si="49"/>
        <v>0.74531506849111206</v>
      </c>
      <c r="L308">
        <f t="shared" si="50"/>
        <v>0.43610959396418419</v>
      </c>
      <c r="M308">
        <f t="shared" si="51"/>
        <v>0.50429542009865946</v>
      </c>
      <c r="N308">
        <f t="shared" si="52"/>
        <v>30.284591943036229</v>
      </c>
      <c r="O308">
        <f t="shared" si="53"/>
        <v>30.333377154448513</v>
      </c>
      <c r="P308" t="str" cm="1">
        <f t="array" ref="P308">IF($N308="","",IFERROR(IF(INDEX(geo_grid!$B$2:$JU$231,INT(($N308+40)/0.5)+1,INT(($O308+30)/0.5)+1)="","",INDEX(geo_grid!$B$2:$JU$231,INT(($N308+40)/0.5)+1,INT(($O308+30)/0.5)+1)),"OUTSIDE GRID"))</f>
        <v>EGY</v>
      </c>
      <c r="Q308">
        <f t="shared" si="54"/>
        <v>3004</v>
      </c>
    </row>
    <row r="309" spans="1:17" x14ac:dyDescent="0.3">
      <c r="A309">
        <f t="shared" si="44"/>
        <v>3</v>
      </c>
      <c r="B309">
        <f t="shared" si="45"/>
        <v>5</v>
      </c>
      <c r="C309" cm="1">
        <f t="array" ref="C309">IFERROR(INDEX('TRIP MANAGER'!$O$18:$O$25,$A309),"")</f>
        <v>30.111529999999998</v>
      </c>
      <c r="D309" cm="1">
        <f t="array" ref="D309">IFERROR(INDEX('TRIP MANAGER'!$P$18:$P$25,$A309),"")</f>
        <v>31.39669</v>
      </c>
      <c r="E309" cm="1">
        <f t="array" ref="E309">IFERROR(INDEX('TRIP MANAGER'!$Q$18:$Q$25,$A309),"")</f>
        <v>30.322479999999999</v>
      </c>
      <c r="F309" cm="1">
        <f t="array" ref="F309">IFERROR(INDEX('TRIP MANAGER'!$R$18:$R$25,$A309),"")</f>
        <v>-9.4120000000000008</v>
      </c>
      <c r="G309" cm="1">
        <f t="array" ref="G309">IFERROR(INDEX('TRIP MANAGER'!$S$18:$S$25,$A309),"")</f>
        <v>0.61206181805380777</v>
      </c>
      <c r="H309">
        <f t="shared" si="46"/>
        <v>3.3333333333333333E-2</v>
      </c>
      <c r="I309">
        <f t="shared" si="47"/>
        <v>0.97073081761394331</v>
      </c>
      <c r="J309">
        <f t="shared" si="48"/>
        <v>3.550678773243432E-2</v>
      </c>
      <c r="K309">
        <f t="shared" si="49"/>
        <v>0.74701524304129707</v>
      </c>
      <c r="L309">
        <f t="shared" si="50"/>
        <v>0.4324544439476749</v>
      </c>
      <c r="M309">
        <f t="shared" si="51"/>
        <v>0.504927104217885</v>
      </c>
      <c r="N309">
        <f t="shared" si="52"/>
        <v>30.326513498852584</v>
      </c>
      <c r="O309">
        <f t="shared" si="53"/>
        <v>30.066970587169557</v>
      </c>
      <c r="P309" t="str" cm="1">
        <f t="array" ref="P309">IF($N309="","",IFERROR(IF(INDEX(geo_grid!$B$2:$JU$231,INT(($N309+40)/0.5)+1,INT(($O309+30)/0.5)+1)="","",INDEX(geo_grid!$B$2:$JU$231,INT(($N309+40)/0.5)+1,INT(($O309+30)/0.5)+1)),"OUTSIDE GRID"))</f>
        <v>EGY</v>
      </c>
      <c r="Q309">
        <f t="shared" si="54"/>
        <v>3005</v>
      </c>
    </row>
    <row r="310" spans="1:17" x14ac:dyDescent="0.3">
      <c r="A310">
        <f t="shared" si="44"/>
        <v>3</v>
      </c>
      <c r="B310">
        <f t="shared" si="45"/>
        <v>6</v>
      </c>
      <c r="C310" cm="1">
        <f t="array" ref="C310">IFERROR(INDEX('TRIP MANAGER'!$O$18:$O$25,$A310),"")</f>
        <v>30.111529999999998</v>
      </c>
      <c r="D310" cm="1">
        <f t="array" ref="D310">IFERROR(INDEX('TRIP MANAGER'!$P$18:$P$25,$A310),"")</f>
        <v>31.39669</v>
      </c>
      <c r="E310" cm="1">
        <f t="array" ref="E310">IFERROR(INDEX('TRIP MANAGER'!$Q$18:$Q$25,$A310),"")</f>
        <v>30.322479999999999</v>
      </c>
      <c r="F310" cm="1">
        <f t="array" ref="F310">IFERROR(INDEX('TRIP MANAGER'!$R$18:$R$25,$A310),"")</f>
        <v>-9.4120000000000008</v>
      </c>
      <c r="G310" cm="1">
        <f t="array" ref="G310">IFERROR(INDEX('TRIP MANAGER'!$S$18:$S$25,$A310),"")</f>
        <v>0.61206181805380777</v>
      </c>
      <c r="H310">
        <f t="shared" si="46"/>
        <v>0.04</v>
      </c>
      <c r="I310">
        <f t="shared" si="47"/>
        <v>0.96482810266551888</v>
      </c>
      <c r="J310">
        <f t="shared" si="48"/>
        <v>4.2606844659612182E-2</v>
      </c>
      <c r="K310">
        <f t="shared" si="49"/>
        <v>0.74870297998193147</v>
      </c>
      <c r="L310">
        <f t="shared" si="50"/>
        <v>0.42879209367712495</v>
      </c>
      <c r="M310">
        <f t="shared" si="51"/>
        <v>0.50555038143212128</v>
      </c>
      <c r="N310">
        <f t="shared" si="52"/>
        <v>30.367894726023721</v>
      </c>
      <c r="O310">
        <f t="shared" si="53"/>
        <v>29.800337346044383</v>
      </c>
      <c r="P310" t="str" cm="1">
        <f t="array" ref="P310">IF($N310="","",IFERROR(IF(INDEX(geo_grid!$B$2:$JU$231,INT(($N310+40)/0.5)+1,INT(($O310+30)/0.5)+1)="","",INDEX(geo_grid!$B$2:$JU$231,INT(($N310+40)/0.5)+1,INT(($O310+30)/0.5)+1)),"OUTSIDE GRID"))</f>
        <v>EGY</v>
      </c>
      <c r="Q310">
        <f t="shared" si="54"/>
        <v>3006</v>
      </c>
    </row>
    <row r="311" spans="1:17" x14ac:dyDescent="0.3">
      <c r="A311">
        <f t="shared" si="44"/>
        <v>3</v>
      </c>
      <c r="B311">
        <f t="shared" si="45"/>
        <v>7</v>
      </c>
      <c r="C311" cm="1">
        <f t="array" ref="C311">IFERROR(INDEX('TRIP MANAGER'!$O$18:$O$25,$A311),"")</f>
        <v>30.111529999999998</v>
      </c>
      <c r="D311" cm="1">
        <f t="array" ref="D311">IFERROR(INDEX('TRIP MANAGER'!$P$18:$P$25,$A311),"")</f>
        <v>31.39669</v>
      </c>
      <c r="E311" cm="1">
        <f t="array" ref="E311">IFERROR(INDEX('TRIP MANAGER'!$Q$18:$Q$25,$A311),"")</f>
        <v>30.322479999999999</v>
      </c>
      <c r="F311" cm="1">
        <f t="array" ref="F311">IFERROR(INDEX('TRIP MANAGER'!$R$18:$R$25,$A311),"")</f>
        <v>-9.4120000000000008</v>
      </c>
      <c r="G311" cm="1">
        <f t="array" ref="G311">IFERROR(INDEX('TRIP MANAGER'!$S$18:$S$25,$A311),"")</f>
        <v>0.61206181805380777</v>
      </c>
      <c r="H311">
        <f t="shared" si="46"/>
        <v>4.6666666666666669E-2</v>
      </c>
      <c r="I311">
        <f t="shared" si="47"/>
        <v>0.95890932358006853</v>
      </c>
      <c r="J311">
        <f t="shared" si="48"/>
        <v>4.9706192193905485E-2</v>
      </c>
      <c r="K311">
        <f t="shared" si="49"/>
        <v>0.75037825121263357</v>
      </c>
      <c r="L311">
        <f t="shared" si="50"/>
        <v>0.42512260412971364</v>
      </c>
      <c r="M311">
        <f t="shared" si="51"/>
        <v>0.50616524136396457</v>
      </c>
      <c r="N311">
        <f t="shared" si="52"/>
        <v>30.408734270883432</v>
      </c>
      <c r="O311">
        <f t="shared" si="53"/>
        <v>29.533479814815056</v>
      </c>
      <c r="P311" t="str" cm="1">
        <f t="array" ref="P311">IF($N311="","",IFERROR(IF(INDEX(geo_grid!$B$2:$JU$231,INT(($N311+40)/0.5)+1,INT(($O311+30)/0.5)+1)="","",INDEX(geo_grid!$B$2:$JU$231,INT(($N311+40)/0.5)+1,INT(($O311+30)/0.5)+1)),"OUTSIDE GRID"))</f>
        <v>EGY</v>
      </c>
      <c r="Q311">
        <f t="shared" si="54"/>
        <v>3007</v>
      </c>
    </row>
    <row r="312" spans="1:17" x14ac:dyDescent="0.3">
      <c r="A312">
        <f t="shared" si="44"/>
        <v>3</v>
      </c>
      <c r="B312">
        <f t="shared" si="45"/>
        <v>8</v>
      </c>
      <c r="C312" cm="1">
        <f t="array" ref="C312">IFERROR(INDEX('TRIP MANAGER'!$O$18:$O$25,$A312),"")</f>
        <v>30.111529999999998</v>
      </c>
      <c r="D312" cm="1">
        <f t="array" ref="D312">IFERROR(INDEX('TRIP MANAGER'!$P$18:$P$25,$A312),"")</f>
        <v>31.39669</v>
      </c>
      <c r="E312" cm="1">
        <f t="array" ref="E312">IFERROR(INDEX('TRIP MANAGER'!$Q$18:$Q$25,$A312),"")</f>
        <v>30.322479999999999</v>
      </c>
      <c r="F312" cm="1">
        <f t="array" ref="F312">IFERROR(INDEX('TRIP MANAGER'!$R$18:$R$25,$A312),"")</f>
        <v>-9.4120000000000008</v>
      </c>
      <c r="G312" cm="1">
        <f t="array" ref="G312">IFERROR(INDEX('TRIP MANAGER'!$S$18:$S$25,$A312),"")</f>
        <v>0.61206181805380777</v>
      </c>
      <c r="H312">
        <f t="shared" si="46"/>
        <v>5.3333333333333337E-2</v>
      </c>
      <c r="I312">
        <f t="shared" si="47"/>
        <v>0.95297457890372517</v>
      </c>
      <c r="J312">
        <f t="shared" si="48"/>
        <v>5.6804712133023828E-2</v>
      </c>
      <c r="K312">
        <f t="shared" si="49"/>
        <v>0.75204102884057344</v>
      </c>
      <c r="L312">
        <f t="shared" si="50"/>
        <v>0.42144603640148787</v>
      </c>
      <c r="M312">
        <f t="shared" si="51"/>
        <v>0.50677167377615706</v>
      </c>
      <c r="N312">
        <f t="shared" si="52"/>
        <v>30.449030794127555</v>
      </c>
      <c r="O312">
        <f t="shared" si="53"/>
        <v>29.266400405208671</v>
      </c>
      <c r="P312" t="str" cm="1">
        <f t="array" ref="P312">IF($N312="","",IFERROR(IF(INDEX(geo_grid!$B$2:$JU$231,INT(($N312+40)/0.5)+1,INT(($O312+30)/0.5)+1)="","",INDEX(geo_grid!$B$2:$JU$231,INT(($N312+40)/0.5)+1,INT(($O312+30)/0.5)+1)),"OUTSIDE GRID"))</f>
        <v>EGY</v>
      </c>
      <c r="Q312">
        <f t="shared" si="54"/>
        <v>3008</v>
      </c>
    </row>
    <row r="313" spans="1:17" x14ac:dyDescent="0.3">
      <c r="A313">
        <f t="shared" si="44"/>
        <v>3</v>
      </c>
      <c r="B313">
        <f t="shared" si="45"/>
        <v>9</v>
      </c>
      <c r="C313" cm="1">
        <f t="array" ref="C313">IFERROR(INDEX('TRIP MANAGER'!$O$18:$O$25,$A313),"")</f>
        <v>30.111529999999998</v>
      </c>
      <c r="D313" cm="1">
        <f t="array" ref="D313">IFERROR(INDEX('TRIP MANAGER'!$P$18:$P$25,$A313),"")</f>
        <v>31.39669</v>
      </c>
      <c r="E313" cm="1">
        <f t="array" ref="E313">IFERROR(INDEX('TRIP MANAGER'!$Q$18:$Q$25,$A313),"")</f>
        <v>30.322479999999999</v>
      </c>
      <c r="F313" cm="1">
        <f t="array" ref="F313">IFERROR(INDEX('TRIP MANAGER'!$R$18:$R$25,$A313),"")</f>
        <v>-9.4120000000000008</v>
      </c>
      <c r="G313" cm="1">
        <f t="array" ref="G313">IFERROR(INDEX('TRIP MANAGER'!$S$18:$S$25,$A313),"")</f>
        <v>0.61206181805380777</v>
      </c>
      <c r="H313">
        <f t="shared" si="46"/>
        <v>0.06</v>
      </c>
      <c r="I313">
        <f t="shared" si="47"/>
        <v>0.94702396744844386</v>
      </c>
      <c r="J313">
        <f t="shared" si="48"/>
        <v>6.3902286288456026E-2</v>
      </c>
      <c r="K313">
        <f t="shared" si="49"/>
        <v>0.75369128518093542</v>
      </c>
      <c r="L313">
        <f t="shared" si="50"/>
        <v>0.41776245170634418</v>
      </c>
      <c r="M313">
        <f t="shared" si="51"/>
        <v>0.50736966857175625</v>
      </c>
      <c r="N313">
        <f t="shared" si="52"/>
        <v>30.488782970979081</v>
      </c>
      <c r="O313">
        <f t="shared" si="53"/>
        <v>28.999101556743831</v>
      </c>
      <c r="P313" t="str" cm="1">
        <f t="array" ref="P313">IF($N313="","",IFERROR(IF(INDEX(geo_grid!$B$2:$JU$231,INT(($N313+40)/0.5)+1,INT(($O313+30)/0.5)+1)="","",INDEX(geo_grid!$B$2:$JU$231,INT(($N313+40)/0.5)+1,INT(($O313+30)/0.5)+1)),"OUTSIDE GRID"))</f>
        <v>EGY</v>
      </c>
      <c r="Q313">
        <f t="shared" si="54"/>
        <v>3009</v>
      </c>
    </row>
    <row r="314" spans="1:17" x14ac:dyDescent="0.3">
      <c r="A314">
        <f t="shared" si="44"/>
        <v>3</v>
      </c>
      <c r="B314">
        <f t="shared" si="45"/>
        <v>10</v>
      </c>
      <c r="C314" cm="1">
        <f t="array" ref="C314">IFERROR(INDEX('TRIP MANAGER'!$O$18:$O$25,$A314),"")</f>
        <v>30.111529999999998</v>
      </c>
      <c r="D314" cm="1">
        <f t="array" ref="D314">IFERROR(INDEX('TRIP MANAGER'!$P$18:$P$25,$A314),"")</f>
        <v>31.39669</v>
      </c>
      <c r="E314" cm="1">
        <f t="array" ref="E314">IFERROR(INDEX('TRIP MANAGER'!$Q$18:$Q$25,$A314),"")</f>
        <v>30.322479999999999</v>
      </c>
      <c r="F314" cm="1">
        <f t="array" ref="F314">IFERROR(INDEX('TRIP MANAGER'!$R$18:$R$25,$A314),"")</f>
        <v>-9.4120000000000008</v>
      </c>
      <c r="G314" cm="1">
        <f t="array" ref="G314">IFERROR(INDEX('TRIP MANAGER'!$S$18:$S$25,$A314),"")</f>
        <v>0.61206181805380777</v>
      </c>
      <c r="H314">
        <f t="shared" si="46"/>
        <v>6.6666666666666666E-2</v>
      </c>
      <c r="I314">
        <f t="shared" si="47"/>
        <v>0.94105758829035879</v>
      </c>
      <c r="J314">
        <f t="shared" si="48"/>
        <v>7.099879648743801E-2</v>
      </c>
      <c r="K314">
        <f t="shared" si="49"/>
        <v>0.75532899275738119</v>
      </c>
      <c r="L314">
        <f t="shared" si="50"/>
        <v>0.4140719113750102</v>
      </c>
      <c r="M314">
        <f t="shared" si="51"/>
        <v>0.50795921579430492</v>
      </c>
      <c r="N314">
        <f t="shared" si="52"/>
        <v>30.527989491352329</v>
      </c>
      <c r="O314">
        <f t="shared" si="53"/>
        <v>28.731585736530281</v>
      </c>
      <c r="P314" t="str" cm="1">
        <f t="array" ref="P314">IF($N314="","",IFERROR(IF(INDEX(geo_grid!$B$2:$JU$231,INT(($N314+40)/0.5)+1,INT(($O314+30)/0.5)+1)="","",INDEX(geo_grid!$B$2:$JU$231,INT(($N314+40)/0.5)+1,INT(($O314+30)/0.5)+1)),"OUTSIDE GRID"))</f>
        <v>EGY</v>
      </c>
      <c r="Q314">
        <f t="shared" si="54"/>
        <v>3010</v>
      </c>
    </row>
    <row r="315" spans="1:17" x14ac:dyDescent="0.3">
      <c r="A315">
        <f t="shared" si="44"/>
        <v>3</v>
      </c>
      <c r="B315">
        <f t="shared" si="45"/>
        <v>11</v>
      </c>
      <c r="C315" cm="1">
        <f t="array" ref="C315">IFERROR(INDEX('TRIP MANAGER'!$O$18:$O$25,$A315),"")</f>
        <v>30.111529999999998</v>
      </c>
      <c r="D315" cm="1">
        <f t="array" ref="D315">IFERROR(INDEX('TRIP MANAGER'!$P$18:$P$25,$A315),"")</f>
        <v>31.39669</v>
      </c>
      <c r="E315" cm="1">
        <f t="array" ref="E315">IFERROR(INDEX('TRIP MANAGER'!$Q$18:$Q$25,$A315),"")</f>
        <v>30.322479999999999</v>
      </c>
      <c r="F315" cm="1">
        <f t="array" ref="F315">IFERROR(INDEX('TRIP MANAGER'!$R$18:$R$25,$A315),"")</f>
        <v>-9.4120000000000008</v>
      </c>
      <c r="G315" cm="1">
        <f t="array" ref="G315">IFERROR(INDEX('TRIP MANAGER'!$S$18:$S$25,$A315),"")</f>
        <v>0.61206181805380777</v>
      </c>
      <c r="H315">
        <f t="shared" si="46"/>
        <v>7.3333333333333334E-2</v>
      </c>
      <c r="I315">
        <f t="shared" si="47"/>
        <v>0.93507554076813126</v>
      </c>
      <c r="J315">
        <f t="shared" si="48"/>
        <v>7.8094124574920223E-2</v>
      </c>
      <c r="K315">
        <f t="shared" si="49"/>
        <v>0.75695412430250542</v>
      </c>
      <c r="L315">
        <f t="shared" si="50"/>
        <v>0.41037447685402267</v>
      </c>
      <c r="M315">
        <f t="shared" si="51"/>
        <v>0.5085403056279949</v>
      </c>
      <c r="N315">
        <f t="shared" si="52"/>
        <v>30.566649060016076</v>
      </c>
      <c r="O315">
        <f t="shared" si="53"/>
        <v>28.463855439061735</v>
      </c>
      <c r="P315" t="str" cm="1">
        <f t="array" ref="P315">IF($N315="","",IFERROR(IF(INDEX(geo_grid!$B$2:$JU$231,INT(($N315+40)/0.5)+1,INT(($O315+30)/0.5)+1)="","",INDEX(geo_grid!$B$2:$JU$231,INT(($N315+40)/0.5)+1,INT(($O315+30)/0.5)+1)),"OUTSIDE GRID"))</f>
        <v>EGY</v>
      </c>
      <c r="Q315">
        <f t="shared" si="54"/>
        <v>3011</v>
      </c>
    </row>
    <row r="316" spans="1:17" x14ac:dyDescent="0.3">
      <c r="A316">
        <f t="shared" si="44"/>
        <v>3</v>
      </c>
      <c r="B316">
        <f t="shared" si="45"/>
        <v>12</v>
      </c>
      <c r="C316" cm="1">
        <f t="array" ref="C316">IFERROR(INDEX('TRIP MANAGER'!$O$18:$O$25,$A316),"")</f>
        <v>30.111529999999998</v>
      </c>
      <c r="D316" cm="1">
        <f t="array" ref="D316">IFERROR(INDEX('TRIP MANAGER'!$P$18:$P$25,$A316),"")</f>
        <v>31.39669</v>
      </c>
      <c r="E316" cm="1">
        <f t="array" ref="E316">IFERROR(INDEX('TRIP MANAGER'!$Q$18:$Q$25,$A316),"")</f>
        <v>30.322479999999999</v>
      </c>
      <c r="F316" cm="1">
        <f t="array" ref="F316">IFERROR(INDEX('TRIP MANAGER'!$R$18:$R$25,$A316),"")</f>
        <v>-9.4120000000000008</v>
      </c>
      <c r="G316" cm="1">
        <f t="array" ref="G316">IFERROR(INDEX('TRIP MANAGER'!$S$18:$S$25,$A316),"")</f>
        <v>0.61206181805380777</v>
      </c>
      <c r="H316">
        <f t="shared" si="46"/>
        <v>0.08</v>
      </c>
      <c r="I316">
        <f t="shared" si="47"/>
        <v>0.92907792448129667</v>
      </c>
      <c r="J316">
        <f t="shared" si="48"/>
        <v>8.5188152415535012E-2</v>
      </c>
      <c r="K316">
        <f t="shared" si="49"/>
        <v>0.75856665275828972</v>
      </c>
      <c r="L316">
        <f t="shared" si="50"/>
        <v>0.40667020970470474</v>
      </c>
      <c r="M316">
        <f t="shared" si="51"/>
        <v>0.5091129283978314</v>
      </c>
      <c r="N316">
        <f t="shared" si="52"/>
        <v>30.604760396755786</v>
      </c>
      <c r="O316">
        <f t="shared" si="53"/>
        <v>28.195913186001889</v>
      </c>
      <c r="P316" t="str" cm="1">
        <f t="array" ref="P316">IF($N316="","",IFERROR(IF(INDEX(geo_grid!$B$2:$JU$231,INT(($N316+40)/0.5)+1,INT(($O316+30)/0.5)+1)="","",INDEX(geo_grid!$B$2:$JU$231,INT(($N316+40)/0.5)+1,INT(($O316+30)/0.5)+1)),"OUTSIDE GRID"))</f>
        <v>EGY</v>
      </c>
      <c r="Q316">
        <f t="shared" si="54"/>
        <v>3012</v>
      </c>
    </row>
    <row r="317" spans="1:17" x14ac:dyDescent="0.3">
      <c r="A317">
        <f t="shared" si="44"/>
        <v>3</v>
      </c>
      <c r="B317">
        <f t="shared" si="45"/>
        <v>13</v>
      </c>
      <c r="C317" cm="1">
        <f t="array" ref="C317">IFERROR(INDEX('TRIP MANAGER'!$O$18:$O$25,$A317),"")</f>
        <v>30.111529999999998</v>
      </c>
      <c r="D317" cm="1">
        <f t="array" ref="D317">IFERROR(INDEX('TRIP MANAGER'!$P$18:$P$25,$A317),"")</f>
        <v>31.39669</v>
      </c>
      <c r="E317" cm="1">
        <f t="array" ref="E317">IFERROR(INDEX('TRIP MANAGER'!$Q$18:$Q$25,$A317),"")</f>
        <v>30.322479999999999</v>
      </c>
      <c r="F317" cm="1">
        <f t="array" ref="F317">IFERROR(INDEX('TRIP MANAGER'!$R$18:$R$25,$A317),"")</f>
        <v>-9.4120000000000008</v>
      </c>
      <c r="G317" cm="1">
        <f t="array" ref="G317">IFERROR(INDEX('TRIP MANAGER'!$S$18:$S$25,$A317),"")</f>
        <v>0.61206181805380777</v>
      </c>
      <c r="H317">
        <f t="shared" si="46"/>
        <v>8.666666666666667E-2</v>
      </c>
      <c r="I317">
        <f t="shared" si="47"/>
        <v>0.92306483928860705</v>
      </c>
      <c r="J317">
        <f t="shared" si="48"/>
        <v>9.2280761895563515E-2</v>
      </c>
      <c r="K317">
        <f t="shared" si="49"/>
        <v>0.7601665512765553</v>
      </c>
      <c r="L317">
        <f t="shared" si="50"/>
        <v>0.4029591716021414</v>
      </c>
      <c r="M317">
        <f t="shared" si="51"/>
        <v>0.50967707456979439</v>
      </c>
      <c r="N317">
        <f t="shared" si="52"/>
        <v>30.642322236534625</v>
      </c>
      <c r="O317">
        <f t="shared" si="53"/>
        <v>27.927761525963604</v>
      </c>
      <c r="P317" t="str" cm="1">
        <f t="array" ref="P317">IF($N317="","",IFERROR(IF(INDEX(geo_grid!$B$2:$JU$231,INT(($N317+40)/0.5)+1,INT(($O317+30)/0.5)+1)="","",INDEX(geo_grid!$B$2:$JU$231,INT(($N317+40)/0.5)+1,INT(($O317+30)/0.5)+1)),"OUTSIDE GRID"))</f>
        <v>EGY</v>
      </c>
      <c r="Q317">
        <f t="shared" si="54"/>
        <v>3013</v>
      </c>
    </row>
    <row r="318" spans="1:17" x14ac:dyDescent="0.3">
      <c r="A318">
        <f t="shared" si="44"/>
        <v>3</v>
      </c>
      <c r="B318">
        <f t="shared" si="45"/>
        <v>14</v>
      </c>
      <c r="C318" cm="1">
        <f t="array" ref="C318">IFERROR(INDEX('TRIP MANAGER'!$O$18:$O$25,$A318),"")</f>
        <v>30.111529999999998</v>
      </c>
      <c r="D318" cm="1">
        <f t="array" ref="D318">IFERROR(INDEX('TRIP MANAGER'!$P$18:$P$25,$A318),"")</f>
        <v>31.39669</v>
      </c>
      <c r="E318" cm="1">
        <f t="array" ref="E318">IFERROR(INDEX('TRIP MANAGER'!$Q$18:$Q$25,$A318),"")</f>
        <v>30.322479999999999</v>
      </c>
      <c r="F318" cm="1">
        <f t="array" ref="F318">IFERROR(INDEX('TRIP MANAGER'!$R$18:$R$25,$A318),"")</f>
        <v>-9.4120000000000008</v>
      </c>
      <c r="G318" cm="1">
        <f t="array" ref="G318">IFERROR(INDEX('TRIP MANAGER'!$S$18:$S$25,$A318),"")</f>
        <v>0.61206181805380777</v>
      </c>
      <c r="H318">
        <f t="shared" si="46"/>
        <v>9.3333333333333338E-2</v>
      </c>
      <c r="I318">
        <f t="shared" si="47"/>
        <v>0.91703638530636722</v>
      </c>
      <c r="J318">
        <f t="shared" si="48"/>
        <v>9.9371834924902133E-2</v>
      </c>
      <c r="K318">
        <f t="shared" si="49"/>
        <v>0.76175379321940784</v>
      </c>
      <c r="L318">
        <f t="shared" si="50"/>
        <v>0.39924142433415222</v>
      </c>
      <c r="M318">
        <f t="shared" si="51"/>
        <v>0.51023273475099684</v>
      </c>
      <c r="N318">
        <f t="shared" si="52"/>
        <v>30.679333329653542</v>
      </c>
      <c r="O318">
        <f t="shared" si="53"/>
        <v>27.659403034281286</v>
      </c>
      <c r="P318" t="str" cm="1">
        <f t="array" ref="P318">IF($N318="","",IFERROR(IF(INDEX(geo_grid!$B$2:$JU$231,INT(($N318+40)/0.5)+1,INT(($O318+30)/0.5)+1)="","",INDEX(geo_grid!$B$2:$JU$231,INT(($N318+40)/0.5)+1,INT(($O318+30)/0.5)+1)),"OUTSIDE GRID"))</f>
        <v>EGY</v>
      </c>
      <c r="Q318">
        <f t="shared" si="54"/>
        <v>3014</v>
      </c>
    </row>
    <row r="319" spans="1:17" x14ac:dyDescent="0.3">
      <c r="A319">
        <f t="shared" si="44"/>
        <v>3</v>
      </c>
      <c r="B319">
        <f t="shared" si="45"/>
        <v>15</v>
      </c>
      <c r="C319" cm="1">
        <f t="array" ref="C319">IFERROR(INDEX('TRIP MANAGER'!$O$18:$O$25,$A319),"")</f>
        <v>30.111529999999998</v>
      </c>
      <c r="D319" cm="1">
        <f t="array" ref="D319">IFERROR(INDEX('TRIP MANAGER'!$P$18:$P$25,$A319),"")</f>
        <v>31.39669</v>
      </c>
      <c r="E319" cm="1">
        <f t="array" ref="E319">IFERROR(INDEX('TRIP MANAGER'!$Q$18:$Q$25,$A319),"")</f>
        <v>30.322479999999999</v>
      </c>
      <c r="F319" cm="1">
        <f t="array" ref="F319">IFERROR(INDEX('TRIP MANAGER'!$R$18:$R$25,$A319),"")</f>
        <v>-9.4120000000000008</v>
      </c>
      <c r="G319" cm="1">
        <f t="array" ref="G319">IFERROR(INDEX('TRIP MANAGER'!$S$18:$S$25,$A319),"")</f>
        <v>0.61206181805380777</v>
      </c>
      <c r="H319">
        <f t="shared" si="46"/>
        <v>0.1</v>
      </c>
      <c r="I319">
        <f t="shared" si="47"/>
        <v>0.91099266290676817</v>
      </c>
      <c r="J319">
        <f t="shared" si="48"/>
        <v>0.10646125343902885</v>
      </c>
      <c r="K319">
        <f t="shared" si="49"/>
        <v>0.76332835215968131</v>
      </c>
      <c r="L319">
        <f t="shared" si="50"/>
        <v>0.39551702980026215</v>
      </c>
      <c r="M319">
        <f t="shared" si="51"/>
        <v>0.51077989968984094</v>
      </c>
      <c r="N319">
        <f t="shared" si="52"/>
        <v>30.715792441910057</v>
      </c>
      <c r="O319">
        <f t="shared" si="53"/>
        <v>27.390840312776451</v>
      </c>
      <c r="P319" t="str" cm="1">
        <f t="array" ref="P319">IF($N319="","",IFERROR(IF(INDEX(geo_grid!$B$2:$JU$231,INT(($N319+40)/0.5)+1,INT(($O319+30)/0.5)+1)="","",INDEX(geo_grid!$B$2:$JU$231,INT(($N319+40)/0.5)+1,INT(($O319+30)/0.5)+1)),"OUTSIDE GRID"))</f>
        <v>EGY</v>
      </c>
      <c r="Q319">
        <f t="shared" si="54"/>
        <v>3015</v>
      </c>
    </row>
    <row r="320" spans="1:17" x14ac:dyDescent="0.3">
      <c r="A320">
        <f t="shared" si="44"/>
        <v>3</v>
      </c>
      <c r="B320">
        <f t="shared" si="45"/>
        <v>16</v>
      </c>
      <c r="C320" cm="1">
        <f t="array" ref="C320">IFERROR(INDEX('TRIP MANAGER'!$O$18:$O$25,$A320),"")</f>
        <v>30.111529999999998</v>
      </c>
      <c r="D320" cm="1">
        <f t="array" ref="D320">IFERROR(INDEX('TRIP MANAGER'!$P$18:$P$25,$A320),"")</f>
        <v>31.39669</v>
      </c>
      <c r="E320" cm="1">
        <f t="array" ref="E320">IFERROR(INDEX('TRIP MANAGER'!$Q$18:$Q$25,$A320),"")</f>
        <v>30.322479999999999</v>
      </c>
      <c r="F320" cm="1">
        <f t="array" ref="F320">IFERROR(INDEX('TRIP MANAGER'!$R$18:$R$25,$A320),"")</f>
        <v>-9.4120000000000008</v>
      </c>
      <c r="G320" cm="1">
        <f t="array" ref="G320">IFERROR(INDEX('TRIP MANAGER'!$S$18:$S$25,$A320),"")</f>
        <v>0.61206181805380777</v>
      </c>
      <c r="H320">
        <f t="shared" si="46"/>
        <v>0.10666666666666667</v>
      </c>
      <c r="I320">
        <f t="shared" si="47"/>
        <v>0.90493377271621633</v>
      </c>
      <c r="J320">
        <f t="shared" si="48"/>
        <v>0.11354889940096884</v>
      </c>
      <c r="K320">
        <f t="shared" si="49"/>
        <v>0.76489020188137902</v>
      </c>
      <c r="L320">
        <f t="shared" si="50"/>
        <v>0.39178605001067185</v>
      </c>
      <c r="M320">
        <f t="shared" si="51"/>
        <v>0.51131856027617295</v>
      </c>
      <c r="N320">
        <f t="shared" si="52"/>
        <v>30.751698354755863</v>
      </c>
      <c r="O320">
        <f t="shared" si="53"/>
        <v>27.122075989516556</v>
      </c>
      <c r="P320" t="str" cm="1">
        <f t="array" ref="P320">IF($N320="","",IFERROR(IF(INDEX(geo_grid!$B$2:$JU$231,INT(($N320+40)/0.5)+1,INT(($O320+30)/0.5)+1)="","",INDEX(geo_grid!$B$2:$JU$231,INT(($N320+40)/0.5)+1,INT(($O320+30)/0.5)+1)),"OUTSIDE GRID"))</f>
        <v>EGY</v>
      </c>
      <c r="Q320">
        <f t="shared" si="54"/>
        <v>3016</v>
      </c>
    </row>
    <row r="321" spans="1:17" x14ac:dyDescent="0.3">
      <c r="A321">
        <f t="shared" si="44"/>
        <v>3</v>
      </c>
      <c r="B321">
        <f t="shared" si="45"/>
        <v>17</v>
      </c>
      <c r="C321" cm="1">
        <f t="array" ref="C321">IFERROR(INDEX('TRIP MANAGER'!$O$18:$O$25,$A321),"")</f>
        <v>30.111529999999998</v>
      </c>
      <c r="D321" cm="1">
        <f t="array" ref="D321">IFERROR(INDEX('TRIP MANAGER'!$P$18:$P$25,$A321),"")</f>
        <v>31.39669</v>
      </c>
      <c r="E321" cm="1">
        <f t="array" ref="E321">IFERROR(INDEX('TRIP MANAGER'!$Q$18:$Q$25,$A321),"")</f>
        <v>30.322479999999999</v>
      </c>
      <c r="F321" cm="1">
        <f t="array" ref="F321">IFERROR(INDEX('TRIP MANAGER'!$R$18:$R$25,$A321),"")</f>
        <v>-9.4120000000000008</v>
      </c>
      <c r="G321" cm="1">
        <f t="array" ref="G321">IFERROR(INDEX('TRIP MANAGER'!$S$18:$S$25,$A321),"")</f>
        <v>0.61206181805380777</v>
      </c>
      <c r="H321">
        <f t="shared" si="46"/>
        <v>0.11333333333333333</v>
      </c>
      <c r="I321">
        <f t="shared" si="47"/>
        <v>0.89885981561365824</v>
      </c>
      <c r="J321">
        <f t="shared" si="48"/>
        <v>0.12063465480325983</v>
      </c>
      <c r="K321">
        <f t="shared" si="49"/>
        <v>0.76643931638010931</v>
      </c>
      <c r="L321">
        <f t="shared" si="50"/>
        <v>0.38804854708522485</v>
      </c>
      <c r="M321">
        <f t="shared" si="51"/>
        <v>0.51184870754143419</v>
      </c>
      <c r="N321">
        <f t="shared" si="52"/>
        <v>30.787049865453206</v>
      </c>
      <c r="O321">
        <f t="shared" si="53"/>
        <v>26.853112718567026</v>
      </c>
      <c r="P321" t="str" cm="1">
        <f t="array" ref="P321">IF($N321="","",IFERROR(IF(INDEX(geo_grid!$B$2:$JU$231,INT(($N321+40)/0.5)+1,INT(($O321+30)/0.5)+1)="","",INDEX(geo_grid!$B$2:$JU$231,INT(($N321+40)/0.5)+1,INT(($O321+30)/0.5)+1)),"OUTSIDE GRID"))</f>
        <v>EGY</v>
      </c>
      <c r="Q321">
        <f t="shared" si="54"/>
        <v>3017</v>
      </c>
    </row>
    <row r="322" spans="1:17" x14ac:dyDescent="0.3">
      <c r="A322">
        <f t="shared" si="44"/>
        <v>3</v>
      </c>
      <c r="B322">
        <f t="shared" si="45"/>
        <v>18</v>
      </c>
      <c r="C322" cm="1">
        <f t="array" ref="C322">IFERROR(INDEX('TRIP MANAGER'!$O$18:$O$25,$A322),"")</f>
        <v>30.111529999999998</v>
      </c>
      <c r="D322" cm="1">
        <f t="array" ref="D322">IFERROR(INDEX('TRIP MANAGER'!$P$18:$P$25,$A322),"")</f>
        <v>31.39669</v>
      </c>
      <c r="E322" cm="1">
        <f t="array" ref="E322">IFERROR(INDEX('TRIP MANAGER'!$Q$18:$Q$25,$A322),"")</f>
        <v>30.322479999999999</v>
      </c>
      <c r="F322" cm="1">
        <f t="array" ref="F322">IFERROR(INDEX('TRIP MANAGER'!$R$18:$R$25,$A322),"")</f>
        <v>-9.4120000000000008</v>
      </c>
      <c r="G322" cm="1">
        <f t="array" ref="G322">IFERROR(INDEX('TRIP MANAGER'!$S$18:$S$25,$A322),"")</f>
        <v>0.61206181805380777</v>
      </c>
      <c r="H322">
        <f t="shared" si="46"/>
        <v>0.12</v>
      </c>
      <c r="I322">
        <f t="shared" si="47"/>
        <v>0.89277089272889976</v>
      </c>
      <c r="J322">
        <f t="shared" si="48"/>
        <v>0.12771840166991688</v>
      </c>
      <c r="K322">
        <f t="shared" si="49"/>
        <v>0.76797566986351851</v>
      </c>
      <c r="L322">
        <f t="shared" si="50"/>
        <v>0.38430458325237271</v>
      </c>
      <c r="M322">
        <f t="shared" si="51"/>
        <v>0.51237033265881038</v>
      </c>
      <c r="N322">
        <f t="shared" si="52"/>
        <v>30.821845787229989</v>
      </c>
      <c r="O322">
        <f t="shared" si="53"/>
        <v>26.583953179736529</v>
      </c>
      <c r="P322" t="str" cm="1">
        <f t="array" ref="P322">IF($N322="","",IFERROR(IF(INDEX(geo_grid!$B$2:$JU$231,INT(($N322+40)/0.5)+1,INT(($O322+30)/0.5)+1)="","",INDEX(geo_grid!$B$2:$JU$231,INT(($N322+40)/0.5)+1,INT(($O322+30)/0.5)+1)),"OUTSIDE GRID"))</f>
        <v>EGY</v>
      </c>
      <c r="Q322">
        <f t="shared" si="54"/>
        <v>3018</v>
      </c>
    </row>
    <row r="323" spans="1:17" x14ac:dyDescent="0.3">
      <c r="A323">
        <f t="shared" ref="A323:A386" si="55">INT((ROW()-2)/151)+1</f>
        <v>3</v>
      </c>
      <c r="B323">
        <f t="shared" ref="B323:B386" si="56">MOD(ROW()-2,151)</f>
        <v>19</v>
      </c>
      <c r="C323" cm="1">
        <f t="array" ref="C323">IFERROR(INDEX('TRIP MANAGER'!$O$18:$O$25,$A323),"")</f>
        <v>30.111529999999998</v>
      </c>
      <c r="D323" cm="1">
        <f t="array" ref="D323">IFERROR(INDEX('TRIP MANAGER'!$P$18:$P$25,$A323),"")</f>
        <v>31.39669</v>
      </c>
      <c r="E323" cm="1">
        <f t="array" ref="E323">IFERROR(INDEX('TRIP MANAGER'!$Q$18:$Q$25,$A323),"")</f>
        <v>30.322479999999999</v>
      </c>
      <c r="F323" cm="1">
        <f t="array" ref="F323">IFERROR(INDEX('TRIP MANAGER'!$R$18:$R$25,$A323),"")</f>
        <v>-9.4120000000000008</v>
      </c>
      <c r="G323" cm="1">
        <f t="array" ref="G323">IFERROR(INDEX('TRIP MANAGER'!$S$18:$S$25,$A323),"")</f>
        <v>0.61206181805380777</v>
      </c>
      <c r="H323">
        <f t="shared" ref="H323:H386" si="57">$B323/150</f>
        <v>0.12666666666666668</v>
      </c>
      <c r="I323">
        <f t="shared" ref="I323:I386" si="58">IF(OR($G323="",$G323=0),"",SIN((1-$H323)*$G323)/SIN($G323))</f>
        <v>0.88666710544092397</v>
      </c>
      <c r="J323">
        <f t="shared" ref="J323:J386" si="59">IF($I323="","",SIN($H323*$G323)/SIN($G323))</f>
        <v>0.13480002205839667</v>
      </c>
      <c r="K323">
        <f t="shared" ref="K323:K386" si="60">IF($I323="","",$I323*COS(RADIANS($C323))*COS(RADIANS($D323))+$J323*COS(RADIANS($E323))*COS(RADIANS($F323)))</f>
        <v>0.76949923675172038</v>
      </c>
      <c r="L323">
        <f t="shared" ref="L323:L386" si="61">IF($I323="","",$I323*COS(RADIANS($C323))*SIN(RADIANS($D323))+$J323*COS(RADIANS($E323))*SIN(RADIANS($F323)))</f>
        <v>0.38055422084813989</v>
      </c>
      <c r="M323">
        <f t="shared" ref="M323:M386" si="62">IF($I323="","",$I323*SIN(RADIANS($C323))+$J323*SIN(RADIANS($E323)))</f>
        <v>0.51288342694337918</v>
      </c>
      <c r="N323">
        <f t="shared" ref="N323:N386" si="63">IF($M323="","",DEGREES(ATAN2(SQRT($K323^2+$L323^2),$M323)))</f>
        <v>30.856084949433441</v>
      </c>
      <c r="O323">
        <f t="shared" ref="O323:O386" si="64">IF($M323="","",DEGREES(ATAN2($K323,$L323)))</f>
        <v>26.314600078315614</v>
      </c>
      <c r="P323" t="str" cm="1">
        <f t="array" ref="P323">IF($N323="","",IFERROR(IF(INDEX(geo_grid!$B$2:$JU$231,INT(($N323+40)/0.5)+1,INT(($O323+30)/0.5)+1)="","",INDEX(geo_grid!$B$2:$JU$231,INT(($N323+40)/0.5)+1,INT(($O323+30)/0.5)+1)),"OUTSIDE GRID"))</f>
        <v>EGY</v>
      </c>
      <c r="Q323">
        <f t="shared" ref="Q323:Q386" si="65">IF($P323="","",$A323*1000+$B323)</f>
        <v>3019</v>
      </c>
    </row>
    <row r="324" spans="1:17" x14ac:dyDescent="0.3">
      <c r="A324">
        <f t="shared" si="55"/>
        <v>3</v>
      </c>
      <c r="B324">
        <f t="shared" si="56"/>
        <v>20</v>
      </c>
      <c r="C324" cm="1">
        <f t="array" ref="C324">IFERROR(INDEX('TRIP MANAGER'!$O$18:$O$25,$A324),"")</f>
        <v>30.111529999999998</v>
      </c>
      <c r="D324" cm="1">
        <f t="array" ref="D324">IFERROR(INDEX('TRIP MANAGER'!$P$18:$P$25,$A324),"")</f>
        <v>31.39669</v>
      </c>
      <c r="E324" cm="1">
        <f t="array" ref="E324">IFERROR(INDEX('TRIP MANAGER'!$Q$18:$Q$25,$A324),"")</f>
        <v>30.322479999999999</v>
      </c>
      <c r="F324" cm="1">
        <f t="array" ref="F324">IFERROR(INDEX('TRIP MANAGER'!$R$18:$R$25,$A324),"")</f>
        <v>-9.4120000000000008</v>
      </c>
      <c r="G324" cm="1">
        <f t="array" ref="G324">IFERROR(INDEX('TRIP MANAGER'!$S$18:$S$25,$A324),"")</f>
        <v>0.61206181805380777</v>
      </c>
      <c r="H324">
        <f t="shared" si="57"/>
        <v>0.13333333333333333</v>
      </c>
      <c r="I324">
        <f t="shared" si="58"/>
        <v>0.88054855537620214</v>
      </c>
      <c r="J324">
        <f t="shared" si="59"/>
        <v>0.14187939806156111</v>
      </c>
      <c r="K324">
        <f t="shared" si="60"/>
        <v>0.77100999167772288</v>
      </c>
      <c r="L324">
        <f t="shared" si="61"/>
        <v>0.37679752231508523</v>
      </c>
      <c r="M324">
        <f t="shared" si="62"/>
        <v>0.51338798185225398</v>
      </c>
      <c r="N324">
        <f t="shared" si="63"/>
        <v>30.889766197682388</v>
      </c>
      <c r="O324">
        <f t="shared" si="64"/>
        <v>26.045056144808555</v>
      </c>
      <c r="P324" t="str" cm="1">
        <f t="array" ref="P324">IF($N324="","",IFERROR(IF(INDEX(geo_grid!$B$2:$JU$231,INT(($N324+40)/0.5)+1,INT(($O324+30)/0.5)+1)="","",INDEX(geo_grid!$B$2:$JU$231,INT(($N324+40)/0.5)+1,INT(($O324+30)/0.5)+1)),"OUTSIDE GRID"))</f>
        <v>EGY</v>
      </c>
      <c r="Q324">
        <f t="shared" si="65"/>
        <v>3020</v>
      </c>
    </row>
    <row r="325" spans="1:17" x14ac:dyDescent="0.3">
      <c r="A325">
        <f t="shared" si="55"/>
        <v>3</v>
      </c>
      <c r="B325">
        <f t="shared" si="56"/>
        <v>21</v>
      </c>
      <c r="C325" cm="1">
        <f t="array" ref="C325">IFERROR(INDEX('TRIP MANAGER'!$O$18:$O$25,$A325),"")</f>
        <v>30.111529999999998</v>
      </c>
      <c r="D325" cm="1">
        <f t="array" ref="D325">IFERROR(INDEX('TRIP MANAGER'!$P$18:$P$25,$A325),"")</f>
        <v>31.39669</v>
      </c>
      <c r="E325" cm="1">
        <f t="array" ref="E325">IFERROR(INDEX('TRIP MANAGER'!$Q$18:$Q$25,$A325),"")</f>
        <v>30.322479999999999</v>
      </c>
      <c r="F325" cm="1">
        <f t="array" ref="F325">IFERROR(INDEX('TRIP MANAGER'!$R$18:$R$25,$A325),"")</f>
        <v>-9.4120000000000008</v>
      </c>
      <c r="G325" cm="1">
        <f t="array" ref="G325">IFERROR(INDEX('TRIP MANAGER'!$S$18:$S$25,$A325),"")</f>
        <v>0.61206181805380777</v>
      </c>
      <c r="H325">
        <f t="shared" si="57"/>
        <v>0.14000000000000001</v>
      </c>
      <c r="I325">
        <f t="shared" si="58"/>
        <v>0.87441534440700153</v>
      </c>
      <c r="J325">
        <f t="shared" si="59"/>
        <v>0.14895641180964062</v>
      </c>
      <c r="K325">
        <f t="shared" si="60"/>
        <v>0.7725079094878492</v>
      </c>
      <c r="L325">
        <f t="shared" si="61"/>
        <v>0.37303455020126242</v>
      </c>
      <c r="M325">
        <f t="shared" si="62"/>
        <v>0.51388398898472687</v>
      </c>
      <c r="N325">
        <f t="shared" si="63"/>
        <v>30.922888394018244</v>
      </c>
      <c r="O325">
        <f t="shared" si="64"/>
        <v>25.775324134658614</v>
      </c>
      <c r="P325" t="str" cm="1">
        <f t="array" ref="P325">IF($N325="","",IFERROR(IF(INDEX(geo_grid!$B$2:$JU$231,INT(($N325+40)/0.5)+1,INT(($O325+30)/0.5)+1)="","",INDEX(geo_grid!$B$2:$JU$231,INT(($N325+40)/0.5)+1,INT(($O325+30)/0.5)+1)),"OUTSIDE GRID"))</f>
        <v>EGY</v>
      </c>
      <c r="Q325">
        <f t="shared" si="65"/>
        <v>3021</v>
      </c>
    </row>
    <row r="326" spans="1:17" x14ac:dyDescent="0.3">
      <c r="A326">
        <f t="shared" si="55"/>
        <v>3</v>
      </c>
      <c r="B326">
        <f t="shared" si="56"/>
        <v>22</v>
      </c>
      <c r="C326" cm="1">
        <f t="array" ref="C326">IFERROR(INDEX('TRIP MANAGER'!$O$18:$O$25,$A326),"")</f>
        <v>30.111529999999998</v>
      </c>
      <c r="D326" cm="1">
        <f t="array" ref="D326">IFERROR(INDEX('TRIP MANAGER'!$P$18:$P$25,$A326),"")</f>
        <v>31.39669</v>
      </c>
      <c r="E326" cm="1">
        <f t="array" ref="E326">IFERROR(INDEX('TRIP MANAGER'!$Q$18:$Q$25,$A326),"")</f>
        <v>30.322479999999999</v>
      </c>
      <c r="F326" cm="1">
        <f t="array" ref="F326">IFERROR(INDEX('TRIP MANAGER'!$R$18:$R$25,$A326),"")</f>
        <v>-9.4120000000000008</v>
      </c>
      <c r="G326" cm="1">
        <f t="array" ref="G326">IFERROR(INDEX('TRIP MANAGER'!$S$18:$S$25,$A326),"")</f>
        <v>0.61206181805380777</v>
      </c>
      <c r="H326">
        <f t="shared" si="57"/>
        <v>0.14666666666666667</v>
      </c>
      <c r="I326">
        <f t="shared" si="58"/>
        <v>0.86826757464968995</v>
      </c>
      <c r="J326">
        <f t="shared" si="59"/>
        <v>0.15603094547219651</v>
      </c>
      <c r="K326">
        <f t="shared" si="60"/>
        <v>0.77399296524215688</v>
      </c>
      <c r="L326">
        <f t="shared" si="61"/>
        <v>0.36926536715917846</v>
      </c>
      <c r="M326">
        <f t="shared" si="62"/>
        <v>0.51437144008240798</v>
      </c>
      <c r="N326">
        <f t="shared" si="63"/>
        <v>30.955450417054283</v>
      </c>
      <c r="O326">
        <f t="shared" si="64"/>
        <v>25.505406827966645</v>
      </c>
      <c r="P326" t="str" cm="1">
        <f t="array" ref="P326">IF($N326="","",IFERROR(IF(INDEX(geo_grid!$B$2:$JU$231,INT(($N326+40)/0.5)+1,INT(($O326+30)/0.5)+1)="","",INDEX(geo_grid!$B$2:$JU$231,INT(($N326+40)/0.5)+1,INT(($O326+30)/0.5)+1)),"OUTSIDE GRID"))</f>
        <v>EGY</v>
      </c>
      <c r="Q326">
        <f t="shared" si="65"/>
        <v>3022</v>
      </c>
    </row>
    <row r="327" spans="1:17" x14ac:dyDescent="0.3">
      <c r="A327">
        <f t="shared" si="55"/>
        <v>3</v>
      </c>
      <c r="B327">
        <f t="shared" si="56"/>
        <v>23</v>
      </c>
      <c r="C327" cm="1">
        <f t="array" ref="C327">IFERROR(INDEX('TRIP MANAGER'!$O$18:$O$25,$A327),"")</f>
        <v>30.111529999999998</v>
      </c>
      <c r="D327" cm="1">
        <f t="array" ref="D327">IFERROR(INDEX('TRIP MANAGER'!$P$18:$P$25,$A327),"")</f>
        <v>31.39669</v>
      </c>
      <c r="E327" cm="1">
        <f t="array" ref="E327">IFERROR(INDEX('TRIP MANAGER'!$Q$18:$Q$25,$A327),"")</f>
        <v>30.322479999999999</v>
      </c>
      <c r="F327" cm="1">
        <f t="array" ref="F327">IFERROR(INDEX('TRIP MANAGER'!$R$18:$R$25,$A327),"")</f>
        <v>-9.4120000000000008</v>
      </c>
      <c r="G327" cm="1">
        <f t="array" ref="G327">IFERROR(INDEX('TRIP MANAGER'!$S$18:$S$25,$A327),"")</f>
        <v>0.61206181805380777</v>
      </c>
      <c r="H327">
        <f t="shared" si="57"/>
        <v>0.15333333333333332</v>
      </c>
      <c r="I327">
        <f t="shared" si="58"/>
        <v>0.86210534846303555</v>
      </c>
      <c r="J327">
        <f t="shared" si="59"/>
        <v>0.16310288126008288</v>
      </c>
      <c r="K327">
        <f t="shared" si="60"/>
        <v>0.77546513421485408</v>
      </c>
      <c r="L327">
        <f t="shared" si="61"/>
        <v>0.36549003594475127</v>
      </c>
      <c r="M327">
        <f t="shared" si="62"/>
        <v>0.51485032702936329</v>
      </c>
      <c r="N327">
        <f t="shared" si="63"/>
        <v>30.987451162123513</v>
      </c>
      <c r="O327">
        <f t="shared" si="64"/>
        <v>25.235307029203135</v>
      </c>
      <c r="P327" t="str" cm="1">
        <f t="array" ref="P327">IF($N327="","",IFERROR(IF(INDEX(geo_grid!$B$2:$JU$231,INT(($N327+40)/0.5)+1,INT(($O327+30)/0.5)+1)="","",INDEX(geo_grid!$B$2:$JU$231,INT(($N327+40)/0.5)+1,INT(($O327+30)/0.5)+1)),"OUTSIDE GRID"))</f>
        <v>EGY</v>
      </c>
      <c r="Q327">
        <f t="shared" si="65"/>
        <v>3023</v>
      </c>
    </row>
    <row r="328" spans="1:17" x14ac:dyDescent="0.3">
      <c r="A328">
        <f t="shared" si="55"/>
        <v>3</v>
      </c>
      <c r="B328">
        <f t="shared" si="56"/>
        <v>24</v>
      </c>
      <c r="C328" cm="1">
        <f t="array" ref="C328">IFERROR(INDEX('TRIP MANAGER'!$O$18:$O$25,$A328),"")</f>
        <v>30.111529999999998</v>
      </c>
      <c r="D328" cm="1">
        <f t="array" ref="D328">IFERROR(INDEX('TRIP MANAGER'!$P$18:$P$25,$A328),"")</f>
        <v>31.39669</v>
      </c>
      <c r="E328" cm="1">
        <f t="array" ref="E328">IFERROR(INDEX('TRIP MANAGER'!$Q$18:$Q$25,$A328),"")</f>
        <v>30.322479999999999</v>
      </c>
      <c r="F328" cm="1">
        <f t="array" ref="F328">IFERROR(INDEX('TRIP MANAGER'!$R$18:$R$25,$A328),"")</f>
        <v>-9.4120000000000008</v>
      </c>
      <c r="G328" cm="1">
        <f t="array" ref="G328">IFERROR(INDEX('TRIP MANAGER'!$S$18:$S$25,$A328),"")</f>
        <v>0.61206181805380777</v>
      </c>
      <c r="H328">
        <f t="shared" si="57"/>
        <v>0.16</v>
      </c>
      <c r="I328">
        <f t="shared" si="58"/>
        <v>0.85592876844650179</v>
      </c>
      <c r="J328">
        <f t="shared" si="59"/>
        <v>0.17017210142740782</v>
      </c>
      <c r="K328">
        <f t="shared" si="60"/>
        <v>0.77692439189471041</v>
      </c>
      <c r="L328">
        <f t="shared" si="61"/>
        <v>0.36170861941626359</v>
      </c>
      <c r="M328">
        <f t="shared" si="62"/>
        <v>0.51532064185224979</v>
      </c>
      <c r="N328">
        <f t="shared" si="63"/>
        <v>31.018889541424915</v>
      </c>
      <c r="O328">
        <f t="shared" si="64"/>
        <v>24.965027566913641</v>
      </c>
      <c r="P328" t="str" cm="1">
        <f t="array" ref="P328">IF($N328="","",IFERROR(IF(INDEX(geo_grid!$B$2:$JU$231,INT(($N328+40)/0.5)+1,INT(($O328+30)/0.5)+1)="","",INDEX(geo_grid!$B$2:$JU$231,INT(($N328+40)/0.5)+1,INT(($O328+30)/0.5)+1)),"OUTSIDE GRID"))</f>
        <v>LBY</v>
      </c>
      <c r="Q328">
        <f t="shared" si="65"/>
        <v>3024</v>
      </c>
    </row>
    <row r="329" spans="1:17" x14ac:dyDescent="0.3">
      <c r="A329">
        <f t="shared" si="55"/>
        <v>3</v>
      </c>
      <c r="B329">
        <f t="shared" si="56"/>
        <v>25</v>
      </c>
      <c r="C329" cm="1">
        <f t="array" ref="C329">IFERROR(INDEX('TRIP MANAGER'!$O$18:$O$25,$A329),"")</f>
        <v>30.111529999999998</v>
      </c>
      <c r="D329" cm="1">
        <f t="array" ref="D329">IFERROR(INDEX('TRIP MANAGER'!$P$18:$P$25,$A329),"")</f>
        <v>31.39669</v>
      </c>
      <c r="E329" cm="1">
        <f t="array" ref="E329">IFERROR(INDEX('TRIP MANAGER'!$Q$18:$Q$25,$A329),"")</f>
        <v>30.322479999999999</v>
      </c>
      <c r="F329" cm="1">
        <f t="array" ref="F329">IFERROR(INDEX('TRIP MANAGER'!$R$18:$R$25,$A329),"")</f>
        <v>-9.4120000000000008</v>
      </c>
      <c r="G329" cm="1">
        <f t="array" ref="G329">IFERROR(INDEX('TRIP MANAGER'!$S$18:$S$25,$A329),"")</f>
        <v>0.61206181805380777</v>
      </c>
      <c r="H329">
        <f t="shared" si="57"/>
        <v>0.16666666666666666</v>
      </c>
      <c r="I329">
        <f t="shared" si="58"/>
        <v>0.84973793743853998</v>
      </c>
      <c r="J329">
        <f t="shared" si="59"/>
        <v>0.17723848827349373</v>
      </c>
      <c r="K329">
        <f t="shared" si="60"/>
        <v>0.77837071398546465</v>
      </c>
      <c r="L329">
        <f t="shared" si="61"/>
        <v>0.35792118053331751</v>
      </c>
      <c r="M329">
        <f t="shared" si="62"/>
        <v>0.51578237672044791</v>
      </c>
      <c r="N329">
        <f t="shared" si="63"/>
        <v>31.04976448416809</v>
      </c>
      <c r="O329">
        <f t="shared" si="64"/>
        <v>24.69457129341783</v>
      </c>
      <c r="P329" t="str" cm="1">
        <f t="array" ref="P329">IF($N329="","",IFERROR(IF(INDEX(geo_grid!$B$2:$JU$231,INT(($N329+40)/0.5)+1,INT(($O329+30)/0.5)+1)="","",INDEX(geo_grid!$B$2:$JU$231,INT(($N329+40)/0.5)+1,INT(($O329+30)/0.5)+1)),"OUTSIDE GRID"))</f>
        <v>LBY</v>
      </c>
      <c r="Q329">
        <f t="shared" si="65"/>
        <v>3025</v>
      </c>
    </row>
    <row r="330" spans="1:17" x14ac:dyDescent="0.3">
      <c r="A330">
        <f t="shared" si="55"/>
        <v>3</v>
      </c>
      <c r="B330">
        <f t="shared" si="56"/>
        <v>26</v>
      </c>
      <c r="C330" cm="1">
        <f t="array" ref="C330">IFERROR(INDEX('TRIP MANAGER'!$O$18:$O$25,$A330),"")</f>
        <v>30.111529999999998</v>
      </c>
      <c r="D330" cm="1">
        <f t="array" ref="D330">IFERROR(INDEX('TRIP MANAGER'!$P$18:$P$25,$A330),"")</f>
        <v>31.39669</v>
      </c>
      <c r="E330" cm="1">
        <f t="array" ref="E330">IFERROR(INDEX('TRIP MANAGER'!$Q$18:$Q$25,$A330),"")</f>
        <v>30.322479999999999</v>
      </c>
      <c r="F330" cm="1">
        <f t="array" ref="F330">IFERROR(INDEX('TRIP MANAGER'!$R$18:$R$25,$A330),"")</f>
        <v>-9.4120000000000008</v>
      </c>
      <c r="G330" cm="1">
        <f t="array" ref="G330">IFERROR(INDEX('TRIP MANAGER'!$S$18:$S$25,$A330),"")</f>
        <v>0.61206181805380777</v>
      </c>
      <c r="H330">
        <f t="shared" si="57"/>
        <v>0.17333333333333334</v>
      </c>
      <c r="I330">
        <f t="shared" si="58"/>
        <v>0.84353295851487653</v>
      </c>
      <c r="J330">
        <f t="shared" si="59"/>
        <v>0.18430192414483706</v>
      </c>
      <c r="K330">
        <f t="shared" si="60"/>
        <v>0.77980407640623017</v>
      </c>
      <c r="L330">
        <f t="shared" si="61"/>
        <v>0.35412778235578557</v>
      </c>
      <c r="M330">
        <f t="shared" si="62"/>
        <v>0.5162355239461921</v>
      </c>
      <c r="N330">
        <f t="shared" si="63"/>
        <v>31.080074936716166</v>
      </c>
      <c r="O330">
        <f t="shared" si="64"/>
        <v>24.423941084501951</v>
      </c>
      <c r="P330" t="str" cm="1">
        <f t="array" ref="P330">IF($N330="","",IFERROR(IF(INDEX(geo_grid!$B$2:$JU$231,INT(($N330+40)/0.5)+1,INT(($O330+30)/0.5)+1)="","",INDEX(geo_grid!$B$2:$JU$231,INT(($N330+40)/0.5)+1,INT(($O330+30)/0.5)+1)),"OUTSIDE GRID"))</f>
        <v>LBY</v>
      </c>
      <c r="Q330">
        <f t="shared" si="65"/>
        <v>3026</v>
      </c>
    </row>
    <row r="331" spans="1:17" x14ac:dyDescent="0.3">
      <c r="A331">
        <f t="shared" si="55"/>
        <v>3</v>
      </c>
      <c r="B331">
        <f t="shared" si="56"/>
        <v>27</v>
      </c>
      <c r="C331" cm="1">
        <f t="array" ref="C331">IFERROR(INDEX('TRIP MANAGER'!$O$18:$O$25,$A331),"")</f>
        <v>30.111529999999998</v>
      </c>
      <c r="D331" cm="1">
        <f t="array" ref="D331">IFERROR(INDEX('TRIP MANAGER'!$P$18:$P$25,$A331),"")</f>
        <v>31.39669</v>
      </c>
      <c r="E331" cm="1">
        <f t="array" ref="E331">IFERROR(INDEX('TRIP MANAGER'!$Q$18:$Q$25,$A331),"")</f>
        <v>30.322479999999999</v>
      </c>
      <c r="F331" cm="1">
        <f t="array" ref="F331">IFERROR(INDEX('TRIP MANAGER'!$R$18:$R$25,$A331),"")</f>
        <v>-9.4120000000000008</v>
      </c>
      <c r="G331" cm="1">
        <f t="array" ref="G331">IFERROR(INDEX('TRIP MANAGER'!$S$18:$S$25,$A331),"")</f>
        <v>0.61206181805380777</v>
      </c>
      <c r="H331">
        <f t="shared" si="57"/>
        <v>0.18</v>
      </c>
      <c r="I331">
        <f t="shared" si="58"/>
        <v>0.83731393498679707</v>
      </c>
      <c r="J331">
        <f t="shared" si="59"/>
        <v>0.19136229143706723</v>
      </c>
      <c r="K331">
        <f t="shared" si="60"/>
        <v>0.78122445529189555</v>
      </c>
      <c r="L331">
        <f t="shared" si="61"/>
        <v>0.35032848804276095</v>
      </c>
      <c r="M331">
        <f t="shared" si="62"/>
        <v>0.51668007598469901</v>
      </c>
      <c r="N331">
        <f t="shared" si="63"/>
        <v>31.109819862727004</v>
      </c>
      <c r="O331">
        <f t="shared" si="64"/>
        <v>24.153139839104941</v>
      </c>
      <c r="P331" t="str" cm="1">
        <f t="array" ref="P331">IF($N331="","",IFERROR(IF(INDEX(geo_grid!$B$2:$JU$231,INT(($N331+40)/0.5)+1,INT(($O331+30)/0.5)+1)="","",INDEX(geo_grid!$B$2:$JU$231,INT(($N331+40)/0.5)+1,INT(($O331+30)/0.5)+1)),"OUTSIDE GRID"))</f>
        <v>LBY</v>
      </c>
      <c r="Q331">
        <f t="shared" si="65"/>
        <v>3027</v>
      </c>
    </row>
    <row r="332" spans="1:17" x14ac:dyDescent="0.3">
      <c r="A332">
        <f t="shared" si="55"/>
        <v>3</v>
      </c>
      <c r="B332">
        <f t="shared" si="56"/>
        <v>28</v>
      </c>
      <c r="C332" cm="1">
        <f t="array" ref="C332">IFERROR(INDEX('TRIP MANAGER'!$O$18:$O$25,$A332),"")</f>
        <v>30.111529999999998</v>
      </c>
      <c r="D332" cm="1">
        <f t="array" ref="D332">IFERROR(INDEX('TRIP MANAGER'!$P$18:$P$25,$A332),"")</f>
        <v>31.39669</v>
      </c>
      <c r="E332" cm="1">
        <f t="array" ref="E332">IFERROR(INDEX('TRIP MANAGER'!$Q$18:$Q$25,$A332),"")</f>
        <v>30.322479999999999</v>
      </c>
      <c r="F332" cm="1">
        <f t="array" ref="F332">IFERROR(INDEX('TRIP MANAGER'!$R$18:$R$25,$A332),"")</f>
        <v>-9.4120000000000008</v>
      </c>
      <c r="G332" cm="1">
        <f t="array" ref="G332">IFERROR(INDEX('TRIP MANAGER'!$S$18:$S$25,$A332),"")</f>
        <v>0.61206181805380777</v>
      </c>
      <c r="H332">
        <f t="shared" si="57"/>
        <v>0.18666666666666668</v>
      </c>
      <c r="I332">
        <f t="shared" si="58"/>
        <v>0.83108097039942597</v>
      </c>
      <c r="J332">
        <f t="shared" si="59"/>
        <v>0.19841947259690482</v>
      </c>
      <c r="K332">
        <f t="shared" si="60"/>
        <v>0.7826318269935213</v>
      </c>
      <c r="L332">
        <f t="shared" si="61"/>
        <v>0.34652336085150592</v>
      </c>
      <c r="M332">
        <f t="shared" si="62"/>
        <v>0.51711602543429247</v>
      </c>
      <c r="N332">
        <f t="shared" si="63"/>
        <v>31.138998243292701</v>
      </c>
      <c r="O332">
        <f t="shared" si="64"/>
        <v>23.882170478998205</v>
      </c>
      <c r="P332" t="str" cm="1">
        <f t="array" ref="P332">IF($N332="","",IFERROR(IF(INDEX(geo_grid!$B$2:$JU$231,INT(($N332+40)/0.5)+1,INT(($O332+30)/0.5)+1)="","",INDEX(geo_grid!$B$2:$JU$231,INT(($N332+40)/0.5)+1,INT(($O332+30)/0.5)+1)),"OUTSIDE GRID"))</f>
        <v>LBY</v>
      </c>
      <c r="Q332">
        <f t="shared" si="65"/>
        <v>3028</v>
      </c>
    </row>
    <row r="333" spans="1:17" x14ac:dyDescent="0.3">
      <c r="A333">
        <f t="shared" si="55"/>
        <v>3</v>
      </c>
      <c r="B333">
        <f t="shared" si="56"/>
        <v>29</v>
      </c>
      <c r="C333" cm="1">
        <f t="array" ref="C333">IFERROR(INDEX('TRIP MANAGER'!$O$18:$O$25,$A333),"")</f>
        <v>30.111529999999998</v>
      </c>
      <c r="D333" cm="1">
        <f t="array" ref="D333">IFERROR(INDEX('TRIP MANAGER'!$P$18:$P$25,$A333),"")</f>
        <v>31.39669</v>
      </c>
      <c r="E333" cm="1">
        <f t="array" ref="E333">IFERROR(INDEX('TRIP MANAGER'!$Q$18:$Q$25,$A333),"")</f>
        <v>30.322479999999999</v>
      </c>
      <c r="F333" cm="1">
        <f t="array" ref="F333">IFERROR(INDEX('TRIP MANAGER'!$R$18:$R$25,$A333),"")</f>
        <v>-9.4120000000000008</v>
      </c>
      <c r="G333" cm="1">
        <f t="array" ref="G333">IFERROR(INDEX('TRIP MANAGER'!$S$18:$S$25,$A333),"")</f>
        <v>0.61206181805380777</v>
      </c>
      <c r="H333">
        <f t="shared" si="57"/>
        <v>0.19333333333333333</v>
      </c>
      <c r="I333">
        <f t="shared" si="58"/>
        <v>0.82483416853000313</v>
      </c>
      <c r="J333">
        <f t="shared" si="59"/>
        <v>0.20547335012411849</v>
      </c>
      <c r="K333">
        <f t="shared" si="60"/>
        <v>0.78402616807873471</v>
      </c>
      <c r="L333">
        <f t="shared" si="61"/>
        <v>0.342712464136399</v>
      </c>
      <c r="M333">
        <f t="shared" si="62"/>
        <v>0.51754336503652787</v>
      </c>
      <c r="N333">
        <f t="shared" si="63"/>
        <v>31.167609077077131</v>
      </c>
      <c r="O333">
        <f t="shared" si="64"/>
        <v>23.611035948459072</v>
      </c>
      <c r="P333" t="str" cm="1">
        <f t="array" ref="P333">IF($N333="","",IFERROR(IF(INDEX(geo_grid!$B$2:$JU$231,INT(($N333+40)/0.5)+1,INT(($O333+30)/0.5)+1)="","",INDEX(geo_grid!$B$2:$JU$231,INT(($N333+40)/0.5)+1,INT(($O333+30)/0.5)+1)),"OUTSIDE GRID"))</f>
        <v>LBY</v>
      </c>
      <c r="Q333">
        <f t="shared" si="65"/>
        <v>3029</v>
      </c>
    </row>
    <row r="334" spans="1:17" x14ac:dyDescent="0.3">
      <c r="A334">
        <f t="shared" si="55"/>
        <v>3</v>
      </c>
      <c r="B334">
        <f t="shared" si="56"/>
        <v>30</v>
      </c>
      <c r="C334" cm="1">
        <f t="array" ref="C334">IFERROR(INDEX('TRIP MANAGER'!$O$18:$O$25,$A334),"")</f>
        <v>30.111529999999998</v>
      </c>
      <c r="D334" cm="1">
        <f t="array" ref="D334">IFERROR(INDEX('TRIP MANAGER'!$P$18:$P$25,$A334),"")</f>
        <v>31.39669</v>
      </c>
      <c r="E334" cm="1">
        <f t="array" ref="E334">IFERROR(INDEX('TRIP MANAGER'!$Q$18:$Q$25,$A334),"")</f>
        <v>30.322479999999999</v>
      </c>
      <c r="F334" cm="1">
        <f t="array" ref="F334">IFERROR(INDEX('TRIP MANAGER'!$R$18:$R$25,$A334),"")</f>
        <v>-9.4120000000000008</v>
      </c>
      <c r="G334" cm="1">
        <f t="array" ref="G334">IFERROR(INDEX('TRIP MANAGER'!$S$18:$S$25,$A334),"")</f>
        <v>0.61206181805380777</v>
      </c>
      <c r="H334">
        <f t="shared" si="57"/>
        <v>0.2</v>
      </c>
      <c r="I334">
        <f t="shared" si="58"/>
        <v>0.81857363338615541</v>
      </c>
      <c r="J334">
        <f t="shared" si="59"/>
        <v>0.21252380657348169</v>
      </c>
      <c r="K334">
        <f t="shared" si="60"/>
        <v>0.78540745533211953</v>
      </c>
      <c r="L334">
        <f t="shared" si="61"/>
        <v>0.33889586134787952</v>
      </c>
      <c r="M334">
        <f t="shared" si="62"/>
        <v>0.5179620876763118</v>
      </c>
      <c r="N334">
        <f t="shared" si="63"/>
        <v>31.195651380451771</v>
      </c>
      <c r="O334">
        <f t="shared" si="64"/>
        <v>23.339739213938</v>
      </c>
      <c r="P334" t="str" cm="1">
        <f t="array" ref="P334">IF($N334="","",IFERROR(IF(INDEX(geo_grid!$B$2:$JU$231,INT(($N334+40)/0.5)+1,INT(($O334+30)/0.5)+1)="","",INDEX(geo_grid!$B$2:$JU$231,INT(($N334+40)/0.5)+1,INT(($O334+30)/0.5)+1)),"OUTSIDE GRID"))</f>
        <v>LBY</v>
      </c>
      <c r="Q334">
        <f t="shared" si="65"/>
        <v>3030</v>
      </c>
    </row>
    <row r="335" spans="1:17" x14ac:dyDescent="0.3">
      <c r="A335">
        <f t="shared" si="55"/>
        <v>3</v>
      </c>
      <c r="B335">
        <f t="shared" si="56"/>
        <v>31</v>
      </c>
      <c r="C335" cm="1">
        <f t="array" ref="C335">IFERROR(INDEX('TRIP MANAGER'!$O$18:$O$25,$A335),"")</f>
        <v>30.111529999999998</v>
      </c>
      <c r="D335" cm="1">
        <f t="array" ref="D335">IFERROR(INDEX('TRIP MANAGER'!$P$18:$P$25,$A335),"")</f>
        <v>31.39669</v>
      </c>
      <c r="E335" cm="1">
        <f t="array" ref="E335">IFERROR(INDEX('TRIP MANAGER'!$Q$18:$Q$25,$A335),"")</f>
        <v>30.322479999999999</v>
      </c>
      <c r="F335" cm="1">
        <f t="array" ref="F335">IFERROR(INDEX('TRIP MANAGER'!$R$18:$R$25,$A335),"")</f>
        <v>-9.4120000000000008</v>
      </c>
      <c r="G335" cm="1">
        <f t="array" ref="G335">IFERROR(INDEX('TRIP MANAGER'!$S$18:$S$25,$A335),"")</f>
        <v>0.61206181805380777</v>
      </c>
      <c r="H335">
        <f t="shared" si="57"/>
        <v>0.20666666666666667</v>
      </c>
      <c r="I335">
        <f t="shared" si="58"/>
        <v>0.81229946920416474</v>
      </c>
      <c r="J335">
        <f t="shared" si="59"/>
        <v>0.21957072455672785</v>
      </c>
      <c r="K335">
        <f t="shared" si="60"/>
        <v>0.78677566575560176</v>
      </c>
      <c r="L335">
        <f t="shared" si="61"/>
        <v>0.33507361603139141</v>
      </c>
      <c r="M335">
        <f t="shared" si="62"/>
        <v>0.51837218638202121</v>
      </c>
      <c r="N335">
        <f t="shared" si="63"/>
        <v>31.223124187629544</v>
      </c>
      <c r="O335">
        <f t="shared" si="64"/>
        <v>23.068283263719604</v>
      </c>
      <c r="P335" t="str" cm="1">
        <f t="array" ref="P335">IF($N335="","",IFERROR(IF(INDEX(geo_grid!$B$2:$JU$231,INT(($N335+40)/0.5)+1,INT(($O335+30)/0.5)+1)="","",INDEX(geo_grid!$B$2:$JU$231,INT(($N335+40)/0.5)+1,INT(($O335+30)/0.5)+1)),"OUTSIDE GRID"))</f>
        <v>LBY</v>
      </c>
      <c r="Q335">
        <f t="shared" si="65"/>
        <v>3031</v>
      </c>
    </row>
    <row r="336" spans="1:17" x14ac:dyDescent="0.3">
      <c r="A336">
        <f t="shared" si="55"/>
        <v>3</v>
      </c>
      <c r="B336">
        <f t="shared" si="56"/>
        <v>32</v>
      </c>
      <c r="C336" cm="1">
        <f t="array" ref="C336">IFERROR(INDEX('TRIP MANAGER'!$O$18:$O$25,$A336),"")</f>
        <v>30.111529999999998</v>
      </c>
      <c r="D336" cm="1">
        <f t="array" ref="D336">IFERROR(INDEX('TRIP MANAGER'!$P$18:$P$25,$A336),"")</f>
        <v>31.39669</v>
      </c>
      <c r="E336" cm="1">
        <f t="array" ref="E336">IFERROR(INDEX('TRIP MANAGER'!$Q$18:$Q$25,$A336),"")</f>
        <v>30.322479999999999</v>
      </c>
      <c r="F336" cm="1">
        <f t="array" ref="F336">IFERROR(INDEX('TRIP MANAGER'!$R$18:$R$25,$A336),"")</f>
        <v>-9.4120000000000008</v>
      </c>
      <c r="G336" cm="1">
        <f t="array" ref="G336">IFERROR(INDEX('TRIP MANAGER'!$S$18:$S$25,$A336),"")</f>
        <v>0.61206181805380777</v>
      </c>
      <c r="H336">
        <f t="shared" si="57"/>
        <v>0.21333333333333335</v>
      </c>
      <c r="I336">
        <f t="shared" si="58"/>
        <v>0.80601178044723343</v>
      </c>
      <c r="J336">
        <f t="shared" si="59"/>
        <v>0.22661398674450497</v>
      </c>
      <c r="K336">
        <f t="shared" si="60"/>
        <v>0.78813077656883412</v>
      </c>
      <c r="L336">
        <f t="shared" si="61"/>
        <v>0.33124579182632535</v>
      </c>
      <c r="M336">
        <f t="shared" si="62"/>
        <v>0.51877365432561928</v>
      </c>
      <c r="N336">
        <f t="shared" si="63"/>
        <v>31.250026550796722</v>
      </c>
      <c r="O336">
        <f t="shared" si="64"/>
        <v>22.796671107577609</v>
      </c>
      <c r="P336" t="str" cm="1">
        <f t="array" ref="P336">IF($N336="","",IFERROR(IF(INDEX(geo_grid!$B$2:$JU$231,INT(($N336+40)/0.5)+1,INT(($O336+30)/0.5)+1)="","",INDEX(geo_grid!$B$2:$JU$231,INT(($N336+40)/0.5)+1,INT(($O336+30)/0.5)+1)),"OUTSIDE GRID"))</f>
        <v>LBY</v>
      </c>
      <c r="Q336">
        <f t="shared" si="65"/>
        <v>3032</v>
      </c>
    </row>
    <row r="337" spans="1:17" x14ac:dyDescent="0.3">
      <c r="A337">
        <f t="shared" si="55"/>
        <v>3</v>
      </c>
      <c r="B337">
        <f t="shared" si="56"/>
        <v>33</v>
      </c>
      <c r="C337" cm="1">
        <f t="array" ref="C337">IFERROR(INDEX('TRIP MANAGER'!$O$18:$O$25,$A337),"")</f>
        <v>30.111529999999998</v>
      </c>
      <c r="D337" cm="1">
        <f t="array" ref="D337">IFERROR(INDEX('TRIP MANAGER'!$P$18:$P$25,$A337),"")</f>
        <v>31.39669</v>
      </c>
      <c r="E337" cm="1">
        <f t="array" ref="E337">IFERROR(INDEX('TRIP MANAGER'!$Q$18:$Q$25,$A337),"")</f>
        <v>30.322479999999999</v>
      </c>
      <c r="F337" cm="1">
        <f t="array" ref="F337">IFERROR(INDEX('TRIP MANAGER'!$R$18:$R$25,$A337),"")</f>
        <v>-9.4120000000000008</v>
      </c>
      <c r="G337" cm="1">
        <f t="array" ref="G337">IFERROR(INDEX('TRIP MANAGER'!$S$18:$S$25,$A337),"")</f>
        <v>0.61206181805380777</v>
      </c>
      <c r="H337">
        <f t="shared" si="57"/>
        <v>0.22</v>
      </c>
      <c r="I337">
        <f t="shared" si="58"/>
        <v>0.79971067180374455</v>
      </c>
      <c r="J337">
        <f t="shared" si="59"/>
        <v>0.23365347586832899</v>
      </c>
      <c r="K337">
        <f t="shared" si="60"/>
        <v>0.78947276520957355</v>
      </c>
      <c r="L337">
        <f t="shared" si="61"/>
        <v>0.32741245246495893</v>
      </c>
      <c r="M337">
        <f t="shared" si="62"/>
        <v>0.51916648482276917</v>
      </c>
      <c r="N337">
        <f t="shared" si="63"/>
        <v>31.276357540242834</v>
      </c>
      <c r="O337">
        <f t="shared" si="64"/>
        <v>22.524905776423701</v>
      </c>
      <c r="P337" t="str" cm="1">
        <f t="array" ref="P337">IF($N337="","",IFERROR(IF(INDEX(geo_grid!$B$2:$JU$231,INT(($N337+40)/0.5)+1,INT(($O337+30)/0.5)+1)="","",INDEX(geo_grid!$B$2:$JU$231,INT(($N337+40)/0.5)+1,INT(($O337+30)/0.5)+1)),"OUTSIDE GRID"))</f>
        <v>LBY</v>
      </c>
      <c r="Q337">
        <f t="shared" si="65"/>
        <v>3033</v>
      </c>
    </row>
    <row r="338" spans="1:17" x14ac:dyDescent="0.3">
      <c r="A338">
        <f t="shared" si="55"/>
        <v>3</v>
      </c>
      <c r="B338">
        <f t="shared" si="56"/>
        <v>34</v>
      </c>
      <c r="C338" cm="1">
        <f t="array" ref="C338">IFERROR(INDEX('TRIP MANAGER'!$O$18:$O$25,$A338),"")</f>
        <v>30.111529999999998</v>
      </c>
      <c r="D338" cm="1">
        <f t="array" ref="D338">IFERROR(INDEX('TRIP MANAGER'!$P$18:$P$25,$A338),"")</f>
        <v>31.39669</v>
      </c>
      <c r="E338" cm="1">
        <f t="array" ref="E338">IFERROR(INDEX('TRIP MANAGER'!$Q$18:$Q$25,$A338),"")</f>
        <v>30.322479999999999</v>
      </c>
      <c r="F338" cm="1">
        <f t="array" ref="F338">IFERROR(INDEX('TRIP MANAGER'!$R$18:$R$25,$A338),"")</f>
        <v>-9.4120000000000008</v>
      </c>
      <c r="G338" cm="1">
        <f t="array" ref="G338">IFERROR(INDEX('TRIP MANAGER'!$S$18:$S$25,$A338),"")</f>
        <v>0.61206181805380777</v>
      </c>
      <c r="H338">
        <f t="shared" si="57"/>
        <v>0.22666666666666666</v>
      </c>
      <c r="I338">
        <f t="shared" si="58"/>
        <v>0.7933962481855179</v>
      </c>
      <c r="J338">
        <f t="shared" si="59"/>
        <v>0.24068907472253656</v>
      </c>
      <c r="K338">
        <f t="shared" si="60"/>
        <v>0.79080160933405796</v>
      </c>
      <c r="L338">
        <f t="shared" si="61"/>
        <v>0.32357366177139574</v>
      </c>
      <c r="M338">
        <f t="shared" si="62"/>
        <v>0.51955067133294508</v>
      </c>
      <c r="N338">
        <f t="shared" si="63"/>
        <v>31.302116244488566</v>
      </c>
      <c r="O338">
        <f t="shared" si="64"/>
        <v>22.252990321950485</v>
      </c>
      <c r="P338" t="str" cm="1">
        <f t="array" ref="P338">IF($N338="","",IFERROR(IF(INDEX(geo_grid!$B$2:$JU$231,INT(($N338+40)/0.5)+1,INT(($O338+30)/0.5)+1)="","",INDEX(geo_grid!$B$2:$JU$231,INT(($N338+40)/0.5)+1,INT(($O338+30)/0.5)+1)),"OUTSIDE GRID"))</f>
        <v>LBY</v>
      </c>
      <c r="Q338">
        <f t="shared" si="65"/>
        <v>3034</v>
      </c>
    </row>
    <row r="339" spans="1:17" x14ac:dyDescent="0.3">
      <c r="A339">
        <f t="shared" si="55"/>
        <v>3</v>
      </c>
      <c r="B339">
        <f t="shared" si="56"/>
        <v>35</v>
      </c>
      <c r="C339" cm="1">
        <f t="array" ref="C339">IFERROR(INDEX('TRIP MANAGER'!$O$18:$O$25,$A339),"")</f>
        <v>30.111529999999998</v>
      </c>
      <c r="D339" cm="1">
        <f t="array" ref="D339">IFERROR(INDEX('TRIP MANAGER'!$P$18:$P$25,$A339),"")</f>
        <v>31.39669</v>
      </c>
      <c r="E339" cm="1">
        <f t="array" ref="E339">IFERROR(INDEX('TRIP MANAGER'!$Q$18:$Q$25,$A339),"")</f>
        <v>30.322479999999999</v>
      </c>
      <c r="F339" cm="1">
        <f t="array" ref="F339">IFERROR(INDEX('TRIP MANAGER'!$R$18:$R$25,$A339),"")</f>
        <v>-9.4120000000000008</v>
      </c>
      <c r="G339" cm="1">
        <f t="array" ref="G339">IFERROR(INDEX('TRIP MANAGER'!$S$18:$S$25,$A339),"")</f>
        <v>0.61206181805380777</v>
      </c>
      <c r="H339">
        <f t="shared" si="57"/>
        <v>0.23333333333333334</v>
      </c>
      <c r="I339">
        <f t="shared" si="58"/>
        <v>0.78706861472606537</v>
      </c>
      <c r="J339">
        <f t="shared" si="59"/>
        <v>0.24772066616623623</v>
      </c>
      <c r="K339">
        <f t="shared" si="60"/>
        <v>0.79211728681737881</v>
      </c>
      <c r="L339">
        <f t="shared" si="61"/>
        <v>0.31972948366050269</v>
      </c>
      <c r="M339">
        <f t="shared" si="62"/>
        <v>0.51992620745954177</v>
      </c>
      <c r="N339">
        <f t="shared" si="63"/>
        <v>31.327301770411538</v>
      </c>
      <c r="O339">
        <f t="shared" si="64"/>
        <v>21.980927816268437</v>
      </c>
      <c r="P339" t="str" cm="1">
        <f t="array" ref="P339">IF($N339="","",IFERROR(IF(INDEX(geo_grid!$B$2:$JU$231,INT(($N339+40)/0.5)+1,INT(($O339+30)/0.5)+1)="","",INDEX(geo_grid!$B$2:$JU$231,INT(($N339+40)/0.5)+1,INT(($O339+30)/0.5)+1)),"OUTSIDE GRID"))</f>
        <v>LBY</v>
      </c>
      <c r="Q339">
        <f t="shared" si="65"/>
        <v>3035</v>
      </c>
    </row>
    <row r="340" spans="1:17" x14ac:dyDescent="0.3">
      <c r="A340">
        <f t="shared" si="55"/>
        <v>3</v>
      </c>
      <c r="B340">
        <f t="shared" si="56"/>
        <v>36</v>
      </c>
      <c r="C340" cm="1">
        <f t="array" ref="C340">IFERROR(INDEX('TRIP MANAGER'!$O$18:$O$25,$A340),"")</f>
        <v>30.111529999999998</v>
      </c>
      <c r="D340" cm="1">
        <f t="array" ref="D340">IFERROR(INDEX('TRIP MANAGER'!$P$18:$P$25,$A340),"")</f>
        <v>31.39669</v>
      </c>
      <c r="E340" cm="1">
        <f t="array" ref="E340">IFERROR(INDEX('TRIP MANAGER'!$Q$18:$Q$25,$A340),"")</f>
        <v>30.322479999999999</v>
      </c>
      <c r="F340" cm="1">
        <f t="array" ref="F340">IFERROR(INDEX('TRIP MANAGER'!$R$18:$R$25,$A340),"")</f>
        <v>-9.4120000000000008</v>
      </c>
      <c r="G340" cm="1">
        <f t="array" ref="G340">IFERROR(INDEX('TRIP MANAGER'!$S$18:$S$25,$A340),"")</f>
        <v>0.61206181805380777</v>
      </c>
      <c r="H340">
        <f t="shared" si="57"/>
        <v>0.24</v>
      </c>
      <c r="I340">
        <f t="shared" si="58"/>
        <v>0.7807278767788387</v>
      </c>
      <c r="J340">
        <f t="shared" si="59"/>
        <v>0.25474813312525879</v>
      </c>
      <c r="K340">
        <f t="shared" si="60"/>
        <v>0.79341977575384781</v>
      </c>
      <c r="L340">
        <f t="shared" si="61"/>
        <v>0.31587998213684582</v>
      </c>
      <c r="M340">
        <f t="shared" si="62"/>
        <v>0.52029308694998044</v>
      </c>
      <c r="N340">
        <f t="shared" si="63"/>
        <v>31.351913243369978</v>
      </c>
      <c r="O340">
        <f t="shared" si="64"/>
        <v>21.708721351537147</v>
      </c>
      <c r="P340" t="str" cm="1">
        <f t="array" ref="P340">IF($N340="","",IFERROR(IF(INDEX(geo_grid!$B$2:$JU$231,INT(($N340+40)/0.5)+1,INT(($O340+30)/0.5)+1)="","",INDEX(geo_grid!$B$2:$JU$231,INT(($N340+40)/0.5)+1,INT(($O340+30)/0.5)+1)),"OUTSIDE GRID"))</f>
        <v>LBY</v>
      </c>
      <c r="Q340">
        <f t="shared" si="65"/>
        <v>3036</v>
      </c>
    </row>
    <row r="341" spans="1:17" x14ac:dyDescent="0.3">
      <c r="A341">
        <f t="shared" si="55"/>
        <v>3</v>
      </c>
      <c r="B341">
        <f t="shared" si="56"/>
        <v>37</v>
      </c>
      <c r="C341" cm="1">
        <f t="array" ref="C341">IFERROR(INDEX('TRIP MANAGER'!$O$18:$O$25,$A341),"")</f>
        <v>30.111529999999998</v>
      </c>
      <c r="D341" cm="1">
        <f t="array" ref="D341">IFERROR(INDEX('TRIP MANAGER'!$P$18:$P$25,$A341),"")</f>
        <v>31.39669</v>
      </c>
      <c r="E341" cm="1">
        <f t="array" ref="E341">IFERROR(INDEX('TRIP MANAGER'!$Q$18:$Q$25,$A341),"")</f>
        <v>30.322479999999999</v>
      </c>
      <c r="F341" cm="1">
        <f t="array" ref="F341">IFERROR(INDEX('TRIP MANAGER'!$R$18:$R$25,$A341),"")</f>
        <v>-9.4120000000000008</v>
      </c>
      <c r="G341" cm="1">
        <f t="array" ref="G341">IFERROR(INDEX('TRIP MANAGER'!$S$18:$S$25,$A341),"")</f>
        <v>0.61206181805380777</v>
      </c>
      <c r="H341">
        <f t="shared" si="57"/>
        <v>0.24666666666666667</v>
      </c>
      <c r="I341">
        <f t="shared" si="58"/>
        <v>0.77437413991547543</v>
      </c>
      <c r="J341">
        <f t="shared" si="59"/>
        <v>0.26177135859410688</v>
      </c>
      <c r="K341">
        <f t="shared" si="60"/>
        <v>0.79470905445736262</v>
      </c>
      <c r="L341">
        <f t="shared" si="61"/>
        <v>0.3120252212936242</v>
      </c>
      <c r="M341">
        <f t="shared" si="62"/>
        <v>0.52065130369581258</v>
      </c>
      <c r="N341">
        <f t="shared" si="63"/>
        <v>31.375949807324247</v>
      </c>
      <c r="O341">
        <f t="shared" si="64"/>
        <v>21.436374039590739</v>
      </c>
      <c r="P341" t="str" cm="1">
        <f t="array" ref="P341">IF($N341="","",IFERROR(IF(INDEX(geo_grid!$B$2:$JU$231,INT(($N341+40)/0.5)+1,INT(($O341+30)/0.5)+1)="","",INDEX(geo_grid!$B$2:$JU$231,INT(($N341+40)/0.5)+1,INT(($O341+30)/0.5)+1)),"OUTSIDE GRID"))</f>
        <v>LBY</v>
      </c>
      <c r="Q341">
        <f t="shared" si="65"/>
        <v>3037</v>
      </c>
    </row>
    <row r="342" spans="1:17" x14ac:dyDescent="0.3">
      <c r="A342">
        <f t="shared" si="55"/>
        <v>3</v>
      </c>
      <c r="B342">
        <f t="shared" si="56"/>
        <v>38</v>
      </c>
      <c r="C342" cm="1">
        <f t="array" ref="C342">IFERROR(INDEX('TRIP MANAGER'!$O$18:$O$25,$A342),"")</f>
        <v>30.111529999999998</v>
      </c>
      <c r="D342" cm="1">
        <f t="array" ref="D342">IFERROR(INDEX('TRIP MANAGER'!$P$18:$P$25,$A342),"")</f>
        <v>31.39669</v>
      </c>
      <c r="E342" cm="1">
        <f t="array" ref="E342">IFERROR(INDEX('TRIP MANAGER'!$Q$18:$Q$25,$A342),"")</f>
        <v>30.322479999999999</v>
      </c>
      <c r="F342" cm="1">
        <f t="array" ref="F342">IFERROR(INDEX('TRIP MANAGER'!$R$18:$R$25,$A342),"")</f>
        <v>-9.4120000000000008</v>
      </c>
      <c r="G342" cm="1">
        <f t="array" ref="G342">IFERROR(INDEX('TRIP MANAGER'!$S$18:$S$25,$A342),"")</f>
        <v>0.61206181805380777</v>
      </c>
      <c r="H342">
        <f t="shared" si="57"/>
        <v>0.25333333333333335</v>
      </c>
      <c r="I342">
        <f t="shared" si="58"/>
        <v>0.76800750992404254</v>
      </c>
      <c r="J342">
        <f t="shared" si="59"/>
        <v>0.2687902256379025</v>
      </c>
      <c r="K342">
        <f t="shared" si="60"/>
        <v>0.79598510146176849</v>
      </c>
      <c r="L342">
        <f t="shared" si="61"/>
        <v>0.30816526531160388</v>
      </c>
      <c r="M342">
        <f t="shared" si="62"/>
        <v>0.52100085173282273</v>
      </c>
      <c r="N342">
        <f t="shared" si="63"/>
        <v>31.399410624956104</v>
      </c>
      <c r="O342">
        <f t="shared" si="64"/>
        <v>21.163889011557703</v>
      </c>
      <c r="P342" t="str" cm="1">
        <f t="array" ref="P342">IF($N342="","",IFERROR(IF(INDEX(geo_grid!$B$2:$JU$231,INT(($N342+40)/0.5)+1,INT(($O342+30)/0.5)+1)="","",INDEX(geo_grid!$B$2:$JU$231,INT(($N342+40)/0.5)+1,INT(($O342+30)/0.5)+1)),"OUTSIDE GRID"))</f>
        <v>LBY</v>
      </c>
      <c r="Q342">
        <f t="shared" si="65"/>
        <v>3038</v>
      </c>
    </row>
    <row r="343" spans="1:17" x14ac:dyDescent="0.3">
      <c r="A343">
        <f t="shared" si="55"/>
        <v>3</v>
      </c>
      <c r="B343">
        <f t="shared" si="56"/>
        <v>39</v>
      </c>
      <c r="C343" cm="1">
        <f t="array" ref="C343">IFERROR(INDEX('TRIP MANAGER'!$O$18:$O$25,$A343),"")</f>
        <v>30.111529999999998</v>
      </c>
      <c r="D343" cm="1">
        <f t="array" ref="D343">IFERROR(INDEX('TRIP MANAGER'!$P$18:$P$25,$A343),"")</f>
        <v>31.39669</v>
      </c>
      <c r="E343" cm="1">
        <f t="array" ref="E343">IFERROR(INDEX('TRIP MANAGER'!$Q$18:$Q$25,$A343),"")</f>
        <v>30.322479999999999</v>
      </c>
      <c r="F343" cm="1">
        <f t="array" ref="F343">IFERROR(INDEX('TRIP MANAGER'!$R$18:$R$25,$A343),"")</f>
        <v>-9.4120000000000008</v>
      </c>
      <c r="G343" cm="1">
        <f t="array" ref="G343">IFERROR(INDEX('TRIP MANAGER'!$S$18:$S$25,$A343),"")</f>
        <v>0.61206181805380777</v>
      </c>
      <c r="H343">
        <f t="shared" si="57"/>
        <v>0.26</v>
      </c>
      <c r="I343">
        <f t="shared" si="58"/>
        <v>0.76162809280727395</v>
      </c>
      <c r="J343">
        <f t="shared" si="59"/>
        <v>0.27580461739433459</v>
      </c>
      <c r="K343">
        <f t="shared" si="60"/>
        <v>0.79724789552121433</v>
      </c>
      <c r="L343">
        <f t="shared" si="61"/>
        <v>0.30430017845804797</v>
      </c>
      <c r="M343">
        <f t="shared" si="62"/>
        <v>0.5213417252411271</v>
      </c>
      <c r="N343">
        <f t="shared" si="63"/>
        <v>31.422294877785827</v>
      </c>
      <c r="O343">
        <f t="shared" si="64"/>
        <v>20.89126941747508</v>
      </c>
      <c r="P343" t="str" cm="1">
        <f t="array" ref="P343">IF($N343="","",IFERROR(IF(INDEX(geo_grid!$B$2:$JU$231,INT(($N343+40)/0.5)+1,INT(($O343+30)/0.5)+1)="","",INDEX(geo_grid!$B$2:$JU$231,INT(($N343+40)/0.5)+1,INT(($O343+30)/0.5)+1)),"OUTSIDE GRID"))</f>
        <v>LBY</v>
      </c>
      <c r="Q343">
        <f t="shared" si="65"/>
        <v>3039</v>
      </c>
    </row>
    <row r="344" spans="1:17" x14ac:dyDescent="0.3">
      <c r="A344">
        <f t="shared" si="55"/>
        <v>3</v>
      </c>
      <c r="B344">
        <f t="shared" si="56"/>
        <v>40</v>
      </c>
      <c r="C344" cm="1">
        <f t="array" ref="C344">IFERROR(INDEX('TRIP MANAGER'!$O$18:$O$25,$A344),"")</f>
        <v>30.111529999999998</v>
      </c>
      <c r="D344" cm="1">
        <f t="array" ref="D344">IFERROR(INDEX('TRIP MANAGER'!$P$18:$P$25,$A344),"")</f>
        <v>31.39669</v>
      </c>
      <c r="E344" cm="1">
        <f t="array" ref="E344">IFERROR(INDEX('TRIP MANAGER'!$Q$18:$Q$25,$A344),"")</f>
        <v>30.322479999999999</v>
      </c>
      <c r="F344" cm="1">
        <f t="array" ref="F344">IFERROR(INDEX('TRIP MANAGER'!$R$18:$R$25,$A344),"")</f>
        <v>-9.4120000000000008</v>
      </c>
      <c r="G344" cm="1">
        <f t="array" ref="G344">IFERROR(INDEX('TRIP MANAGER'!$S$18:$S$25,$A344),"")</f>
        <v>0.61206181805380777</v>
      </c>
      <c r="H344">
        <f t="shared" si="57"/>
        <v>0.26666666666666666</v>
      </c>
      <c r="I344">
        <f t="shared" si="58"/>
        <v>0.75523599478080561</v>
      </c>
      <c r="J344">
        <f t="shared" si="59"/>
        <v>0.28281441707560434</v>
      </c>
      <c r="K344">
        <f t="shared" si="60"/>
        <v>0.79849741561050747</v>
      </c>
      <c r="L344">
        <f t="shared" si="61"/>
        <v>0.30043002508564776</v>
      </c>
      <c r="M344">
        <f t="shared" si="62"/>
        <v>0.52167391854527034</v>
      </c>
      <c r="N344">
        <f t="shared" si="63"/>
        <v>31.444601766286926</v>
      </c>
      <c r="O344">
        <f t="shared" si="64"/>
        <v>20.618518425897268</v>
      </c>
      <c r="P344" t="str" cm="1">
        <f t="array" ref="P344">IF($N344="","",IFERROR(IF(INDEX(geo_grid!$B$2:$JU$231,INT(($N344+40)/0.5)+1,INT(($O344+30)/0.5)+1)="","",INDEX(geo_grid!$B$2:$JU$231,INT(($N344+40)/0.5)+1,INT(($O344+30)/0.5)+1)),"OUTSIDE GRID"))</f>
        <v>LBY</v>
      </c>
      <c r="Q344">
        <f t="shared" si="65"/>
        <v>3040</v>
      </c>
    </row>
    <row r="345" spans="1:17" x14ac:dyDescent="0.3">
      <c r="A345">
        <f t="shared" si="55"/>
        <v>3</v>
      </c>
      <c r="B345">
        <f t="shared" si="56"/>
        <v>41</v>
      </c>
      <c r="C345" cm="1">
        <f t="array" ref="C345">IFERROR(INDEX('TRIP MANAGER'!$O$18:$O$25,$A345),"")</f>
        <v>30.111529999999998</v>
      </c>
      <c r="D345" cm="1">
        <f t="array" ref="D345">IFERROR(INDEX('TRIP MANAGER'!$P$18:$P$25,$A345),"")</f>
        <v>31.39669</v>
      </c>
      <c r="E345" cm="1">
        <f t="array" ref="E345">IFERROR(INDEX('TRIP MANAGER'!$Q$18:$Q$25,$A345),"")</f>
        <v>30.322479999999999</v>
      </c>
      <c r="F345" cm="1">
        <f t="array" ref="F345">IFERROR(INDEX('TRIP MANAGER'!$R$18:$R$25,$A345),"")</f>
        <v>-9.4120000000000008</v>
      </c>
      <c r="G345" cm="1">
        <f t="array" ref="G345">IFERROR(INDEX('TRIP MANAGER'!$S$18:$S$25,$A345),"")</f>
        <v>0.61206181805380777</v>
      </c>
      <c r="H345">
        <f t="shared" si="57"/>
        <v>0.27333333333333332</v>
      </c>
      <c r="I345">
        <f t="shared" si="58"/>
        <v>0.74883132227140758</v>
      </c>
      <c r="J345">
        <f t="shared" si="59"/>
        <v>0.28981950797036976</v>
      </c>
      <c r="K345">
        <f t="shared" si="60"/>
        <v>0.79973364092546351</v>
      </c>
      <c r="L345">
        <f t="shared" si="61"/>
        <v>0.29655486963145045</v>
      </c>
      <c r="M345">
        <f t="shared" si="62"/>
        <v>0.5219974261143201</v>
      </c>
      <c r="N345">
        <f t="shared" si="63"/>
        <v>31.466330509998599</v>
      </c>
      <c r="O345">
        <f t="shared" si="64"/>
        <v>20.34563922349934</v>
      </c>
      <c r="P345" t="str" cm="1">
        <f t="array" ref="P345">IF($N345="","",IFERROR(IF(INDEX(geo_grid!$B$2:$JU$231,INT(($N345+40)/0.5)+1,INT(($O345+30)/0.5)+1)="","",INDEX(geo_grid!$B$2:$JU$231,INT(($N345+40)/0.5)+1,INT(($O345+30)/0.5)+1)),"OUTSIDE GRID"))</f>
        <v>LBY</v>
      </c>
      <c r="Q345">
        <f t="shared" si="65"/>
        <v>3041</v>
      </c>
    </row>
    <row r="346" spans="1:17" x14ac:dyDescent="0.3">
      <c r="A346">
        <f t="shared" si="55"/>
        <v>3</v>
      </c>
      <c r="B346">
        <f t="shared" si="56"/>
        <v>42</v>
      </c>
      <c r="C346" cm="1">
        <f t="array" ref="C346">IFERROR(INDEX('TRIP MANAGER'!$O$18:$O$25,$A346),"")</f>
        <v>30.111529999999998</v>
      </c>
      <c r="D346" cm="1">
        <f t="array" ref="D346">IFERROR(INDEX('TRIP MANAGER'!$P$18:$P$25,$A346),"")</f>
        <v>31.39669</v>
      </c>
      <c r="E346" cm="1">
        <f t="array" ref="E346">IFERROR(INDEX('TRIP MANAGER'!$Q$18:$Q$25,$A346),"")</f>
        <v>30.322479999999999</v>
      </c>
      <c r="F346" cm="1">
        <f t="array" ref="F346">IFERROR(INDEX('TRIP MANAGER'!$R$18:$R$25,$A346),"")</f>
        <v>-9.4120000000000008</v>
      </c>
      <c r="G346" cm="1">
        <f t="array" ref="G346">IFERROR(INDEX('TRIP MANAGER'!$S$18:$S$25,$A346),"")</f>
        <v>0.61206181805380777</v>
      </c>
      <c r="H346">
        <f t="shared" si="57"/>
        <v>0.28000000000000003</v>
      </c>
      <c r="I346">
        <f t="shared" si="58"/>
        <v>0.7424141819152118</v>
      </c>
      <c r="J346">
        <f t="shared" si="59"/>
        <v>0.29681977344568905</v>
      </c>
      <c r="K346">
        <f t="shared" si="60"/>
        <v>0.80095655088325213</v>
      </c>
      <c r="L346">
        <f t="shared" si="61"/>
        <v>0.29267477661578672</v>
      </c>
      <c r="M346">
        <f t="shared" si="62"/>
        <v>0.52231224256195974</v>
      </c>
      <c r="N346">
        <f t="shared" si="63"/>
        <v>31.48748034763582</v>
      </c>
      <c r="O346">
        <f t="shared" si="64"/>
        <v>20.072635014675154</v>
      </c>
      <c r="P346" t="str" cm="1">
        <f t="array" ref="P346">IF($N346="","",IFERROR(IF(INDEX(geo_grid!$B$2:$JU$231,INT(($N346+40)/0.5)+1,INT(($O346+30)/0.5)+1)="","",INDEX(geo_grid!$B$2:$JU$231,INT(($N346+40)/0.5)+1,INT(($O346+30)/0.5)+1)),"OUTSIDE GRID"))</f>
        <v>LBY</v>
      </c>
      <c r="Q346">
        <f t="shared" si="65"/>
        <v>3042</v>
      </c>
    </row>
    <row r="347" spans="1:17" x14ac:dyDescent="0.3">
      <c r="A347">
        <f t="shared" si="55"/>
        <v>3</v>
      </c>
      <c r="B347">
        <f t="shared" si="56"/>
        <v>43</v>
      </c>
      <c r="C347" cm="1">
        <f t="array" ref="C347">IFERROR(INDEX('TRIP MANAGER'!$O$18:$O$25,$A347),"")</f>
        <v>30.111529999999998</v>
      </c>
      <c r="D347" cm="1">
        <f t="array" ref="D347">IFERROR(INDEX('TRIP MANAGER'!$P$18:$P$25,$A347),"")</f>
        <v>31.39669</v>
      </c>
      <c r="E347" cm="1">
        <f t="array" ref="E347">IFERROR(INDEX('TRIP MANAGER'!$Q$18:$Q$25,$A347),"")</f>
        <v>30.322479999999999</v>
      </c>
      <c r="F347" cm="1">
        <f t="array" ref="F347">IFERROR(INDEX('TRIP MANAGER'!$R$18:$R$25,$A347),"")</f>
        <v>-9.4120000000000008</v>
      </c>
      <c r="G347" cm="1">
        <f t="array" ref="G347">IFERROR(INDEX('TRIP MANAGER'!$S$18:$S$25,$A347),"")</f>
        <v>0.61206181805380777</v>
      </c>
      <c r="H347">
        <f t="shared" si="57"/>
        <v>0.28666666666666668</v>
      </c>
      <c r="I347">
        <f t="shared" si="58"/>
        <v>0.73598468055593658</v>
      </c>
      <c r="J347">
        <f t="shared" si="59"/>
        <v>0.3038150969489623</v>
      </c>
      <c r="K347">
        <f t="shared" si="60"/>
        <v>0.80216612512274077</v>
      </c>
      <c r="L347">
        <f t="shared" si="61"/>
        <v>0.28878981064119635</v>
      </c>
      <c r="M347">
        <f t="shared" si="62"/>
        <v>0.52261836264657724</v>
      </c>
      <c r="N347">
        <f t="shared" si="63"/>
        <v>31.508050537197022</v>
      </c>
      <c r="O347">
        <f t="shared" si="64"/>
        <v>19.799509021130206</v>
      </c>
      <c r="P347" t="str" cm="1">
        <f t="array" ref="P347">IF($N347="","",IFERROR(IF(INDEX(geo_grid!$B$2:$JU$231,INT(($N347+40)/0.5)+1,INT(($O347+30)/0.5)+1)="","",INDEX(geo_grid!$B$2:$JU$231,INT(($N347+40)/0.5)+1,INT(($O347+30)/0.5)+1)),"OUTSIDE GRID"))</f>
        <v/>
      </c>
      <c r="Q347" t="str">
        <f t="shared" si="65"/>
        <v/>
      </c>
    </row>
    <row r="348" spans="1:17" x14ac:dyDescent="0.3">
      <c r="A348">
        <f t="shared" si="55"/>
        <v>3</v>
      </c>
      <c r="B348">
        <f t="shared" si="56"/>
        <v>44</v>
      </c>
      <c r="C348" cm="1">
        <f t="array" ref="C348">IFERROR(INDEX('TRIP MANAGER'!$O$18:$O$25,$A348),"")</f>
        <v>30.111529999999998</v>
      </c>
      <c r="D348" cm="1">
        <f t="array" ref="D348">IFERROR(INDEX('TRIP MANAGER'!$P$18:$P$25,$A348),"")</f>
        <v>31.39669</v>
      </c>
      <c r="E348" cm="1">
        <f t="array" ref="E348">IFERROR(INDEX('TRIP MANAGER'!$Q$18:$Q$25,$A348),"")</f>
        <v>30.322479999999999</v>
      </c>
      <c r="F348" cm="1">
        <f t="array" ref="F348">IFERROR(INDEX('TRIP MANAGER'!$R$18:$R$25,$A348),"")</f>
        <v>-9.4120000000000008</v>
      </c>
      <c r="G348" cm="1">
        <f t="array" ref="G348">IFERROR(INDEX('TRIP MANAGER'!$S$18:$S$25,$A348),"")</f>
        <v>0.61206181805380777</v>
      </c>
      <c r="H348">
        <f t="shared" si="57"/>
        <v>0.29333333333333333</v>
      </c>
      <c r="I348">
        <f t="shared" si="58"/>
        <v>0.7295429252431076</v>
      </c>
      <c r="J348">
        <f t="shared" si="59"/>
        <v>0.31080536200987208</v>
      </c>
      <c r="K348">
        <f t="shared" si="60"/>
        <v>0.80336234350483271</v>
      </c>
      <c r="L348">
        <f t="shared" si="61"/>
        <v>0.28490003639135258</v>
      </c>
      <c r="M348">
        <f t="shared" si="62"/>
        <v>0.52291578127135252</v>
      </c>
      <c r="N348">
        <f t="shared" si="63"/>
        <v>31.528040356069287</v>
      </c>
      <c r="O348">
        <f t="shared" si="64"/>
        <v>19.526264481469465</v>
      </c>
      <c r="P348" t="str" cm="1">
        <f t="array" ref="P348">IF($N348="","",IFERROR(IF(INDEX(geo_grid!$B$2:$JU$231,INT(($N348+40)/0.5)+1,INT(($O348+30)/0.5)+1)="","",INDEX(geo_grid!$B$2:$JU$231,INT(($N348+40)/0.5)+1,INT(($O348+30)/0.5)+1)),"OUTSIDE GRID"))</f>
        <v/>
      </c>
      <c r="Q348" t="str">
        <f t="shared" si="65"/>
        <v/>
      </c>
    </row>
    <row r="349" spans="1:17" x14ac:dyDescent="0.3">
      <c r="A349">
        <f t="shared" si="55"/>
        <v>3</v>
      </c>
      <c r="B349">
        <f t="shared" si="56"/>
        <v>45</v>
      </c>
      <c r="C349" cm="1">
        <f t="array" ref="C349">IFERROR(INDEX('TRIP MANAGER'!$O$18:$O$25,$A349),"")</f>
        <v>30.111529999999998</v>
      </c>
      <c r="D349" cm="1">
        <f t="array" ref="D349">IFERROR(INDEX('TRIP MANAGER'!$P$18:$P$25,$A349),"")</f>
        <v>31.39669</v>
      </c>
      <c r="E349" cm="1">
        <f t="array" ref="E349">IFERROR(INDEX('TRIP MANAGER'!$Q$18:$Q$25,$A349),"")</f>
        <v>30.322479999999999</v>
      </c>
      <c r="F349" cm="1">
        <f t="array" ref="F349">IFERROR(INDEX('TRIP MANAGER'!$R$18:$R$25,$A349),"")</f>
        <v>-9.4120000000000008</v>
      </c>
      <c r="G349" cm="1">
        <f t="array" ref="G349">IFERROR(INDEX('TRIP MANAGER'!$S$18:$S$25,$A349),"")</f>
        <v>0.61206181805380777</v>
      </c>
      <c r="H349">
        <f t="shared" si="57"/>
        <v>0.3</v>
      </c>
      <c r="I349">
        <f t="shared" si="58"/>
        <v>0.72308902323027568</v>
      </c>
      <c r="J349">
        <f t="shared" si="59"/>
        <v>0.31779045224232294</v>
      </c>
      <c r="K349">
        <f t="shared" si="60"/>
        <v>0.80454518611280279</v>
      </c>
      <c r="L349">
        <f t="shared" si="61"/>
        <v>0.28100551862998518</v>
      </c>
      <c r="M349">
        <f t="shared" si="62"/>
        <v>0.52320449348434317</v>
      </c>
      <c r="N349">
        <f t="shared" si="63"/>
        <v>31.547449101131168</v>
      </c>
      <c r="O349">
        <f t="shared" si="64"/>
        <v>19.252904650780142</v>
      </c>
      <c r="P349" t="str" cm="1">
        <f t="array" ref="P349">IF($N349="","",IFERROR(IF(INDEX(geo_grid!$B$2:$JU$231,INT(($N349+40)/0.5)+1,INT(($O349+30)/0.5)+1)="","",INDEX(geo_grid!$B$2:$JU$231,INT(($N349+40)/0.5)+1,INT(($O349+30)/0.5)+1)),"OUTSIDE GRID"))</f>
        <v/>
      </c>
      <c r="Q349" t="str">
        <f t="shared" si="65"/>
        <v/>
      </c>
    </row>
    <row r="350" spans="1:17" x14ac:dyDescent="0.3">
      <c r="A350">
        <f t="shared" si="55"/>
        <v>3</v>
      </c>
      <c r="B350">
        <f t="shared" si="56"/>
        <v>46</v>
      </c>
      <c r="C350" cm="1">
        <f t="array" ref="C350">IFERROR(INDEX('TRIP MANAGER'!$O$18:$O$25,$A350),"")</f>
        <v>30.111529999999998</v>
      </c>
      <c r="D350" cm="1">
        <f t="array" ref="D350">IFERROR(INDEX('TRIP MANAGER'!$P$18:$P$25,$A350),"")</f>
        <v>31.39669</v>
      </c>
      <c r="E350" cm="1">
        <f t="array" ref="E350">IFERROR(INDEX('TRIP MANAGER'!$Q$18:$Q$25,$A350),"")</f>
        <v>30.322479999999999</v>
      </c>
      <c r="F350" cm="1">
        <f t="array" ref="F350">IFERROR(INDEX('TRIP MANAGER'!$R$18:$R$25,$A350),"")</f>
        <v>-9.4120000000000008</v>
      </c>
      <c r="G350" cm="1">
        <f t="array" ref="G350">IFERROR(INDEX('TRIP MANAGER'!$S$18:$S$25,$A350),"")</f>
        <v>0.61206181805380777</v>
      </c>
      <c r="H350">
        <f t="shared" si="57"/>
        <v>0.30666666666666664</v>
      </c>
      <c r="I350">
        <f t="shared" si="58"/>
        <v>0.71662308197323155</v>
      </c>
      <c r="J350">
        <f t="shared" si="59"/>
        <v>0.32477025134637871</v>
      </c>
      <c r="K350">
        <f t="shared" si="60"/>
        <v>0.80571463325262971</v>
      </c>
      <c r="L350">
        <f t="shared" si="61"/>
        <v>0.27710632219980236</v>
      </c>
      <c r="M350">
        <f t="shared" si="62"/>
        <v>0.52348449447856582</v>
      </c>
      <c r="N350">
        <f t="shared" si="63"/>
        <v>31.566276088852849</v>
      </c>
      <c r="O350">
        <f t="shared" si="64"/>
        <v>18.979432800209629</v>
      </c>
      <c r="P350" t="str" cm="1">
        <f t="array" ref="P350">IF($N350="","",IFERROR(IF(INDEX(geo_grid!$B$2:$JU$231,INT(($N350+40)/0.5)+1,INT(($O350+30)/0.5)+1)="","",INDEX(geo_grid!$B$2:$JU$231,INT(($N350+40)/0.5)+1,INT(($O350+30)/0.5)+1)),"OUTSIDE GRID"))</f>
        <v/>
      </c>
      <c r="Q350" t="str">
        <f t="shared" si="65"/>
        <v/>
      </c>
    </row>
    <row r="351" spans="1:17" x14ac:dyDescent="0.3">
      <c r="A351">
        <f t="shared" si="55"/>
        <v>3</v>
      </c>
      <c r="B351">
        <f t="shared" si="56"/>
        <v>47</v>
      </c>
      <c r="C351" cm="1">
        <f t="array" ref="C351">IFERROR(INDEX('TRIP MANAGER'!$O$18:$O$25,$A351),"")</f>
        <v>30.111529999999998</v>
      </c>
      <c r="D351" cm="1">
        <f t="array" ref="D351">IFERROR(INDEX('TRIP MANAGER'!$P$18:$P$25,$A351),"")</f>
        <v>31.39669</v>
      </c>
      <c r="E351" cm="1">
        <f t="array" ref="E351">IFERROR(INDEX('TRIP MANAGER'!$Q$18:$Q$25,$A351),"")</f>
        <v>30.322479999999999</v>
      </c>
      <c r="F351" cm="1">
        <f t="array" ref="F351">IFERROR(INDEX('TRIP MANAGER'!$R$18:$R$25,$A351),"")</f>
        <v>-9.4120000000000008</v>
      </c>
      <c r="G351" cm="1">
        <f t="array" ref="G351">IFERROR(INDEX('TRIP MANAGER'!$S$18:$S$25,$A351),"")</f>
        <v>0.61206181805380777</v>
      </c>
      <c r="H351">
        <f t="shared" si="57"/>
        <v>0.31333333333333335</v>
      </c>
      <c r="I351">
        <f t="shared" si="58"/>
        <v>0.71014520912821522</v>
      </c>
      <c r="J351">
        <f t="shared" si="59"/>
        <v>0.33174464311019947</v>
      </c>
      <c r="K351">
        <f t="shared" si="60"/>
        <v>0.8068706654533222</v>
      </c>
      <c r="L351">
        <f t="shared" si="61"/>
        <v>0.27320251202141055</v>
      </c>
      <c r="M351">
        <f t="shared" si="62"/>
        <v>0.52375577959207664</v>
      </c>
      <c r="N351">
        <f t="shared" si="63"/>
        <v>31.58452065539392</v>
      </c>
      <c r="O351">
        <f t="shared" si="64"/>
        <v>18.705852216538673</v>
      </c>
      <c r="P351" t="str" cm="1">
        <f t="array" ref="P351">IF($N351="","",IFERROR(IF(INDEX(geo_grid!$B$2:$JU$231,INT(($N351+40)/0.5)+1,INT(($O351+30)/0.5)+1)="","",INDEX(geo_grid!$B$2:$JU$231,INT(($N351+40)/0.5)+1,INT(($O351+30)/0.5)+1)),"OUTSIDE GRID"))</f>
        <v/>
      </c>
      <c r="Q351" t="str">
        <f t="shared" si="65"/>
        <v/>
      </c>
    </row>
    <row r="352" spans="1:17" x14ac:dyDescent="0.3">
      <c r="A352">
        <f t="shared" si="55"/>
        <v>3</v>
      </c>
      <c r="B352">
        <f t="shared" si="56"/>
        <v>48</v>
      </c>
      <c r="C352" cm="1">
        <f t="array" ref="C352">IFERROR(INDEX('TRIP MANAGER'!$O$18:$O$25,$A352),"")</f>
        <v>30.111529999999998</v>
      </c>
      <c r="D352" cm="1">
        <f t="array" ref="D352">IFERROR(INDEX('TRIP MANAGER'!$P$18:$P$25,$A352),"")</f>
        <v>31.39669</v>
      </c>
      <c r="E352" cm="1">
        <f t="array" ref="E352">IFERROR(INDEX('TRIP MANAGER'!$Q$18:$Q$25,$A352),"")</f>
        <v>30.322479999999999</v>
      </c>
      <c r="F352" cm="1">
        <f t="array" ref="F352">IFERROR(INDEX('TRIP MANAGER'!$R$18:$R$25,$A352),"")</f>
        <v>-9.4120000000000008</v>
      </c>
      <c r="G352" cm="1">
        <f t="array" ref="G352">IFERROR(INDEX('TRIP MANAGER'!$S$18:$S$25,$A352),"")</f>
        <v>0.61206181805380777</v>
      </c>
      <c r="H352">
        <f t="shared" si="57"/>
        <v>0.32</v>
      </c>
      <c r="I352">
        <f t="shared" si="58"/>
        <v>0.70365551255012537</v>
      </c>
      <c r="J352">
        <f t="shared" si="59"/>
        <v>0.33871351141197559</v>
      </c>
      <c r="K352">
        <f t="shared" si="60"/>
        <v>0.80801326346724478</v>
      </c>
      <c r="L352">
        <f t="shared" si="61"/>
        <v>0.2692941530922342</v>
      </c>
      <c r="M352">
        <f t="shared" si="62"/>
        <v>0.52401834430804894</v>
      </c>
      <c r="N352">
        <f t="shared" si="63"/>
        <v>31.602182156698433</v>
      </c>
      <c r="O352">
        <f t="shared" si="64"/>
        <v>18.432166201749876</v>
      </c>
      <c r="P352" t="str" cm="1">
        <f t="array" ref="P352">IF($N352="","",IFERROR(IF(INDEX(geo_grid!$B$2:$JU$231,INT(($N352+40)/0.5)+1,INT(($O352+30)/0.5)+1)="","",INDEX(geo_grid!$B$2:$JU$231,INT(($N352+40)/0.5)+1,INT(($O352+30)/0.5)+1)),"OUTSIDE GRID"))</f>
        <v/>
      </c>
      <c r="Q352" t="str">
        <f t="shared" si="65"/>
        <v/>
      </c>
    </row>
    <row r="353" spans="1:17" x14ac:dyDescent="0.3">
      <c r="A353">
        <f t="shared" si="55"/>
        <v>3</v>
      </c>
      <c r="B353">
        <f t="shared" si="56"/>
        <v>49</v>
      </c>
      <c r="C353" cm="1">
        <f t="array" ref="C353">IFERROR(INDEX('TRIP MANAGER'!$O$18:$O$25,$A353),"")</f>
        <v>30.111529999999998</v>
      </c>
      <c r="D353" cm="1">
        <f t="array" ref="D353">IFERROR(INDEX('TRIP MANAGER'!$P$18:$P$25,$A353),"")</f>
        <v>31.39669</v>
      </c>
      <c r="E353" cm="1">
        <f t="array" ref="E353">IFERROR(INDEX('TRIP MANAGER'!$Q$18:$Q$25,$A353),"")</f>
        <v>30.322479999999999</v>
      </c>
      <c r="F353" cm="1">
        <f t="array" ref="F353">IFERROR(INDEX('TRIP MANAGER'!$R$18:$R$25,$A353),"")</f>
        <v>-9.4120000000000008</v>
      </c>
      <c r="G353" cm="1">
        <f t="array" ref="G353">IFERROR(INDEX('TRIP MANAGER'!$S$18:$S$25,$A353),"")</f>
        <v>0.61206181805380777</v>
      </c>
      <c r="H353">
        <f t="shared" si="57"/>
        <v>0.32666666666666666</v>
      </c>
      <c r="I353">
        <f t="shared" si="58"/>
        <v>0.69715410029072289</v>
      </c>
      <c r="J353">
        <f t="shared" si="59"/>
        <v>0.34567674022186212</v>
      </c>
      <c r="K353">
        <f t="shared" si="60"/>
        <v>0.80914240827043771</v>
      </c>
      <c r="L353">
        <f t="shared" si="61"/>
        <v>0.26538131048543334</v>
      </c>
      <c r="M353">
        <f t="shared" si="62"/>
        <v>0.52427218425484867</v>
      </c>
      <c r="N353">
        <f t="shared" si="63"/>
        <v>31.619259968587397</v>
      </c>
      <c r="O353">
        <f t="shared" si="64"/>
        <v>18.158378072591631</v>
      </c>
      <c r="P353" t="str" cm="1">
        <f t="array" ref="P353">IF($N353="","",IFERROR(IF(INDEX(geo_grid!$B$2:$JU$231,INT(($N353+40)/0.5)+1,INT(($O353+30)/0.5)+1)="","",INDEX(geo_grid!$B$2:$JU$231,INT(($N353+40)/0.5)+1,INT(($O353+30)/0.5)+1)),"OUTSIDE GRID"))</f>
        <v/>
      </c>
      <c r="Q353" t="str">
        <f t="shared" si="65"/>
        <v/>
      </c>
    </row>
    <row r="354" spans="1:17" x14ac:dyDescent="0.3">
      <c r="A354">
        <f t="shared" si="55"/>
        <v>3</v>
      </c>
      <c r="B354">
        <f t="shared" si="56"/>
        <v>50</v>
      </c>
      <c r="C354" cm="1">
        <f t="array" ref="C354">IFERROR(INDEX('TRIP MANAGER'!$O$18:$O$25,$A354),"")</f>
        <v>30.111529999999998</v>
      </c>
      <c r="D354" cm="1">
        <f t="array" ref="D354">IFERROR(INDEX('TRIP MANAGER'!$P$18:$P$25,$A354),"")</f>
        <v>31.39669</v>
      </c>
      <c r="E354" cm="1">
        <f t="array" ref="E354">IFERROR(INDEX('TRIP MANAGER'!$Q$18:$Q$25,$A354),"")</f>
        <v>30.322479999999999</v>
      </c>
      <c r="F354" cm="1">
        <f t="array" ref="F354">IFERROR(INDEX('TRIP MANAGER'!$R$18:$R$25,$A354),"")</f>
        <v>-9.4120000000000008</v>
      </c>
      <c r="G354" cm="1">
        <f t="array" ref="G354">IFERROR(INDEX('TRIP MANAGER'!$S$18:$S$25,$A354),"")</f>
        <v>0.61206181805380777</v>
      </c>
      <c r="H354">
        <f t="shared" si="57"/>
        <v>0.33333333333333331</v>
      </c>
      <c r="I354">
        <f t="shared" si="58"/>
        <v>0.69064108059683094</v>
      </c>
      <c r="J354">
        <f t="shared" si="59"/>
        <v>0.35263421360391012</v>
      </c>
      <c r="K354">
        <f t="shared" si="60"/>
        <v>0.81025808106293373</v>
      </c>
      <c r="L354">
        <f t="shared" si="61"/>
        <v>0.26146404934881978</v>
      </c>
      <c r="M354">
        <f t="shared" si="62"/>
        <v>0.52451729520610679</v>
      </c>
      <c r="N354">
        <f t="shared" si="63"/>
        <v>31.63575348684865</v>
      </c>
      <c r="O354">
        <f t="shared" si="64"/>
        <v>17.884491160137674</v>
      </c>
      <c r="P354" t="str" cm="1">
        <f t="array" ref="P354">IF($N354="","",IFERROR(IF(INDEX(geo_grid!$B$2:$JU$231,INT(($N354+40)/0.5)+1,INT(($O354+30)/0.5)+1)="","",INDEX(geo_grid!$B$2:$JU$231,INT(($N354+40)/0.5)+1,INT(($O354+30)/0.5)+1)),"OUTSIDE GRID"))</f>
        <v/>
      </c>
      <c r="Q354" t="str">
        <f t="shared" si="65"/>
        <v/>
      </c>
    </row>
    <row r="355" spans="1:17" x14ac:dyDescent="0.3">
      <c r="A355">
        <f t="shared" si="55"/>
        <v>3</v>
      </c>
      <c r="B355">
        <f t="shared" si="56"/>
        <v>51</v>
      </c>
      <c r="C355" cm="1">
        <f t="array" ref="C355">IFERROR(INDEX('TRIP MANAGER'!$O$18:$O$25,$A355),"")</f>
        <v>30.111529999999998</v>
      </c>
      <c r="D355" cm="1">
        <f t="array" ref="D355">IFERROR(INDEX('TRIP MANAGER'!$P$18:$P$25,$A355),"")</f>
        <v>31.39669</v>
      </c>
      <c r="E355" cm="1">
        <f t="array" ref="E355">IFERROR(INDEX('TRIP MANAGER'!$Q$18:$Q$25,$A355),"")</f>
        <v>30.322479999999999</v>
      </c>
      <c r="F355" cm="1">
        <f t="array" ref="F355">IFERROR(INDEX('TRIP MANAGER'!$R$18:$R$25,$A355),"")</f>
        <v>-9.4120000000000008</v>
      </c>
      <c r="G355" cm="1">
        <f t="array" ref="G355">IFERROR(INDEX('TRIP MANAGER'!$S$18:$S$25,$A355),"")</f>
        <v>0.61206181805380777</v>
      </c>
      <c r="H355">
        <f t="shared" si="57"/>
        <v>0.34</v>
      </c>
      <c r="I355">
        <f t="shared" si="58"/>
        <v>0.68411656190853365</v>
      </c>
      <c r="J355">
        <f t="shared" si="59"/>
        <v>0.3595858157179968</v>
      </c>
      <c r="K355">
        <f t="shared" si="60"/>
        <v>0.81136026326907063</v>
      </c>
      <c r="L355">
        <f t="shared" si="61"/>
        <v>0.25754243490377271</v>
      </c>
      <c r="M355">
        <f t="shared" si="62"/>
        <v>0.52475367308078935</v>
      </c>
      <c r="N355">
        <f t="shared" si="63"/>
        <v>31.65166212732397</v>
      </c>
      <c r="O355">
        <f t="shared" si="64"/>
        <v>17.610508809342296</v>
      </c>
      <c r="P355" t="str" cm="1">
        <f t="array" ref="P355">IF($N355="","",IFERROR(IF(INDEX(geo_grid!$B$2:$JU$231,INT(($N355+40)/0.5)+1,INT(($O355+30)/0.5)+1)="","",INDEX(geo_grid!$B$2:$JU$231,INT(($N355+40)/0.5)+1,INT(($O355+30)/0.5)+1)),"OUTSIDE GRID"))</f>
        <v/>
      </c>
      <c r="Q355" t="str">
        <f t="shared" si="65"/>
        <v/>
      </c>
    </row>
    <row r="356" spans="1:17" x14ac:dyDescent="0.3">
      <c r="A356">
        <f t="shared" si="55"/>
        <v>3</v>
      </c>
      <c r="B356">
        <f t="shared" si="56"/>
        <v>52</v>
      </c>
      <c r="C356" cm="1">
        <f t="array" ref="C356">IFERROR(INDEX('TRIP MANAGER'!$O$18:$O$25,$A356),"")</f>
        <v>30.111529999999998</v>
      </c>
      <c r="D356" cm="1">
        <f t="array" ref="D356">IFERROR(INDEX('TRIP MANAGER'!$P$18:$P$25,$A356),"")</f>
        <v>31.39669</v>
      </c>
      <c r="E356" cm="1">
        <f t="array" ref="E356">IFERROR(INDEX('TRIP MANAGER'!$Q$18:$Q$25,$A356),"")</f>
        <v>30.322479999999999</v>
      </c>
      <c r="F356" cm="1">
        <f t="array" ref="F356">IFERROR(INDEX('TRIP MANAGER'!$R$18:$R$25,$A356),"")</f>
        <v>-9.4120000000000008</v>
      </c>
      <c r="G356" cm="1">
        <f t="array" ref="G356">IFERROR(INDEX('TRIP MANAGER'!$S$18:$S$25,$A356),"")</f>
        <v>0.61206181805380777</v>
      </c>
      <c r="H356">
        <f t="shared" si="57"/>
        <v>0.34666666666666668</v>
      </c>
      <c r="I356">
        <f t="shared" si="58"/>
        <v>0.67758065285737112</v>
      </c>
      <c r="J356">
        <f t="shared" si="59"/>
        <v>0.36653143082175454</v>
      </c>
      <c r="K356">
        <f t="shared" si="60"/>
        <v>0.81244893653780159</v>
      </c>
      <c r="L356">
        <f t="shared" si="61"/>
        <v>0.25361653244415316</v>
      </c>
      <c r="M356">
        <f t="shared" si="62"/>
        <v>0.52498131394326653</v>
      </c>
      <c r="N356">
        <f t="shared" si="63"/>
        <v>31.666985325993569</v>
      </c>
      <c r="O356">
        <f t="shared" si="64"/>
        <v>17.336434378591417</v>
      </c>
      <c r="P356" t="str" cm="1">
        <f t="array" ref="P356">IF($N356="","",IFERROR(IF(INDEX(geo_grid!$B$2:$JU$231,INT(($N356+40)/0.5)+1,INT(($O356+30)/0.5)+1)="","",INDEX(geo_grid!$B$2:$JU$231,INT(($N356+40)/0.5)+1,INT(($O356+30)/0.5)+1)),"OUTSIDE GRID"))</f>
        <v/>
      </c>
      <c r="Q356" t="str">
        <f t="shared" si="65"/>
        <v/>
      </c>
    </row>
    <row r="357" spans="1:17" x14ac:dyDescent="0.3">
      <c r="A357">
        <f t="shared" si="55"/>
        <v>3</v>
      </c>
      <c r="B357">
        <f t="shared" si="56"/>
        <v>53</v>
      </c>
      <c r="C357" cm="1">
        <f t="array" ref="C357">IFERROR(INDEX('TRIP MANAGER'!$O$18:$O$25,$A357),"")</f>
        <v>30.111529999999998</v>
      </c>
      <c r="D357" cm="1">
        <f t="array" ref="D357">IFERROR(INDEX('TRIP MANAGER'!$P$18:$P$25,$A357),"")</f>
        <v>31.39669</v>
      </c>
      <c r="E357" cm="1">
        <f t="array" ref="E357">IFERROR(INDEX('TRIP MANAGER'!$Q$18:$Q$25,$A357),"")</f>
        <v>30.322479999999999</v>
      </c>
      <c r="F357" cm="1">
        <f t="array" ref="F357">IFERROR(INDEX('TRIP MANAGER'!$R$18:$R$25,$A357),"")</f>
        <v>-9.4120000000000008</v>
      </c>
      <c r="G357" cm="1">
        <f t="array" ref="G357">IFERROR(INDEX('TRIP MANAGER'!$S$18:$S$25,$A357),"")</f>
        <v>0.61206181805380777</v>
      </c>
      <c r="H357">
        <f t="shared" si="57"/>
        <v>0.35333333333333333</v>
      </c>
      <c r="I357">
        <f t="shared" si="58"/>
        <v>0.67103346226452942</v>
      </c>
      <c r="J357">
        <f t="shared" si="59"/>
        <v>0.37347094327249802</v>
      </c>
      <c r="K357">
        <f t="shared" si="60"/>
        <v>0.81352408274299992</v>
      </c>
      <c r="L357">
        <f t="shared" si="61"/>
        <v>0.24968640733521627</v>
      </c>
      <c r="M357">
        <f t="shared" si="62"/>
        <v>0.52520021400337713</v>
      </c>
      <c r="N357">
        <f t="shared" si="63"/>
        <v>31.681722539057745</v>
      </c>
      <c r="O357">
        <f t="shared" si="64"/>
        <v>17.06227123924954</v>
      </c>
      <c r="P357" t="str" cm="1">
        <f t="array" ref="P357">IF($N357="","",IFERROR(IF(INDEX(geo_grid!$B$2:$JU$231,INT(($N357+40)/0.5)+1,INT(($O357+30)/0.5)+1)="","",INDEX(geo_grid!$B$2:$JU$231,INT(($N357+40)/0.5)+1,INT(($O357+30)/0.5)+1)),"OUTSIDE GRID"))</f>
        <v/>
      </c>
      <c r="Q357" t="str">
        <f t="shared" si="65"/>
        <v/>
      </c>
    </row>
    <row r="358" spans="1:17" x14ac:dyDescent="0.3">
      <c r="A358">
        <f t="shared" si="55"/>
        <v>3</v>
      </c>
      <c r="B358">
        <f t="shared" si="56"/>
        <v>54</v>
      </c>
      <c r="C358" cm="1">
        <f t="array" ref="C358">IFERROR(INDEX('TRIP MANAGER'!$O$18:$O$25,$A358),"")</f>
        <v>30.111529999999998</v>
      </c>
      <c r="D358" cm="1">
        <f t="array" ref="D358">IFERROR(INDEX('TRIP MANAGER'!$P$18:$P$25,$A358),"")</f>
        <v>31.39669</v>
      </c>
      <c r="E358" cm="1">
        <f t="array" ref="E358">IFERROR(INDEX('TRIP MANAGER'!$Q$18:$Q$25,$A358),"")</f>
        <v>30.322479999999999</v>
      </c>
      <c r="F358" cm="1">
        <f t="array" ref="F358">IFERROR(INDEX('TRIP MANAGER'!$R$18:$R$25,$A358),"")</f>
        <v>-9.4120000000000008</v>
      </c>
      <c r="G358" cm="1">
        <f t="array" ref="G358">IFERROR(INDEX('TRIP MANAGER'!$S$18:$S$25,$A358),"")</f>
        <v>0.61206181805380777</v>
      </c>
      <c r="H358">
        <f t="shared" si="57"/>
        <v>0.36</v>
      </c>
      <c r="I358">
        <f t="shared" si="58"/>
        <v>0.66447509913902902</v>
      </c>
      <c r="J358">
        <f t="shared" si="59"/>
        <v>0.38040423752914937</v>
      </c>
      <c r="K358">
        <f t="shared" si="60"/>
        <v>0.8145856839837603</v>
      </c>
      <c r="L358">
        <f t="shared" si="61"/>
        <v>0.24575212501252278</v>
      </c>
      <c r="M358">
        <f t="shared" si="62"/>
        <v>0.52541036961649179</v>
      </c>
      <c r="N358">
        <f t="shared" si="63"/>
        <v>31.695873243015871</v>
      </c>
      <c r="O358">
        <f t="shared" si="64"/>
        <v>16.788022775202801</v>
      </c>
      <c r="P358" t="str" cm="1">
        <f t="array" ref="P358">IF($N358="","",IFERROR(IF(INDEX(geo_grid!$B$2:$JU$231,INT(($N358+40)/0.5)+1,INT(($O358+30)/0.5)+1)="","",INDEX(geo_grid!$B$2:$JU$231,INT(($N358+40)/0.5)+1,INT(($O358+30)/0.5)+1)),"OUTSIDE GRID"))</f>
        <v/>
      </c>
      <c r="Q358" t="str">
        <f t="shared" si="65"/>
        <v/>
      </c>
    </row>
    <row r="359" spans="1:17" x14ac:dyDescent="0.3">
      <c r="A359">
        <f t="shared" si="55"/>
        <v>3</v>
      </c>
      <c r="B359">
        <f t="shared" si="56"/>
        <v>55</v>
      </c>
      <c r="C359" cm="1">
        <f t="array" ref="C359">IFERROR(INDEX('TRIP MANAGER'!$O$18:$O$25,$A359),"")</f>
        <v>30.111529999999998</v>
      </c>
      <c r="D359" cm="1">
        <f t="array" ref="D359">IFERROR(INDEX('TRIP MANAGER'!$P$18:$P$25,$A359),"")</f>
        <v>31.39669</v>
      </c>
      <c r="E359" cm="1">
        <f t="array" ref="E359">IFERROR(INDEX('TRIP MANAGER'!$Q$18:$Q$25,$A359),"")</f>
        <v>30.322479999999999</v>
      </c>
      <c r="F359" cm="1">
        <f t="array" ref="F359">IFERROR(INDEX('TRIP MANAGER'!$R$18:$R$25,$A359),"")</f>
        <v>-9.4120000000000008</v>
      </c>
      <c r="G359" cm="1">
        <f t="array" ref="G359">IFERROR(INDEX('TRIP MANAGER'!$S$18:$S$25,$A359),"")</f>
        <v>0.61206181805380777</v>
      </c>
      <c r="H359">
        <f t="shared" si="57"/>
        <v>0.36666666666666664</v>
      </c>
      <c r="I359">
        <f t="shared" si="58"/>
        <v>0.65790567267591105</v>
      </c>
      <c r="J359">
        <f t="shared" si="59"/>
        <v>0.38733119815416206</v>
      </c>
      <c r="K359">
        <f t="shared" si="60"/>
        <v>0.81563372258469857</v>
      </c>
      <c r="L359">
        <f t="shared" si="61"/>
        <v>0.24181375098085064</v>
      </c>
      <c r="M359">
        <f t="shared" si="62"/>
        <v>0.52561177728357444</v>
      </c>
      <c r="N359">
        <f t="shared" si="63"/>
        <v>31.709436934742449</v>
      </c>
      <c r="O359">
        <f t="shared" si="64"/>
        <v>16.513692382398265</v>
      </c>
      <c r="P359" t="str" cm="1">
        <f t="array" ref="P359">IF($N359="","",IFERROR(IF(INDEX(geo_grid!$B$2:$JU$231,INT(($N359+40)/0.5)+1,INT(($O359+30)/0.5)+1)="","",INDEX(geo_grid!$B$2:$JU$231,INT(($N359+40)/0.5)+1,INT(($O359+30)/0.5)+1)),"OUTSIDE GRID"))</f>
        <v/>
      </c>
      <c r="Q359" t="str">
        <f t="shared" si="65"/>
        <v/>
      </c>
    </row>
    <row r="360" spans="1:17" x14ac:dyDescent="0.3">
      <c r="A360">
        <f t="shared" si="55"/>
        <v>3</v>
      </c>
      <c r="B360">
        <f t="shared" si="56"/>
        <v>56</v>
      </c>
      <c r="C360" cm="1">
        <f t="array" ref="C360">IFERROR(INDEX('TRIP MANAGER'!$O$18:$O$25,$A360),"")</f>
        <v>30.111529999999998</v>
      </c>
      <c r="D360" cm="1">
        <f t="array" ref="D360">IFERROR(INDEX('TRIP MANAGER'!$P$18:$P$25,$A360),"")</f>
        <v>31.39669</v>
      </c>
      <c r="E360" cm="1">
        <f t="array" ref="E360">IFERROR(INDEX('TRIP MANAGER'!$Q$18:$Q$25,$A360),"")</f>
        <v>30.322479999999999</v>
      </c>
      <c r="F360" cm="1">
        <f t="array" ref="F360">IFERROR(INDEX('TRIP MANAGER'!$R$18:$R$25,$A360),"")</f>
        <v>-9.4120000000000008</v>
      </c>
      <c r="G360" cm="1">
        <f t="array" ref="G360">IFERROR(INDEX('TRIP MANAGER'!$S$18:$S$25,$A360),"")</f>
        <v>0.61206181805380777</v>
      </c>
      <c r="H360">
        <f t="shared" si="57"/>
        <v>0.37333333333333335</v>
      </c>
      <c r="I360">
        <f t="shared" si="58"/>
        <v>0.65132529225441782</v>
      </c>
      <c r="J360">
        <f t="shared" si="59"/>
        <v>0.394251709815443</v>
      </c>
      <c r="K360">
        <f t="shared" si="60"/>
        <v>0.81666818109624439</v>
      </c>
      <c r="L360">
        <f t="shared" si="61"/>
        <v>0.23787135081310334</v>
      </c>
      <c r="M360">
        <f t="shared" si="62"/>
        <v>0.52580443365123986</v>
      </c>
      <c r="N360">
        <f t="shared" si="63"/>
        <v>31.722413131560486</v>
      </c>
      <c r="O360">
        <f t="shared" si="64"/>
        <v>16.239283468379444</v>
      </c>
      <c r="P360" t="str" cm="1">
        <f t="array" ref="P360">IF($N360="","",IFERROR(IF(INDEX(geo_grid!$B$2:$JU$231,INT(($N360+40)/0.5)+1,INT(($O360+30)/0.5)+1)="","",INDEX(geo_grid!$B$2:$JU$231,INT(($N360+40)/0.5)+1,INT(($O360+30)/0.5)+1)),"OUTSIDE GRID"))</f>
        <v/>
      </c>
      <c r="Q360" t="str">
        <f t="shared" si="65"/>
        <v/>
      </c>
    </row>
    <row r="361" spans="1:17" x14ac:dyDescent="0.3">
      <c r="A361">
        <f t="shared" si="55"/>
        <v>3</v>
      </c>
      <c r="B361">
        <f t="shared" si="56"/>
        <v>57</v>
      </c>
      <c r="C361" cm="1">
        <f t="array" ref="C361">IFERROR(INDEX('TRIP MANAGER'!$O$18:$O$25,$A361),"")</f>
        <v>30.111529999999998</v>
      </c>
      <c r="D361" cm="1">
        <f t="array" ref="D361">IFERROR(INDEX('TRIP MANAGER'!$P$18:$P$25,$A361),"")</f>
        <v>31.39669</v>
      </c>
      <c r="E361" cm="1">
        <f t="array" ref="E361">IFERROR(INDEX('TRIP MANAGER'!$Q$18:$Q$25,$A361),"")</f>
        <v>30.322479999999999</v>
      </c>
      <c r="F361" cm="1">
        <f t="array" ref="F361">IFERROR(INDEX('TRIP MANAGER'!$R$18:$R$25,$A361),"")</f>
        <v>-9.4120000000000008</v>
      </c>
      <c r="G361" cm="1">
        <f t="array" ref="G361">IFERROR(INDEX('TRIP MANAGER'!$S$18:$S$25,$A361),"")</f>
        <v>0.61206181805380777</v>
      </c>
      <c r="H361">
        <f t="shared" si="57"/>
        <v>0.38</v>
      </c>
      <c r="I361">
        <f t="shared" si="58"/>
        <v>0.64473406743617201</v>
      </c>
      <c r="J361">
        <f t="shared" si="59"/>
        <v>0.40116565728827241</v>
      </c>
      <c r="K361">
        <f t="shared" si="60"/>
        <v>0.81768904229493256</v>
      </c>
      <c r="L361">
        <f t="shared" si="61"/>
        <v>0.23392499014921847</v>
      </c>
      <c r="M361">
        <f t="shared" si="62"/>
        <v>0.52598833551180935</v>
      </c>
      <c r="N361">
        <f t="shared" si="63"/>
        <v>31.734801371311846</v>
      </c>
      <c r="O361">
        <f t="shared" si="64"/>
        <v>15.964799451818378</v>
      </c>
      <c r="P361" t="str" cm="1">
        <f t="array" ref="P361">IF($N361="","",IFERROR(IF(INDEX(geo_grid!$B$2:$JU$231,INT(($N361+40)/0.5)+1,INT(($O361+30)/0.5)+1)="","",INDEX(geo_grid!$B$2:$JU$231,INT(($N361+40)/0.5)+1,INT(($O361+30)/0.5)+1)),"OUTSIDE GRID"))</f>
        <v/>
      </c>
      <c r="Q361" t="str">
        <f t="shared" si="65"/>
        <v/>
      </c>
    </row>
    <row r="362" spans="1:17" x14ac:dyDescent="0.3">
      <c r="A362">
        <f t="shared" si="55"/>
        <v>3</v>
      </c>
      <c r="B362">
        <f t="shared" si="56"/>
        <v>58</v>
      </c>
      <c r="C362" cm="1">
        <f t="array" ref="C362">IFERROR(INDEX('TRIP MANAGER'!$O$18:$O$25,$A362),"")</f>
        <v>30.111529999999998</v>
      </c>
      <c r="D362" cm="1">
        <f t="array" ref="D362">IFERROR(INDEX('TRIP MANAGER'!$P$18:$P$25,$A362),"")</f>
        <v>31.39669</v>
      </c>
      <c r="E362" cm="1">
        <f t="array" ref="E362">IFERROR(INDEX('TRIP MANAGER'!$Q$18:$Q$25,$A362),"")</f>
        <v>30.322479999999999</v>
      </c>
      <c r="F362" cm="1">
        <f t="array" ref="F362">IFERROR(INDEX('TRIP MANAGER'!$R$18:$R$25,$A362),"")</f>
        <v>-9.4120000000000008</v>
      </c>
      <c r="G362" cm="1">
        <f t="array" ref="G362">IFERROR(INDEX('TRIP MANAGER'!$S$18:$S$25,$A362),"")</f>
        <v>0.61206181805380777</v>
      </c>
      <c r="H362">
        <f t="shared" si="57"/>
        <v>0.38666666666666666</v>
      </c>
      <c r="I362">
        <f t="shared" si="58"/>
        <v>0.63813210796335307</v>
      </c>
      <c r="J362">
        <f t="shared" si="59"/>
        <v>0.40807292545722273</v>
      </c>
      <c r="K362">
        <f t="shared" si="60"/>
        <v>0.81869628918368953</v>
      </c>
      <c r="L362">
        <f t="shared" si="61"/>
        <v>0.22997473469507501</v>
      </c>
      <c r="M362">
        <f t="shared" si="62"/>
        <v>0.52616347980336498</v>
      </c>
      <c r="N362">
        <f t="shared" si="63"/>
        <v>31.746601212424903</v>
      </c>
      <c r="O362">
        <f t="shared" si="64"/>
        <v>15.690243762044268</v>
      </c>
      <c r="P362" t="str" cm="1">
        <f t="array" ref="P362">IF($N362="","",IFERROR(IF(INDEX(geo_grid!$B$2:$JU$231,INT(($N362+40)/0.5)+1,INT(($O362+30)/0.5)+1)="","",INDEX(geo_grid!$B$2:$JU$231,INT(($N362+40)/0.5)+1,INT(($O362+30)/0.5)+1)),"OUTSIDE GRID"))</f>
        <v/>
      </c>
      <c r="Q362" t="str">
        <f t="shared" si="65"/>
        <v/>
      </c>
    </row>
    <row r="363" spans="1:17" x14ac:dyDescent="0.3">
      <c r="A363">
        <f t="shared" si="55"/>
        <v>3</v>
      </c>
      <c r="B363">
        <f t="shared" si="56"/>
        <v>59</v>
      </c>
      <c r="C363" cm="1">
        <f t="array" ref="C363">IFERROR(INDEX('TRIP MANAGER'!$O$18:$O$25,$A363),"")</f>
        <v>30.111529999999998</v>
      </c>
      <c r="D363" cm="1">
        <f t="array" ref="D363">IFERROR(INDEX('TRIP MANAGER'!$P$18:$P$25,$A363),"")</f>
        <v>31.39669</v>
      </c>
      <c r="E363" cm="1">
        <f t="array" ref="E363">IFERROR(INDEX('TRIP MANAGER'!$Q$18:$Q$25,$A363),"")</f>
        <v>30.322479999999999</v>
      </c>
      <c r="F363" cm="1">
        <f t="array" ref="F363">IFERROR(INDEX('TRIP MANAGER'!$R$18:$R$25,$A363),"")</f>
        <v>-9.4120000000000008</v>
      </c>
      <c r="G363" cm="1">
        <f t="array" ref="G363">IFERROR(INDEX('TRIP MANAGER'!$S$18:$S$25,$A363),"")</f>
        <v>0.61206181805380777</v>
      </c>
      <c r="H363">
        <f t="shared" si="57"/>
        <v>0.39333333333333331</v>
      </c>
      <c r="I363">
        <f t="shared" si="58"/>
        <v>0.63151952375686971</v>
      </c>
      <c r="J363">
        <f t="shared" si="59"/>
        <v>0.41497339931807514</v>
      </c>
      <c r="K363">
        <f t="shared" si="60"/>
        <v>0.81968990499211658</v>
      </c>
      <c r="L363">
        <f t="shared" si="61"/>
        <v>0.22602065022139894</v>
      </c>
      <c r="M363">
        <f t="shared" si="62"/>
        <v>0.52632986360979983</v>
      </c>
      <c r="N363">
        <f t="shared" si="63"/>
        <v>31.757812233979109</v>
      </c>
      <c r="O363">
        <f t="shared" si="64"/>
        <v>15.415619838568823</v>
      </c>
      <c r="P363" t="str" cm="1">
        <f t="array" ref="P363">IF($N363="","",IFERROR(IF(INDEX(geo_grid!$B$2:$JU$231,INT(($N363+40)/0.5)+1,INT(($O363+30)/0.5)+1)="","",INDEX(geo_grid!$B$2:$JU$231,INT(($N363+40)/0.5)+1,INT(($O363+30)/0.5)+1)),"OUTSIDE GRID"))</f>
        <v>LBY</v>
      </c>
      <c r="Q363">
        <f t="shared" si="65"/>
        <v>3059</v>
      </c>
    </row>
    <row r="364" spans="1:17" x14ac:dyDescent="0.3">
      <c r="A364">
        <f t="shared" si="55"/>
        <v>3</v>
      </c>
      <c r="B364">
        <f t="shared" si="56"/>
        <v>60</v>
      </c>
      <c r="C364" cm="1">
        <f t="array" ref="C364">IFERROR(INDEX('TRIP MANAGER'!$O$18:$O$25,$A364),"")</f>
        <v>30.111529999999998</v>
      </c>
      <c r="D364" cm="1">
        <f t="array" ref="D364">IFERROR(INDEX('TRIP MANAGER'!$P$18:$P$25,$A364),"")</f>
        <v>31.39669</v>
      </c>
      <c r="E364" cm="1">
        <f t="array" ref="E364">IFERROR(INDEX('TRIP MANAGER'!$Q$18:$Q$25,$A364),"")</f>
        <v>30.322479999999999</v>
      </c>
      <c r="F364" cm="1">
        <f t="array" ref="F364">IFERROR(INDEX('TRIP MANAGER'!$R$18:$R$25,$A364),"")</f>
        <v>-9.4120000000000008</v>
      </c>
      <c r="G364" cm="1">
        <f t="array" ref="G364">IFERROR(INDEX('TRIP MANAGER'!$S$18:$S$25,$A364),"")</f>
        <v>0.61206181805380777</v>
      </c>
      <c r="H364">
        <f t="shared" si="57"/>
        <v>0.4</v>
      </c>
      <c r="I364">
        <f t="shared" si="58"/>
        <v>0.62489642491452935</v>
      </c>
      <c r="J364">
        <f t="shared" si="59"/>
        <v>0.42186696397973422</v>
      </c>
      <c r="K364">
        <f t="shared" si="60"/>
        <v>0.82066987317676898</v>
      </c>
      <c r="L364">
        <f t="shared" si="61"/>
        <v>0.2220628025626688</v>
      </c>
      <c r="M364">
        <f t="shared" si="62"/>
        <v>0.52648748416086677</v>
      </c>
      <c r="N364">
        <f t="shared" si="63"/>
        <v>31.768434035766795</v>
      </c>
      <c r="O364">
        <f t="shared" si="64"/>
        <v>15.14093113060855</v>
      </c>
      <c r="P364" t="str" cm="1">
        <f t="array" ref="P364">IF($N364="","",IFERROR(IF(INDEX(geo_grid!$B$2:$JU$231,INT(($N364+40)/0.5)+1,INT(($O364+30)/0.5)+1)="","",INDEX(geo_grid!$B$2:$JU$231,INT(($N364+40)/0.5)+1,INT(($O364+30)/0.5)+1)),"OUTSIDE GRID"))</f>
        <v>LBY</v>
      </c>
      <c r="Q364">
        <f t="shared" si="65"/>
        <v>3060</v>
      </c>
    </row>
    <row r="365" spans="1:17" x14ac:dyDescent="0.3">
      <c r="A365">
        <f t="shared" si="55"/>
        <v>3</v>
      </c>
      <c r="B365">
        <f t="shared" si="56"/>
        <v>61</v>
      </c>
      <c r="C365" cm="1">
        <f t="array" ref="C365">IFERROR(INDEX('TRIP MANAGER'!$O$18:$O$25,$A365),"")</f>
        <v>30.111529999999998</v>
      </c>
      <c r="D365" cm="1">
        <f t="array" ref="D365">IFERROR(INDEX('TRIP MANAGER'!$P$18:$P$25,$A365),"")</f>
        <v>31.39669</v>
      </c>
      <c r="E365" cm="1">
        <f t="array" ref="E365">IFERROR(INDEX('TRIP MANAGER'!$Q$18:$Q$25,$A365),"")</f>
        <v>30.322479999999999</v>
      </c>
      <c r="F365" cm="1">
        <f t="array" ref="F365">IFERROR(INDEX('TRIP MANAGER'!$R$18:$R$25,$A365),"")</f>
        <v>-9.4120000000000008</v>
      </c>
      <c r="G365" cm="1">
        <f t="array" ref="G365">IFERROR(INDEX('TRIP MANAGER'!$S$18:$S$25,$A365),"")</f>
        <v>0.61206181805380777</v>
      </c>
      <c r="H365">
        <f t="shared" si="57"/>
        <v>0.40666666666666668</v>
      </c>
      <c r="I365">
        <f t="shared" si="58"/>
        <v>0.61826292170920538</v>
      </c>
      <c r="J365">
        <f t="shared" si="59"/>
        <v>0.42875350466614059</v>
      </c>
      <c r="K365">
        <f t="shared" si="60"/>
        <v>0.82163617742143102</v>
      </c>
      <c r="L365">
        <f t="shared" si="61"/>
        <v>0.21810125761601865</v>
      </c>
      <c r="M365">
        <f t="shared" si="62"/>
        <v>0.52663633883222438</v>
      </c>
      <c r="N365">
        <f t="shared" si="63"/>
        <v>31.778466238351868</v>
      </c>
      <c r="O365">
        <f t="shared" si="64"/>
        <v>14.866181096603952</v>
      </c>
      <c r="P365" t="str" cm="1">
        <f t="array" ref="P365">IF($N365="","",IFERROR(IF(INDEX(geo_grid!$B$2:$JU$231,INT(($N365+40)/0.5)+1,INT(($O365+30)/0.5)+1)="","",INDEX(geo_grid!$B$2:$JU$231,INT(($N365+40)/0.5)+1,INT(($O365+30)/0.5)+1)),"OUTSIDE GRID"))</f>
        <v>LBY</v>
      </c>
      <c r="Q365">
        <f t="shared" si="65"/>
        <v>3061</v>
      </c>
    </row>
    <row r="366" spans="1:17" x14ac:dyDescent="0.3">
      <c r="A366">
        <f t="shared" si="55"/>
        <v>3</v>
      </c>
      <c r="B366">
        <f t="shared" si="56"/>
        <v>62</v>
      </c>
      <c r="C366" cm="1">
        <f t="array" ref="C366">IFERROR(INDEX('TRIP MANAGER'!$O$18:$O$25,$A366),"")</f>
        <v>30.111529999999998</v>
      </c>
      <c r="D366" cm="1">
        <f t="array" ref="D366">IFERROR(INDEX('TRIP MANAGER'!$P$18:$P$25,$A366),"")</f>
        <v>31.39669</v>
      </c>
      <c r="E366" cm="1">
        <f t="array" ref="E366">IFERROR(INDEX('TRIP MANAGER'!$Q$18:$Q$25,$A366),"")</f>
        <v>30.322479999999999</v>
      </c>
      <c r="F366" cm="1">
        <f t="array" ref="F366">IFERROR(INDEX('TRIP MANAGER'!$R$18:$R$25,$A366),"")</f>
        <v>-9.4120000000000008</v>
      </c>
      <c r="G366" cm="1">
        <f t="array" ref="G366">IFERROR(INDEX('TRIP MANAGER'!$S$18:$S$25,$A366),"")</f>
        <v>0.61206181805380777</v>
      </c>
      <c r="H366">
        <f t="shared" si="57"/>
        <v>0.41333333333333333</v>
      </c>
      <c r="I366">
        <f t="shared" si="58"/>
        <v>0.61161912458700141</v>
      </c>
      <c r="J366">
        <f t="shared" si="59"/>
        <v>0.43563290671818289</v>
      </c>
      <c r="K366">
        <f t="shared" si="60"/>
        <v>0.82258880163738846</v>
      </c>
      <c r="L366">
        <f t="shared" si="61"/>
        <v>0.21413608134014198</v>
      </c>
      <c r="M366">
        <f t="shared" si="62"/>
        <v>0.5267764251454814</v>
      </c>
      <c r="N366">
        <f t="shared" si="63"/>
        <v>31.787908483125687</v>
      </c>
      <c r="O366">
        <f t="shared" si="64"/>
        <v>14.59137320373603</v>
      </c>
      <c r="P366" t="str" cm="1">
        <f t="array" ref="P366">IF($N366="","",IFERROR(IF(INDEX(geo_grid!$B$2:$JU$231,INT(($N366+40)/0.5)+1,INT(($O366+30)/0.5)+1)="","",INDEX(geo_grid!$B$2:$JU$231,INT(($N366+40)/0.5)+1,INT(($O366+30)/0.5)+1)),"OUTSIDE GRID"))</f>
        <v>LBY</v>
      </c>
      <c r="Q366">
        <f t="shared" si="65"/>
        <v>3062</v>
      </c>
    </row>
    <row r="367" spans="1:17" x14ac:dyDescent="0.3">
      <c r="A367">
        <f t="shared" si="55"/>
        <v>3</v>
      </c>
      <c r="B367">
        <f t="shared" si="56"/>
        <v>63</v>
      </c>
      <c r="C367" cm="1">
        <f t="array" ref="C367">IFERROR(INDEX('TRIP MANAGER'!$O$18:$O$25,$A367),"")</f>
        <v>30.111529999999998</v>
      </c>
      <c r="D367" cm="1">
        <f t="array" ref="D367">IFERROR(INDEX('TRIP MANAGER'!$P$18:$P$25,$A367),"")</f>
        <v>31.39669</v>
      </c>
      <c r="E367" cm="1">
        <f t="array" ref="E367">IFERROR(INDEX('TRIP MANAGER'!$Q$18:$Q$25,$A367),"")</f>
        <v>30.322479999999999</v>
      </c>
      <c r="F367" cm="1">
        <f t="array" ref="F367">IFERROR(INDEX('TRIP MANAGER'!$R$18:$R$25,$A367),"")</f>
        <v>-9.4120000000000008</v>
      </c>
      <c r="G367" cm="1">
        <f t="array" ref="G367">IFERROR(INDEX('TRIP MANAGER'!$S$18:$S$25,$A367),"")</f>
        <v>0.61206181805380777</v>
      </c>
      <c r="H367">
        <f t="shared" si="57"/>
        <v>0.42</v>
      </c>
      <c r="I367">
        <f t="shared" si="58"/>
        <v>0.60496514416541214</v>
      </c>
      <c r="J367">
        <f t="shared" si="59"/>
        <v>0.44250505559560549</v>
      </c>
      <c r="K367">
        <f t="shared" si="60"/>
        <v>0.82352772996369605</v>
      </c>
      <c r="L367">
        <f t="shared" si="61"/>
        <v>0.21016733975419277</v>
      </c>
      <c r="M367">
        <f t="shared" si="62"/>
        <v>0.5269077407682371</v>
      </c>
      <c r="N367">
        <f t="shared" si="63"/>
        <v>31.796760432359815</v>
      </c>
      <c r="O367">
        <f t="shared" si="64"/>
        <v>14.316510927439927</v>
      </c>
      <c r="P367" t="str" cm="1">
        <f t="array" ref="P367">IF($N367="","",IFERROR(IF(INDEX(geo_grid!$B$2:$JU$231,INT(($N367+40)/0.5)+1,INT(($O367+30)/0.5)+1)="","",INDEX(geo_grid!$B$2:$JU$231,INT(($N367+40)/0.5)+1,INT(($O367+30)/0.5)+1)),"OUTSIDE GRID"))</f>
        <v>LBY</v>
      </c>
      <c r="Q367">
        <f t="shared" si="65"/>
        <v>3063</v>
      </c>
    </row>
    <row r="368" spans="1:17" x14ac:dyDescent="0.3">
      <c r="A368">
        <f t="shared" si="55"/>
        <v>3</v>
      </c>
      <c r="B368">
        <f t="shared" si="56"/>
        <v>64</v>
      </c>
      <c r="C368" cm="1">
        <f t="array" ref="C368">IFERROR(INDEX('TRIP MANAGER'!$O$18:$O$25,$A368),"")</f>
        <v>30.111529999999998</v>
      </c>
      <c r="D368" cm="1">
        <f t="array" ref="D368">IFERROR(INDEX('TRIP MANAGER'!$P$18:$P$25,$A368),"")</f>
        <v>31.39669</v>
      </c>
      <c r="E368" cm="1">
        <f t="array" ref="E368">IFERROR(INDEX('TRIP MANAGER'!$Q$18:$Q$25,$A368),"")</f>
        <v>30.322479999999999</v>
      </c>
      <c r="F368" cm="1">
        <f t="array" ref="F368">IFERROR(INDEX('TRIP MANAGER'!$R$18:$R$25,$A368),"")</f>
        <v>-9.4120000000000008</v>
      </c>
      <c r="G368" cm="1">
        <f t="array" ref="G368">IFERROR(INDEX('TRIP MANAGER'!$S$18:$S$25,$A368),"")</f>
        <v>0.61206181805380777</v>
      </c>
      <c r="H368">
        <f t="shared" si="57"/>
        <v>0.42666666666666669</v>
      </c>
      <c r="I368">
        <f t="shared" si="58"/>
        <v>0.59830109123148068</v>
      </c>
      <c r="J368">
        <f t="shared" si="59"/>
        <v>0.44936983687891674</v>
      </c>
      <c r="K368">
        <f t="shared" si="60"/>
        <v>0.82445294676744052</v>
      </c>
      <c r="L368">
        <f t="shared" si="61"/>
        <v>0.20619509893668608</v>
      </c>
      <c r="M368">
        <f t="shared" si="62"/>
        <v>0.52703028351412018</v>
      </c>
      <c r="N368">
        <f t="shared" si="63"/>
        <v>31.805021769255838</v>
      </c>
      <c r="O368">
        <f t="shared" si="64"/>
        <v>14.041597750916127</v>
      </c>
      <c r="P368" t="str" cm="1">
        <f t="array" ref="P368">IF($N368="","",IFERROR(IF(INDEX(geo_grid!$B$2:$JU$231,INT(($N368+40)/0.5)+1,INT(($O368+30)/0.5)+1)="","",INDEX(geo_grid!$B$2:$JU$231,INT(($N368+40)/0.5)+1,INT(($O368+30)/0.5)+1)),"OUTSIDE GRID"))</f>
        <v>LBY</v>
      </c>
      <c r="Q368">
        <f t="shared" si="65"/>
        <v>3064</v>
      </c>
    </row>
    <row r="369" spans="1:17" x14ac:dyDescent="0.3">
      <c r="A369">
        <f t="shared" si="55"/>
        <v>3</v>
      </c>
      <c r="B369">
        <f t="shared" si="56"/>
        <v>65</v>
      </c>
      <c r="C369" cm="1">
        <f t="array" ref="C369">IFERROR(INDEX('TRIP MANAGER'!$O$18:$O$25,$A369),"")</f>
        <v>30.111529999999998</v>
      </c>
      <c r="D369" cm="1">
        <f t="array" ref="D369">IFERROR(INDEX('TRIP MANAGER'!$P$18:$P$25,$A369),"")</f>
        <v>31.39669</v>
      </c>
      <c r="E369" cm="1">
        <f t="array" ref="E369">IFERROR(INDEX('TRIP MANAGER'!$Q$18:$Q$25,$A369),"")</f>
        <v>30.322479999999999</v>
      </c>
      <c r="F369" cm="1">
        <f t="array" ref="F369">IFERROR(INDEX('TRIP MANAGER'!$R$18:$R$25,$A369),"")</f>
        <v>-9.4120000000000008</v>
      </c>
      <c r="G369" cm="1">
        <f t="array" ref="G369">IFERROR(INDEX('TRIP MANAGER'!$S$18:$S$25,$A369),"")</f>
        <v>0.61206181805380777</v>
      </c>
      <c r="H369">
        <f t="shared" si="57"/>
        <v>0.43333333333333335</v>
      </c>
      <c r="I369">
        <f t="shared" si="58"/>
        <v>0.59162707673995629</v>
      </c>
      <c r="J369">
        <f t="shared" si="59"/>
        <v>0.45622713627129319</v>
      </c>
      <c r="K369">
        <f t="shared" si="60"/>
        <v>0.82536443664400339</v>
      </c>
      <c r="L369">
        <f t="shared" si="61"/>
        <v>0.20221942502439896</v>
      </c>
      <c r="M369">
        <f t="shared" si="62"/>
        <v>0.52714405134282627</v>
      </c>
      <c r="N369">
        <f t="shared" si="63"/>
        <v>31.812692197992089</v>
      </c>
      <c r="O369">
        <f t="shared" si="64"/>
        <v>13.766637164639249</v>
      </c>
      <c r="P369" t="str" cm="1">
        <f t="array" ref="P369">IF($N369="","",IFERROR(IF(INDEX(geo_grid!$B$2:$JU$231,INT(($N369+40)/0.5)+1,INT(($O369+30)/0.5)+1)="","",INDEX(geo_grid!$B$2:$JU$231,INT(($N369+40)/0.5)+1,INT(($O369+30)/0.5)+1)),"OUTSIDE GRID"))</f>
        <v>LBY</v>
      </c>
      <c r="Q369">
        <f t="shared" si="65"/>
        <v>3065</v>
      </c>
    </row>
    <row r="370" spans="1:17" x14ac:dyDescent="0.3">
      <c r="A370">
        <f t="shared" si="55"/>
        <v>3</v>
      </c>
      <c r="B370">
        <f t="shared" si="56"/>
        <v>66</v>
      </c>
      <c r="C370" cm="1">
        <f t="array" ref="C370">IFERROR(INDEX('TRIP MANAGER'!$O$18:$O$25,$A370),"")</f>
        <v>30.111529999999998</v>
      </c>
      <c r="D370" cm="1">
        <f t="array" ref="D370">IFERROR(INDEX('TRIP MANAGER'!$P$18:$P$25,$A370),"")</f>
        <v>31.39669</v>
      </c>
      <c r="E370" cm="1">
        <f t="array" ref="E370">IFERROR(INDEX('TRIP MANAGER'!$Q$18:$Q$25,$A370),"")</f>
        <v>30.322479999999999</v>
      </c>
      <c r="F370" cm="1">
        <f t="array" ref="F370">IFERROR(INDEX('TRIP MANAGER'!$R$18:$R$25,$A370),"")</f>
        <v>-9.4120000000000008</v>
      </c>
      <c r="G370" cm="1">
        <f t="array" ref="G370">IFERROR(INDEX('TRIP MANAGER'!$S$18:$S$25,$A370),"")</f>
        <v>0.61206181805380777</v>
      </c>
      <c r="H370">
        <f t="shared" si="57"/>
        <v>0.44</v>
      </c>
      <c r="I370">
        <f t="shared" si="58"/>
        <v>0.58494321181144449</v>
      </c>
      <c r="J370">
        <f t="shared" si="59"/>
        <v>0.46307683960048307</v>
      </c>
      <c r="K370">
        <f t="shared" si="60"/>
        <v>0.82626218441731492</v>
      </c>
      <c r="L370">
        <f t="shared" si="61"/>
        <v>0.19824038421126811</v>
      </c>
      <c r="M370">
        <f t="shared" si="62"/>
        <v>0.52724904236015013</v>
      </c>
      <c r="N370">
        <f t="shared" si="63"/>
        <v>31.819771443767387</v>
      </c>
      <c r="O370">
        <f t="shared" si="64"/>
        <v>13.491632665864502</v>
      </c>
      <c r="P370" t="str" cm="1">
        <f t="array" ref="P370">IF($N370="","",IFERROR(IF(INDEX(geo_grid!$B$2:$JU$231,INT(($N370+40)/0.5)+1,INT(($O370+30)/0.5)+1)="","",INDEX(geo_grid!$B$2:$JU$231,INT(($N370+40)/0.5)+1,INT(($O370+30)/0.5)+1)),"OUTSIDE GRID"))</f>
        <v>LBY</v>
      </c>
      <c r="Q370">
        <f t="shared" si="65"/>
        <v>3066</v>
      </c>
    </row>
    <row r="371" spans="1:17" x14ac:dyDescent="0.3">
      <c r="A371">
        <f t="shared" si="55"/>
        <v>3</v>
      </c>
      <c r="B371">
        <f t="shared" si="56"/>
        <v>67</v>
      </c>
      <c r="C371" cm="1">
        <f t="array" ref="C371">IFERROR(INDEX('TRIP MANAGER'!$O$18:$O$25,$A371),"")</f>
        <v>30.111529999999998</v>
      </c>
      <c r="D371" cm="1">
        <f t="array" ref="D371">IFERROR(INDEX('TRIP MANAGER'!$P$18:$P$25,$A371),"")</f>
        <v>31.39669</v>
      </c>
      <c r="E371" cm="1">
        <f t="array" ref="E371">IFERROR(INDEX('TRIP MANAGER'!$Q$18:$Q$25,$A371),"")</f>
        <v>30.322479999999999</v>
      </c>
      <c r="F371" cm="1">
        <f t="array" ref="F371">IFERROR(INDEX('TRIP MANAGER'!$R$18:$R$25,$A371),"")</f>
        <v>-9.4120000000000008</v>
      </c>
      <c r="G371" cm="1">
        <f t="array" ref="G371">IFERROR(INDEX('TRIP MANAGER'!$S$18:$S$25,$A371),"")</f>
        <v>0.61206181805380777</v>
      </c>
      <c r="H371">
        <f t="shared" si="57"/>
        <v>0.44666666666666666</v>
      </c>
      <c r="I371">
        <f t="shared" si="58"/>
        <v>0.57824960773055845</v>
      </c>
      <c r="J371">
        <f t="shared" si="59"/>
        <v>0.46991883282070723</v>
      </c>
      <c r="K371">
        <f t="shared" si="60"/>
        <v>0.82714617514010857</v>
      </c>
      <c r="L371">
        <f t="shared" si="61"/>
        <v>0.19425804274728847</v>
      </c>
      <c r="M371">
        <f t="shared" si="62"/>
        <v>0.52734525481801908</v>
      </c>
      <c r="N371">
        <f t="shared" si="63"/>
        <v>31.826259252841695</v>
      </c>
      <c r="O371">
        <f t="shared" si="64"/>
        <v>13.21658775813213</v>
      </c>
      <c r="P371" t="str" cm="1">
        <f t="array" ref="P371">IF($N371="","",IFERROR(IF(INDEX(geo_grid!$B$2:$JU$231,INT(($N371+40)/0.5)+1,INT(($O371+30)/0.5)+1)="","",INDEX(geo_grid!$B$2:$JU$231,INT(($N371+40)/0.5)+1,INT(($O371+30)/0.5)+1)),"OUTSIDE GRID"))</f>
        <v>LBY</v>
      </c>
      <c r="Q371">
        <f t="shared" si="65"/>
        <v>3067</v>
      </c>
    </row>
    <row r="372" spans="1:17" x14ac:dyDescent="0.3">
      <c r="A372">
        <f t="shared" si="55"/>
        <v>3</v>
      </c>
      <c r="B372">
        <f t="shared" si="56"/>
        <v>68</v>
      </c>
      <c r="C372" cm="1">
        <f t="array" ref="C372">IFERROR(INDEX('TRIP MANAGER'!$O$18:$O$25,$A372),"")</f>
        <v>30.111529999999998</v>
      </c>
      <c r="D372" cm="1">
        <f t="array" ref="D372">IFERROR(INDEX('TRIP MANAGER'!$P$18:$P$25,$A372),"")</f>
        <v>31.39669</v>
      </c>
      <c r="E372" cm="1">
        <f t="array" ref="E372">IFERROR(INDEX('TRIP MANAGER'!$Q$18:$Q$25,$A372),"")</f>
        <v>30.322479999999999</v>
      </c>
      <c r="F372" cm="1">
        <f t="array" ref="F372">IFERROR(INDEX('TRIP MANAGER'!$R$18:$R$25,$A372),"")</f>
        <v>-9.4120000000000008</v>
      </c>
      <c r="G372" cm="1">
        <f t="array" ref="G372">IFERROR(INDEX('TRIP MANAGER'!$S$18:$S$25,$A372),"")</f>
        <v>0.61206181805380777</v>
      </c>
      <c r="H372">
        <f t="shared" si="57"/>
        <v>0.45333333333333331</v>
      </c>
      <c r="I372">
        <f t="shared" si="58"/>
        <v>0.57154637594406532</v>
      </c>
      <c r="J372">
        <f t="shared" si="59"/>
        <v>0.47675300201455756</v>
      </c>
      <c r="K372">
        <f t="shared" si="60"/>
        <v>0.82801639409416794</v>
      </c>
      <c r="L372">
        <f t="shared" si="61"/>
        <v>0.19027246693740982</v>
      </c>
      <c r="M372">
        <f t="shared" si="62"/>
        <v>0.5274326871145204</v>
      </c>
      <c r="N372">
        <f t="shared" si="63"/>
        <v>31.832155392573664</v>
      </c>
      <c r="O372">
        <f t="shared" si="64"/>
        <v>12.941505950769855</v>
      </c>
      <c r="P372" t="str" cm="1">
        <f t="array" ref="P372">IF($N372="","",IFERROR(IF(INDEX(geo_grid!$B$2:$JU$231,INT(($N372+40)/0.5)+1,INT(($O372+30)/0.5)+1)="","",INDEX(geo_grid!$B$2:$JU$231,INT(($N372+40)/0.5)+1,INT(($O372+30)/0.5)+1)),"OUTSIDE GRID"))</f>
        <v>LBY</v>
      </c>
      <c r="Q372">
        <f t="shared" si="65"/>
        <v>3068</v>
      </c>
    </row>
    <row r="373" spans="1:17" x14ac:dyDescent="0.3">
      <c r="A373">
        <f t="shared" si="55"/>
        <v>3</v>
      </c>
      <c r="B373">
        <f t="shared" si="56"/>
        <v>69</v>
      </c>
      <c r="C373" cm="1">
        <f t="array" ref="C373">IFERROR(INDEX('TRIP MANAGER'!$O$18:$O$25,$A373),"")</f>
        <v>30.111529999999998</v>
      </c>
      <c r="D373" cm="1">
        <f t="array" ref="D373">IFERROR(INDEX('TRIP MANAGER'!$P$18:$P$25,$A373),"")</f>
        <v>31.39669</v>
      </c>
      <c r="E373" cm="1">
        <f t="array" ref="E373">IFERROR(INDEX('TRIP MANAGER'!$Q$18:$Q$25,$A373),"")</f>
        <v>30.322479999999999</v>
      </c>
      <c r="F373" cm="1">
        <f t="array" ref="F373">IFERROR(INDEX('TRIP MANAGER'!$R$18:$R$25,$A373),"")</f>
        <v>-9.4120000000000008</v>
      </c>
      <c r="G373" cm="1">
        <f t="array" ref="G373">IFERROR(INDEX('TRIP MANAGER'!$S$18:$S$25,$A373),"")</f>
        <v>0.61206181805380777</v>
      </c>
      <c r="H373">
        <f t="shared" si="57"/>
        <v>0.46</v>
      </c>
      <c r="I373">
        <f t="shared" si="58"/>
        <v>0.56483362805903159</v>
      </c>
      <c r="J373">
        <f t="shared" si="59"/>
        <v>0.48357923339489406</v>
      </c>
      <c r="K373">
        <f t="shared" si="60"/>
        <v>0.82887282679057428</v>
      </c>
      <c r="L373">
        <f t="shared" si="61"/>
        <v>0.18628372314043312</v>
      </c>
      <c r="M373">
        <f t="shared" si="62"/>
        <v>0.52751133779392922</v>
      </c>
      <c r="N373">
        <f t="shared" si="63"/>
        <v>31.837459651455092</v>
      </c>
      <c r="O373">
        <f t="shared" si="64"/>
        <v>12.666390758393522</v>
      </c>
      <c r="P373" t="str" cm="1">
        <f t="array" ref="P373">IF($N373="","",IFERROR(IF(INDEX(geo_grid!$B$2:$JU$231,INT(($N373+40)/0.5)+1,INT(($O373+30)/0.5)+1)="","",INDEX(geo_grid!$B$2:$JU$231,INT(($N373+40)/0.5)+1,INT(($O373+30)/0.5)+1)),"OUTSIDE GRID"))</f>
        <v>LBY</v>
      </c>
      <c r="Q373">
        <f t="shared" si="65"/>
        <v>3069</v>
      </c>
    </row>
    <row r="374" spans="1:17" x14ac:dyDescent="0.3">
      <c r="A374">
        <f t="shared" si="55"/>
        <v>3</v>
      </c>
      <c r="B374">
        <f t="shared" si="56"/>
        <v>70</v>
      </c>
      <c r="C374" cm="1">
        <f t="array" ref="C374">IFERROR(INDEX('TRIP MANAGER'!$O$18:$O$25,$A374),"")</f>
        <v>30.111529999999998</v>
      </c>
      <c r="D374" cm="1">
        <f t="array" ref="D374">IFERROR(INDEX('TRIP MANAGER'!$P$18:$P$25,$A374),"")</f>
        <v>31.39669</v>
      </c>
      <c r="E374" cm="1">
        <f t="array" ref="E374">IFERROR(INDEX('TRIP MANAGER'!$Q$18:$Q$25,$A374),"")</f>
        <v>30.322479999999999</v>
      </c>
      <c r="F374" cm="1">
        <f t="array" ref="F374">IFERROR(INDEX('TRIP MANAGER'!$R$18:$R$25,$A374),"")</f>
        <v>-9.4120000000000008</v>
      </c>
      <c r="G374" cm="1">
        <f t="array" ref="G374">IFERROR(INDEX('TRIP MANAGER'!$S$18:$S$25,$A374),"")</f>
        <v>0.61206181805380777</v>
      </c>
      <c r="H374">
        <f t="shared" si="57"/>
        <v>0.46666666666666667</v>
      </c>
      <c r="I374">
        <f t="shared" si="58"/>
        <v>0.55811147584096388</v>
      </c>
      <c r="J374">
        <f t="shared" si="59"/>
        <v>0.49039741330673919</v>
      </c>
      <c r="K374">
        <f t="shared" si="60"/>
        <v>0.82971545896994559</v>
      </c>
      <c r="L374">
        <f t="shared" si="61"/>
        <v>0.18229187776790529</v>
      </c>
      <c r="M374">
        <f t="shared" si="62"/>
        <v>0.52758120554673205</v>
      </c>
      <c r="N374">
        <f t="shared" si="63"/>
        <v>31.842171839142306</v>
      </c>
      <c r="O374">
        <f t="shared" si="64"/>
        <v>12.391245700406099</v>
      </c>
      <c r="P374" t="str" cm="1">
        <f t="array" ref="P374">IF($N374="","",IFERROR(IF(INDEX(geo_grid!$B$2:$JU$231,INT(($N374+40)/0.5)+1,INT(($O374+30)/0.5)+1)="","",INDEX(geo_grid!$B$2:$JU$231,INT(($N374+40)/0.5)+1,INT(($O374+30)/0.5)+1)),"OUTSIDE GRID"))</f>
        <v>LBY</v>
      </c>
      <c r="Q374">
        <f t="shared" si="65"/>
        <v>3070</v>
      </c>
    </row>
    <row r="375" spans="1:17" x14ac:dyDescent="0.3">
      <c r="A375">
        <f t="shared" si="55"/>
        <v>3</v>
      </c>
      <c r="B375">
        <f t="shared" si="56"/>
        <v>71</v>
      </c>
      <c r="C375" cm="1">
        <f t="array" ref="C375">IFERROR(INDEX('TRIP MANAGER'!$O$18:$O$25,$A375),"")</f>
        <v>30.111529999999998</v>
      </c>
      <c r="D375" cm="1">
        <f t="array" ref="D375">IFERROR(INDEX('TRIP MANAGER'!$P$18:$P$25,$A375),"")</f>
        <v>31.39669</v>
      </c>
      <c r="E375" cm="1">
        <f t="array" ref="E375">IFERROR(INDEX('TRIP MANAGER'!$Q$18:$Q$25,$A375),"")</f>
        <v>30.322479999999999</v>
      </c>
      <c r="F375" cm="1">
        <f t="array" ref="F375">IFERROR(INDEX('TRIP MANAGER'!$R$18:$R$25,$A375),"")</f>
        <v>-9.4120000000000008</v>
      </c>
      <c r="G375" cm="1">
        <f t="array" ref="G375">IFERROR(INDEX('TRIP MANAGER'!$S$18:$S$25,$A375),"")</f>
        <v>0.61206181805380777</v>
      </c>
      <c r="H375">
        <f t="shared" si="57"/>
        <v>0.47333333333333333</v>
      </c>
      <c r="I375">
        <f t="shared" si="58"/>
        <v>0.55138003121194878</v>
      </c>
      <c r="J375">
        <f t="shared" si="59"/>
        <v>0.49720742822917058</v>
      </c>
      <c r="K375">
        <f t="shared" si="60"/>
        <v>0.8305442766026756</v>
      </c>
      <c r="L375">
        <f t="shared" si="61"/>
        <v>0.17829699728301385</v>
      </c>
      <c r="M375">
        <f t="shared" si="62"/>
        <v>0.52764228920964928</v>
      </c>
      <c r="N375">
        <f t="shared" si="63"/>
        <v>31.846291786484414</v>
      </c>
      <c r="O375">
        <f t="shared" si="64"/>
        <v>12.116074300495189</v>
      </c>
      <c r="P375" t="str" cm="1">
        <f t="array" ref="P375">IF($N375="","",IFERROR(IF(INDEX(geo_grid!$B$2:$JU$231,INT(($N375+40)/0.5)+1,INT(($O375+30)/0.5)+1)="","",INDEX(geo_grid!$B$2:$JU$231,INT(($N375+40)/0.5)+1,INT(($O375+30)/0.5)+1)),"OUTSIDE GRID"))</f>
        <v>LBY</v>
      </c>
      <c r="Q375">
        <f t="shared" si="65"/>
        <v>3071</v>
      </c>
    </row>
    <row r="376" spans="1:17" x14ac:dyDescent="0.3">
      <c r="A376">
        <f t="shared" si="55"/>
        <v>3</v>
      </c>
      <c r="B376">
        <f t="shared" si="56"/>
        <v>72</v>
      </c>
      <c r="C376" cm="1">
        <f t="array" ref="C376">IFERROR(INDEX('TRIP MANAGER'!$O$18:$O$25,$A376),"")</f>
        <v>30.111529999999998</v>
      </c>
      <c r="D376" cm="1">
        <f t="array" ref="D376">IFERROR(INDEX('TRIP MANAGER'!$P$18:$P$25,$A376),"")</f>
        <v>31.39669</v>
      </c>
      <c r="E376" cm="1">
        <f t="array" ref="E376">IFERROR(INDEX('TRIP MANAGER'!$Q$18:$Q$25,$A376),"")</f>
        <v>30.322479999999999</v>
      </c>
      <c r="F376" cm="1">
        <f t="array" ref="F376">IFERROR(INDEX('TRIP MANAGER'!$R$18:$R$25,$A376),"")</f>
        <v>-9.4120000000000008</v>
      </c>
      <c r="G376" cm="1">
        <f t="array" ref="G376">IFERROR(INDEX('TRIP MANAGER'!$S$18:$S$25,$A376),"")</f>
        <v>0.61206181805380777</v>
      </c>
      <c r="H376">
        <f t="shared" si="57"/>
        <v>0.48</v>
      </c>
      <c r="I376">
        <f t="shared" si="58"/>
        <v>0.54463940624878882</v>
      </c>
      <c r="J376">
        <f t="shared" si="59"/>
        <v>0.50400916477721025</v>
      </c>
      <c r="K376">
        <f t="shared" si="60"/>
        <v>0.83135926588916575</v>
      </c>
      <c r="L376">
        <f t="shared" si="61"/>
        <v>0.17429914819948009</v>
      </c>
      <c r="M376">
        <f t="shared" si="62"/>
        <v>0.52769458776565337</v>
      </c>
      <c r="N376">
        <f t="shared" si="63"/>
        <v>31.849819345548418</v>
      </c>
      <c r="O376">
        <f t="shared" si="64"/>
        <v>11.840880086129228</v>
      </c>
      <c r="P376" t="str" cm="1">
        <f t="array" ref="P376">IF($N376="","",IFERROR(IF(INDEX(geo_grid!$B$2:$JU$231,INT(($N376+40)/0.5)+1,INT(($O376+30)/0.5)+1)="","",INDEX(geo_grid!$B$2:$JU$231,INT(($N376+40)/0.5)+1,INT(($O376+30)/0.5)+1)),"OUTSIDE GRID"))</f>
        <v>LBY</v>
      </c>
      <c r="Q376">
        <f t="shared" si="65"/>
        <v>3072</v>
      </c>
    </row>
    <row r="377" spans="1:17" x14ac:dyDescent="0.3">
      <c r="A377">
        <f t="shared" si="55"/>
        <v>3</v>
      </c>
      <c r="B377">
        <f t="shared" si="56"/>
        <v>73</v>
      </c>
      <c r="C377" cm="1">
        <f t="array" ref="C377">IFERROR(INDEX('TRIP MANAGER'!$O$18:$O$25,$A377),"")</f>
        <v>30.111529999999998</v>
      </c>
      <c r="D377" cm="1">
        <f t="array" ref="D377">IFERROR(INDEX('TRIP MANAGER'!$P$18:$P$25,$A377),"")</f>
        <v>31.39669</v>
      </c>
      <c r="E377" cm="1">
        <f t="array" ref="E377">IFERROR(INDEX('TRIP MANAGER'!$Q$18:$Q$25,$A377),"")</f>
        <v>30.322479999999999</v>
      </c>
      <c r="F377" cm="1">
        <f t="array" ref="F377">IFERROR(INDEX('TRIP MANAGER'!$R$18:$R$25,$A377),"")</f>
        <v>-9.4120000000000008</v>
      </c>
      <c r="G377" cm="1">
        <f t="array" ref="G377">IFERROR(INDEX('TRIP MANAGER'!$S$18:$S$25,$A377),"")</f>
        <v>0.61206181805380777</v>
      </c>
      <c r="H377">
        <f t="shared" si="57"/>
        <v>0.48666666666666669</v>
      </c>
      <c r="I377">
        <f t="shared" si="58"/>
        <v>0.5378897131811371</v>
      </c>
      <c r="J377">
        <f t="shared" si="59"/>
        <v>0.51080250970371366</v>
      </c>
      <c r="K377">
        <f t="shared" si="60"/>
        <v>0.83216041326005663</v>
      </c>
      <c r="L377">
        <f t="shared" si="61"/>
        <v>0.17029839708045169</v>
      </c>
      <c r="M377">
        <f t="shared" si="62"/>
        <v>0.52773810034398716</v>
      </c>
      <c r="N377">
        <f t="shared" si="63"/>
        <v>31.852754389641156</v>
      </c>
      <c r="O377">
        <f t="shared" si="64"/>
        <v>11.565666588052437</v>
      </c>
      <c r="P377" t="str" cm="1">
        <f t="array" ref="P377">IF($N377="","",IFERROR(IF(INDEX(geo_grid!$B$2:$JU$231,INT(($N377+40)/0.5)+1,INT(($O377+30)/0.5)+1)="","",INDEX(geo_grid!$B$2:$JU$231,INT(($N377+40)/0.5)+1,INT(($O377+30)/0.5)+1)),"OUTSIDE GRID"))</f>
        <v>LBY</v>
      </c>
      <c r="Q377">
        <f t="shared" si="65"/>
        <v>3073</v>
      </c>
    </row>
    <row r="378" spans="1:17" x14ac:dyDescent="0.3">
      <c r="A378">
        <f t="shared" si="55"/>
        <v>3</v>
      </c>
      <c r="B378">
        <f t="shared" si="56"/>
        <v>74</v>
      </c>
      <c r="C378" cm="1">
        <f t="array" ref="C378">IFERROR(INDEX('TRIP MANAGER'!$O$18:$O$25,$A378),"")</f>
        <v>30.111529999999998</v>
      </c>
      <c r="D378" cm="1">
        <f t="array" ref="D378">IFERROR(INDEX('TRIP MANAGER'!$P$18:$P$25,$A378),"")</f>
        <v>31.39669</v>
      </c>
      <c r="E378" cm="1">
        <f t="array" ref="E378">IFERROR(INDEX('TRIP MANAGER'!$Q$18:$Q$25,$A378),"")</f>
        <v>30.322479999999999</v>
      </c>
      <c r="F378" cm="1">
        <f t="array" ref="F378">IFERROR(INDEX('TRIP MANAGER'!$R$18:$R$25,$A378),"")</f>
        <v>-9.4120000000000008</v>
      </c>
      <c r="G378" cm="1">
        <f t="array" ref="G378">IFERROR(INDEX('TRIP MANAGER'!$S$18:$S$25,$A378),"")</f>
        <v>0.61206181805380777</v>
      </c>
      <c r="H378">
        <f t="shared" si="57"/>
        <v>0.49333333333333335</v>
      </c>
      <c r="I378">
        <f t="shared" si="58"/>
        <v>0.53113106438962787</v>
      </c>
      <c r="J378">
        <f t="shared" si="59"/>
        <v>0.51758734990125399</v>
      </c>
      <c r="K378">
        <f t="shared" si="60"/>
        <v>0.8329477053764528</v>
      </c>
      <c r="L378">
        <f t="shared" si="61"/>
        <v>0.16629481053739445</v>
      </c>
      <c r="M378">
        <f t="shared" si="62"/>
        <v>0.52777282622017774</v>
      </c>
      <c r="N378">
        <f t="shared" si="63"/>
        <v>31.855096813328213</v>
      </c>
      <c r="O378">
        <f t="shared" si="64"/>
        <v>11.290437339778821</v>
      </c>
      <c r="P378" t="str" cm="1">
        <f t="array" ref="P378">IF($N378="","",IFERROR(IF(INDEX(geo_grid!$B$2:$JU$231,INT(($N378+40)/0.5)+1,INT(($O378+30)/0.5)+1)="","",INDEX(geo_grid!$B$2:$JU$231,INT(($N378+40)/0.5)+1,INT(($O378+30)/0.5)+1)),"OUTSIDE GRID"))</f>
        <v>LBY</v>
      </c>
      <c r="Q378">
        <f t="shared" si="65"/>
        <v>3074</v>
      </c>
    </row>
    <row r="379" spans="1:17" x14ac:dyDescent="0.3">
      <c r="A379">
        <f t="shared" si="55"/>
        <v>3</v>
      </c>
      <c r="B379">
        <f t="shared" si="56"/>
        <v>75</v>
      </c>
      <c r="C379" cm="1">
        <f t="array" ref="C379">IFERROR(INDEX('TRIP MANAGER'!$O$18:$O$25,$A379),"")</f>
        <v>30.111529999999998</v>
      </c>
      <c r="D379" cm="1">
        <f t="array" ref="D379">IFERROR(INDEX('TRIP MANAGER'!$P$18:$P$25,$A379),"")</f>
        <v>31.39669</v>
      </c>
      <c r="E379" cm="1">
        <f t="array" ref="E379">IFERROR(INDEX('TRIP MANAGER'!$Q$18:$Q$25,$A379),"")</f>
        <v>30.322479999999999</v>
      </c>
      <c r="F379" cm="1">
        <f t="array" ref="F379">IFERROR(INDEX('TRIP MANAGER'!$R$18:$R$25,$A379),"")</f>
        <v>-9.4120000000000008</v>
      </c>
      <c r="G379" cm="1">
        <f t="array" ref="G379">IFERROR(INDEX('TRIP MANAGER'!$S$18:$S$25,$A379),"")</f>
        <v>0.61206181805380777</v>
      </c>
      <c r="H379">
        <f t="shared" si="57"/>
        <v>0.5</v>
      </c>
      <c r="I379">
        <f t="shared" si="58"/>
        <v>0.52436357240400622</v>
      </c>
      <c r="J379">
        <f t="shared" si="59"/>
        <v>0.52436357240400622</v>
      </c>
      <c r="K379">
        <f t="shared" si="60"/>
        <v>0.83372112913014507</v>
      </c>
      <c r="L379">
        <f t="shared" si="61"/>
        <v>0.16228845522898327</v>
      </c>
      <c r="M379">
        <f t="shared" si="62"/>
        <v>0.52779876481604793</v>
      </c>
      <c r="N379">
        <f t="shared" si="63"/>
        <v>31.856846532449509</v>
      </c>
      <c r="O379">
        <f t="shared" si="64"/>
        <v>11.015195877085263</v>
      </c>
      <c r="P379" t="str" cm="1">
        <f t="array" ref="P379">IF($N379="","",IFERROR(IF(INDEX(geo_grid!$B$2:$JU$231,INT(($N379+40)/0.5)+1,INT(($O379+30)/0.5)+1)="","",INDEX(geo_grid!$B$2:$JU$231,INT(($N379+40)/0.5)+1,INT(($O379+30)/0.5)+1)),"OUTSIDE GRID"))</f>
        <v>LBY</v>
      </c>
      <c r="Q379">
        <f t="shared" si="65"/>
        <v>3075</v>
      </c>
    </row>
    <row r="380" spans="1:17" x14ac:dyDescent="0.3">
      <c r="A380">
        <f t="shared" si="55"/>
        <v>3</v>
      </c>
      <c r="B380">
        <f t="shared" si="56"/>
        <v>76</v>
      </c>
      <c r="C380" cm="1">
        <f t="array" ref="C380">IFERROR(INDEX('TRIP MANAGER'!$O$18:$O$25,$A380),"")</f>
        <v>30.111529999999998</v>
      </c>
      <c r="D380" cm="1">
        <f t="array" ref="D380">IFERROR(INDEX('TRIP MANAGER'!$P$18:$P$25,$A380),"")</f>
        <v>31.39669</v>
      </c>
      <c r="E380" cm="1">
        <f t="array" ref="E380">IFERROR(INDEX('TRIP MANAGER'!$Q$18:$Q$25,$A380),"")</f>
        <v>30.322479999999999</v>
      </c>
      <c r="F380" cm="1">
        <f t="array" ref="F380">IFERROR(INDEX('TRIP MANAGER'!$R$18:$R$25,$A380),"")</f>
        <v>-9.4120000000000008</v>
      </c>
      <c r="G380" cm="1">
        <f t="array" ref="G380">IFERROR(INDEX('TRIP MANAGER'!$S$18:$S$25,$A380),"")</f>
        <v>0.61206181805380777</v>
      </c>
      <c r="H380">
        <f t="shared" si="57"/>
        <v>0.50666666666666671</v>
      </c>
      <c r="I380">
        <f t="shared" si="58"/>
        <v>0.51758734990125388</v>
      </c>
      <c r="J380">
        <f t="shared" si="59"/>
        <v>0.53113106438962798</v>
      </c>
      <c r="K380">
        <f t="shared" si="60"/>
        <v>0.83448067164382933</v>
      </c>
      <c r="L380">
        <f t="shared" si="61"/>
        <v>0.15827939785999226</v>
      </c>
      <c r="M380">
        <f t="shared" si="62"/>
        <v>0.52781591569972719</v>
      </c>
      <c r="N380">
        <f t="shared" si="63"/>
        <v>31.858003484131871</v>
      </c>
      <c r="O380">
        <f t="shared" si="64"/>
        <v>10.739945737503914</v>
      </c>
      <c r="P380" t="str" cm="1">
        <f t="array" ref="P380">IF($N380="","",IFERROR(IF(INDEX(geo_grid!$B$2:$JU$231,INT(($N380+40)/0.5)+1,INT(($O380+30)/0.5)+1)="","",INDEX(geo_grid!$B$2:$JU$231,INT(($N380+40)/0.5)+1,INT(($O380+30)/0.5)+1)),"OUTSIDE GRID"))</f>
        <v>LBY</v>
      </c>
      <c r="Q380">
        <f t="shared" si="65"/>
        <v>3076</v>
      </c>
    </row>
    <row r="381" spans="1:17" x14ac:dyDescent="0.3">
      <c r="A381">
        <f t="shared" si="55"/>
        <v>3</v>
      </c>
      <c r="B381">
        <f t="shared" si="56"/>
        <v>77</v>
      </c>
      <c r="C381" cm="1">
        <f t="array" ref="C381">IFERROR(INDEX('TRIP MANAGER'!$O$18:$O$25,$A381),"")</f>
        <v>30.111529999999998</v>
      </c>
      <c r="D381" cm="1">
        <f t="array" ref="D381">IFERROR(INDEX('TRIP MANAGER'!$P$18:$P$25,$A381),"")</f>
        <v>31.39669</v>
      </c>
      <c r="E381" cm="1">
        <f t="array" ref="E381">IFERROR(INDEX('TRIP MANAGER'!$Q$18:$Q$25,$A381),"")</f>
        <v>30.322479999999999</v>
      </c>
      <c r="F381" cm="1">
        <f t="array" ref="F381">IFERROR(INDEX('TRIP MANAGER'!$R$18:$R$25,$A381),"")</f>
        <v>-9.4120000000000008</v>
      </c>
      <c r="G381" cm="1">
        <f t="array" ref="G381">IFERROR(INDEX('TRIP MANAGER'!$S$18:$S$25,$A381),"")</f>
        <v>0.61206181805380777</v>
      </c>
      <c r="H381">
        <f t="shared" si="57"/>
        <v>0.51333333333333331</v>
      </c>
      <c r="I381">
        <f t="shared" si="58"/>
        <v>0.51080250970371366</v>
      </c>
      <c r="J381">
        <f t="shared" si="59"/>
        <v>0.5378897131811371</v>
      </c>
      <c r="K381">
        <f t="shared" si="60"/>
        <v>0.83522632027132016</v>
      </c>
      <c r="L381">
        <f t="shared" si="61"/>
        <v>0.15426770518018423</v>
      </c>
      <c r="M381">
        <f t="shared" si="62"/>
        <v>0.52782427858565761</v>
      </c>
      <c r="N381">
        <f t="shared" si="63"/>
        <v>31.85856762679839</v>
      </c>
      <c r="O381">
        <f t="shared" si="64"/>
        <v>10.464690459814063</v>
      </c>
      <c r="P381" t="str" cm="1">
        <f t="array" ref="P381">IF($N381="","",IFERROR(IF(INDEX(geo_grid!$B$2:$JU$231,INT(($N381+40)/0.5)+1,INT(($O381+30)/0.5)+1)="","",INDEX(geo_grid!$B$2:$JU$231,INT(($N381+40)/0.5)+1,INT(($O381+30)/0.5)+1)),"OUTSIDE GRID"))</f>
        <v>TUN</v>
      </c>
      <c r="Q381">
        <f t="shared" si="65"/>
        <v>3077</v>
      </c>
    </row>
    <row r="382" spans="1:17" x14ac:dyDescent="0.3">
      <c r="A382">
        <f t="shared" si="55"/>
        <v>3</v>
      </c>
      <c r="B382">
        <f t="shared" si="56"/>
        <v>78</v>
      </c>
      <c r="C382" cm="1">
        <f t="array" ref="C382">IFERROR(INDEX('TRIP MANAGER'!$O$18:$O$25,$A382),"")</f>
        <v>30.111529999999998</v>
      </c>
      <c r="D382" cm="1">
        <f t="array" ref="D382">IFERROR(INDEX('TRIP MANAGER'!$P$18:$P$25,$A382),"")</f>
        <v>31.39669</v>
      </c>
      <c r="E382" cm="1">
        <f t="array" ref="E382">IFERROR(INDEX('TRIP MANAGER'!$Q$18:$Q$25,$A382),"")</f>
        <v>30.322479999999999</v>
      </c>
      <c r="F382" cm="1">
        <f t="array" ref="F382">IFERROR(INDEX('TRIP MANAGER'!$R$18:$R$25,$A382),"")</f>
        <v>-9.4120000000000008</v>
      </c>
      <c r="G382" cm="1">
        <f t="array" ref="G382">IFERROR(INDEX('TRIP MANAGER'!$S$18:$S$25,$A382),"")</f>
        <v>0.61206181805380777</v>
      </c>
      <c r="H382">
        <f t="shared" si="57"/>
        <v>0.52</v>
      </c>
      <c r="I382">
        <f t="shared" si="58"/>
        <v>0.50400916477721025</v>
      </c>
      <c r="J382">
        <f t="shared" si="59"/>
        <v>0.54463940624878882</v>
      </c>
      <c r="K382">
        <f t="shared" si="60"/>
        <v>0.8359580625977614</v>
      </c>
      <c r="L382">
        <f t="shared" si="61"/>
        <v>0.15025344398319901</v>
      </c>
      <c r="M382">
        <f t="shared" si="62"/>
        <v>0.52782385333459914</v>
      </c>
      <c r="N382">
        <f t="shared" si="63"/>
        <v>31.85853894017459</v>
      </c>
      <c r="O382">
        <f t="shared" si="64"/>
        <v>10.189433583533557</v>
      </c>
      <c r="P382" t="str" cm="1">
        <f t="array" ref="P382">IF($N382="","",IFERROR(IF(INDEX(geo_grid!$B$2:$JU$231,INT(($N382+40)/0.5)+1,INT(($O382+30)/0.5)+1)="","",INDEX(geo_grid!$B$2:$JU$231,INT(($N382+40)/0.5)+1,INT(($O382+30)/0.5)+1)),"OUTSIDE GRID"))</f>
        <v>TUN</v>
      </c>
      <c r="Q382">
        <f t="shared" si="65"/>
        <v>3078</v>
      </c>
    </row>
    <row r="383" spans="1:17" x14ac:dyDescent="0.3">
      <c r="A383">
        <f t="shared" si="55"/>
        <v>3</v>
      </c>
      <c r="B383">
        <f t="shared" si="56"/>
        <v>79</v>
      </c>
      <c r="C383" cm="1">
        <f t="array" ref="C383">IFERROR(INDEX('TRIP MANAGER'!$O$18:$O$25,$A383),"")</f>
        <v>30.111529999999998</v>
      </c>
      <c r="D383" cm="1">
        <f t="array" ref="D383">IFERROR(INDEX('TRIP MANAGER'!$P$18:$P$25,$A383),"")</f>
        <v>31.39669</v>
      </c>
      <c r="E383" cm="1">
        <f t="array" ref="E383">IFERROR(INDEX('TRIP MANAGER'!$Q$18:$Q$25,$A383),"")</f>
        <v>30.322479999999999</v>
      </c>
      <c r="F383" cm="1">
        <f t="array" ref="F383">IFERROR(INDEX('TRIP MANAGER'!$R$18:$R$25,$A383),"")</f>
        <v>-9.4120000000000008</v>
      </c>
      <c r="G383" cm="1">
        <f t="array" ref="G383">IFERROR(INDEX('TRIP MANAGER'!$S$18:$S$25,$A383),"")</f>
        <v>0.61206181805380777</v>
      </c>
      <c r="H383">
        <f t="shared" si="57"/>
        <v>0.52666666666666662</v>
      </c>
      <c r="I383">
        <f t="shared" si="58"/>
        <v>0.49720742822917058</v>
      </c>
      <c r="J383">
        <f t="shared" si="59"/>
        <v>0.55138003121194878</v>
      </c>
      <c r="K383">
        <f t="shared" si="60"/>
        <v>0.83667588643983437</v>
      </c>
      <c r="L383">
        <f t="shared" si="61"/>
        <v>0.14623668110544177</v>
      </c>
      <c r="M383">
        <f t="shared" si="62"/>
        <v>0.52781463995363254</v>
      </c>
      <c r="N383">
        <f t="shared" si="63"/>
        <v>31.857917425291422</v>
      </c>
      <c r="O383">
        <f t="shared" si="64"/>
        <v>9.9141786484100454</v>
      </c>
      <c r="P383" t="str" cm="1">
        <f t="array" ref="P383">IF($N383="","",IFERROR(IF(INDEX(geo_grid!$B$2:$JU$231,INT(($N383+40)/0.5)+1,INT(($O383+30)/0.5)+1)="","",INDEX(geo_grid!$B$2:$JU$231,INT(($N383+40)/0.5)+1,INT(($O383+30)/0.5)+1)),"OUTSIDE GRID"))</f>
        <v>TUN</v>
      </c>
      <c r="Q383">
        <f t="shared" si="65"/>
        <v>3079</v>
      </c>
    </row>
    <row r="384" spans="1:17" x14ac:dyDescent="0.3">
      <c r="A384">
        <f t="shared" si="55"/>
        <v>3</v>
      </c>
      <c r="B384">
        <f t="shared" si="56"/>
        <v>80</v>
      </c>
      <c r="C384" cm="1">
        <f t="array" ref="C384">IFERROR(INDEX('TRIP MANAGER'!$O$18:$O$25,$A384),"")</f>
        <v>30.111529999999998</v>
      </c>
      <c r="D384" cm="1">
        <f t="array" ref="D384">IFERROR(INDEX('TRIP MANAGER'!$P$18:$P$25,$A384),"")</f>
        <v>31.39669</v>
      </c>
      <c r="E384" cm="1">
        <f t="array" ref="E384">IFERROR(INDEX('TRIP MANAGER'!$Q$18:$Q$25,$A384),"")</f>
        <v>30.322479999999999</v>
      </c>
      <c r="F384" cm="1">
        <f t="array" ref="F384">IFERROR(INDEX('TRIP MANAGER'!$R$18:$R$25,$A384),"")</f>
        <v>-9.4120000000000008</v>
      </c>
      <c r="G384" cm="1">
        <f t="array" ref="G384">IFERROR(INDEX('TRIP MANAGER'!$S$18:$S$25,$A384),"")</f>
        <v>0.61206181805380777</v>
      </c>
      <c r="H384">
        <f t="shared" si="57"/>
        <v>0.53333333333333333</v>
      </c>
      <c r="I384">
        <f t="shared" si="58"/>
        <v>0.49039741330673919</v>
      </c>
      <c r="J384">
        <f t="shared" si="59"/>
        <v>0.55811147584096388</v>
      </c>
      <c r="K384">
        <f t="shared" si="60"/>
        <v>0.83737977984595791</v>
      </c>
      <c r="L384">
        <f t="shared" si="61"/>
        <v>0.14221748342496993</v>
      </c>
      <c r="M384">
        <f t="shared" si="62"/>
        <v>0.52779663859615777</v>
      </c>
      <c r="N384">
        <f t="shared" si="63"/>
        <v>31.856703104485192</v>
      </c>
      <c r="O384">
        <f t="shared" si="64"/>
        <v>9.6389291939121478</v>
      </c>
      <c r="P384" t="str" cm="1">
        <f t="array" ref="P384">IF($N384="","",IFERROR(IF(INDEX(geo_grid!$B$2:$JU$231,INT(($N384+40)/0.5)+1,INT(($O384+30)/0.5)+1)="","",INDEX(geo_grid!$B$2:$JU$231,INT(($N384+40)/0.5)+1,INT(($O384+30)/0.5)+1)),"OUTSIDE GRID"))</f>
        <v>TUN</v>
      </c>
      <c r="Q384">
        <f t="shared" si="65"/>
        <v>3080</v>
      </c>
    </row>
    <row r="385" spans="1:17" x14ac:dyDescent="0.3">
      <c r="A385">
        <f t="shared" si="55"/>
        <v>3</v>
      </c>
      <c r="B385">
        <f t="shared" si="56"/>
        <v>81</v>
      </c>
      <c r="C385" cm="1">
        <f t="array" ref="C385">IFERROR(INDEX('TRIP MANAGER'!$O$18:$O$25,$A385),"")</f>
        <v>30.111529999999998</v>
      </c>
      <c r="D385" cm="1">
        <f t="array" ref="D385">IFERROR(INDEX('TRIP MANAGER'!$P$18:$P$25,$A385),"")</f>
        <v>31.39669</v>
      </c>
      <c r="E385" cm="1">
        <f t="array" ref="E385">IFERROR(INDEX('TRIP MANAGER'!$Q$18:$Q$25,$A385),"")</f>
        <v>30.322479999999999</v>
      </c>
      <c r="F385" cm="1">
        <f t="array" ref="F385">IFERROR(INDEX('TRIP MANAGER'!$R$18:$R$25,$A385),"")</f>
        <v>-9.4120000000000008</v>
      </c>
      <c r="G385" cm="1">
        <f t="array" ref="G385">IFERROR(INDEX('TRIP MANAGER'!$S$18:$S$25,$A385),"")</f>
        <v>0.61206181805380777</v>
      </c>
      <c r="H385">
        <f t="shared" si="57"/>
        <v>0.54</v>
      </c>
      <c r="I385">
        <f t="shared" si="58"/>
        <v>0.48357923339489406</v>
      </c>
      <c r="J385">
        <f t="shared" si="59"/>
        <v>0.56483362805903159</v>
      </c>
      <c r="K385">
        <f t="shared" si="60"/>
        <v>0.83806973109649041</v>
      </c>
      <c r="L385">
        <f t="shared" si="61"/>
        <v>0.13819591786037977</v>
      </c>
      <c r="M385">
        <f t="shared" si="62"/>
        <v>0.52776984956189299</v>
      </c>
      <c r="N385">
        <f t="shared" si="63"/>
        <v>31.854896021394126</v>
      </c>
      <c r="O385">
        <f t="shared" si="64"/>
        <v>9.363688758720663</v>
      </c>
      <c r="P385" t="str" cm="1">
        <f t="array" ref="P385">IF($N385="","",IFERROR(IF(INDEX(geo_grid!$B$2:$JU$231,INT(($N385+40)/0.5)+1,INT(($O385+30)/0.5)+1)="","",INDEX(geo_grid!$B$2:$JU$231,INT(($N385+40)/0.5)+1,INT(($O385+30)/0.5)+1)),"OUTSIDE GRID"))</f>
        <v>TUN</v>
      </c>
      <c r="Q385">
        <f t="shared" si="65"/>
        <v>3081</v>
      </c>
    </row>
    <row r="386" spans="1:17" x14ac:dyDescent="0.3">
      <c r="A386">
        <f t="shared" si="55"/>
        <v>3</v>
      </c>
      <c r="B386">
        <f t="shared" si="56"/>
        <v>82</v>
      </c>
      <c r="C386" cm="1">
        <f t="array" ref="C386">IFERROR(INDEX('TRIP MANAGER'!$O$18:$O$25,$A386),"")</f>
        <v>30.111529999999998</v>
      </c>
      <c r="D386" cm="1">
        <f t="array" ref="D386">IFERROR(INDEX('TRIP MANAGER'!$P$18:$P$25,$A386),"")</f>
        <v>31.39669</v>
      </c>
      <c r="E386" cm="1">
        <f t="array" ref="E386">IFERROR(INDEX('TRIP MANAGER'!$Q$18:$Q$25,$A386),"")</f>
        <v>30.322479999999999</v>
      </c>
      <c r="F386" cm="1">
        <f t="array" ref="F386">IFERROR(INDEX('TRIP MANAGER'!$R$18:$R$25,$A386),"")</f>
        <v>-9.4120000000000008</v>
      </c>
      <c r="G386" cm="1">
        <f t="array" ref="G386">IFERROR(INDEX('TRIP MANAGER'!$S$18:$S$25,$A386),"")</f>
        <v>0.61206181805380777</v>
      </c>
      <c r="H386">
        <f t="shared" si="57"/>
        <v>0.54666666666666663</v>
      </c>
      <c r="I386">
        <f t="shared" si="58"/>
        <v>0.47675300201455756</v>
      </c>
      <c r="J386">
        <f t="shared" si="59"/>
        <v>0.57154637594406532</v>
      </c>
      <c r="K386">
        <f t="shared" si="60"/>
        <v>0.83874572870392283</v>
      </c>
      <c r="L386">
        <f t="shared" si="61"/>
        <v>0.13417205136969218</v>
      </c>
      <c r="M386">
        <f t="shared" si="62"/>
        <v>0.52773427329686862</v>
      </c>
      <c r="N386">
        <f t="shared" si="63"/>
        <v>31.852496240951965</v>
      </c>
      <c r="O386">
        <f t="shared" si="64"/>
        <v>9.0884608802200777</v>
      </c>
      <c r="P386" t="str" cm="1">
        <f t="array" ref="P386">IF($N386="","",IFERROR(IF(INDEX(geo_grid!$B$2:$JU$231,INT(($N386+40)/0.5)+1,INT(($O386+30)/0.5)+1)="","",INDEX(geo_grid!$B$2:$JU$231,INT(($N386+40)/0.5)+1,INT(($O386+30)/0.5)+1)),"OUTSIDE GRID"))</f>
        <v>TUN</v>
      </c>
      <c r="Q386">
        <f t="shared" si="65"/>
        <v>3082</v>
      </c>
    </row>
    <row r="387" spans="1:17" x14ac:dyDescent="0.3">
      <c r="A387">
        <f t="shared" ref="A387:A450" si="66">INT((ROW()-2)/151)+1</f>
        <v>3</v>
      </c>
      <c r="B387">
        <f t="shared" ref="B387:B450" si="67">MOD(ROW()-2,151)</f>
        <v>83</v>
      </c>
      <c r="C387" cm="1">
        <f t="array" ref="C387">IFERROR(INDEX('TRIP MANAGER'!$O$18:$O$25,$A387),"")</f>
        <v>30.111529999999998</v>
      </c>
      <c r="D387" cm="1">
        <f t="array" ref="D387">IFERROR(INDEX('TRIP MANAGER'!$P$18:$P$25,$A387),"")</f>
        <v>31.39669</v>
      </c>
      <c r="E387" cm="1">
        <f t="array" ref="E387">IFERROR(INDEX('TRIP MANAGER'!$Q$18:$Q$25,$A387),"")</f>
        <v>30.322479999999999</v>
      </c>
      <c r="F387" cm="1">
        <f t="array" ref="F387">IFERROR(INDEX('TRIP MANAGER'!$R$18:$R$25,$A387),"")</f>
        <v>-9.4120000000000008</v>
      </c>
      <c r="G387" cm="1">
        <f t="array" ref="G387">IFERROR(INDEX('TRIP MANAGER'!$S$18:$S$25,$A387),"")</f>
        <v>0.61206181805380777</v>
      </c>
      <c r="H387">
        <f t="shared" ref="H387:H450" si="68">$B387/150</f>
        <v>0.55333333333333334</v>
      </c>
      <c r="I387">
        <f t="shared" ref="I387:I450" si="69">IF(OR($G387="",$G387=0),"",SIN((1-$H387)*$G387)/SIN($G387))</f>
        <v>0.46991883282070723</v>
      </c>
      <c r="J387">
        <f t="shared" ref="J387:J450" si="70">IF($I387="","",SIN($H387*$G387)/SIN($G387))</f>
        <v>0.57824960773055845</v>
      </c>
      <c r="K387">
        <f t="shared" ref="K387:K450" si="71">IF($I387="","",$I387*COS(RADIANS($C387))*COS(RADIANS($D387))+$J387*COS(RADIANS($E387))*COS(RADIANS($F387)))</f>
        <v>0.83940776141307061</v>
      </c>
      <c r="L387">
        <f t="shared" ref="L387:L450" si="72">IF($I387="","",$I387*COS(RADIANS($C387))*SIN(RADIANS($D387))+$J387*COS(RADIANS($E387))*SIN(RADIANS($F387)))</f>
        <v>0.13014595094923792</v>
      </c>
      <c r="M387">
        <f t="shared" ref="M387:M450" si="73">IF($I387="","",$I387*SIN(RADIANS($C387))+$J387*SIN(RADIANS($E387)))</f>
        <v>0.52768991039342017</v>
      </c>
      <c r="N387">
        <f t="shared" ref="N387:N450" si="74">IF($M387="","",DEGREES(ATAN2(SQRT($K387^2+$L387^2),$M387)))</f>
        <v>31.849503849378284</v>
      </c>
      <c r="O387">
        <f t="shared" ref="O387:O450" si="75">IF($M387="","",DEGREES(ATAN2($K387,$L387)))</f>
        <v>8.81324909399045</v>
      </c>
      <c r="P387" t="str" cm="1">
        <f t="array" ref="P387">IF($N387="","",IFERROR(IF(INDEX(geo_grid!$B$2:$JU$231,INT(($N387+40)/0.5)+1,INT(($O387+30)/0.5)+1)="","",INDEX(geo_grid!$B$2:$JU$231,INT(($N387+40)/0.5)+1,INT(($O387+30)/0.5)+1)),"OUTSIDE GRID"))</f>
        <v>DZA</v>
      </c>
      <c r="Q387">
        <f t="shared" ref="Q387:Q450" si="76">IF($P387="","",$A387*1000+$B387)</f>
        <v>3083</v>
      </c>
    </row>
    <row r="388" spans="1:17" x14ac:dyDescent="0.3">
      <c r="A388">
        <f t="shared" si="66"/>
        <v>3</v>
      </c>
      <c r="B388">
        <f t="shared" si="67"/>
        <v>84</v>
      </c>
      <c r="C388" cm="1">
        <f t="array" ref="C388">IFERROR(INDEX('TRIP MANAGER'!$O$18:$O$25,$A388),"")</f>
        <v>30.111529999999998</v>
      </c>
      <c r="D388" cm="1">
        <f t="array" ref="D388">IFERROR(INDEX('TRIP MANAGER'!$P$18:$P$25,$A388),"")</f>
        <v>31.39669</v>
      </c>
      <c r="E388" cm="1">
        <f t="array" ref="E388">IFERROR(INDEX('TRIP MANAGER'!$Q$18:$Q$25,$A388),"")</f>
        <v>30.322479999999999</v>
      </c>
      <c r="F388" cm="1">
        <f t="array" ref="F388">IFERROR(INDEX('TRIP MANAGER'!$R$18:$R$25,$A388),"")</f>
        <v>-9.4120000000000008</v>
      </c>
      <c r="G388" cm="1">
        <f t="array" ref="G388">IFERROR(INDEX('TRIP MANAGER'!$S$18:$S$25,$A388),"")</f>
        <v>0.61206181805380777</v>
      </c>
      <c r="H388">
        <f t="shared" si="68"/>
        <v>0.56000000000000005</v>
      </c>
      <c r="I388">
        <f t="shared" si="69"/>
        <v>0.46307683960048307</v>
      </c>
      <c r="J388">
        <f t="shared" si="70"/>
        <v>0.58494321181144449</v>
      </c>
      <c r="K388">
        <f t="shared" si="71"/>
        <v>0.84005581820126141</v>
      </c>
      <c r="L388">
        <f t="shared" si="72"/>
        <v>0.12611768363254217</v>
      </c>
      <c r="M388">
        <f t="shared" si="73"/>
        <v>0.52763676159017847</v>
      </c>
      <c r="N388">
        <f t="shared" si="74"/>
        <v>31.845918954165629</v>
      </c>
      <c r="O388">
        <f t="shared" si="75"/>
        <v>8.5380569332998792</v>
      </c>
      <c r="P388" t="str" cm="1">
        <f t="array" ref="P388">IF($N388="","",IFERROR(IF(INDEX(geo_grid!$B$2:$JU$231,INT(($N388+40)/0.5)+1,INT(($O388+30)/0.5)+1)="","",INDEX(geo_grid!$B$2:$JU$231,INT(($N388+40)/0.5)+1,INT(($O388+30)/0.5)+1)),"OUTSIDE GRID"))</f>
        <v>DZA</v>
      </c>
      <c r="Q388">
        <f t="shared" si="76"/>
        <v>3084</v>
      </c>
    </row>
    <row r="389" spans="1:17" x14ac:dyDescent="0.3">
      <c r="A389">
        <f t="shared" si="66"/>
        <v>3</v>
      </c>
      <c r="B389">
        <f t="shared" si="67"/>
        <v>85</v>
      </c>
      <c r="C389" cm="1">
        <f t="array" ref="C389">IFERROR(INDEX('TRIP MANAGER'!$O$18:$O$25,$A389),"")</f>
        <v>30.111529999999998</v>
      </c>
      <c r="D389" cm="1">
        <f t="array" ref="D389">IFERROR(INDEX('TRIP MANAGER'!$P$18:$P$25,$A389),"")</f>
        <v>31.39669</v>
      </c>
      <c r="E389" cm="1">
        <f t="array" ref="E389">IFERROR(INDEX('TRIP MANAGER'!$Q$18:$Q$25,$A389),"")</f>
        <v>30.322479999999999</v>
      </c>
      <c r="F389" cm="1">
        <f t="array" ref="F389">IFERROR(INDEX('TRIP MANAGER'!$R$18:$R$25,$A389),"")</f>
        <v>-9.4120000000000008</v>
      </c>
      <c r="G389" cm="1">
        <f t="array" ref="G389">IFERROR(INDEX('TRIP MANAGER'!$S$18:$S$25,$A389),"")</f>
        <v>0.61206181805380777</v>
      </c>
      <c r="H389">
        <f t="shared" si="68"/>
        <v>0.56666666666666665</v>
      </c>
      <c r="I389">
        <f t="shared" si="69"/>
        <v>0.45622713627129319</v>
      </c>
      <c r="J389">
        <f t="shared" si="70"/>
        <v>0.59162707673995629</v>
      </c>
      <c r="K389">
        <f t="shared" si="71"/>
        <v>0.84068988827851843</v>
      </c>
      <c r="L389">
        <f t="shared" si="72"/>
        <v>0.12208731648920824</v>
      </c>
      <c r="M389">
        <f t="shared" si="73"/>
        <v>0.52757482777205722</v>
      </c>
      <c r="N389">
        <f t="shared" si="74"/>
        <v>31.84174168406356</v>
      </c>
      <c r="O389">
        <f t="shared" si="75"/>
        <v>8.2628879285976637</v>
      </c>
      <c r="P389" t="str" cm="1">
        <f t="array" ref="P389">IF($N389="","",IFERROR(IF(INDEX(geo_grid!$B$2:$JU$231,INT(($N389+40)/0.5)+1,INT(($O389+30)/0.5)+1)="","",INDEX(geo_grid!$B$2:$JU$231,INT(($N389+40)/0.5)+1,INT(($O389+30)/0.5)+1)),"OUTSIDE GRID"))</f>
        <v>DZA</v>
      </c>
      <c r="Q389">
        <f t="shared" si="76"/>
        <v>3085</v>
      </c>
    </row>
    <row r="390" spans="1:17" x14ac:dyDescent="0.3">
      <c r="A390">
        <f t="shared" si="66"/>
        <v>3</v>
      </c>
      <c r="B390">
        <f t="shared" si="67"/>
        <v>86</v>
      </c>
      <c r="C390" cm="1">
        <f t="array" ref="C390">IFERROR(INDEX('TRIP MANAGER'!$O$18:$O$25,$A390),"")</f>
        <v>30.111529999999998</v>
      </c>
      <c r="D390" cm="1">
        <f t="array" ref="D390">IFERROR(INDEX('TRIP MANAGER'!$P$18:$P$25,$A390),"")</f>
        <v>31.39669</v>
      </c>
      <c r="E390" cm="1">
        <f t="array" ref="E390">IFERROR(INDEX('TRIP MANAGER'!$Q$18:$Q$25,$A390),"")</f>
        <v>30.322479999999999</v>
      </c>
      <c r="F390" cm="1">
        <f t="array" ref="F390">IFERROR(INDEX('TRIP MANAGER'!$R$18:$R$25,$A390),"")</f>
        <v>-9.4120000000000008</v>
      </c>
      <c r="G390" cm="1">
        <f t="array" ref="G390">IFERROR(INDEX('TRIP MANAGER'!$S$18:$S$25,$A390),"")</f>
        <v>0.61206181805380777</v>
      </c>
      <c r="H390">
        <f t="shared" si="68"/>
        <v>0.57333333333333336</v>
      </c>
      <c r="I390">
        <f t="shared" si="69"/>
        <v>0.44936983687891663</v>
      </c>
      <c r="J390">
        <f t="shared" si="70"/>
        <v>0.59830109123148079</v>
      </c>
      <c r="K390">
        <f t="shared" si="71"/>
        <v>0.84130996108773948</v>
      </c>
      <c r="L390">
        <f t="shared" si="72"/>
        <v>0.11805491662380097</v>
      </c>
      <c r="M390">
        <f t="shared" si="73"/>
        <v>0.52750410997023844</v>
      </c>
      <c r="N390">
        <f t="shared" si="74"/>
        <v>31.836972189059534</v>
      </c>
      <c r="O390">
        <f t="shared" si="75"/>
        <v>7.987745607008379</v>
      </c>
      <c r="P390" t="str" cm="1">
        <f t="array" ref="P390">IF($N390="","",IFERROR(IF(INDEX(geo_grid!$B$2:$JU$231,INT(($N390+40)/0.5)+1,INT(($O390+30)/0.5)+1)="","",INDEX(geo_grid!$B$2:$JU$231,INT(($N390+40)/0.5)+1,INT(($O390+30)/0.5)+1)),"OUTSIDE GRID"))</f>
        <v>DZA</v>
      </c>
      <c r="Q390">
        <f t="shared" si="76"/>
        <v>3086</v>
      </c>
    </row>
    <row r="391" spans="1:17" x14ac:dyDescent="0.3">
      <c r="A391">
        <f t="shared" si="66"/>
        <v>3</v>
      </c>
      <c r="B391">
        <f t="shared" si="67"/>
        <v>87</v>
      </c>
      <c r="C391" cm="1">
        <f t="array" ref="C391">IFERROR(INDEX('TRIP MANAGER'!$O$18:$O$25,$A391),"")</f>
        <v>30.111529999999998</v>
      </c>
      <c r="D391" cm="1">
        <f t="array" ref="D391">IFERROR(INDEX('TRIP MANAGER'!$P$18:$P$25,$A391),"")</f>
        <v>31.39669</v>
      </c>
      <c r="E391" cm="1">
        <f t="array" ref="E391">IFERROR(INDEX('TRIP MANAGER'!$Q$18:$Q$25,$A391),"")</f>
        <v>30.322479999999999</v>
      </c>
      <c r="F391" cm="1">
        <f t="array" ref="F391">IFERROR(INDEX('TRIP MANAGER'!$R$18:$R$25,$A391),"")</f>
        <v>-9.4120000000000008</v>
      </c>
      <c r="G391" cm="1">
        <f t="array" ref="G391">IFERROR(INDEX('TRIP MANAGER'!$S$18:$S$25,$A391),"")</f>
        <v>0.61206181805380777</v>
      </c>
      <c r="H391">
        <f t="shared" si="68"/>
        <v>0.57999999999999996</v>
      </c>
      <c r="I391">
        <f t="shared" si="69"/>
        <v>0.44250505559560555</v>
      </c>
      <c r="J391">
        <f t="shared" si="70"/>
        <v>0.60496514416541192</v>
      </c>
      <c r="K391">
        <f t="shared" si="71"/>
        <v>0.8419160263048735</v>
      </c>
      <c r="L391">
        <f t="shared" si="72"/>
        <v>0.11402055117472971</v>
      </c>
      <c r="M391">
        <f t="shared" si="73"/>
        <v>0.52742460936215529</v>
      </c>
      <c r="N391">
        <f t="shared" si="74"/>
        <v>31.83161064035659</v>
      </c>
      <c r="O391">
        <f t="shared" si="75"/>
        <v>7.7126334918269803</v>
      </c>
      <c r="P391" t="str" cm="1">
        <f t="array" ref="P391">IF($N391="","",IFERROR(IF(INDEX(geo_grid!$B$2:$JU$231,INT(($N391+40)/0.5)+1,INT(($O391+30)/0.5)+1)="","",INDEX(geo_grid!$B$2:$JU$231,INT(($N391+40)/0.5)+1,INT(($O391+30)/0.5)+1)),"OUTSIDE GRID"))</f>
        <v>DZA</v>
      </c>
      <c r="Q391">
        <f t="shared" si="76"/>
        <v>3087</v>
      </c>
    </row>
    <row r="392" spans="1:17" x14ac:dyDescent="0.3">
      <c r="A392">
        <f t="shared" si="66"/>
        <v>3</v>
      </c>
      <c r="B392">
        <f t="shared" si="67"/>
        <v>88</v>
      </c>
      <c r="C392" cm="1">
        <f t="array" ref="C392">IFERROR(INDEX('TRIP MANAGER'!$O$18:$O$25,$A392),"")</f>
        <v>30.111529999999998</v>
      </c>
      <c r="D392" cm="1">
        <f t="array" ref="D392">IFERROR(INDEX('TRIP MANAGER'!$P$18:$P$25,$A392),"")</f>
        <v>31.39669</v>
      </c>
      <c r="E392" cm="1">
        <f t="array" ref="E392">IFERROR(INDEX('TRIP MANAGER'!$Q$18:$Q$25,$A392),"")</f>
        <v>30.322479999999999</v>
      </c>
      <c r="F392" cm="1">
        <f t="array" ref="F392">IFERROR(INDEX('TRIP MANAGER'!$R$18:$R$25,$A392),"")</f>
        <v>-9.4120000000000008</v>
      </c>
      <c r="G392" cm="1">
        <f t="array" ref="G392">IFERROR(INDEX('TRIP MANAGER'!$S$18:$S$25,$A392),"")</f>
        <v>0.61206181805380777</v>
      </c>
      <c r="H392">
        <f t="shared" si="68"/>
        <v>0.58666666666666667</v>
      </c>
      <c r="I392">
        <f t="shared" si="69"/>
        <v>0.43563290671818289</v>
      </c>
      <c r="J392">
        <f t="shared" si="70"/>
        <v>0.61161912458700141</v>
      </c>
      <c r="K392">
        <f t="shared" si="71"/>
        <v>0.84250807383909243</v>
      </c>
      <c r="L392">
        <f t="shared" si="72"/>
        <v>0.10998428731313004</v>
      </c>
      <c r="M392">
        <f t="shared" si="73"/>
        <v>0.52733632727147195</v>
      </c>
      <c r="N392">
        <f t="shared" si="74"/>
        <v>31.825657230347947</v>
      </c>
      <c r="O392">
        <f t="shared" si="75"/>
        <v>7.4375551020150796</v>
      </c>
      <c r="P392" t="str" cm="1">
        <f t="array" ref="P392">IF($N392="","",IFERROR(IF(INDEX(geo_grid!$B$2:$JU$231,INT(($N392+40)/0.5)+1,INT(($O392+30)/0.5)+1)="","",INDEX(geo_grid!$B$2:$JU$231,INT(($N392+40)/0.5)+1,INT(($O392+30)/0.5)+1)),"OUTSIDE GRID"))</f>
        <v>DZA</v>
      </c>
      <c r="Q392">
        <f t="shared" si="76"/>
        <v>3088</v>
      </c>
    </row>
    <row r="393" spans="1:17" x14ac:dyDescent="0.3">
      <c r="A393">
        <f t="shared" si="66"/>
        <v>3</v>
      </c>
      <c r="B393">
        <f t="shared" si="67"/>
        <v>89</v>
      </c>
      <c r="C393" cm="1">
        <f t="array" ref="C393">IFERROR(INDEX('TRIP MANAGER'!$O$18:$O$25,$A393),"")</f>
        <v>30.111529999999998</v>
      </c>
      <c r="D393" cm="1">
        <f t="array" ref="D393">IFERROR(INDEX('TRIP MANAGER'!$P$18:$P$25,$A393),"")</f>
        <v>31.39669</v>
      </c>
      <c r="E393" cm="1">
        <f t="array" ref="E393">IFERROR(INDEX('TRIP MANAGER'!$Q$18:$Q$25,$A393),"")</f>
        <v>30.322479999999999</v>
      </c>
      <c r="F393" cm="1">
        <f t="array" ref="F393">IFERROR(INDEX('TRIP MANAGER'!$R$18:$R$25,$A393),"")</f>
        <v>-9.4120000000000008</v>
      </c>
      <c r="G393" cm="1">
        <f t="array" ref="G393">IFERROR(INDEX('TRIP MANAGER'!$S$18:$S$25,$A393),"")</f>
        <v>0.61206181805380777</v>
      </c>
      <c r="H393">
        <f t="shared" si="68"/>
        <v>0.59333333333333338</v>
      </c>
      <c r="I393">
        <f t="shared" si="69"/>
        <v>0.42875350466614054</v>
      </c>
      <c r="J393">
        <f t="shared" si="70"/>
        <v>0.61826292170920549</v>
      </c>
      <c r="K393">
        <f t="shared" si="71"/>
        <v>0.84308609383295852</v>
      </c>
      <c r="L393">
        <f t="shared" si="72"/>
        <v>0.10594619224174566</v>
      </c>
      <c r="M393">
        <f t="shared" si="73"/>
        <v>0.52723926516806252</v>
      </c>
      <c r="N393">
        <f t="shared" si="74"/>
        <v>31.819112172588454</v>
      </c>
      <c r="O393">
        <f t="shared" si="75"/>
        <v>7.1625139516986218</v>
      </c>
      <c r="P393" t="str" cm="1">
        <f t="array" ref="P393">IF($N393="","",IFERROR(IF(INDEX(geo_grid!$B$2:$JU$231,INT(($N393+40)/0.5)+1,INT(($O393+30)/0.5)+1)="","",INDEX(geo_grid!$B$2:$JU$231,INT(($N393+40)/0.5)+1,INT(($O393+30)/0.5)+1)),"OUTSIDE GRID"))</f>
        <v>DZA</v>
      </c>
      <c r="Q393">
        <f t="shared" si="76"/>
        <v>3089</v>
      </c>
    </row>
    <row r="394" spans="1:17" x14ac:dyDescent="0.3">
      <c r="A394">
        <f t="shared" si="66"/>
        <v>3</v>
      </c>
      <c r="B394">
        <f t="shared" si="67"/>
        <v>90</v>
      </c>
      <c r="C394" cm="1">
        <f t="array" ref="C394">IFERROR(INDEX('TRIP MANAGER'!$O$18:$O$25,$A394),"")</f>
        <v>30.111529999999998</v>
      </c>
      <c r="D394" cm="1">
        <f t="array" ref="D394">IFERROR(INDEX('TRIP MANAGER'!$P$18:$P$25,$A394),"")</f>
        <v>31.39669</v>
      </c>
      <c r="E394" cm="1">
        <f t="array" ref="E394">IFERROR(INDEX('TRIP MANAGER'!$Q$18:$Q$25,$A394),"")</f>
        <v>30.322479999999999</v>
      </c>
      <c r="F394" cm="1">
        <f t="array" ref="F394">IFERROR(INDEX('TRIP MANAGER'!$R$18:$R$25,$A394),"")</f>
        <v>-9.4120000000000008</v>
      </c>
      <c r="G394" cm="1">
        <f t="array" ref="G394">IFERROR(INDEX('TRIP MANAGER'!$S$18:$S$25,$A394),"")</f>
        <v>0.61206181805380777</v>
      </c>
      <c r="H394">
        <f t="shared" si="68"/>
        <v>0.6</v>
      </c>
      <c r="I394">
        <f t="shared" si="69"/>
        <v>0.42186696397973422</v>
      </c>
      <c r="J394">
        <f t="shared" si="70"/>
        <v>0.62489642491452935</v>
      </c>
      <c r="K394">
        <f t="shared" si="71"/>
        <v>0.84365007666258962</v>
      </c>
      <c r="L394">
        <f t="shared" si="72"/>
        <v>0.10190633319380969</v>
      </c>
      <c r="M394">
        <f t="shared" si="73"/>
        <v>0.52713342466798563</v>
      </c>
      <c r="N394">
        <f t="shared" si="74"/>
        <v>31.811975701762901</v>
      </c>
      <c r="O394">
        <f t="shared" si="75"/>
        <v>6.887513549667025</v>
      </c>
      <c r="P394" t="str" cm="1">
        <f t="array" ref="P394">IF($N394="","",IFERROR(IF(INDEX(geo_grid!$B$2:$JU$231,INT(($N394+40)/0.5)+1,INT(($O394+30)/0.5)+1)="","",INDEX(geo_grid!$B$2:$JU$231,INT(($N394+40)/0.5)+1,INT(($O394+30)/0.5)+1)),"OUTSIDE GRID"))</f>
        <v>DZA</v>
      </c>
      <c r="Q394">
        <f t="shared" si="76"/>
        <v>3090</v>
      </c>
    </row>
    <row r="395" spans="1:17" x14ac:dyDescent="0.3">
      <c r="A395">
        <f t="shared" si="66"/>
        <v>3</v>
      </c>
      <c r="B395">
        <f t="shared" si="67"/>
        <v>91</v>
      </c>
      <c r="C395" cm="1">
        <f t="array" ref="C395">IFERROR(INDEX('TRIP MANAGER'!$O$18:$O$25,$A395),"")</f>
        <v>30.111529999999998</v>
      </c>
      <c r="D395" cm="1">
        <f t="array" ref="D395">IFERROR(INDEX('TRIP MANAGER'!$P$18:$P$25,$A395),"")</f>
        <v>31.39669</v>
      </c>
      <c r="E395" cm="1">
        <f t="array" ref="E395">IFERROR(INDEX('TRIP MANAGER'!$Q$18:$Q$25,$A395),"")</f>
        <v>30.322479999999999</v>
      </c>
      <c r="F395" cm="1">
        <f t="array" ref="F395">IFERROR(INDEX('TRIP MANAGER'!$R$18:$R$25,$A395),"")</f>
        <v>-9.4120000000000008</v>
      </c>
      <c r="G395" cm="1">
        <f t="array" ref="G395">IFERROR(INDEX('TRIP MANAGER'!$S$18:$S$25,$A395),"")</f>
        <v>0.61206181805380777</v>
      </c>
      <c r="H395">
        <f t="shared" si="68"/>
        <v>0.60666666666666669</v>
      </c>
      <c r="I395">
        <f t="shared" si="69"/>
        <v>0.41497339931807514</v>
      </c>
      <c r="J395">
        <f t="shared" si="70"/>
        <v>0.63151952375686971</v>
      </c>
      <c r="K395">
        <f t="shared" si="71"/>
        <v>0.84420001293781766</v>
      </c>
      <c r="L395">
        <f t="shared" si="72"/>
        <v>9.7864777431924579E-2</v>
      </c>
      <c r="M395">
        <f t="shared" si="73"/>
        <v>0.52701880753345798</v>
      </c>
      <c r="N395">
        <f t="shared" si="74"/>
        <v>31.804248073651301</v>
      </c>
      <c r="O395">
        <f t="shared" si="75"/>
        <v>6.6125573988739879</v>
      </c>
      <c r="P395" t="str" cm="1">
        <f t="array" ref="P395">IF($N395="","",IFERROR(IF(INDEX(geo_grid!$B$2:$JU$231,INT(($N395+40)/0.5)+1,INT(($O395+30)/0.5)+1)="","",INDEX(geo_grid!$B$2:$JU$231,INT(($N395+40)/0.5)+1,INT(($O395+30)/0.5)+1)),"OUTSIDE GRID"))</f>
        <v>DZA</v>
      </c>
      <c r="Q395">
        <f t="shared" si="76"/>
        <v>3091</v>
      </c>
    </row>
    <row r="396" spans="1:17" x14ac:dyDescent="0.3">
      <c r="A396">
        <f t="shared" si="66"/>
        <v>3</v>
      </c>
      <c r="B396">
        <f t="shared" si="67"/>
        <v>92</v>
      </c>
      <c r="C396" cm="1">
        <f t="array" ref="C396">IFERROR(INDEX('TRIP MANAGER'!$O$18:$O$25,$A396),"")</f>
        <v>30.111529999999998</v>
      </c>
      <c r="D396" cm="1">
        <f t="array" ref="D396">IFERROR(INDEX('TRIP MANAGER'!$P$18:$P$25,$A396),"")</f>
        <v>31.39669</v>
      </c>
      <c r="E396" cm="1">
        <f t="array" ref="E396">IFERROR(INDEX('TRIP MANAGER'!$Q$18:$Q$25,$A396),"")</f>
        <v>30.322479999999999</v>
      </c>
      <c r="F396" cm="1">
        <f t="array" ref="F396">IFERROR(INDEX('TRIP MANAGER'!$R$18:$R$25,$A396),"")</f>
        <v>-9.4120000000000008</v>
      </c>
      <c r="G396" cm="1">
        <f t="array" ref="G396">IFERROR(INDEX('TRIP MANAGER'!$S$18:$S$25,$A396),"")</f>
        <v>0.61206181805380777</v>
      </c>
      <c r="H396">
        <f t="shared" si="68"/>
        <v>0.61333333333333329</v>
      </c>
      <c r="I396">
        <f t="shared" si="69"/>
        <v>0.40807292545722279</v>
      </c>
      <c r="J396">
        <f t="shared" si="70"/>
        <v>0.63813210796335307</v>
      </c>
      <c r="K396">
        <f t="shared" si="71"/>
        <v>0.84473589350234701</v>
      </c>
      <c r="L396">
        <f t="shared" si="72"/>
        <v>9.3821592246942989E-2</v>
      </c>
      <c r="M396">
        <f t="shared" si="73"/>
        <v>0.52689541567282527</v>
      </c>
      <c r="N396">
        <f t="shared" si="74"/>
        <v>31.795929565090965</v>
      </c>
      <c r="O396">
        <f t="shared" si="75"/>
        <v>6.3376489959401487</v>
      </c>
      <c r="P396" t="str" cm="1">
        <f t="array" ref="P396">IF($N396="","",IFERROR(IF(INDEX(geo_grid!$B$2:$JU$231,INT(($N396+40)/0.5)+1,INT(($O396+30)/0.5)+1)="","",INDEX(geo_grid!$B$2:$JU$231,INT(($N396+40)/0.5)+1,INT(($O396+30)/0.5)+1)),"OUTSIDE GRID"))</f>
        <v>DZA</v>
      </c>
      <c r="Q396">
        <f t="shared" si="76"/>
        <v>3092</v>
      </c>
    </row>
    <row r="397" spans="1:17" x14ac:dyDescent="0.3">
      <c r="A397">
        <f t="shared" si="66"/>
        <v>3</v>
      </c>
      <c r="B397">
        <f t="shared" si="67"/>
        <v>93</v>
      </c>
      <c r="C397" cm="1">
        <f t="array" ref="C397">IFERROR(INDEX('TRIP MANAGER'!$O$18:$O$25,$A397),"")</f>
        <v>30.111529999999998</v>
      </c>
      <c r="D397" cm="1">
        <f t="array" ref="D397">IFERROR(INDEX('TRIP MANAGER'!$P$18:$P$25,$A397),"")</f>
        <v>31.39669</v>
      </c>
      <c r="E397" cm="1">
        <f t="array" ref="E397">IFERROR(INDEX('TRIP MANAGER'!$Q$18:$Q$25,$A397),"")</f>
        <v>30.322479999999999</v>
      </c>
      <c r="F397" cm="1">
        <f t="array" ref="F397">IFERROR(INDEX('TRIP MANAGER'!$R$18:$R$25,$A397),"")</f>
        <v>-9.4120000000000008</v>
      </c>
      <c r="G397" cm="1">
        <f t="array" ref="G397">IFERROR(INDEX('TRIP MANAGER'!$S$18:$S$25,$A397),"")</f>
        <v>0.61206181805380777</v>
      </c>
      <c r="H397">
        <f t="shared" si="68"/>
        <v>0.62</v>
      </c>
      <c r="I397">
        <f t="shared" si="69"/>
        <v>0.40116565728827241</v>
      </c>
      <c r="J397">
        <f t="shared" si="70"/>
        <v>0.64473406743617201</v>
      </c>
      <c r="K397">
        <f t="shared" si="71"/>
        <v>0.84525770943390577</v>
      </c>
      <c r="L397">
        <f t="shared" si="72"/>
        <v>8.9776844956846777E-2</v>
      </c>
      <c r="M397">
        <f t="shared" si="73"/>
        <v>0.52676325114052991</v>
      </c>
      <c r="N397">
        <f t="shared" si="74"/>
        <v>31.787020473935609</v>
      </c>
      <c r="O397">
        <f t="shared" si="75"/>
        <v>6.0627918306576598</v>
      </c>
      <c r="P397" t="str" cm="1">
        <f t="array" ref="P397">IF($N397="","",IFERROR(IF(INDEX(geo_grid!$B$2:$JU$231,INT(($N397+40)/0.5)+1,INT(($O397+30)/0.5)+1)="","",INDEX(geo_grid!$B$2:$JU$231,INT(($N397+40)/0.5)+1,INT(($O397+30)/0.5)+1)),"OUTSIDE GRID"))</f>
        <v>DZA</v>
      </c>
      <c r="Q397">
        <f t="shared" si="76"/>
        <v>3093</v>
      </c>
    </row>
    <row r="398" spans="1:17" x14ac:dyDescent="0.3">
      <c r="A398">
        <f t="shared" si="66"/>
        <v>3</v>
      </c>
      <c r="B398">
        <f t="shared" si="67"/>
        <v>94</v>
      </c>
      <c r="C398" cm="1">
        <f t="array" ref="C398">IFERROR(INDEX('TRIP MANAGER'!$O$18:$O$25,$A398),"")</f>
        <v>30.111529999999998</v>
      </c>
      <c r="D398" cm="1">
        <f t="array" ref="D398">IFERROR(INDEX('TRIP MANAGER'!$P$18:$P$25,$A398),"")</f>
        <v>31.39669</v>
      </c>
      <c r="E398" cm="1">
        <f t="array" ref="E398">IFERROR(INDEX('TRIP MANAGER'!$Q$18:$Q$25,$A398),"")</f>
        <v>30.322479999999999</v>
      </c>
      <c r="F398" cm="1">
        <f t="array" ref="F398">IFERROR(INDEX('TRIP MANAGER'!$R$18:$R$25,$A398),"")</f>
        <v>-9.4120000000000008</v>
      </c>
      <c r="G398" cm="1">
        <f t="array" ref="G398">IFERROR(INDEX('TRIP MANAGER'!$S$18:$S$25,$A398),"")</f>
        <v>0.61206181805380777</v>
      </c>
      <c r="H398">
        <f t="shared" si="68"/>
        <v>0.62666666666666671</v>
      </c>
      <c r="I398">
        <f t="shared" si="69"/>
        <v>0.39425170981544294</v>
      </c>
      <c r="J398">
        <f t="shared" si="70"/>
        <v>0.65132529225441782</v>
      </c>
      <c r="K398">
        <f t="shared" si="71"/>
        <v>0.84576545204439402</v>
      </c>
      <c r="L398">
        <f t="shared" si="72"/>
        <v>8.5730602905626674E-2</v>
      </c>
      <c r="M398">
        <f t="shared" si="73"/>
        <v>0.52662231613707677</v>
      </c>
      <c r="N398">
        <f t="shared" si="74"/>
        <v>31.777521119011322</v>
      </c>
      <c r="O398">
        <f t="shared" si="75"/>
        <v>5.7879893854969406</v>
      </c>
      <c r="P398" t="str" cm="1">
        <f t="array" ref="P398">IF($N398="","",IFERROR(IF(INDEX(geo_grid!$B$2:$JU$231,INT(($N398+40)/0.5)+1,INT(($O398+30)/0.5)+1)="","",INDEX(geo_grid!$B$2:$JU$231,INT(($N398+40)/0.5)+1,INT(($O398+30)/0.5)+1)),"OUTSIDE GRID"))</f>
        <v>DZA</v>
      </c>
      <c r="Q398">
        <f t="shared" si="76"/>
        <v>3094</v>
      </c>
    </row>
    <row r="399" spans="1:17" x14ac:dyDescent="0.3">
      <c r="A399">
        <f t="shared" si="66"/>
        <v>3</v>
      </c>
      <c r="B399">
        <f t="shared" si="67"/>
        <v>95</v>
      </c>
      <c r="C399" cm="1">
        <f t="array" ref="C399">IFERROR(INDEX('TRIP MANAGER'!$O$18:$O$25,$A399),"")</f>
        <v>30.111529999999998</v>
      </c>
      <c r="D399" cm="1">
        <f t="array" ref="D399">IFERROR(INDEX('TRIP MANAGER'!$P$18:$P$25,$A399),"")</f>
        <v>31.39669</v>
      </c>
      <c r="E399" cm="1">
        <f t="array" ref="E399">IFERROR(INDEX('TRIP MANAGER'!$Q$18:$Q$25,$A399),"")</f>
        <v>30.322479999999999</v>
      </c>
      <c r="F399" cm="1">
        <f t="array" ref="F399">IFERROR(INDEX('TRIP MANAGER'!$R$18:$R$25,$A399),"")</f>
        <v>-9.4120000000000008</v>
      </c>
      <c r="G399" cm="1">
        <f t="array" ref="G399">IFERROR(INDEX('TRIP MANAGER'!$S$18:$S$25,$A399),"")</f>
        <v>0.61206181805380777</v>
      </c>
      <c r="H399">
        <f t="shared" si="68"/>
        <v>0.6333333333333333</v>
      </c>
      <c r="I399">
        <f t="shared" si="69"/>
        <v>0.38733119815416212</v>
      </c>
      <c r="J399">
        <f t="shared" si="70"/>
        <v>0.65790567267591105</v>
      </c>
      <c r="K399">
        <f t="shared" si="71"/>
        <v>0.84625911288002964</v>
      </c>
      <c r="L399">
        <f t="shared" si="72"/>
        <v>8.168293346216067E-2</v>
      </c>
      <c r="M399">
        <f t="shared" si="73"/>
        <v>0.52647261300899717</v>
      </c>
      <c r="N399">
        <f t="shared" si="74"/>
        <v>31.767431840069491</v>
      </c>
      <c r="O399">
        <f t="shared" si="75"/>
        <v>5.5132451351156426</v>
      </c>
      <c r="P399" t="str" cm="1">
        <f t="array" ref="P399">IF($N399="","",IFERROR(IF(INDEX(geo_grid!$B$2:$JU$231,INT(($N399+40)/0.5)+1,INT(($O399+30)/0.5)+1)="","",INDEX(geo_grid!$B$2:$JU$231,INT(($N399+40)/0.5)+1,INT(($O399+30)/0.5)+1)),"OUTSIDE GRID"))</f>
        <v>DZA</v>
      </c>
      <c r="Q399">
        <f t="shared" si="76"/>
        <v>3095</v>
      </c>
    </row>
    <row r="400" spans="1:17" x14ac:dyDescent="0.3">
      <c r="A400">
        <f t="shared" si="66"/>
        <v>3</v>
      </c>
      <c r="B400">
        <f t="shared" si="67"/>
        <v>96</v>
      </c>
      <c r="C400" cm="1">
        <f t="array" ref="C400">IFERROR(INDEX('TRIP MANAGER'!$O$18:$O$25,$A400),"")</f>
        <v>30.111529999999998</v>
      </c>
      <c r="D400" cm="1">
        <f t="array" ref="D400">IFERROR(INDEX('TRIP MANAGER'!$P$18:$P$25,$A400),"")</f>
        <v>31.39669</v>
      </c>
      <c r="E400" cm="1">
        <f t="array" ref="E400">IFERROR(INDEX('TRIP MANAGER'!$Q$18:$Q$25,$A400),"")</f>
        <v>30.322479999999999</v>
      </c>
      <c r="F400" cm="1">
        <f t="array" ref="F400">IFERROR(INDEX('TRIP MANAGER'!$R$18:$R$25,$A400),"")</f>
        <v>-9.4120000000000008</v>
      </c>
      <c r="G400" cm="1">
        <f t="array" ref="G400">IFERROR(INDEX('TRIP MANAGER'!$S$18:$S$25,$A400),"")</f>
        <v>0.61206181805380777</v>
      </c>
      <c r="H400">
        <f t="shared" si="68"/>
        <v>0.64</v>
      </c>
      <c r="I400">
        <f t="shared" si="69"/>
        <v>0.38040423752914937</v>
      </c>
      <c r="J400">
        <f t="shared" si="70"/>
        <v>0.66447509913902902</v>
      </c>
      <c r="K400">
        <f t="shared" si="71"/>
        <v>0.84673868372148764</v>
      </c>
      <c r="L400">
        <f t="shared" si="72"/>
        <v>7.7633904019092481E-2</v>
      </c>
      <c r="M400">
        <f t="shared" si="73"/>
        <v>0.52631414424880929</v>
      </c>
      <c r="N400">
        <f t="shared" si="74"/>
        <v>31.756752997736807</v>
      </c>
      <c r="O400">
        <f t="shared" si="75"/>
        <v>5.2385625458700691</v>
      </c>
      <c r="P400" t="str" cm="1">
        <f t="array" ref="P400">IF($N400="","",IFERROR(IF(INDEX(geo_grid!$B$2:$JU$231,INT(($N400+40)/0.5)+1,INT(($O400+30)/0.5)+1)="","",INDEX(geo_grid!$B$2:$JU$231,INT(($N400+40)/0.5)+1,INT(($O400+30)/0.5)+1)),"OUTSIDE GRID"))</f>
        <v>DZA</v>
      </c>
      <c r="Q400">
        <f t="shared" si="76"/>
        <v>3096</v>
      </c>
    </row>
    <row r="401" spans="1:17" x14ac:dyDescent="0.3">
      <c r="A401">
        <f t="shared" si="66"/>
        <v>3</v>
      </c>
      <c r="B401">
        <f t="shared" si="67"/>
        <v>97</v>
      </c>
      <c r="C401" cm="1">
        <f t="array" ref="C401">IFERROR(INDEX('TRIP MANAGER'!$O$18:$O$25,$A401),"")</f>
        <v>30.111529999999998</v>
      </c>
      <c r="D401" cm="1">
        <f t="array" ref="D401">IFERROR(INDEX('TRIP MANAGER'!$P$18:$P$25,$A401),"")</f>
        <v>31.39669</v>
      </c>
      <c r="E401" cm="1">
        <f t="array" ref="E401">IFERROR(INDEX('TRIP MANAGER'!$Q$18:$Q$25,$A401),"")</f>
        <v>30.322479999999999</v>
      </c>
      <c r="F401" cm="1">
        <f t="array" ref="F401">IFERROR(INDEX('TRIP MANAGER'!$R$18:$R$25,$A401),"")</f>
        <v>-9.4120000000000008</v>
      </c>
      <c r="G401" cm="1">
        <f t="array" ref="G401">IFERROR(INDEX('TRIP MANAGER'!$S$18:$S$25,$A401),"")</f>
        <v>0.61206181805380777</v>
      </c>
      <c r="H401">
        <f t="shared" si="68"/>
        <v>0.64666666666666661</v>
      </c>
      <c r="I401">
        <f t="shared" si="69"/>
        <v>0.37347094327249808</v>
      </c>
      <c r="J401">
        <f t="shared" si="70"/>
        <v>0.6710334622645292</v>
      </c>
      <c r="K401">
        <f t="shared" si="71"/>
        <v>0.84720415658403869</v>
      </c>
      <c r="L401">
        <f t="shared" si="72"/>
        <v>7.358358199170946E-2</v>
      </c>
      <c r="M401">
        <f t="shared" si="73"/>
        <v>0.5261469124949768</v>
      </c>
      <c r="N401">
        <f t="shared" si="74"/>
        <v>31.74548497346203</v>
      </c>
      <c r="O401">
        <f t="shared" si="75"/>
        <v>4.963945075329149</v>
      </c>
      <c r="P401" t="str" cm="1">
        <f t="array" ref="P401">IF($N401="","",IFERROR(IF(INDEX(geo_grid!$B$2:$JU$231,INT(($N401+40)/0.5)+1,INT(($O401+30)/0.5)+1)="","",INDEX(geo_grid!$B$2:$JU$231,INT(($N401+40)/0.5)+1,INT(($O401+30)/0.5)+1)),"OUTSIDE GRID"))</f>
        <v>DZA</v>
      </c>
      <c r="Q401">
        <f t="shared" si="76"/>
        <v>3097</v>
      </c>
    </row>
    <row r="402" spans="1:17" x14ac:dyDescent="0.3">
      <c r="A402">
        <f t="shared" si="66"/>
        <v>3</v>
      </c>
      <c r="B402">
        <f t="shared" si="67"/>
        <v>98</v>
      </c>
      <c r="C402" cm="1">
        <f t="array" ref="C402">IFERROR(INDEX('TRIP MANAGER'!$O$18:$O$25,$A402),"")</f>
        <v>30.111529999999998</v>
      </c>
      <c r="D402" cm="1">
        <f t="array" ref="D402">IFERROR(INDEX('TRIP MANAGER'!$P$18:$P$25,$A402),"")</f>
        <v>31.39669</v>
      </c>
      <c r="E402" cm="1">
        <f t="array" ref="E402">IFERROR(INDEX('TRIP MANAGER'!$Q$18:$Q$25,$A402),"")</f>
        <v>30.322479999999999</v>
      </c>
      <c r="F402" cm="1">
        <f t="array" ref="F402">IFERROR(INDEX('TRIP MANAGER'!$R$18:$R$25,$A402),"")</f>
        <v>-9.4120000000000008</v>
      </c>
      <c r="G402" cm="1">
        <f t="array" ref="G402">IFERROR(INDEX('TRIP MANAGER'!$S$18:$S$25,$A402),"")</f>
        <v>0.61206181805380777</v>
      </c>
      <c r="H402">
        <f t="shared" si="68"/>
        <v>0.65333333333333332</v>
      </c>
      <c r="I402">
        <f t="shared" si="69"/>
        <v>0.36653143082175454</v>
      </c>
      <c r="J402">
        <f t="shared" si="70"/>
        <v>0.67758065285737112</v>
      </c>
      <c r="K402">
        <f t="shared" si="71"/>
        <v>0.84765552371768038</v>
      </c>
      <c r="L402">
        <f t="shared" si="72"/>
        <v>6.9532034816820104E-2</v>
      </c>
      <c r="M402">
        <f t="shared" si="73"/>
        <v>0.52597092053186478</v>
      </c>
      <c r="N402">
        <f t="shared" si="74"/>
        <v>31.73362816946004</v>
      </c>
      <c r="O402">
        <f t="shared" si="75"/>
        <v>4.6893961717911266</v>
      </c>
      <c r="P402" t="str" cm="1">
        <f t="array" ref="P402">IF($N402="","",IFERROR(IF(INDEX(geo_grid!$B$2:$JU$231,INT(($N402+40)/0.5)+1,INT(($O402+30)/0.5)+1)="","",INDEX(geo_grid!$B$2:$JU$231,INT(($N402+40)/0.5)+1,INT(($O402+30)/0.5)+1)),"OUTSIDE GRID"))</f>
        <v>DZA</v>
      </c>
      <c r="Q402">
        <f t="shared" si="76"/>
        <v>3098</v>
      </c>
    </row>
    <row r="403" spans="1:17" x14ac:dyDescent="0.3">
      <c r="A403">
        <f t="shared" si="66"/>
        <v>3</v>
      </c>
      <c r="B403">
        <f t="shared" si="67"/>
        <v>99</v>
      </c>
      <c r="C403" cm="1">
        <f t="array" ref="C403">IFERROR(INDEX('TRIP MANAGER'!$O$18:$O$25,$A403),"")</f>
        <v>30.111529999999998</v>
      </c>
      <c r="D403" cm="1">
        <f t="array" ref="D403">IFERROR(INDEX('TRIP MANAGER'!$P$18:$P$25,$A403),"")</f>
        <v>31.39669</v>
      </c>
      <c r="E403" cm="1">
        <f t="array" ref="E403">IFERROR(INDEX('TRIP MANAGER'!$Q$18:$Q$25,$A403),"")</f>
        <v>30.322479999999999</v>
      </c>
      <c r="F403" cm="1">
        <f t="array" ref="F403">IFERROR(INDEX('TRIP MANAGER'!$R$18:$R$25,$A403),"")</f>
        <v>-9.4120000000000008</v>
      </c>
      <c r="G403" cm="1">
        <f t="array" ref="G403">IFERROR(INDEX('TRIP MANAGER'!$S$18:$S$25,$A403),"")</f>
        <v>0.61206181805380777</v>
      </c>
      <c r="H403">
        <f t="shared" si="68"/>
        <v>0.66</v>
      </c>
      <c r="I403">
        <f t="shared" si="69"/>
        <v>0.35958581571799675</v>
      </c>
      <c r="J403">
        <f t="shared" si="70"/>
        <v>0.68411656190853376</v>
      </c>
      <c r="K403">
        <f t="shared" si="71"/>
        <v>0.84809277760726753</v>
      </c>
      <c r="L403">
        <f t="shared" si="72"/>
        <v>6.5479329951631401E-2</v>
      </c>
      <c r="M403">
        <f t="shared" si="73"/>
        <v>0.52578617128969363</v>
      </c>
      <c r="N403">
        <f t="shared" si="74"/>
        <v>31.721183008652662</v>
      </c>
      <c r="O403">
        <f t="shared" si="75"/>
        <v>4.4149192738031067</v>
      </c>
      <c r="P403" t="str" cm="1">
        <f t="array" ref="P403">IF($N403="","",IFERROR(IF(INDEX(geo_grid!$B$2:$JU$231,INT(($N403+40)/0.5)+1,INT(($O403+30)/0.5)+1)="","",INDEX(geo_grid!$B$2:$JU$231,INT(($N403+40)/0.5)+1,INT(($O403+30)/0.5)+1)),"OUTSIDE GRID"))</f>
        <v>DZA</v>
      </c>
      <c r="Q403">
        <f t="shared" si="76"/>
        <v>3099</v>
      </c>
    </row>
    <row r="404" spans="1:17" x14ac:dyDescent="0.3">
      <c r="A404">
        <f t="shared" si="66"/>
        <v>3</v>
      </c>
      <c r="B404">
        <f t="shared" si="67"/>
        <v>100</v>
      </c>
      <c r="C404" cm="1">
        <f t="array" ref="C404">IFERROR(INDEX('TRIP MANAGER'!$O$18:$O$25,$A404),"")</f>
        <v>30.111529999999998</v>
      </c>
      <c r="D404" cm="1">
        <f t="array" ref="D404">IFERROR(INDEX('TRIP MANAGER'!$P$18:$P$25,$A404),"")</f>
        <v>31.39669</v>
      </c>
      <c r="E404" cm="1">
        <f t="array" ref="E404">IFERROR(INDEX('TRIP MANAGER'!$Q$18:$Q$25,$A404),"")</f>
        <v>30.322479999999999</v>
      </c>
      <c r="F404" cm="1">
        <f t="array" ref="F404">IFERROR(INDEX('TRIP MANAGER'!$R$18:$R$25,$A404),"")</f>
        <v>-9.4120000000000008</v>
      </c>
      <c r="G404" cm="1">
        <f t="array" ref="G404">IFERROR(INDEX('TRIP MANAGER'!$S$18:$S$25,$A404),"")</f>
        <v>0.61206181805380777</v>
      </c>
      <c r="H404">
        <f t="shared" si="68"/>
        <v>0.66666666666666663</v>
      </c>
      <c r="I404">
        <f t="shared" si="69"/>
        <v>0.35263421360391017</v>
      </c>
      <c r="J404">
        <f t="shared" si="70"/>
        <v>0.69064108059683083</v>
      </c>
      <c r="K404">
        <f t="shared" si="71"/>
        <v>0.84851591097263634</v>
      </c>
      <c r="L404">
        <f t="shared" si="72"/>
        <v>6.1425534872625628E-2</v>
      </c>
      <c r="M404">
        <f t="shared" si="73"/>
        <v>0.52559266784449044</v>
      </c>
      <c r="N404">
        <f t="shared" si="74"/>
        <v>31.708149934606759</v>
      </c>
      <c r="O404">
        <f t="shared" si="75"/>
        <v>4.1405178096836046</v>
      </c>
      <c r="P404" t="str" cm="1">
        <f t="array" ref="P404">IF($N404="","",IFERROR(IF(INDEX(geo_grid!$B$2:$JU$231,INT(($N404+40)/0.5)+1,INT(($O404+30)/0.5)+1)="","",INDEX(geo_grid!$B$2:$JU$231,INT(($N404+40)/0.5)+1,INT(($O404+30)/0.5)+1)),"OUTSIDE GRID"))</f>
        <v>DZA</v>
      </c>
      <c r="Q404">
        <f t="shared" si="76"/>
        <v>3100</v>
      </c>
    </row>
    <row r="405" spans="1:17" x14ac:dyDescent="0.3">
      <c r="A405">
        <f t="shared" si="66"/>
        <v>3</v>
      </c>
      <c r="B405">
        <f t="shared" si="67"/>
        <v>101</v>
      </c>
      <c r="C405" cm="1">
        <f t="array" ref="C405">IFERROR(INDEX('TRIP MANAGER'!$O$18:$O$25,$A405),"")</f>
        <v>30.111529999999998</v>
      </c>
      <c r="D405" cm="1">
        <f t="array" ref="D405">IFERROR(INDEX('TRIP MANAGER'!$P$18:$P$25,$A405),"")</f>
        <v>31.39669</v>
      </c>
      <c r="E405" cm="1">
        <f t="array" ref="E405">IFERROR(INDEX('TRIP MANAGER'!$Q$18:$Q$25,$A405),"")</f>
        <v>30.322479999999999</v>
      </c>
      <c r="F405" cm="1">
        <f t="array" ref="F405">IFERROR(INDEX('TRIP MANAGER'!$R$18:$R$25,$A405),"")</f>
        <v>-9.4120000000000008</v>
      </c>
      <c r="G405" cm="1">
        <f t="array" ref="G405">IFERROR(INDEX('TRIP MANAGER'!$S$18:$S$25,$A405),"")</f>
        <v>0.61206181805380777</v>
      </c>
      <c r="H405">
        <f t="shared" si="68"/>
        <v>0.67333333333333334</v>
      </c>
      <c r="I405">
        <f t="shared" si="69"/>
        <v>0.34567674022186212</v>
      </c>
      <c r="J405">
        <f t="shared" si="70"/>
        <v>0.69715410029072289</v>
      </c>
      <c r="K405">
        <f t="shared" si="71"/>
        <v>0.84892491676872628</v>
      </c>
      <c r="L405">
        <f t="shared" si="72"/>
        <v>5.737071707443657E-2</v>
      </c>
      <c r="M405">
        <f t="shared" si="73"/>
        <v>0.52539041341803694</v>
      </c>
      <c r="N405">
        <f t="shared" si="74"/>
        <v>31.694529411469219</v>
      </c>
      <c r="O405">
        <f t="shared" si="75"/>
        <v>3.8661951970481994</v>
      </c>
      <c r="P405" t="str" cm="1">
        <f t="array" ref="P405">IF($N405="","",IFERROR(IF(INDEX(geo_grid!$B$2:$JU$231,INT(($N405+40)/0.5)+1,INT(($O405+30)/0.5)+1)="","",INDEX(geo_grid!$B$2:$JU$231,INT(($N405+40)/0.5)+1,INT(($O405+30)/0.5)+1)),"OUTSIDE GRID"))</f>
        <v>DZA</v>
      </c>
      <c r="Q405">
        <f t="shared" si="76"/>
        <v>3101</v>
      </c>
    </row>
    <row r="406" spans="1:17" x14ac:dyDescent="0.3">
      <c r="A406">
        <f t="shared" si="66"/>
        <v>3</v>
      </c>
      <c r="B406">
        <f t="shared" si="67"/>
        <v>102</v>
      </c>
      <c r="C406" cm="1">
        <f t="array" ref="C406">IFERROR(INDEX('TRIP MANAGER'!$O$18:$O$25,$A406),"")</f>
        <v>30.111529999999998</v>
      </c>
      <c r="D406" cm="1">
        <f t="array" ref="D406">IFERROR(INDEX('TRIP MANAGER'!$P$18:$P$25,$A406),"")</f>
        <v>31.39669</v>
      </c>
      <c r="E406" cm="1">
        <f t="array" ref="E406">IFERROR(INDEX('TRIP MANAGER'!$Q$18:$Q$25,$A406),"")</f>
        <v>30.322479999999999</v>
      </c>
      <c r="F406" cm="1">
        <f t="array" ref="F406">IFERROR(INDEX('TRIP MANAGER'!$R$18:$R$25,$A406),"")</f>
        <v>-9.4120000000000008</v>
      </c>
      <c r="G406" cm="1">
        <f t="array" ref="G406">IFERROR(INDEX('TRIP MANAGER'!$S$18:$S$25,$A406),"")</f>
        <v>0.61206181805380777</v>
      </c>
      <c r="H406">
        <f t="shared" si="68"/>
        <v>0.68</v>
      </c>
      <c r="I406">
        <f t="shared" si="69"/>
        <v>0.33871351141197559</v>
      </c>
      <c r="J406">
        <f t="shared" si="70"/>
        <v>0.70365551255012548</v>
      </c>
      <c r="K406">
        <f t="shared" si="71"/>
        <v>0.84931978818569731</v>
      </c>
      <c r="L406">
        <f t="shared" si="72"/>
        <v>5.3314944068726361E-2</v>
      </c>
      <c r="M406">
        <f t="shared" si="73"/>
        <v>0.52517941137781698</v>
      </c>
      <c r="N406">
        <f t="shared" si="74"/>
        <v>31.68032192389915</v>
      </c>
      <c r="O406">
        <f t="shared" si="75"/>
        <v>3.5919548423385335</v>
      </c>
      <c r="P406" t="str" cm="1">
        <f t="array" ref="P406">IF($N406="","",IFERROR(IF(INDEX(geo_grid!$B$2:$JU$231,INT(($N406+40)/0.5)+1,INT(($O406+30)/0.5)+1)="","",INDEX(geo_grid!$B$2:$JU$231,INT(($N406+40)/0.5)+1,INT(($O406+30)/0.5)+1)),"OUTSIDE GRID"))</f>
        <v>DZA</v>
      </c>
      <c r="Q406">
        <f t="shared" si="76"/>
        <v>3102</v>
      </c>
    </row>
    <row r="407" spans="1:17" x14ac:dyDescent="0.3">
      <c r="A407">
        <f t="shared" si="66"/>
        <v>3</v>
      </c>
      <c r="B407">
        <f t="shared" si="67"/>
        <v>103</v>
      </c>
      <c r="C407" cm="1">
        <f t="array" ref="C407">IFERROR(INDEX('TRIP MANAGER'!$O$18:$O$25,$A407),"")</f>
        <v>30.111529999999998</v>
      </c>
      <c r="D407" cm="1">
        <f t="array" ref="D407">IFERROR(INDEX('TRIP MANAGER'!$P$18:$P$25,$A407),"")</f>
        <v>31.39669</v>
      </c>
      <c r="E407" cm="1">
        <f t="array" ref="E407">IFERROR(INDEX('TRIP MANAGER'!$Q$18:$Q$25,$A407),"")</f>
        <v>30.322479999999999</v>
      </c>
      <c r="F407" cm="1">
        <f t="array" ref="F407">IFERROR(INDEX('TRIP MANAGER'!$R$18:$R$25,$A407),"")</f>
        <v>-9.4120000000000008</v>
      </c>
      <c r="G407" cm="1">
        <f t="array" ref="G407">IFERROR(INDEX('TRIP MANAGER'!$S$18:$S$25,$A407),"")</f>
        <v>0.61206181805380777</v>
      </c>
      <c r="H407">
        <f t="shared" si="68"/>
        <v>0.68666666666666665</v>
      </c>
      <c r="I407">
        <f t="shared" si="69"/>
        <v>0.33174464311019947</v>
      </c>
      <c r="J407">
        <f t="shared" si="70"/>
        <v>0.71014520912821522</v>
      </c>
      <c r="K407">
        <f t="shared" si="71"/>
        <v>0.84970051864904339</v>
      </c>
      <c r="L407">
        <f t="shared" si="72"/>
        <v>4.9258283383060847E-2</v>
      </c>
      <c r="M407">
        <f t="shared" si="73"/>
        <v>0.52495966523695969</v>
      </c>
      <c r="N407">
        <f t="shared" si="74"/>
        <v>31.665527976997144</v>
      </c>
      <c r="O407">
        <f t="shared" si="75"/>
        <v>3.3178001403546578</v>
      </c>
      <c r="P407" t="str" cm="1">
        <f t="array" ref="P407">IF($N407="","",IFERROR(IF(INDEX(geo_grid!$B$2:$JU$231,INT(($N407+40)/0.5)+1,INT(($O407+30)/0.5)+1)="","",INDEX(geo_grid!$B$2:$JU$231,INT(($N407+40)/0.5)+1,INT(($O407+30)/0.5)+1)),"OUTSIDE GRID"))</f>
        <v>DZA</v>
      </c>
      <c r="Q407">
        <f t="shared" si="76"/>
        <v>3103</v>
      </c>
    </row>
    <row r="408" spans="1:17" x14ac:dyDescent="0.3">
      <c r="A408">
        <f t="shared" si="66"/>
        <v>3</v>
      </c>
      <c r="B408">
        <f t="shared" si="67"/>
        <v>104</v>
      </c>
      <c r="C408" cm="1">
        <f t="array" ref="C408">IFERROR(INDEX('TRIP MANAGER'!$O$18:$O$25,$A408),"")</f>
        <v>30.111529999999998</v>
      </c>
      <c r="D408" cm="1">
        <f t="array" ref="D408">IFERROR(INDEX('TRIP MANAGER'!$P$18:$P$25,$A408),"")</f>
        <v>31.39669</v>
      </c>
      <c r="E408" cm="1">
        <f t="array" ref="E408">IFERROR(INDEX('TRIP MANAGER'!$Q$18:$Q$25,$A408),"")</f>
        <v>30.322479999999999</v>
      </c>
      <c r="F408" cm="1">
        <f t="array" ref="F408">IFERROR(INDEX('TRIP MANAGER'!$R$18:$R$25,$A408),"")</f>
        <v>-9.4120000000000008</v>
      </c>
      <c r="G408" cm="1">
        <f t="array" ref="G408">IFERROR(INDEX('TRIP MANAGER'!$S$18:$S$25,$A408),"")</f>
        <v>0.61206181805380777</v>
      </c>
      <c r="H408">
        <f t="shared" si="68"/>
        <v>0.69333333333333336</v>
      </c>
      <c r="I408">
        <f t="shared" si="69"/>
        <v>0.32477025134637871</v>
      </c>
      <c r="J408">
        <f t="shared" si="70"/>
        <v>0.71662308197323155</v>
      </c>
      <c r="K408">
        <f t="shared" si="71"/>
        <v>0.85006710181970069</v>
      </c>
      <c r="L408">
        <f t="shared" si="72"/>
        <v>4.5200802559785522E-2</v>
      </c>
      <c r="M408">
        <f t="shared" si="73"/>
        <v>0.52473117865418095</v>
      </c>
      <c r="N408">
        <f t="shared" si="74"/>
        <v>31.650148096231732</v>
      </c>
      <c r="O408">
        <f t="shared" si="75"/>
        <v>3.0437344737909751</v>
      </c>
      <c r="P408" t="str" cm="1">
        <f t="array" ref="P408">IF($N408="","",IFERROR(IF(INDEX(geo_grid!$B$2:$JU$231,INT(($N408+40)/0.5)+1,INT(($O408+30)/0.5)+1)="","",INDEX(geo_grid!$B$2:$JU$231,INT(($N408+40)/0.5)+1,INT(($O408+30)/0.5)+1)),"OUTSIDE GRID"))</f>
        <v>DZA</v>
      </c>
      <c r="Q408">
        <f t="shared" si="76"/>
        <v>3104</v>
      </c>
    </row>
    <row r="409" spans="1:17" x14ac:dyDescent="0.3">
      <c r="A409">
        <f t="shared" si="66"/>
        <v>3</v>
      </c>
      <c r="B409">
        <f t="shared" si="67"/>
        <v>105</v>
      </c>
      <c r="C409" cm="1">
        <f t="array" ref="C409">IFERROR(INDEX('TRIP MANAGER'!$O$18:$O$25,$A409),"")</f>
        <v>30.111529999999998</v>
      </c>
      <c r="D409" cm="1">
        <f t="array" ref="D409">IFERROR(INDEX('TRIP MANAGER'!$P$18:$P$25,$A409),"")</f>
        <v>31.39669</v>
      </c>
      <c r="E409" cm="1">
        <f t="array" ref="E409">IFERROR(INDEX('TRIP MANAGER'!$Q$18:$Q$25,$A409),"")</f>
        <v>30.322479999999999</v>
      </c>
      <c r="F409" cm="1">
        <f t="array" ref="F409">IFERROR(INDEX('TRIP MANAGER'!$R$18:$R$25,$A409),"")</f>
        <v>-9.4120000000000008</v>
      </c>
      <c r="G409" cm="1">
        <f t="array" ref="G409">IFERROR(INDEX('TRIP MANAGER'!$S$18:$S$25,$A409),"")</f>
        <v>0.61206181805380777</v>
      </c>
      <c r="H409">
        <f t="shared" si="68"/>
        <v>0.7</v>
      </c>
      <c r="I409">
        <f t="shared" si="69"/>
        <v>0.317790452242323</v>
      </c>
      <c r="J409">
        <f t="shared" si="70"/>
        <v>0.72308902323027568</v>
      </c>
      <c r="K409">
        <f t="shared" si="71"/>
        <v>0.85041953159415495</v>
      </c>
      <c r="L409">
        <f t="shared" si="72"/>
        <v>4.1142569154901221E-2</v>
      </c>
      <c r="M409">
        <f t="shared" si="73"/>
        <v>0.52449395543372301</v>
      </c>
      <c r="N409">
        <f t="shared" si="74"/>
        <v>31.634182827362952</v>
      </c>
      <c r="O409">
        <f t="shared" si="75"/>
        <v>2.7697612127758648</v>
      </c>
      <c r="P409" t="str" cm="1">
        <f t="array" ref="P409">IF($N409="","",IFERROR(IF(INDEX(geo_grid!$B$2:$JU$231,INT(($N409+40)/0.5)+1,INT(($O409+30)/0.5)+1)="","",INDEX(geo_grid!$B$2:$JU$231,INT(($N409+40)/0.5)+1,INT(($O409+30)/0.5)+1)),"OUTSIDE GRID"))</f>
        <v>DZA</v>
      </c>
      <c r="Q409">
        <f t="shared" si="76"/>
        <v>3105</v>
      </c>
    </row>
    <row r="410" spans="1:17" x14ac:dyDescent="0.3">
      <c r="A410">
        <f t="shared" si="66"/>
        <v>3</v>
      </c>
      <c r="B410">
        <f t="shared" si="67"/>
        <v>106</v>
      </c>
      <c r="C410" cm="1">
        <f t="array" ref="C410">IFERROR(INDEX('TRIP MANAGER'!$O$18:$O$25,$A410),"")</f>
        <v>30.111529999999998</v>
      </c>
      <c r="D410" cm="1">
        <f t="array" ref="D410">IFERROR(INDEX('TRIP MANAGER'!$P$18:$P$25,$A410),"")</f>
        <v>31.39669</v>
      </c>
      <c r="E410" cm="1">
        <f t="array" ref="E410">IFERROR(INDEX('TRIP MANAGER'!$Q$18:$Q$25,$A410),"")</f>
        <v>30.322479999999999</v>
      </c>
      <c r="F410" cm="1">
        <f t="array" ref="F410">IFERROR(INDEX('TRIP MANAGER'!$R$18:$R$25,$A410),"")</f>
        <v>-9.4120000000000008</v>
      </c>
      <c r="G410" cm="1">
        <f t="array" ref="G410">IFERROR(INDEX('TRIP MANAGER'!$S$18:$S$25,$A410),"")</f>
        <v>0.61206181805380777</v>
      </c>
      <c r="H410">
        <f t="shared" si="68"/>
        <v>0.70666666666666667</v>
      </c>
      <c r="I410">
        <f t="shared" si="69"/>
        <v>0.31080536200987208</v>
      </c>
      <c r="J410">
        <f t="shared" si="70"/>
        <v>0.7295429252431076</v>
      </c>
      <c r="K410">
        <f t="shared" si="71"/>
        <v>0.85075780210454199</v>
      </c>
      <c r="L410">
        <f t="shared" si="72"/>
        <v>3.7083650736938659E-2</v>
      </c>
      <c r="M410">
        <f t="shared" si="73"/>
        <v>0.524247999525291</v>
      </c>
      <c r="N410">
        <f t="shared" si="74"/>
        <v>31.617632736363195</v>
      </c>
      <c r="O410">
        <f t="shared" si="75"/>
        <v>2.4958837144150694</v>
      </c>
      <c r="P410" t="str" cm="1">
        <f t="array" ref="P410">IF($N410="","",IFERROR(IF(INDEX(geo_grid!$B$2:$JU$231,INT(($N410+40)/0.5)+1,INT(($O410+30)/0.5)+1)="","",INDEX(geo_grid!$B$2:$JU$231,INT(($N410+40)/0.5)+1,INT(($O410+30)/0.5)+1)),"OUTSIDE GRID"))</f>
        <v>DZA</v>
      </c>
      <c r="Q410">
        <f t="shared" si="76"/>
        <v>3106</v>
      </c>
    </row>
    <row r="411" spans="1:17" x14ac:dyDescent="0.3">
      <c r="A411">
        <f t="shared" si="66"/>
        <v>3</v>
      </c>
      <c r="B411">
        <f t="shared" si="67"/>
        <v>107</v>
      </c>
      <c r="C411" cm="1">
        <f t="array" ref="C411">IFERROR(INDEX('TRIP MANAGER'!$O$18:$O$25,$A411),"")</f>
        <v>30.111529999999998</v>
      </c>
      <c r="D411" cm="1">
        <f t="array" ref="D411">IFERROR(INDEX('TRIP MANAGER'!$P$18:$P$25,$A411),"")</f>
        <v>31.39669</v>
      </c>
      <c r="E411" cm="1">
        <f t="array" ref="E411">IFERROR(INDEX('TRIP MANAGER'!$Q$18:$Q$25,$A411),"")</f>
        <v>30.322479999999999</v>
      </c>
      <c r="F411" cm="1">
        <f t="array" ref="F411">IFERROR(INDEX('TRIP MANAGER'!$R$18:$R$25,$A411),"")</f>
        <v>-9.4120000000000008</v>
      </c>
      <c r="G411" cm="1">
        <f t="array" ref="G411">IFERROR(INDEX('TRIP MANAGER'!$S$18:$S$25,$A411),"")</f>
        <v>0.61206181805380777</v>
      </c>
      <c r="H411">
        <f t="shared" si="68"/>
        <v>0.71333333333333337</v>
      </c>
      <c r="I411">
        <f t="shared" si="69"/>
        <v>0.30381509694896225</v>
      </c>
      <c r="J411">
        <f t="shared" si="70"/>
        <v>0.73598468055593658</v>
      </c>
      <c r="K411">
        <f t="shared" si="71"/>
        <v>0.85108190771874614</v>
      </c>
      <c r="L411">
        <f t="shared" si="72"/>
        <v>3.3024114885834191E-2</v>
      </c>
      <c r="M411">
        <f t="shared" si="73"/>
        <v>0.52399331502398661</v>
      </c>
      <c r="N411">
        <f t="shared" si="74"/>
        <v>31.600498409335163</v>
      </c>
      <c r="O411">
        <f t="shared" si="75"/>
        <v>2.2221053223391189</v>
      </c>
      <c r="P411" t="str" cm="1">
        <f t="array" ref="P411">IF($N411="","",IFERROR(IF(INDEX(geo_grid!$B$2:$JU$231,INT(($N411+40)/0.5)+1,INT(($O411+30)/0.5)+1)="","",INDEX(geo_grid!$B$2:$JU$231,INT(($N411+40)/0.5)+1,INT(($O411+30)/0.5)+1)),"OUTSIDE GRID"))</f>
        <v>DZA</v>
      </c>
      <c r="Q411">
        <f t="shared" si="76"/>
        <v>3107</v>
      </c>
    </row>
    <row r="412" spans="1:17" x14ac:dyDescent="0.3">
      <c r="A412">
        <f t="shared" si="66"/>
        <v>3</v>
      </c>
      <c r="B412">
        <f t="shared" si="67"/>
        <v>108</v>
      </c>
      <c r="C412" cm="1">
        <f t="array" ref="C412">IFERROR(INDEX('TRIP MANAGER'!$O$18:$O$25,$A412),"")</f>
        <v>30.111529999999998</v>
      </c>
      <c r="D412" cm="1">
        <f t="array" ref="D412">IFERROR(INDEX('TRIP MANAGER'!$P$18:$P$25,$A412),"")</f>
        <v>31.39669</v>
      </c>
      <c r="E412" cm="1">
        <f t="array" ref="E412">IFERROR(INDEX('TRIP MANAGER'!$Q$18:$Q$25,$A412),"")</f>
        <v>30.322479999999999</v>
      </c>
      <c r="F412" cm="1">
        <f t="array" ref="F412">IFERROR(INDEX('TRIP MANAGER'!$R$18:$R$25,$A412),"")</f>
        <v>-9.4120000000000008</v>
      </c>
      <c r="G412" cm="1">
        <f t="array" ref="G412">IFERROR(INDEX('TRIP MANAGER'!$S$18:$S$25,$A412),"")</f>
        <v>0.61206181805380777</v>
      </c>
      <c r="H412">
        <f t="shared" si="68"/>
        <v>0.72</v>
      </c>
      <c r="I412">
        <f t="shared" si="69"/>
        <v>0.29681977344568905</v>
      </c>
      <c r="J412">
        <f t="shared" si="70"/>
        <v>0.7424141819152118</v>
      </c>
      <c r="K412">
        <f t="shared" si="71"/>
        <v>0.85139184304049276</v>
      </c>
      <c r="L412">
        <f t="shared" si="72"/>
        <v>2.8964029191804144E-2</v>
      </c>
      <c r="M412">
        <f t="shared" si="73"/>
        <v>0.52372990617024051</v>
      </c>
      <c r="N412">
        <f t="shared" si="74"/>
        <v>31.582780452427251</v>
      </c>
      <c r="O412">
        <f t="shared" si="75"/>
        <v>1.9484293662547387</v>
      </c>
      <c r="P412" t="str" cm="1">
        <f t="array" ref="P412">IF($N412="","",IFERROR(IF(INDEX(geo_grid!$B$2:$JU$231,INT(($N412+40)/0.5)+1,INT(($O412+30)/0.5)+1)="","",INDEX(geo_grid!$B$2:$JU$231,INT(($N412+40)/0.5)+1,INT(($O412+30)/0.5)+1)),"OUTSIDE GRID"))</f>
        <v>DZA</v>
      </c>
      <c r="Q412">
        <f t="shared" si="76"/>
        <v>3108</v>
      </c>
    </row>
    <row r="413" spans="1:17" x14ac:dyDescent="0.3">
      <c r="A413">
        <f t="shared" si="66"/>
        <v>3</v>
      </c>
      <c r="B413">
        <f t="shared" si="67"/>
        <v>109</v>
      </c>
      <c r="C413" cm="1">
        <f t="array" ref="C413">IFERROR(INDEX('TRIP MANAGER'!$O$18:$O$25,$A413),"")</f>
        <v>30.111529999999998</v>
      </c>
      <c r="D413" cm="1">
        <f t="array" ref="D413">IFERROR(INDEX('TRIP MANAGER'!$P$18:$P$25,$A413),"")</f>
        <v>31.39669</v>
      </c>
      <c r="E413" cm="1">
        <f t="array" ref="E413">IFERROR(INDEX('TRIP MANAGER'!$Q$18:$Q$25,$A413),"")</f>
        <v>30.322479999999999</v>
      </c>
      <c r="F413" cm="1">
        <f t="array" ref="F413">IFERROR(INDEX('TRIP MANAGER'!$R$18:$R$25,$A413),"")</f>
        <v>-9.4120000000000008</v>
      </c>
      <c r="G413" cm="1">
        <f t="array" ref="G413">IFERROR(INDEX('TRIP MANAGER'!$S$18:$S$25,$A413),"")</f>
        <v>0.61206181805380777</v>
      </c>
      <c r="H413">
        <f t="shared" si="68"/>
        <v>0.72666666666666668</v>
      </c>
      <c r="I413">
        <f t="shared" si="69"/>
        <v>0.28981950797036976</v>
      </c>
      <c r="J413">
        <f t="shared" si="70"/>
        <v>0.74883132227140758</v>
      </c>
      <c r="K413">
        <f t="shared" si="71"/>
        <v>0.85168760290943957</v>
      </c>
      <c r="L413">
        <f t="shared" si="72"/>
        <v>2.490346125421955E-2</v>
      </c>
      <c r="M413">
        <f t="shared" si="73"/>
        <v>0.52345777734974197</v>
      </c>
      <c r="N413">
        <f t="shared" si="74"/>
        <v>31.564479491746077</v>
      </c>
      <c r="O413">
        <f t="shared" si="75"/>
        <v>1.6748591615004966</v>
      </c>
      <c r="P413" t="str" cm="1">
        <f t="array" ref="P413">IF($N413="","",IFERROR(IF(INDEX(geo_grid!$B$2:$JU$231,INT(($N413+40)/0.5)+1,INT(($O413+30)/0.5)+1)="","",INDEX(geo_grid!$B$2:$JU$231,INT(($N413+40)/0.5)+1,INT(($O413+30)/0.5)+1)),"OUTSIDE GRID"))</f>
        <v>DZA</v>
      </c>
      <c r="Q413">
        <f t="shared" si="76"/>
        <v>3109</v>
      </c>
    </row>
    <row r="414" spans="1:17" x14ac:dyDescent="0.3">
      <c r="A414">
        <f t="shared" si="66"/>
        <v>3</v>
      </c>
      <c r="B414">
        <f t="shared" si="67"/>
        <v>110</v>
      </c>
      <c r="C414" cm="1">
        <f t="array" ref="C414">IFERROR(INDEX('TRIP MANAGER'!$O$18:$O$25,$A414),"")</f>
        <v>30.111529999999998</v>
      </c>
      <c r="D414" cm="1">
        <f t="array" ref="D414">IFERROR(INDEX('TRIP MANAGER'!$P$18:$P$25,$A414),"")</f>
        <v>31.39669</v>
      </c>
      <c r="E414" cm="1">
        <f t="array" ref="E414">IFERROR(INDEX('TRIP MANAGER'!$Q$18:$Q$25,$A414),"")</f>
        <v>30.322479999999999</v>
      </c>
      <c r="F414" cm="1">
        <f t="array" ref="F414">IFERROR(INDEX('TRIP MANAGER'!$R$18:$R$25,$A414),"")</f>
        <v>-9.4120000000000008</v>
      </c>
      <c r="G414" cm="1">
        <f t="array" ref="G414">IFERROR(INDEX('TRIP MANAGER'!$S$18:$S$25,$A414),"")</f>
        <v>0.61206181805380777</v>
      </c>
      <c r="H414">
        <f t="shared" si="68"/>
        <v>0.73333333333333328</v>
      </c>
      <c r="I414">
        <f t="shared" si="69"/>
        <v>0.28281441707560434</v>
      </c>
      <c r="J414">
        <f t="shared" si="70"/>
        <v>0.7552359947808055</v>
      </c>
      <c r="K414">
        <f t="shared" si="71"/>
        <v>0.85196918240126163</v>
      </c>
      <c r="L414">
        <f t="shared" si="72"/>
        <v>2.0842478680480669E-2</v>
      </c>
      <c r="M414">
        <f t="shared" si="73"/>
        <v>0.52317693309336477</v>
      </c>
      <c r="N414">
        <f t="shared" si="74"/>
        <v>31.545596173266365</v>
      </c>
      <c r="O414">
        <f t="shared" si="75"/>
        <v>1.4013980086067617</v>
      </c>
      <c r="P414" t="str" cm="1">
        <f t="array" ref="P414">IF($N414="","",IFERROR(IF(INDEX(geo_grid!$B$2:$JU$231,INT(($N414+40)/0.5)+1,INT(($O414+30)/0.5)+1)="","",INDEX(geo_grid!$B$2:$JU$231,INT(($N414+40)/0.5)+1,INT(($O414+30)/0.5)+1)),"OUTSIDE GRID"))</f>
        <v>DZA</v>
      </c>
      <c r="Q414">
        <f t="shared" si="76"/>
        <v>3110</v>
      </c>
    </row>
    <row r="415" spans="1:17" x14ac:dyDescent="0.3">
      <c r="A415">
        <f t="shared" si="66"/>
        <v>3</v>
      </c>
      <c r="B415">
        <f t="shared" si="67"/>
        <v>111</v>
      </c>
      <c r="C415" cm="1">
        <f t="array" ref="C415">IFERROR(INDEX('TRIP MANAGER'!$O$18:$O$25,$A415),"")</f>
        <v>30.111529999999998</v>
      </c>
      <c r="D415" cm="1">
        <f t="array" ref="D415">IFERROR(INDEX('TRIP MANAGER'!$P$18:$P$25,$A415),"")</f>
        <v>31.39669</v>
      </c>
      <c r="E415" cm="1">
        <f t="array" ref="E415">IFERROR(INDEX('TRIP MANAGER'!$Q$18:$Q$25,$A415),"")</f>
        <v>30.322479999999999</v>
      </c>
      <c r="F415" cm="1">
        <f t="array" ref="F415">IFERROR(INDEX('TRIP MANAGER'!$R$18:$R$25,$A415),"")</f>
        <v>-9.4120000000000008</v>
      </c>
      <c r="G415" cm="1">
        <f t="array" ref="G415">IFERROR(INDEX('TRIP MANAGER'!$S$18:$S$25,$A415),"")</f>
        <v>0.61206181805380777</v>
      </c>
      <c r="H415">
        <f t="shared" si="68"/>
        <v>0.74</v>
      </c>
      <c r="I415">
        <f t="shared" si="69"/>
        <v>0.27580461739433459</v>
      </c>
      <c r="J415">
        <f t="shared" si="70"/>
        <v>0.76162809280727395</v>
      </c>
      <c r="K415">
        <f t="shared" si="71"/>
        <v>0.85223657682773368</v>
      </c>
      <c r="L415">
        <f t="shared" si="72"/>
        <v>1.6781149084891395E-2</v>
      </c>
      <c r="M415">
        <f t="shared" si="73"/>
        <v>0.52288737807709296</v>
      </c>
      <c r="N415">
        <f t="shared" si="74"/>
        <v>31.526131162738245</v>
      </c>
      <c r="O415">
        <f t="shared" si="75"/>
        <v>1.1280491928600984</v>
      </c>
      <c r="P415" t="str" cm="1">
        <f t="array" ref="P415">IF($N415="","",IFERROR(IF(INDEX(geo_grid!$B$2:$JU$231,INT(($N415+40)/0.5)+1,INT(($O415+30)/0.5)+1)="","",INDEX(geo_grid!$B$2:$JU$231,INT(($N415+40)/0.5)+1,INT(($O415+30)/0.5)+1)),"OUTSIDE GRID"))</f>
        <v>DZA</v>
      </c>
      <c r="Q415">
        <f t="shared" si="76"/>
        <v>3111</v>
      </c>
    </row>
    <row r="416" spans="1:17" x14ac:dyDescent="0.3">
      <c r="A416">
        <f t="shared" si="66"/>
        <v>3</v>
      </c>
      <c r="B416">
        <f t="shared" si="67"/>
        <v>112</v>
      </c>
      <c r="C416" cm="1">
        <f t="array" ref="C416">IFERROR(INDEX('TRIP MANAGER'!$O$18:$O$25,$A416),"")</f>
        <v>30.111529999999998</v>
      </c>
      <c r="D416" cm="1">
        <f t="array" ref="D416">IFERROR(INDEX('TRIP MANAGER'!$P$18:$P$25,$A416),"")</f>
        <v>31.39669</v>
      </c>
      <c r="E416" cm="1">
        <f t="array" ref="E416">IFERROR(INDEX('TRIP MANAGER'!$Q$18:$Q$25,$A416),"")</f>
        <v>30.322479999999999</v>
      </c>
      <c r="F416" cm="1">
        <f t="array" ref="F416">IFERROR(INDEX('TRIP MANAGER'!$R$18:$R$25,$A416),"")</f>
        <v>-9.4120000000000008</v>
      </c>
      <c r="G416" cm="1">
        <f t="array" ref="G416">IFERROR(INDEX('TRIP MANAGER'!$S$18:$S$25,$A416),"")</f>
        <v>0.61206181805380777</v>
      </c>
      <c r="H416">
        <f t="shared" si="68"/>
        <v>0.7466666666666667</v>
      </c>
      <c r="I416">
        <f t="shared" si="69"/>
        <v>0.26879022563790245</v>
      </c>
      <c r="J416">
        <f t="shared" si="70"/>
        <v>0.76800750992404265</v>
      </c>
      <c r="K416">
        <f t="shared" si="71"/>
        <v>0.85248978173680801</v>
      </c>
      <c r="L416">
        <f t="shared" si="72"/>
        <v>1.271954008753344E-2</v>
      </c>
      <c r="M416">
        <f t="shared" si="73"/>
        <v>0.52258911712194211</v>
      </c>
      <c r="N416">
        <f t="shared" si="74"/>
        <v>31.506085145591864</v>
      </c>
      <c r="O416">
        <f t="shared" si="75"/>
        <v>0.85481598387221225</v>
      </c>
      <c r="P416" t="str" cm="1">
        <f t="array" ref="P416">IF($N416="","",IFERROR(IF(INDEX(geo_grid!$B$2:$JU$231,INT(($N416+40)/0.5)+1,INT(($O416+30)/0.5)+1)="","",INDEX(geo_grid!$B$2:$JU$231,INT(($N416+40)/0.5)+1,INT(($O416+30)/0.5)+1)),"OUTSIDE GRID"))</f>
        <v>DZA</v>
      </c>
      <c r="Q416">
        <f t="shared" si="76"/>
        <v>3112</v>
      </c>
    </row>
    <row r="417" spans="1:17" x14ac:dyDescent="0.3">
      <c r="A417">
        <f t="shared" si="66"/>
        <v>3</v>
      </c>
      <c r="B417">
        <f t="shared" si="67"/>
        <v>113</v>
      </c>
      <c r="C417" cm="1">
        <f t="array" ref="C417">IFERROR(INDEX('TRIP MANAGER'!$O$18:$O$25,$A417),"")</f>
        <v>30.111529999999998</v>
      </c>
      <c r="D417" cm="1">
        <f t="array" ref="D417">IFERROR(INDEX('TRIP MANAGER'!$P$18:$P$25,$A417),"")</f>
        <v>31.39669</v>
      </c>
      <c r="E417" cm="1">
        <f t="array" ref="E417">IFERROR(INDEX('TRIP MANAGER'!$Q$18:$Q$25,$A417),"")</f>
        <v>30.322479999999999</v>
      </c>
      <c r="F417" cm="1">
        <f t="array" ref="F417">IFERROR(INDEX('TRIP MANAGER'!$R$18:$R$25,$A417),"")</f>
        <v>-9.4120000000000008</v>
      </c>
      <c r="G417" cm="1">
        <f t="array" ref="G417">IFERROR(INDEX('TRIP MANAGER'!$S$18:$S$25,$A417),"")</f>
        <v>0.61206181805380777</v>
      </c>
      <c r="H417">
        <f t="shared" si="68"/>
        <v>0.7533333333333333</v>
      </c>
      <c r="I417">
        <f t="shared" si="69"/>
        <v>0.26177135859410688</v>
      </c>
      <c r="J417">
        <f t="shared" si="70"/>
        <v>0.77437413991547543</v>
      </c>
      <c r="K417">
        <f t="shared" si="71"/>
        <v>0.85272879291268855</v>
      </c>
      <c r="L417">
        <f t="shared" si="72"/>
        <v>8.6577193131405356E-3</v>
      </c>
      <c r="M417">
        <f t="shared" si="73"/>
        <v>0.52228215519387966</v>
      </c>
      <c r="N417">
        <f t="shared" si="74"/>
        <v>31.485458826839469</v>
      </c>
      <c r="O417">
        <f t="shared" si="75"/>
        <v>0.58170163515356921</v>
      </c>
      <c r="P417" t="str" cm="1">
        <f t="array" ref="P417">IF($N417="","",IFERROR(IF(INDEX(geo_grid!$B$2:$JU$231,INT(($N417+40)/0.5)+1,INT(($O417+30)/0.5)+1)="","",INDEX(geo_grid!$B$2:$JU$231,INT(($N417+40)/0.5)+1,INT(($O417+30)/0.5)+1)),"OUTSIDE GRID"))</f>
        <v>DZA</v>
      </c>
      <c r="Q417">
        <f t="shared" si="76"/>
        <v>3113</v>
      </c>
    </row>
    <row r="418" spans="1:17" x14ac:dyDescent="0.3">
      <c r="A418">
        <f t="shared" si="66"/>
        <v>3</v>
      </c>
      <c r="B418">
        <f t="shared" si="67"/>
        <v>114</v>
      </c>
      <c r="C418" cm="1">
        <f t="array" ref="C418">IFERROR(INDEX('TRIP MANAGER'!$O$18:$O$25,$A418),"")</f>
        <v>30.111529999999998</v>
      </c>
      <c r="D418" cm="1">
        <f t="array" ref="D418">IFERROR(INDEX('TRIP MANAGER'!$P$18:$P$25,$A418),"")</f>
        <v>31.39669</v>
      </c>
      <c r="E418" cm="1">
        <f t="array" ref="E418">IFERROR(INDEX('TRIP MANAGER'!$Q$18:$Q$25,$A418),"")</f>
        <v>30.322479999999999</v>
      </c>
      <c r="F418" cm="1">
        <f t="array" ref="F418">IFERROR(INDEX('TRIP MANAGER'!$R$18:$R$25,$A418),"")</f>
        <v>-9.4120000000000008</v>
      </c>
      <c r="G418" cm="1">
        <f t="array" ref="G418">IFERROR(INDEX('TRIP MANAGER'!$S$18:$S$25,$A418),"")</f>
        <v>0.61206181805380777</v>
      </c>
      <c r="H418">
        <f t="shared" si="68"/>
        <v>0.76</v>
      </c>
      <c r="I418">
        <f t="shared" si="69"/>
        <v>0.25474813312525879</v>
      </c>
      <c r="J418">
        <f t="shared" si="70"/>
        <v>0.7807278767788387</v>
      </c>
      <c r="K418">
        <f t="shared" si="71"/>
        <v>0.85295360637590156</v>
      </c>
      <c r="L418">
        <f t="shared" si="72"/>
        <v>4.5957543899722703E-3</v>
      </c>
      <c r="M418">
        <f t="shared" si="73"/>
        <v>0.5219664974037419</v>
      </c>
      <c r="N418">
        <f t="shared" si="74"/>
        <v>31.464252930974876</v>
      </c>
      <c r="O418">
        <f t="shared" si="75"/>
        <v>0.30870938369177459</v>
      </c>
      <c r="P418" t="str" cm="1">
        <f t="array" ref="P418">IF($N418="","",IFERROR(IF(INDEX(geo_grid!$B$2:$JU$231,INT(($N418+40)/0.5)+1,INT(($O418+30)/0.5)+1)="","",INDEX(geo_grid!$B$2:$JU$231,INT(($N418+40)/0.5)+1,INT(($O418+30)/0.5)+1)),"OUTSIDE GRID"))</f>
        <v>DZA</v>
      </c>
      <c r="Q418">
        <f t="shared" si="76"/>
        <v>3114</v>
      </c>
    </row>
    <row r="419" spans="1:17" x14ac:dyDescent="0.3">
      <c r="A419">
        <f t="shared" si="66"/>
        <v>3</v>
      </c>
      <c r="B419">
        <f t="shared" si="67"/>
        <v>115</v>
      </c>
      <c r="C419" cm="1">
        <f t="array" ref="C419">IFERROR(INDEX('TRIP MANAGER'!$O$18:$O$25,$A419),"")</f>
        <v>30.111529999999998</v>
      </c>
      <c r="D419" cm="1">
        <f t="array" ref="D419">IFERROR(INDEX('TRIP MANAGER'!$P$18:$P$25,$A419),"")</f>
        <v>31.39669</v>
      </c>
      <c r="E419" cm="1">
        <f t="array" ref="E419">IFERROR(INDEX('TRIP MANAGER'!$Q$18:$Q$25,$A419),"")</f>
        <v>30.322479999999999</v>
      </c>
      <c r="F419" cm="1">
        <f t="array" ref="F419">IFERROR(INDEX('TRIP MANAGER'!$R$18:$R$25,$A419),"")</f>
        <v>-9.4120000000000008</v>
      </c>
      <c r="G419" cm="1">
        <f t="array" ref="G419">IFERROR(INDEX('TRIP MANAGER'!$S$18:$S$25,$A419),"")</f>
        <v>0.61206181805380777</v>
      </c>
      <c r="H419">
        <f t="shared" si="68"/>
        <v>0.76666666666666672</v>
      </c>
      <c r="I419">
        <f t="shared" si="69"/>
        <v>0.24772066616623617</v>
      </c>
      <c r="J419">
        <f t="shared" si="70"/>
        <v>0.78706861472606549</v>
      </c>
      <c r="K419">
        <f t="shared" si="71"/>
        <v>0.85316421838336121</v>
      </c>
      <c r="L419">
        <f t="shared" si="72"/>
        <v>5.3371294868846675E-4</v>
      </c>
      <c r="M419">
        <f t="shared" si="73"/>
        <v>0.52164214900714878</v>
      </c>
      <c r="N419">
        <f t="shared" si="74"/>
        <v>31.442468201870529</v>
      </c>
      <c r="O419">
        <f t="shared" si="75"/>
        <v>3.5842449534885398E-2</v>
      </c>
      <c r="P419" t="str" cm="1">
        <f t="array" ref="P419">IF($N419="","",IFERROR(IF(INDEX(geo_grid!$B$2:$JU$231,INT(($N419+40)/0.5)+1,INT(($O419+30)/0.5)+1)="","",INDEX(geo_grid!$B$2:$JU$231,INT(($N419+40)/0.5)+1,INT(($O419+30)/0.5)+1)),"OUTSIDE GRID"))</f>
        <v>DZA</v>
      </c>
      <c r="Q419">
        <f t="shared" si="76"/>
        <v>3115</v>
      </c>
    </row>
    <row r="420" spans="1:17" x14ac:dyDescent="0.3">
      <c r="A420">
        <f t="shared" si="66"/>
        <v>3</v>
      </c>
      <c r="B420">
        <f t="shared" si="67"/>
        <v>116</v>
      </c>
      <c r="C420" cm="1">
        <f t="array" ref="C420">IFERROR(INDEX('TRIP MANAGER'!$O$18:$O$25,$A420),"")</f>
        <v>30.111529999999998</v>
      </c>
      <c r="D420" cm="1">
        <f t="array" ref="D420">IFERROR(INDEX('TRIP MANAGER'!$P$18:$P$25,$A420),"")</f>
        <v>31.39669</v>
      </c>
      <c r="E420" cm="1">
        <f t="array" ref="E420">IFERROR(INDEX('TRIP MANAGER'!$Q$18:$Q$25,$A420),"")</f>
        <v>30.322479999999999</v>
      </c>
      <c r="F420" cm="1">
        <f t="array" ref="F420">IFERROR(INDEX('TRIP MANAGER'!$R$18:$R$25,$A420),"")</f>
        <v>-9.4120000000000008</v>
      </c>
      <c r="G420" cm="1">
        <f t="array" ref="G420">IFERROR(INDEX('TRIP MANAGER'!$S$18:$S$25,$A420),"")</f>
        <v>0.61206181805380777</v>
      </c>
      <c r="H420">
        <f t="shared" si="68"/>
        <v>0.77333333333333332</v>
      </c>
      <c r="I420">
        <f t="shared" si="69"/>
        <v>0.24068907472253656</v>
      </c>
      <c r="J420">
        <f t="shared" si="70"/>
        <v>0.7933962481855179</v>
      </c>
      <c r="K420">
        <f t="shared" si="71"/>
        <v>0.8533606254284325</v>
      </c>
      <c r="L420">
        <f t="shared" si="72"/>
        <v>-3.5283373787771133E-3</v>
      </c>
      <c r="M420">
        <f t="shared" si="73"/>
        <v>0.52130911540441693</v>
      </c>
      <c r="N420">
        <f t="shared" si="74"/>
        <v>31.420105402671993</v>
      </c>
      <c r="O420">
        <f t="shared" si="75"/>
        <v>-0.23689596462032561</v>
      </c>
      <c r="P420" t="str" cm="1">
        <f t="array" ref="P420">IF($N420="","",IFERROR(IF(INDEX(geo_grid!$B$2:$JU$231,INT(($N420+40)/0.5)+1,INT(($O420+30)/0.5)+1)="","",INDEX(geo_grid!$B$2:$JU$231,INT(($N420+40)/0.5)+1,INT(($O420+30)/0.5)+1)),"OUTSIDE GRID"))</f>
        <v>DZA</v>
      </c>
      <c r="Q420">
        <f t="shared" si="76"/>
        <v>3116</v>
      </c>
    </row>
    <row r="421" spans="1:17" x14ac:dyDescent="0.3">
      <c r="A421">
        <f t="shared" si="66"/>
        <v>3</v>
      </c>
      <c r="B421">
        <f t="shared" si="67"/>
        <v>117</v>
      </c>
      <c r="C421" cm="1">
        <f t="array" ref="C421">IFERROR(INDEX('TRIP MANAGER'!$O$18:$O$25,$A421),"")</f>
        <v>30.111529999999998</v>
      </c>
      <c r="D421" cm="1">
        <f t="array" ref="D421">IFERROR(INDEX('TRIP MANAGER'!$P$18:$P$25,$A421),"")</f>
        <v>31.39669</v>
      </c>
      <c r="E421" cm="1">
        <f t="array" ref="E421">IFERROR(INDEX('TRIP MANAGER'!$Q$18:$Q$25,$A421),"")</f>
        <v>30.322479999999999</v>
      </c>
      <c r="F421" cm="1">
        <f t="array" ref="F421">IFERROR(INDEX('TRIP MANAGER'!$R$18:$R$25,$A421),"")</f>
        <v>-9.4120000000000008</v>
      </c>
      <c r="G421" cm="1">
        <f t="array" ref="G421">IFERROR(INDEX('TRIP MANAGER'!$S$18:$S$25,$A421),"")</f>
        <v>0.61206181805380777</v>
      </c>
      <c r="H421">
        <f t="shared" si="68"/>
        <v>0.78</v>
      </c>
      <c r="I421">
        <f t="shared" si="69"/>
        <v>0.23365347586832899</v>
      </c>
      <c r="J421">
        <f t="shared" si="70"/>
        <v>0.79971067180374455</v>
      </c>
      <c r="K421">
        <f t="shared" si="71"/>
        <v>0.85354282424098926</v>
      </c>
      <c r="L421">
        <f t="shared" si="72"/>
        <v>-7.5903289603428542E-3</v>
      </c>
      <c r="M421">
        <f t="shared" si="73"/>
        <v>0.52096740214046944</v>
      </c>
      <c r="N421">
        <f t="shared" si="74"/>
        <v>31.397165315690064</v>
      </c>
      <c r="O421">
        <f t="shared" si="75"/>
        <v>-0.50950267383498937</v>
      </c>
      <c r="P421" t="str" cm="1">
        <f t="array" ref="P421">IF($N421="","",IFERROR(IF(INDEX(geo_grid!$B$2:$JU$231,INT(($N421+40)/0.5)+1,INT(($O421+30)/0.5)+1)="","",INDEX(geo_grid!$B$2:$JU$231,INT(($N421+40)/0.5)+1,INT(($O421+30)/0.5)+1)),"OUTSIDE GRID"))</f>
        <v>DZA</v>
      </c>
      <c r="Q421">
        <f t="shared" si="76"/>
        <v>3117</v>
      </c>
    </row>
    <row r="422" spans="1:17" x14ac:dyDescent="0.3">
      <c r="A422">
        <f t="shared" si="66"/>
        <v>3</v>
      </c>
      <c r="B422">
        <f t="shared" si="67"/>
        <v>118</v>
      </c>
      <c r="C422" cm="1">
        <f t="array" ref="C422">IFERROR(INDEX('TRIP MANAGER'!$O$18:$O$25,$A422),"")</f>
        <v>30.111529999999998</v>
      </c>
      <c r="D422" cm="1">
        <f t="array" ref="D422">IFERROR(INDEX('TRIP MANAGER'!$P$18:$P$25,$A422),"")</f>
        <v>31.39669</v>
      </c>
      <c r="E422" cm="1">
        <f t="array" ref="E422">IFERROR(INDEX('TRIP MANAGER'!$Q$18:$Q$25,$A422),"")</f>
        <v>30.322479999999999</v>
      </c>
      <c r="F422" cm="1">
        <f t="array" ref="F422">IFERROR(INDEX('TRIP MANAGER'!$R$18:$R$25,$A422),"")</f>
        <v>-9.4120000000000008</v>
      </c>
      <c r="G422" cm="1">
        <f t="array" ref="G422">IFERROR(INDEX('TRIP MANAGER'!$S$18:$S$25,$A422),"")</f>
        <v>0.61206181805380777</v>
      </c>
      <c r="H422">
        <f t="shared" si="68"/>
        <v>0.78666666666666663</v>
      </c>
      <c r="I422">
        <f t="shared" si="69"/>
        <v>0.22661398674450497</v>
      </c>
      <c r="J422">
        <f t="shared" si="70"/>
        <v>0.80601178044723343</v>
      </c>
      <c r="K422">
        <f t="shared" si="71"/>
        <v>0.85371081178746822</v>
      </c>
      <c r="L422">
        <f t="shared" si="72"/>
        <v>-1.1652194164905066E-2</v>
      </c>
      <c r="M422">
        <f t="shared" si="73"/>
        <v>0.52061701490474277</v>
      </c>
      <c r="N422">
        <f t="shared" si="74"/>
        <v>31.373648742290428</v>
      </c>
      <c r="O422">
        <f t="shared" si="75"/>
        <v>-0.78197451132953888</v>
      </c>
      <c r="P422" t="str" cm="1">
        <f t="array" ref="P422">IF($N422="","",IFERROR(IF(INDEX(geo_grid!$B$2:$JU$231,INT(($N422+40)/0.5)+1,INT(($O422+30)/0.5)+1)="","",INDEX(geo_grid!$B$2:$JU$231,INT(($N422+40)/0.5)+1,INT(($O422+30)/0.5)+1)),"OUTSIDE GRID"))</f>
        <v>DZA</v>
      </c>
      <c r="Q422">
        <f t="shared" si="76"/>
        <v>3118</v>
      </c>
    </row>
    <row r="423" spans="1:17" x14ac:dyDescent="0.3">
      <c r="A423">
        <f t="shared" si="66"/>
        <v>3</v>
      </c>
      <c r="B423">
        <f t="shared" si="67"/>
        <v>119</v>
      </c>
      <c r="C423" cm="1">
        <f t="array" ref="C423">IFERROR(INDEX('TRIP MANAGER'!$O$18:$O$25,$A423),"")</f>
        <v>30.111529999999998</v>
      </c>
      <c r="D423" cm="1">
        <f t="array" ref="D423">IFERROR(INDEX('TRIP MANAGER'!$P$18:$P$25,$A423),"")</f>
        <v>31.39669</v>
      </c>
      <c r="E423" cm="1">
        <f t="array" ref="E423">IFERROR(INDEX('TRIP MANAGER'!$Q$18:$Q$25,$A423),"")</f>
        <v>30.322479999999999</v>
      </c>
      <c r="F423" cm="1">
        <f t="array" ref="F423">IFERROR(INDEX('TRIP MANAGER'!$R$18:$R$25,$A423),"")</f>
        <v>-9.4120000000000008</v>
      </c>
      <c r="G423" cm="1">
        <f t="array" ref="G423">IFERROR(INDEX('TRIP MANAGER'!$S$18:$S$25,$A423),"")</f>
        <v>0.61206181805380777</v>
      </c>
      <c r="H423">
        <f t="shared" si="68"/>
        <v>0.79333333333333333</v>
      </c>
      <c r="I423">
        <f t="shared" si="69"/>
        <v>0.21957072455672785</v>
      </c>
      <c r="J423">
        <f t="shared" si="70"/>
        <v>0.81229946920416474</v>
      </c>
      <c r="K423">
        <f t="shared" si="71"/>
        <v>0.8538645852709208</v>
      </c>
      <c r="L423">
        <f t="shared" si="72"/>
        <v>-1.5713865363464391E-2</v>
      </c>
      <c r="M423">
        <f t="shared" si="73"/>
        <v>0.52025795953109366</v>
      </c>
      <c r="N423">
        <f t="shared" si="74"/>
        <v>31.349556502781038</v>
      </c>
      <c r="O423">
        <f t="shared" si="75"/>
        <v>-1.0543083288798494</v>
      </c>
      <c r="P423" t="str" cm="1">
        <f t="array" ref="P423">IF($N423="","",IFERROR(IF(INDEX(geo_grid!$B$2:$JU$231,INT(($N423+40)/0.5)+1,INT(($O423+30)/0.5)+1)="","",INDEX(geo_grid!$B$2:$JU$231,INT(($N423+40)/0.5)+1,INT(($O423+30)/0.5)+1)),"OUTSIDE GRID"))</f>
        <v>DZA</v>
      </c>
      <c r="Q423">
        <f t="shared" si="76"/>
        <v>3119</v>
      </c>
    </row>
    <row r="424" spans="1:17" x14ac:dyDescent="0.3">
      <c r="A424">
        <f t="shared" si="66"/>
        <v>3</v>
      </c>
      <c r="B424">
        <f t="shared" si="67"/>
        <v>120</v>
      </c>
      <c r="C424" cm="1">
        <f t="array" ref="C424">IFERROR(INDEX('TRIP MANAGER'!$O$18:$O$25,$A424),"")</f>
        <v>30.111529999999998</v>
      </c>
      <c r="D424" cm="1">
        <f t="array" ref="D424">IFERROR(INDEX('TRIP MANAGER'!$P$18:$P$25,$A424),"")</f>
        <v>31.39669</v>
      </c>
      <c r="E424" cm="1">
        <f t="array" ref="E424">IFERROR(INDEX('TRIP MANAGER'!$Q$18:$Q$25,$A424),"")</f>
        <v>30.322479999999999</v>
      </c>
      <c r="F424" cm="1">
        <f t="array" ref="F424">IFERROR(INDEX('TRIP MANAGER'!$R$18:$R$25,$A424),"")</f>
        <v>-9.4120000000000008</v>
      </c>
      <c r="G424" cm="1">
        <f t="array" ref="G424">IFERROR(INDEX('TRIP MANAGER'!$S$18:$S$25,$A424),"")</f>
        <v>0.61206181805380777</v>
      </c>
      <c r="H424">
        <f t="shared" si="68"/>
        <v>0.8</v>
      </c>
      <c r="I424">
        <f t="shared" si="69"/>
        <v>0.21252380657348163</v>
      </c>
      <c r="J424">
        <f t="shared" si="70"/>
        <v>0.81857363338615541</v>
      </c>
      <c r="K424">
        <f t="shared" si="71"/>
        <v>0.85400414213105824</v>
      </c>
      <c r="L424">
        <f t="shared" si="72"/>
        <v>-1.9775274930251482E-2</v>
      </c>
      <c r="M424">
        <f t="shared" si="73"/>
        <v>0.51989024199770073</v>
      </c>
      <c r="N424">
        <f t="shared" si="74"/>
        <v>31.324889436297109</v>
      </c>
      <c r="O424">
        <f t="shared" si="75"/>
        <v>-1.32650099720794</v>
      </c>
      <c r="P424" t="str" cm="1">
        <f t="array" ref="P424">IF($N424="","",IFERROR(IF(INDEX(geo_grid!$B$2:$JU$231,INT(($N424+40)/0.5)+1,INT(($O424+30)/0.5)+1)="","",INDEX(geo_grid!$B$2:$JU$231,INT(($N424+40)/0.5)+1,INT(($O424+30)/0.5)+1)),"OUTSIDE GRID"))</f>
        <v>DZA</v>
      </c>
      <c r="Q424">
        <f t="shared" si="76"/>
        <v>3120</v>
      </c>
    </row>
    <row r="425" spans="1:17" x14ac:dyDescent="0.3">
      <c r="A425">
        <f t="shared" si="66"/>
        <v>3</v>
      </c>
      <c r="B425">
        <f t="shared" si="67"/>
        <v>121</v>
      </c>
      <c r="C425" cm="1">
        <f t="array" ref="C425">IFERROR(INDEX('TRIP MANAGER'!$O$18:$O$25,$A425),"")</f>
        <v>30.111529999999998</v>
      </c>
      <c r="D425" cm="1">
        <f t="array" ref="D425">IFERROR(INDEX('TRIP MANAGER'!$P$18:$P$25,$A425),"")</f>
        <v>31.39669</v>
      </c>
      <c r="E425" cm="1">
        <f t="array" ref="E425">IFERROR(INDEX('TRIP MANAGER'!$Q$18:$Q$25,$A425),"")</f>
        <v>30.322479999999999</v>
      </c>
      <c r="F425" cm="1">
        <f t="array" ref="F425">IFERROR(INDEX('TRIP MANAGER'!$R$18:$R$25,$A425),"")</f>
        <v>-9.4120000000000008</v>
      </c>
      <c r="G425" cm="1">
        <f t="array" ref="G425">IFERROR(INDEX('TRIP MANAGER'!$S$18:$S$25,$A425),"")</f>
        <v>0.61206181805380777</v>
      </c>
      <c r="H425">
        <f t="shared" si="68"/>
        <v>0.80666666666666664</v>
      </c>
      <c r="I425">
        <f t="shared" si="69"/>
        <v>0.20547335012411849</v>
      </c>
      <c r="J425">
        <f t="shared" si="70"/>
        <v>0.82483416853000313</v>
      </c>
      <c r="K425">
        <f t="shared" si="71"/>
        <v>0.85412948004429545</v>
      </c>
      <c r="L425">
        <f t="shared" si="72"/>
        <v>-2.3836355243853108E-2</v>
      </c>
      <c r="M425">
        <f t="shared" si="73"/>
        <v>0.51951386842696512</v>
      </c>
      <c r="N425">
        <f t="shared" si="74"/>
        <v>31.2996484006838</v>
      </c>
      <c r="O425">
        <f t="shared" si="75"/>
        <v>-1.5985494063672163</v>
      </c>
      <c r="P425" t="str" cm="1">
        <f t="array" ref="P425">IF($N425="","",IFERROR(IF(INDEX(geo_grid!$B$2:$JU$231,INT(($N425+40)/0.5)+1,INT(($O425+30)/0.5)+1)="","",INDEX(geo_grid!$B$2:$JU$231,INT(($N425+40)/0.5)+1,INT(($O425+30)/0.5)+1)),"OUTSIDE GRID"))</f>
        <v>DZA</v>
      </c>
      <c r="Q425">
        <f t="shared" si="76"/>
        <v>3121</v>
      </c>
    </row>
    <row r="426" spans="1:17" x14ac:dyDescent="0.3">
      <c r="A426">
        <f t="shared" si="66"/>
        <v>3</v>
      </c>
      <c r="B426">
        <f t="shared" si="67"/>
        <v>122</v>
      </c>
      <c r="C426" cm="1">
        <f t="array" ref="C426">IFERROR(INDEX('TRIP MANAGER'!$O$18:$O$25,$A426),"")</f>
        <v>30.111529999999998</v>
      </c>
      <c r="D426" cm="1">
        <f t="array" ref="D426">IFERROR(INDEX('TRIP MANAGER'!$P$18:$P$25,$A426),"")</f>
        <v>31.39669</v>
      </c>
      <c r="E426" cm="1">
        <f t="array" ref="E426">IFERROR(INDEX('TRIP MANAGER'!$Q$18:$Q$25,$A426),"")</f>
        <v>30.322479999999999</v>
      </c>
      <c r="F426" cm="1">
        <f t="array" ref="F426">IFERROR(INDEX('TRIP MANAGER'!$R$18:$R$25,$A426),"")</f>
        <v>-9.4120000000000008</v>
      </c>
      <c r="G426" cm="1">
        <f t="array" ref="G426">IFERROR(INDEX('TRIP MANAGER'!$S$18:$S$25,$A426),"")</f>
        <v>0.61206181805380777</v>
      </c>
      <c r="H426">
        <f t="shared" si="68"/>
        <v>0.81333333333333335</v>
      </c>
      <c r="I426">
        <f t="shared" si="69"/>
        <v>0.19841947259690479</v>
      </c>
      <c r="J426">
        <f t="shared" si="70"/>
        <v>0.83108097039942597</v>
      </c>
      <c r="K426">
        <f t="shared" si="71"/>
        <v>0.85424059692378851</v>
      </c>
      <c r="L426">
        <f t="shared" si="72"/>
        <v>-2.7897038688338066E-2</v>
      </c>
      <c r="M426">
        <f t="shared" si="73"/>
        <v>0.51912884508540902</v>
      </c>
      <c r="N426">
        <f t="shared" si="74"/>
        <v>31.273834272376746</v>
      </c>
      <c r="O426">
        <f t="shared" si="75"/>
        <v>-1.8704504661221333</v>
      </c>
      <c r="P426" t="str" cm="1">
        <f t="array" ref="P426">IF($N426="","",IFERROR(IF(INDEX(geo_grid!$B$2:$JU$231,INT(($N426+40)/0.5)+1,INT(($O426+30)/0.5)+1)="","",INDEX(geo_grid!$B$2:$JU$231,INT(($N426+40)/0.5)+1,INT(($O426+30)/0.5)+1)),"OUTSIDE GRID"))</f>
        <v>DZA</v>
      </c>
      <c r="Q426">
        <f t="shared" si="76"/>
        <v>3122</v>
      </c>
    </row>
    <row r="427" spans="1:17" x14ac:dyDescent="0.3">
      <c r="A427">
        <f t="shared" si="66"/>
        <v>3</v>
      </c>
      <c r="B427">
        <f t="shared" si="67"/>
        <v>123</v>
      </c>
      <c r="C427" cm="1">
        <f t="array" ref="C427">IFERROR(INDEX('TRIP MANAGER'!$O$18:$O$25,$A427),"")</f>
        <v>30.111529999999998</v>
      </c>
      <c r="D427" cm="1">
        <f t="array" ref="D427">IFERROR(INDEX('TRIP MANAGER'!$P$18:$P$25,$A427),"")</f>
        <v>31.39669</v>
      </c>
      <c r="E427" cm="1">
        <f t="array" ref="E427">IFERROR(INDEX('TRIP MANAGER'!$Q$18:$Q$25,$A427),"")</f>
        <v>30.322479999999999</v>
      </c>
      <c r="F427" cm="1">
        <f t="array" ref="F427">IFERROR(INDEX('TRIP MANAGER'!$R$18:$R$25,$A427),"")</f>
        <v>-9.4120000000000008</v>
      </c>
      <c r="G427" cm="1">
        <f t="array" ref="G427">IFERROR(INDEX('TRIP MANAGER'!$S$18:$S$25,$A427),"")</f>
        <v>0.61206181805380777</v>
      </c>
      <c r="H427">
        <f t="shared" si="68"/>
        <v>0.82</v>
      </c>
      <c r="I427">
        <f t="shared" si="69"/>
        <v>0.19136229143706729</v>
      </c>
      <c r="J427">
        <f t="shared" si="70"/>
        <v>0.83731393498679685</v>
      </c>
      <c r="K427">
        <f t="shared" si="71"/>
        <v>0.85433749091947031</v>
      </c>
      <c r="L427">
        <f t="shared" si="72"/>
        <v>-3.1957257654382884E-2</v>
      </c>
      <c r="M427">
        <f t="shared" si="73"/>
        <v>0.51873517838357086</v>
      </c>
      <c r="N427">
        <f t="shared" si="74"/>
        <v>31.247447946280317</v>
      </c>
      <c r="O427">
        <f t="shared" si="75"/>
        <v>-2.1422011063221826</v>
      </c>
      <c r="P427" t="str" cm="1">
        <f t="array" ref="P427">IF($N427="","",IFERROR(IF(INDEX(geo_grid!$B$2:$JU$231,INT(($N427+40)/0.5)+1,INT(($O427+30)/0.5)+1)="","",INDEX(geo_grid!$B$2:$JU$231,INT(($N427+40)/0.5)+1,INT(($O427+30)/0.5)+1)),"OUTSIDE GRID"))</f>
        <v>DZA</v>
      </c>
      <c r="Q427">
        <f t="shared" si="76"/>
        <v>3123</v>
      </c>
    </row>
    <row r="428" spans="1:17" x14ac:dyDescent="0.3">
      <c r="A428">
        <f t="shared" si="66"/>
        <v>3</v>
      </c>
      <c r="B428">
        <f t="shared" si="67"/>
        <v>124</v>
      </c>
      <c r="C428" cm="1">
        <f t="array" ref="C428">IFERROR(INDEX('TRIP MANAGER'!$O$18:$O$25,$A428),"")</f>
        <v>30.111529999999998</v>
      </c>
      <c r="D428" cm="1">
        <f t="array" ref="D428">IFERROR(INDEX('TRIP MANAGER'!$P$18:$P$25,$A428),"")</f>
        <v>31.39669</v>
      </c>
      <c r="E428" cm="1">
        <f t="array" ref="E428">IFERROR(INDEX('TRIP MANAGER'!$Q$18:$Q$25,$A428),"")</f>
        <v>30.322479999999999</v>
      </c>
      <c r="F428" cm="1">
        <f t="array" ref="F428">IFERROR(INDEX('TRIP MANAGER'!$R$18:$R$25,$A428),"")</f>
        <v>-9.4120000000000008</v>
      </c>
      <c r="G428" cm="1">
        <f t="array" ref="G428">IFERROR(INDEX('TRIP MANAGER'!$S$18:$S$25,$A428),"")</f>
        <v>0.61206181805380777</v>
      </c>
      <c r="H428">
        <f t="shared" si="68"/>
        <v>0.82666666666666666</v>
      </c>
      <c r="I428">
        <f t="shared" si="69"/>
        <v>0.18430192414483706</v>
      </c>
      <c r="J428">
        <f t="shared" si="70"/>
        <v>0.84353295851487653</v>
      </c>
      <c r="K428">
        <f t="shared" si="71"/>
        <v>0.854420160418081</v>
      </c>
      <c r="L428">
        <f t="shared" si="72"/>
        <v>-3.6016944540397652E-2</v>
      </c>
      <c r="M428">
        <f t="shared" si="73"/>
        <v>0.51833287487589907</v>
      </c>
      <c r="N428">
        <f t="shared" si="74"/>
        <v>31.22049033564376</v>
      </c>
      <c r="O428">
        <f t="shared" si="75"/>
        <v>-2.4137982772701485</v>
      </c>
      <c r="P428" t="str" cm="1">
        <f t="array" ref="P428">IF($N428="","",IFERROR(IF(INDEX(geo_grid!$B$2:$JU$231,INT(($N428+40)/0.5)+1,INT(($O428+30)/0.5)+1)="","",INDEX(geo_grid!$B$2:$JU$231,INT(($N428+40)/0.5)+1,INT(($O428+30)/0.5)+1)),"OUTSIDE GRID"))</f>
        <v>DZA</v>
      </c>
      <c r="Q428">
        <f t="shared" si="76"/>
        <v>3124</v>
      </c>
    </row>
    <row r="429" spans="1:17" x14ac:dyDescent="0.3">
      <c r="A429">
        <f t="shared" si="66"/>
        <v>3</v>
      </c>
      <c r="B429">
        <f t="shared" si="67"/>
        <v>125</v>
      </c>
      <c r="C429" cm="1">
        <f t="array" ref="C429">IFERROR(INDEX('TRIP MANAGER'!$O$18:$O$25,$A429),"")</f>
        <v>30.111529999999998</v>
      </c>
      <c r="D429" cm="1">
        <f t="array" ref="D429">IFERROR(INDEX('TRIP MANAGER'!$P$18:$P$25,$A429),"")</f>
        <v>31.39669</v>
      </c>
      <c r="E429" cm="1">
        <f t="array" ref="E429">IFERROR(INDEX('TRIP MANAGER'!$Q$18:$Q$25,$A429),"")</f>
        <v>30.322479999999999</v>
      </c>
      <c r="F429" cm="1">
        <f t="array" ref="F429">IFERROR(INDEX('TRIP MANAGER'!$R$18:$R$25,$A429),"")</f>
        <v>-9.4120000000000008</v>
      </c>
      <c r="G429" cm="1">
        <f t="array" ref="G429">IFERROR(INDEX('TRIP MANAGER'!$S$18:$S$25,$A429),"")</f>
        <v>0.61206181805380777</v>
      </c>
      <c r="H429">
        <f t="shared" si="68"/>
        <v>0.83333333333333337</v>
      </c>
      <c r="I429">
        <f t="shared" si="69"/>
        <v>0.17723848827349367</v>
      </c>
      <c r="J429">
        <f t="shared" si="70"/>
        <v>0.84973793743853998</v>
      </c>
      <c r="K429">
        <f t="shared" si="71"/>
        <v>0.85448860404319493</v>
      </c>
      <c r="L429">
        <f t="shared" si="72"/>
        <v>-4.0076031753651264E-2</v>
      </c>
      <c r="M429">
        <f t="shared" si="73"/>
        <v>0.51792194126064217</v>
      </c>
      <c r="N429">
        <f t="shared" si="74"/>
        <v>31.192962371935145</v>
      </c>
      <c r="O429">
        <f t="shared" si="75"/>
        <v>-2.6852389500845111</v>
      </c>
      <c r="P429" t="str" cm="1">
        <f t="array" ref="P429">IF($N429="","",IFERROR(IF(INDEX(geo_grid!$B$2:$JU$231,INT(($N429+40)/0.5)+1,INT(($O429+30)/0.5)+1)="","",INDEX(geo_grid!$B$2:$JU$231,INT(($N429+40)/0.5)+1,INT(($O429+30)/0.5)+1)),"OUTSIDE GRID"))</f>
        <v>DZA</v>
      </c>
      <c r="Q429">
        <f t="shared" si="76"/>
        <v>3125</v>
      </c>
    </row>
    <row r="430" spans="1:17" x14ac:dyDescent="0.3">
      <c r="A430">
        <f t="shared" si="66"/>
        <v>3</v>
      </c>
      <c r="B430">
        <f t="shared" si="67"/>
        <v>126</v>
      </c>
      <c r="C430" cm="1">
        <f t="array" ref="C430">IFERROR(INDEX('TRIP MANAGER'!$O$18:$O$25,$A430),"")</f>
        <v>30.111529999999998</v>
      </c>
      <c r="D430" cm="1">
        <f t="array" ref="D430">IFERROR(INDEX('TRIP MANAGER'!$P$18:$P$25,$A430),"")</f>
        <v>31.39669</v>
      </c>
      <c r="E430" cm="1">
        <f t="array" ref="E430">IFERROR(INDEX('TRIP MANAGER'!$Q$18:$Q$25,$A430),"")</f>
        <v>30.322479999999999</v>
      </c>
      <c r="F430" cm="1">
        <f t="array" ref="F430">IFERROR(INDEX('TRIP MANAGER'!$R$18:$R$25,$A430),"")</f>
        <v>-9.4120000000000008</v>
      </c>
      <c r="G430" cm="1">
        <f t="array" ref="G430">IFERROR(INDEX('TRIP MANAGER'!$S$18:$S$25,$A430),"")</f>
        <v>0.61206181805380777</v>
      </c>
      <c r="H430">
        <f t="shared" si="68"/>
        <v>0.84</v>
      </c>
      <c r="I430">
        <f t="shared" si="69"/>
        <v>0.17017210142740785</v>
      </c>
      <c r="J430">
        <f t="shared" si="70"/>
        <v>0.85592876844650179</v>
      </c>
      <c r="K430">
        <f t="shared" si="71"/>
        <v>0.85454282065524367</v>
      </c>
      <c r="L430">
        <f t="shared" si="72"/>
        <v>-4.4134451711397057E-2</v>
      </c>
      <c r="M430">
        <f t="shared" si="73"/>
        <v>0.51750238437973817</v>
      </c>
      <c r="N430">
        <f t="shared" si="74"/>
        <v>31.164865004713349</v>
      </c>
      <c r="O430">
        <f t="shared" si="75"/>
        <v>-2.9565201170559732</v>
      </c>
      <c r="P430" t="str" cm="1">
        <f t="array" ref="P430">IF($N430="","",IFERROR(IF(INDEX(geo_grid!$B$2:$JU$231,INT(($N430+40)/0.5)+1,INT(($O430+30)/0.5)+1)="","",INDEX(geo_grid!$B$2:$JU$231,INT(($N430+40)/0.5)+1,INT(($O430+30)/0.5)+1)),"OUTSIDE GRID"))</f>
        <v>DZA</v>
      </c>
      <c r="Q430">
        <f t="shared" si="76"/>
        <v>3126</v>
      </c>
    </row>
    <row r="431" spans="1:17" x14ac:dyDescent="0.3">
      <c r="A431">
        <f t="shared" si="66"/>
        <v>3</v>
      </c>
      <c r="B431">
        <f t="shared" si="67"/>
        <v>127</v>
      </c>
      <c r="C431" cm="1">
        <f t="array" ref="C431">IFERROR(INDEX('TRIP MANAGER'!$O$18:$O$25,$A431),"")</f>
        <v>30.111529999999998</v>
      </c>
      <c r="D431" cm="1">
        <f t="array" ref="D431">IFERROR(INDEX('TRIP MANAGER'!$P$18:$P$25,$A431),"")</f>
        <v>31.39669</v>
      </c>
      <c r="E431" cm="1">
        <f t="array" ref="E431">IFERROR(INDEX('TRIP MANAGER'!$Q$18:$Q$25,$A431),"")</f>
        <v>30.322479999999999</v>
      </c>
      <c r="F431" cm="1">
        <f t="array" ref="F431">IFERROR(INDEX('TRIP MANAGER'!$R$18:$R$25,$A431),"")</f>
        <v>-9.4120000000000008</v>
      </c>
      <c r="G431" cm="1">
        <f t="array" ref="G431">IFERROR(INDEX('TRIP MANAGER'!$S$18:$S$25,$A431),"")</f>
        <v>0.61206181805380777</v>
      </c>
      <c r="H431">
        <f t="shared" si="68"/>
        <v>0.84666666666666668</v>
      </c>
      <c r="I431">
        <f t="shared" si="69"/>
        <v>0.16310288126008288</v>
      </c>
      <c r="J431">
        <f t="shared" si="70"/>
        <v>0.86210534846303555</v>
      </c>
      <c r="K431">
        <f t="shared" si="71"/>
        <v>0.85458280935153441</v>
      </c>
      <c r="L431">
        <f t="shared" si="72"/>
        <v>-4.8192136841998176E-2</v>
      </c>
      <c r="M431">
        <f t="shared" si="73"/>
        <v>0.51707421121870001</v>
      </c>
      <c r="N431">
        <f t="shared" si="74"/>
        <v>31.136199201497917</v>
      </c>
      <c r="O431">
        <f t="shared" si="75"/>
        <v>-3.2276387919980083</v>
      </c>
      <c r="P431" t="str" cm="1">
        <f t="array" ref="P431">IF($N431="","",IFERROR(IF(INDEX(geo_grid!$B$2:$JU$231,INT(($N431+40)/0.5)+1,INT(($O431+30)/0.5)+1)="","",INDEX(geo_grid!$B$2:$JU$231,INT(($N431+40)/0.5)+1,INT(($O431+30)/0.5)+1)),"OUTSIDE GRID"))</f>
        <v>DZA</v>
      </c>
      <c r="Q431">
        <f t="shared" si="76"/>
        <v>3127</v>
      </c>
    </row>
    <row r="432" spans="1:17" x14ac:dyDescent="0.3">
      <c r="A432">
        <f t="shared" si="66"/>
        <v>3</v>
      </c>
      <c r="B432">
        <f t="shared" si="67"/>
        <v>128</v>
      </c>
      <c r="C432" cm="1">
        <f t="array" ref="C432">IFERROR(INDEX('TRIP MANAGER'!$O$18:$O$25,$A432),"")</f>
        <v>30.111529999999998</v>
      </c>
      <c r="D432" cm="1">
        <f t="array" ref="D432">IFERROR(INDEX('TRIP MANAGER'!$P$18:$P$25,$A432),"")</f>
        <v>31.39669</v>
      </c>
      <c r="E432" cm="1">
        <f t="array" ref="E432">IFERROR(INDEX('TRIP MANAGER'!$Q$18:$Q$25,$A432),"")</f>
        <v>30.322479999999999</v>
      </c>
      <c r="F432" cm="1">
        <f t="array" ref="F432">IFERROR(INDEX('TRIP MANAGER'!$R$18:$R$25,$A432),"")</f>
        <v>-9.4120000000000008</v>
      </c>
      <c r="G432" cm="1">
        <f t="array" ref="G432">IFERROR(INDEX('TRIP MANAGER'!$S$18:$S$25,$A432),"")</f>
        <v>0.61206181805380777</v>
      </c>
      <c r="H432">
        <f t="shared" si="68"/>
        <v>0.85333333333333339</v>
      </c>
      <c r="I432">
        <f t="shared" si="69"/>
        <v>0.15603094547219645</v>
      </c>
      <c r="J432">
        <f t="shared" si="70"/>
        <v>0.86826757464969007</v>
      </c>
      <c r="K432">
        <f t="shared" si="71"/>
        <v>0.85460856946626618</v>
      </c>
      <c r="L432">
        <f t="shared" si="72"/>
        <v>-5.2249019586052228E-2</v>
      </c>
      <c r="M432">
        <f t="shared" si="73"/>
        <v>0.51663742890649944</v>
      </c>
      <c r="N432">
        <f t="shared" si="74"/>
        <v>31.106965947636937</v>
      </c>
      <c r="O432">
        <f t="shared" si="75"/>
        <v>-3.4985920105913162</v>
      </c>
      <c r="P432" t="str" cm="1">
        <f t="array" ref="P432">IF($N432="","",IFERROR(IF(INDEX(geo_grid!$B$2:$JU$231,INT(($N432+40)/0.5)+1,INT(($O432+30)/0.5)+1)="","",INDEX(geo_grid!$B$2:$JU$231,INT(($N432+40)/0.5)+1,INT(($O432+30)/0.5)+1)),"OUTSIDE GRID"))</f>
        <v>DZA</v>
      </c>
      <c r="Q432">
        <f t="shared" si="76"/>
        <v>3128</v>
      </c>
    </row>
    <row r="433" spans="1:17" x14ac:dyDescent="0.3">
      <c r="A433">
        <f t="shared" si="66"/>
        <v>3</v>
      </c>
      <c r="B433">
        <f t="shared" si="67"/>
        <v>129</v>
      </c>
      <c r="C433" cm="1">
        <f t="array" ref="C433">IFERROR(INDEX('TRIP MANAGER'!$O$18:$O$25,$A433),"")</f>
        <v>30.111529999999998</v>
      </c>
      <c r="D433" cm="1">
        <f t="array" ref="D433">IFERROR(INDEX('TRIP MANAGER'!$P$18:$P$25,$A433),"")</f>
        <v>31.39669</v>
      </c>
      <c r="E433" cm="1">
        <f t="array" ref="E433">IFERROR(INDEX('TRIP MANAGER'!$Q$18:$Q$25,$A433),"")</f>
        <v>30.322479999999999</v>
      </c>
      <c r="F433" cm="1">
        <f t="array" ref="F433">IFERROR(INDEX('TRIP MANAGER'!$R$18:$R$25,$A433),"")</f>
        <v>-9.4120000000000008</v>
      </c>
      <c r="G433" cm="1">
        <f t="array" ref="G433">IFERROR(INDEX('TRIP MANAGER'!$S$18:$S$25,$A433),"")</f>
        <v>0.61206181805380777</v>
      </c>
      <c r="H433">
        <f t="shared" si="68"/>
        <v>0.86</v>
      </c>
      <c r="I433">
        <f t="shared" si="69"/>
        <v>0.14895641180964062</v>
      </c>
      <c r="J433">
        <f t="shared" si="70"/>
        <v>0.87441534440700153</v>
      </c>
      <c r="K433">
        <f t="shared" si="71"/>
        <v>0.8546201005705395</v>
      </c>
      <c r="L433">
        <f t="shared" si="72"/>
        <v>-5.63050323975164E-2</v>
      </c>
      <c r="M433">
        <f t="shared" si="73"/>
        <v>0.51619204471544844</v>
      </c>
      <c r="N433">
        <f t="shared" si="74"/>
        <v>31.077166246173086</v>
      </c>
      <c r="O433">
        <f t="shared" si="75"/>
        <v>-3.7693768307222091</v>
      </c>
      <c r="P433" t="str" cm="1">
        <f t="array" ref="P433">IF($N433="","",IFERROR(IF(INDEX(geo_grid!$B$2:$JU$231,INT(($N433+40)/0.5)+1,INT(($O433+30)/0.5)+1)="","",INDEX(geo_grid!$B$2:$JU$231,INT(($N433+40)/0.5)+1,INT(($O433+30)/0.5)+1)),"OUTSIDE GRID"))</f>
        <v>MAR</v>
      </c>
      <c r="Q433">
        <f t="shared" si="76"/>
        <v>3129</v>
      </c>
    </row>
    <row r="434" spans="1:17" x14ac:dyDescent="0.3">
      <c r="A434">
        <f t="shared" si="66"/>
        <v>3</v>
      </c>
      <c r="B434">
        <f t="shared" si="67"/>
        <v>130</v>
      </c>
      <c r="C434" cm="1">
        <f t="array" ref="C434">IFERROR(INDEX('TRIP MANAGER'!$O$18:$O$25,$A434),"")</f>
        <v>30.111529999999998</v>
      </c>
      <c r="D434" cm="1">
        <f t="array" ref="D434">IFERROR(INDEX('TRIP MANAGER'!$P$18:$P$25,$A434),"")</f>
        <v>31.39669</v>
      </c>
      <c r="E434" cm="1">
        <f t="array" ref="E434">IFERROR(INDEX('TRIP MANAGER'!$Q$18:$Q$25,$A434),"")</f>
        <v>30.322479999999999</v>
      </c>
      <c r="F434" cm="1">
        <f t="array" ref="F434">IFERROR(INDEX('TRIP MANAGER'!$R$18:$R$25,$A434),"")</f>
        <v>-9.4120000000000008</v>
      </c>
      <c r="G434" cm="1">
        <f t="array" ref="G434">IFERROR(INDEX('TRIP MANAGER'!$S$18:$S$25,$A434),"")</f>
        <v>0.61206181805380777</v>
      </c>
      <c r="H434">
        <f t="shared" si="68"/>
        <v>0.8666666666666667</v>
      </c>
      <c r="I434">
        <f t="shared" si="69"/>
        <v>0.14187939806156105</v>
      </c>
      <c r="J434">
        <f t="shared" si="70"/>
        <v>0.88054855537620214</v>
      </c>
      <c r="K434">
        <f t="shared" si="71"/>
        <v>0.8546174024723644</v>
      </c>
      <c r="L434">
        <f t="shared" si="72"/>
        <v>-6.0360107744832164E-2</v>
      </c>
      <c r="M434">
        <f t="shared" si="73"/>
        <v>0.51573806606107786</v>
      </c>
      <c r="N434">
        <f t="shared" si="74"/>
        <v>31.046801117707556</v>
      </c>
      <c r="O434">
        <f t="shared" si="75"/>
        <v>-4.039990332814801</v>
      </c>
      <c r="P434" t="str" cm="1">
        <f t="array" ref="P434">IF($N434="","",IFERROR(IF(INDEX(geo_grid!$B$2:$JU$231,INT(($N434+40)/0.5)+1,INT(($O434+30)/0.5)+1)="","",INDEX(geo_grid!$B$2:$JU$231,INT(($N434+40)/0.5)+1,INT(($O434+30)/0.5)+1)),"OUTSIDE GRID"))</f>
        <v>MAR</v>
      </c>
      <c r="Q434">
        <f t="shared" si="76"/>
        <v>3130</v>
      </c>
    </row>
    <row r="435" spans="1:17" x14ac:dyDescent="0.3">
      <c r="A435">
        <f t="shared" si="66"/>
        <v>3</v>
      </c>
      <c r="B435">
        <f t="shared" si="67"/>
        <v>131</v>
      </c>
      <c r="C435" cm="1">
        <f t="array" ref="C435">IFERROR(INDEX('TRIP MANAGER'!$O$18:$O$25,$A435),"")</f>
        <v>30.111529999999998</v>
      </c>
      <c r="D435" cm="1">
        <f t="array" ref="D435">IFERROR(INDEX('TRIP MANAGER'!$P$18:$P$25,$A435),"")</f>
        <v>31.39669</v>
      </c>
      <c r="E435" cm="1">
        <f t="array" ref="E435">IFERROR(INDEX('TRIP MANAGER'!$Q$18:$Q$25,$A435),"")</f>
        <v>30.322479999999999</v>
      </c>
      <c r="F435" cm="1">
        <f t="array" ref="F435">IFERROR(INDEX('TRIP MANAGER'!$R$18:$R$25,$A435),"")</f>
        <v>-9.4120000000000008</v>
      </c>
      <c r="G435" cm="1">
        <f t="array" ref="G435">IFERROR(INDEX('TRIP MANAGER'!$S$18:$S$25,$A435),"")</f>
        <v>0.61206181805380777</v>
      </c>
      <c r="H435">
        <f t="shared" si="68"/>
        <v>0.87333333333333329</v>
      </c>
      <c r="I435">
        <f t="shared" si="69"/>
        <v>0.1348000220583967</v>
      </c>
      <c r="J435">
        <f t="shared" si="70"/>
        <v>0.88666710544092397</v>
      </c>
      <c r="K435">
        <f t="shared" si="71"/>
        <v>0.85460047521666382</v>
      </c>
      <c r="L435">
        <f t="shared" si="72"/>
        <v>-6.4414178112049289E-2</v>
      </c>
      <c r="M435">
        <f t="shared" si="73"/>
        <v>0.51527550050201443</v>
      </c>
      <c r="N435">
        <f t="shared" si="74"/>
        <v>31.015871600262372</v>
      </c>
      <c r="O435">
        <f t="shared" si="75"/>
        <v>-4.3104296201569143</v>
      </c>
      <c r="P435" t="str" cm="1">
        <f t="array" ref="P435">IF($N435="","",IFERROR(IF(INDEX(geo_grid!$B$2:$JU$231,INT(($N435+40)/0.5)+1,INT(($O435+30)/0.5)+1)="","",INDEX(geo_grid!$B$2:$JU$231,INT(($N435+40)/0.5)+1,INT(($O435+30)/0.5)+1)),"OUTSIDE GRID"))</f>
        <v>MAR</v>
      </c>
      <c r="Q435">
        <f t="shared" si="76"/>
        <v>3131</v>
      </c>
    </row>
    <row r="436" spans="1:17" x14ac:dyDescent="0.3">
      <c r="A436">
        <f t="shared" si="66"/>
        <v>3</v>
      </c>
      <c r="B436">
        <f t="shared" si="67"/>
        <v>132</v>
      </c>
      <c r="C436" cm="1">
        <f t="array" ref="C436">IFERROR(INDEX('TRIP MANAGER'!$O$18:$O$25,$A436),"")</f>
        <v>30.111529999999998</v>
      </c>
      <c r="D436" cm="1">
        <f t="array" ref="D436">IFERROR(INDEX('TRIP MANAGER'!$P$18:$P$25,$A436),"")</f>
        <v>31.39669</v>
      </c>
      <c r="E436" cm="1">
        <f t="array" ref="E436">IFERROR(INDEX('TRIP MANAGER'!$Q$18:$Q$25,$A436),"")</f>
        <v>30.322479999999999</v>
      </c>
      <c r="F436" cm="1">
        <f t="array" ref="F436">IFERROR(INDEX('TRIP MANAGER'!$R$18:$R$25,$A436),"")</f>
        <v>-9.4120000000000008</v>
      </c>
      <c r="G436" cm="1">
        <f t="array" ref="G436">IFERROR(INDEX('TRIP MANAGER'!$S$18:$S$25,$A436),"")</f>
        <v>0.61206181805380777</v>
      </c>
      <c r="H436">
        <f t="shared" si="68"/>
        <v>0.88</v>
      </c>
      <c r="I436">
        <f t="shared" si="69"/>
        <v>0.12771840166991688</v>
      </c>
      <c r="J436">
        <f t="shared" si="70"/>
        <v>0.89277089272889976</v>
      </c>
      <c r="K436">
        <f t="shared" si="71"/>
        <v>0.85456931908527178</v>
      </c>
      <c r="L436">
        <f t="shared" si="72"/>
        <v>-6.8467175999950503E-2</v>
      </c>
      <c r="M436">
        <f t="shared" si="73"/>
        <v>0.51480435573985428</v>
      </c>
      <c r="N436">
        <f t="shared" si="74"/>
        <v>30.984378749140678</v>
      </c>
      <c r="O436">
        <f t="shared" si="75"/>
        <v>-4.5806918192197532</v>
      </c>
      <c r="P436" t="str" cm="1">
        <f t="array" ref="P436">IF($N436="","",IFERROR(IF(INDEX(geo_grid!$B$2:$JU$231,INT(($N436+40)/0.5)+1,INT(($O436+30)/0.5)+1)="","",INDEX(geo_grid!$B$2:$JU$231,INT(($N436+40)/0.5)+1,INT(($O436+30)/0.5)+1)),"OUTSIDE GRID"))</f>
        <v>MAR</v>
      </c>
      <c r="Q436">
        <f t="shared" si="76"/>
        <v>3132</v>
      </c>
    </row>
    <row r="437" spans="1:17" x14ac:dyDescent="0.3">
      <c r="A437">
        <f t="shared" si="66"/>
        <v>3</v>
      </c>
      <c r="B437">
        <f t="shared" si="67"/>
        <v>133</v>
      </c>
      <c r="C437" cm="1">
        <f t="array" ref="C437">IFERROR(INDEX('TRIP MANAGER'!$O$18:$O$25,$A437),"")</f>
        <v>30.111529999999998</v>
      </c>
      <c r="D437" cm="1">
        <f t="array" ref="D437">IFERROR(INDEX('TRIP MANAGER'!$P$18:$P$25,$A437),"")</f>
        <v>31.39669</v>
      </c>
      <c r="E437" cm="1">
        <f t="array" ref="E437">IFERROR(INDEX('TRIP MANAGER'!$Q$18:$Q$25,$A437),"")</f>
        <v>30.322479999999999</v>
      </c>
      <c r="F437" cm="1">
        <f t="array" ref="F437">IFERROR(INDEX('TRIP MANAGER'!$R$18:$R$25,$A437),"")</f>
        <v>-9.4120000000000008</v>
      </c>
      <c r="G437" cm="1">
        <f t="array" ref="G437">IFERROR(INDEX('TRIP MANAGER'!$S$18:$S$25,$A437),"")</f>
        <v>0.61206181805380777</v>
      </c>
      <c r="H437">
        <f t="shared" si="68"/>
        <v>0.88666666666666671</v>
      </c>
      <c r="I437">
        <f t="shared" si="69"/>
        <v>0.12063465480325979</v>
      </c>
      <c r="J437">
        <f t="shared" si="70"/>
        <v>0.89885981561365824</v>
      </c>
      <c r="K437">
        <f t="shared" si="71"/>
        <v>0.85452393459693021</v>
      </c>
      <c r="L437">
        <f t="shared" si="72"/>
        <v>-7.2519033927174764E-2</v>
      </c>
      <c r="M437">
        <f t="shared" si="73"/>
        <v>0.51432463961903541</v>
      </c>
      <c r="N437">
        <f t="shared" si="74"/>
        <v>30.952323636785419</v>
      </c>
      <c r="O437">
        <f t="shared" si="75"/>
        <v>-4.8507740799711332</v>
      </c>
      <c r="P437" t="str" cm="1">
        <f t="array" ref="P437">IF($N437="","",IFERROR(IF(INDEX(geo_grid!$B$2:$JU$231,INT(($N437+40)/0.5)+1,INT(($O437+30)/0.5)+1)="","",INDEX(geo_grid!$B$2:$JU$231,INT(($N437+40)/0.5)+1,INT(($O437+30)/0.5)+1)),"OUTSIDE GRID"))</f>
        <v>MAR</v>
      </c>
      <c r="Q437">
        <f t="shared" si="76"/>
        <v>3133</v>
      </c>
    </row>
    <row r="438" spans="1:17" x14ac:dyDescent="0.3">
      <c r="A438">
        <f t="shared" si="66"/>
        <v>3</v>
      </c>
      <c r="B438">
        <f t="shared" si="67"/>
        <v>134</v>
      </c>
      <c r="C438" cm="1">
        <f t="array" ref="C438">IFERROR(INDEX('TRIP MANAGER'!$O$18:$O$25,$A438),"")</f>
        <v>30.111529999999998</v>
      </c>
      <c r="D438" cm="1">
        <f t="array" ref="D438">IFERROR(INDEX('TRIP MANAGER'!$P$18:$P$25,$A438),"")</f>
        <v>31.39669</v>
      </c>
      <c r="E438" cm="1">
        <f t="array" ref="E438">IFERROR(INDEX('TRIP MANAGER'!$Q$18:$Q$25,$A438),"")</f>
        <v>30.322479999999999</v>
      </c>
      <c r="F438" cm="1">
        <f t="array" ref="F438">IFERROR(INDEX('TRIP MANAGER'!$R$18:$R$25,$A438),"")</f>
        <v>-9.4120000000000008</v>
      </c>
      <c r="G438" cm="1">
        <f t="array" ref="G438">IFERROR(INDEX('TRIP MANAGER'!$S$18:$S$25,$A438),"")</f>
        <v>0.61206181805380777</v>
      </c>
      <c r="H438">
        <f t="shared" si="68"/>
        <v>0.89333333333333331</v>
      </c>
      <c r="I438">
        <f t="shared" si="69"/>
        <v>0.11354889940096884</v>
      </c>
      <c r="J438">
        <f t="shared" si="70"/>
        <v>0.90493377271621633</v>
      </c>
      <c r="K438">
        <f t="shared" si="71"/>
        <v>0.85446432250727855</v>
      </c>
      <c r="L438">
        <f t="shared" si="72"/>
        <v>-7.6569684431341156E-2</v>
      </c>
      <c r="M438">
        <f t="shared" si="73"/>
        <v>0.51383636012670608</v>
      </c>
      <c r="N438">
        <f t="shared" si="74"/>
        <v>30.919707352636213</v>
      </c>
      <c r="O438">
        <f t="shared" si="75"/>
        <v>-5.1206735761823721</v>
      </c>
      <c r="P438" t="str" cm="1">
        <f t="array" ref="P438">IF($N438="","",IFERROR(IF(INDEX(geo_grid!$B$2:$JU$231,INT(($N438+40)/0.5)+1,INT(($O438+30)/0.5)+1)="","",INDEX(geo_grid!$B$2:$JU$231,INT(($N438+40)/0.5)+1,INT(($O438+30)/0.5)+1)),"OUTSIDE GRID"))</f>
        <v>MAR</v>
      </c>
      <c r="Q438">
        <f t="shared" si="76"/>
        <v>3134</v>
      </c>
    </row>
    <row r="439" spans="1:17" x14ac:dyDescent="0.3">
      <c r="A439">
        <f t="shared" si="66"/>
        <v>3</v>
      </c>
      <c r="B439">
        <f t="shared" si="67"/>
        <v>135</v>
      </c>
      <c r="C439" cm="1">
        <f t="array" ref="C439">IFERROR(INDEX('TRIP MANAGER'!$O$18:$O$25,$A439),"")</f>
        <v>30.111529999999998</v>
      </c>
      <c r="D439" cm="1">
        <f t="array" ref="D439">IFERROR(INDEX('TRIP MANAGER'!$P$18:$P$25,$A439),"")</f>
        <v>31.39669</v>
      </c>
      <c r="E439" cm="1">
        <f t="array" ref="E439">IFERROR(INDEX('TRIP MANAGER'!$Q$18:$Q$25,$A439),"")</f>
        <v>30.322479999999999</v>
      </c>
      <c r="F439" cm="1">
        <f t="array" ref="F439">IFERROR(INDEX('TRIP MANAGER'!$R$18:$R$25,$A439),"")</f>
        <v>-9.4120000000000008</v>
      </c>
      <c r="G439" cm="1">
        <f t="array" ref="G439">IFERROR(INDEX('TRIP MANAGER'!$S$18:$S$25,$A439),"")</f>
        <v>0.61206181805380777</v>
      </c>
      <c r="H439">
        <f t="shared" si="68"/>
        <v>0.9</v>
      </c>
      <c r="I439">
        <f t="shared" si="69"/>
        <v>0.10646125343902882</v>
      </c>
      <c r="J439">
        <f t="shared" si="70"/>
        <v>0.91099266290676817</v>
      </c>
      <c r="K439">
        <f t="shared" si="71"/>
        <v>0.85439048380884308</v>
      </c>
      <c r="L439">
        <f t="shared" si="72"/>
        <v>-8.0619060070172194E-2</v>
      </c>
      <c r="M439">
        <f t="shared" si="73"/>
        <v>0.51333952539259331</v>
      </c>
      <c r="N439">
        <f t="shared" si="74"/>
        <v>30.886531002984565</v>
      </c>
      <c r="O439">
        <f t="shared" si="75"/>
        <v>-5.3903875057286745</v>
      </c>
      <c r="P439" t="str" cm="1">
        <f t="array" ref="P439">IF($N439="","",IFERROR(IF(INDEX(geo_grid!$B$2:$JU$231,INT(($N439+40)/0.5)+1,INT(($O439+30)/0.5)+1)="","",INDEX(geo_grid!$B$2:$JU$231,INT(($N439+40)/0.5)+1,INT(($O439+30)/0.5)+1)),"OUTSIDE GRID"))</f>
        <v>MAR</v>
      </c>
      <c r="Q439">
        <f t="shared" si="76"/>
        <v>3135</v>
      </c>
    </row>
    <row r="440" spans="1:17" x14ac:dyDescent="0.3">
      <c r="A440">
        <f t="shared" si="66"/>
        <v>3</v>
      </c>
      <c r="B440">
        <f t="shared" si="67"/>
        <v>136</v>
      </c>
      <c r="C440" cm="1">
        <f t="array" ref="C440">IFERROR(INDEX('TRIP MANAGER'!$O$18:$O$25,$A440),"")</f>
        <v>30.111529999999998</v>
      </c>
      <c r="D440" cm="1">
        <f t="array" ref="D440">IFERROR(INDEX('TRIP MANAGER'!$P$18:$P$25,$A440),"")</f>
        <v>31.39669</v>
      </c>
      <c r="E440" cm="1">
        <f t="array" ref="E440">IFERROR(INDEX('TRIP MANAGER'!$Q$18:$Q$25,$A440),"")</f>
        <v>30.322479999999999</v>
      </c>
      <c r="F440" cm="1">
        <f t="array" ref="F440">IFERROR(INDEX('TRIP MANAGER'!$R$18:$R$25,$A440),"")</f>
        <v>-9.4120000000000008</v>
      </c>
      <c r="G440" cm="1">
        <f t="array" ref="G440">IFERROR(INDEX('TRIP MANAGER'!$S$18:$S$25,$A440),"")</f>
        <v>0.61206181805380777</v>
      </c>
      <c r="H440">
        <f t="shared" si="68"/>
        <v>0.90666666666666662</v>
      </c>
      <c r="I440">
        <f t="shared" si="69"/>
        <v>9.9371834924902175E-2</v>
      </c>
      <c r="J440">
        <f t="shared" si="70"/>
        <v>0.91703638530636722</v>
      </c>
      <c r="K440">
        <f t="shared" si="71"/>
        <v>0.85430241973101873</v>
      </c>
      <c r="L440">
        <f t="shared" si="72"/>
        <v>-8.4667093422616302E-2</v>
      </c>
      <c r="M440">
        <f t="shared" si="73"/>
        <v>0.51283414368886593</v>
      </c>
      <c r="N440">
        <f t="shared" si="74"/>
        <v>30.852795710827493</v>
      </c>
      <c r="O440">
        <f t="shared" si="75"/>
        <v>-5.6599130908830144</v>
      </c>
      <c r="P440" t="str" cm="1">
        <f t="array" ref="P440">IF($N440="","",IFERROR(IF(INDEX(geo_grid!$B$2:$JU$231,INT(($N440+40)/0.5)+1,INT(($O440+30)/0.5)+1)="","",INDEX(geo_grid!$B$2:$JU$231,INT(($N440+40)/0.5)+1,INT(($O440+30)/0.5)+1)),"OUTSIDE GRID"))</f>
        <v>MAR</v>
      </c>
      <c r="Q440">
        <f t="shared" si="76"/>
        <v>3136</v>
      </c>
    </row>
    <row r="441" spans="1:17" x14ac:dyDescent="0.3">
      <c r="A441">
        <f t="shared" si="66"/>
        <v>3</v>
      </c>
      <c r="B441">
        <f t="shared" si="67"/>
        <v>137</v>
      </c>
      <c r="C441" cm="1">
        <f t="array" ref="C441">IFERROR(INDEX('TRIP MANAGER'!$O$18:$O$25,$A441),"")</f>
        <v>30.111529999999998</v>
      </c>
      <c r="D441" cm="1">
        <f t="array" ref="D441">IFERROR(INDEX('TRIP MANAGER'!$P$18:$P$25,$A441),"")</f>
        <v>31.39669</v>
      </c>
      <c r="E441" cm="1">
        <f t="array" ref="E441">IFERROR(INDEX('TRIP MANAGER'!$Q$18:$Q$25,$A441),"")</f>
        <v>30.322479999999999</v>
      </c>
      <c r="F441" cm="1">
        <f t="array" ref="F441">IFERROR(INDEX('TRIP MANAGER'!$R$18:$R$25,$A441),"")</f>
        <v>-9.4120000000000008</v>
      </c>
      <c r="G441" cm="1">
        <f t="array" ref="G441">IFERROR(INDEX('TRIP MANAGER'!$S$18:$S$25,$A441),"")</f>
        <v>0.61206181805380777</v>
      </c>
      <c r="H441">
        <f t="shared" si="68"/>
        <v>0.91333333333333333</v>
      </c>
      <c r="I441">
        <f t="shared" si="69"/>
        <v>9.2280761895563515E-2</v>
      </c>
      <c r="J441">
        <f t="shared" si="70"/>
        <v>0.92306483928860705</v>
      </c>
      <c r="K441">
        <f t="shared" si="71"/>
        <v>0.85420013174004916</v>
      </c>
      <c r="L441">
        <f t="shared" si="72"/>
        <v>-8.8713717089970889E-2</v>
      </c>
      <c r="M441">
        <f t="shared" si="73"/>
        <v>0.51232022342999795</v>
      </c>
      <c r="N441">
        <f t="shared" si="74"/>
        <v>30.818502615719513</v>
      </c>
      <c r="O441">
        <f t="shared" si="75"/>
        <v>-5.9292475786034977</v>
      </c>
      <c r="P441" t="str" cm="1">
        <f t="array" ref="P441">IF($N441="","",IFERROR(IF(INDEX(geo_grid!$B$2:$JU$231,INT(($N441+40)/0.5)+1,INT(($O441+30)/0.5)+1)="","",INDEX(geo_grid!$B$2:$JU$231,INT(($N441+40)/0.5)+1,INT(($O441+30)/0.5)+1)),"OUTSIDE GRID"))</f>
        <v>MAR</v>
      </c>
      <c r="Q441">
        <f t="shared" si="76"/>
        <v>3137</v>
      </c>
    </row>
    <row r="442" spans="1:17" x14ac:dyDescent="0.3">
      <c r="A442">
        <f t="shared" si="66"/>
        <v>3</v>
      </c>
      <c r="B442">
        <f t="shared" si="67"/>
        <v>138</v>
      </c>
      <c r="C442" cm="1">
        <f t="array" ref="C442">IFERROR(INDEX('TRIP MANAGER'!$O$18:$O$25,$A442),"")</f>
        <v>30.111529999999998</v>
      </c>
      <c r="D442" cm="1">
        <f t="array" ref="D442">IFERROR(INDEX('TRIP MANAGER'!$P$18:$P$25,$A442),"")</f>
        <v>31.39669</v>
      </c>
      <c r="E442" cm="1">
        <f t="array" ref="E442">IFERROR(INDEX('TRIP MANAGER'!$Q$18:$Q$25,$A442),"")</f>
        <v>30.322479999999999</v>
      </c>
      <c r="F442" cm="1">
        <f t="array" ref="F442">IFERROR(INDEX('TRIP MANAGER'!$R$18:$R$25,$A442),"")</f>
        <v>-9.4120000000000008</v>
      </c>
      <c r="G442" cm="1">
        <f t="array" ref="G442">IFERROR(INDEX('TRIP MANAGER'!$S$18:$S$25,$A442),"")</f>
        <v>0.61206181805380777</v>
      </c>
      <c r="H442">
        <f t="shared" si="68"/>
        <v>0.92</v>
      </c>
      <c r="I442">
        <f t="shared" si="69"/>
        <v>8.5188152415534971E-2</v>
      </c>
      <c r="J442">
        <f t="shared" si="70"/>
        <v>0.92907792448129667</v>
      </c>
      <c r="K442">
        <f t="shared" si="71"/>
        <v>0.85408362153900319</v>
      </c>
      <c r="L442">
        <f t="shared" si="72"/>
        <v>-9.275886369700409E-2</v>
      </c>
      <c r="M442">
        <f t="shared" si="73"/>
        <v>0.51179777317262809</v>
      </c>
      <c r="N442">
        <f t="shared" si="74"/>
        <v>30.783652873623101</v>
      </c>
      <c r="O442">
        <f t="shared" si="75"/>
        <v>-6.1983882408140776</v>
      </c>
      <c r="P442" t="str" cm="1">
        <f t="array" ref="P442">IF($N442="","",IFERROR(IF(INDEX(geo_grid!$B$2:$JU$231,INT(($N442+40)/0.5)+1,INT(($O442+30)/0.5)+1)="","",INDEX(geo_grid!$B$2:$JU$231,INT(($N442+40)/0.5)+1,INT(($O442+30)/0.5)+1)),"OUTSIDE GRID"))</f>
        <v>MAR</v>
      </c>
      <c r="Q442">
        <f t="shared" si="76"/>
        <v>3138</v>
      </c>
    </row>
    <row r="443" spans="1:17" x14ac:dyDescent="0.3">
      <c r="A443">
        <f t="shared" si="66"/>
        <v>3</v>
      </c>
      <c r="B443">
        <f t="shared" si="67"/>
        <v>139</v>
      </c>
      <c r="C443" cm="1">
        <f t="array" ref="C443">IFERROR(INDEX('TRIP MANAGER'!$O$18:$O$25,$A443),"")</f>
        <v>30.111529999999998</v>
      </c>
      <c r="D443" cm="1">
        <f t="array" ref="D443">IFERROR(INDEX('TRIP MANAGER'!$P$18:$P$25,$A443),"")</f>
        <v>31.39669</v>
      </c>
      <c r="E443" cm="1">
        <f t="array" ref="E443">IFERROR(INDEX('TRIP MANAGER'!$Q$18:$Q$25,$A443),"")</f>
        <v>30.322479999999999</v>
      </c>
      <c r="F443" cm="1">
        <f t="array" ref="F443">IFERROR(INDEX('TRIP MANAGER'!$R$18:$R$25,$A443),"")</f>
        <v>-9.4120000000000008</v>
      </c>
      <c r="G443" cm="1">
        <f t="array" ref="G443">IFERROR(INDEX('TRIP MANAGER'!$S$18:$S$25,$A443),"")</f>
        <v>0.61206181805380777</v>
      </c>
      <c r="H443">
        <f t="shared" si="68"/>
        <v>0.92666666666666664</v>
      </c>
      <c r="I443">
        <f t="shared" si="69"/>
        <v>7.8094124574920251E-2</v>
      </c>
      <c r="J443">
        <f t="shared" si="70"/>
        <v>0.93507554076813126</v>
      </c>
      <c r="K443">
        <f t="shared" si="71"/>
        <v>0.85395289106774552</v>
      </c>
      <c r="L443">
        <f t="shared" si="72"/>
        <v>-9.6802465893076728E-2</v>
      </c>
      <c r="M443">
        <f t="shared" si="73"/>
        <v>0.5112668016154176</v>
      </c>
      <c r="N443">
        <f t="shared" si="74"/>
        <v>30.748247656757734</v>
      </c>
      <c r="O443">
        <f t="shared" si="75"/>
        <v>-6.4673323746786942</v>
      </c>
      <c r="P443" t="str" cm="1">
        <f t="array" ref="P443">IF($N443="","",IFERROR(IF(INDEX(geo_grid!$B$2:$JU$231,INT(($N443+40)/0.5)+1,INT(($O443+30)/0.5)+1)="","",INDEX(geo_grid!$B$2:$JU$231,INT(($N443+40)/0.5)+1,INT(($O443+30)/0.5)+1)),"OUTSIDE GRID"))</f>
        <v>MAR</v>
      </c>
      <c r="Q443">
        <f t="shared" si="76"/>
        <v>3139</v>
      </c>
    </row>
    <row r="444" spans="1:17" x14ac:dyDescent="0.3">
      <c r="A444">
        <f t="shared" si="66"/>
        <v>3</v>
      </c>
      <c r="B444">
        <f t="shared" si="67"/>
        <v>140</v>
      </c>
      <c r="C444" cm="1">
        <f t="array" ref="C444">IFERROR(INDEX('TRIP MANAGER'!$O$18:$O$25,$A444),"")</f>
        <v>30.111529999999998</v>
      </c>
      <c r="D444" cm="1">
        <f t="array" ref="D444">IFERROR(INDEX('TRIP MANAGER'!$P$18:$P$25,$A444),"")</f>
        <v>31.39669</v>
      </c>
      <c r="E444" cm="1">
        <f t="array" ref="E444">IFERROR(INDEX('TRIP MANAGER'!$Q$18:$Q$25,$A444),"")</f>
        <v>30.322479999999999</v>
      </c>
      <c r="F444" cm="1">
        <f t="array" ref="F444">IFERROR(INDEX('TRIP MANAGER'!$R$18:$R$25,$A444),"")</f>
        <v>-9.4120000000000008</v>
      </c>
      <c r="G444" cm="1">
        <f t="array" ref="G444">IFERROR(INDEX('TRIP MANAGER'!$S$18:$S$25,$A444),"")</f>
        <v>0.61206181805380777</v>
      </c>
      <c r="H444">
        <f t="shared" si="68"/>
        <v>0.93333333333333335</v>
      </c>
      <c r="I444">
        <f t="shared" si="69"/>
        <v>7.0998796487437982E-2</v>
      </c>
      <c r="J444">
        <f t="shared" si="70"/>
        <v>0.94105758829035879</v>
      </c>
      <c r="K444">
        <f t="shared" si="71"/>
        <v>0.85380794250290404</v>
      </c>
      <c r="L444">
        <f t="shared" si="72"/>
        <v>-0.10084445635326375</v>
      </c>
      <c r="M444">
        <f t="shared" si="73"/>
        <v>0.51072731759890411</v>
      </c>
      <c r="N444">
        <f t="shared" si="74"/>
        <v>30.712288153447375</v>
      </c>
      <c r="O444">
        <f t="shared" si="75"/>
        <v>-6.736077302868738</v>
      </c>
      <c r="P444" t="str" cm="1">
        <f t="array" ref="P444">IF($N444="","",IFERROR(IF(INDEX(geo_grid!$B$2:$JU$231,INT(($N444+40)/0.5)+1,INT(($O444+30)/0.5)+1)="","",INDEX(geo_grid!$B$2:$JU$231,INT(($N444+40)/0.5)+1,INT(($O444+30)/0.5)+1)),"OUTSIDE GRID"))</f>
        <v>MAR</v>
      </c>
      <c r="Q444">
        <f t="shared" si="76"/>
        <v>3140</v>
      </c>
    </row>
    <row r="445" spans="1:17" x14ac:dyDescent="0.3">
      <c r="A445">
        <f t="shared" si="66"/>
        <v>3</v>
      </c>
      <c r="B445">
        <f t="shared" si="67"/>
        <v>141</v>
      </c>
      <c r="C445" cm="1">
        <f t="array" ref="C445">IFERROR(INDEX('TRIP MANAGER'!$O$18:$O$25,$A445),"")</f>
        <v>30.111529999999998</v>
      </c>
      <c r="D445" cm="1">
        <f t="array" ref="D445">IFERROR(INDEX('TRIP MANAGER'!$P$18:$P$25,$A445),"")</f>
        <v>31.39669</v>
      </c>
      <c r="E445" cm="1">
        <f t="array" ref="E445">IFERROR(INDEX('TRIP MANAGER'!$Q$18:$Q$25,$A445),"")</f>
        <v>30.322479999999999</v>
      </c>
      <c r="F445" cm="1">
        <f t="array" ref="F445">IFERROR(INDEX('TRIP MANAGER'!$R$18:$R$25,$A445),"")</f>
        <v>-9.4120000000000008</v>
      </c>
      <c r="G445" cm="1">
        <f t="array" ref="G445">IFERROR(INDEX('TRIP MANAGER'!$S$18:$S$25,$A445),"")</f>
        <v>0.61206181805380777</v>
      </c>
      <c r="H445">
        <f t="shared" si="68"/>
        <v>0.94</v>
      </c>
      <c r="I445">
        <f t="shared" si="69"/>
        <v>6.3902286288456095E-2</v>
      </c>
      <c r="J445">
        <f t="shared" si="70"/>
        <v>0.94702396744844386</v>
      </c>
      <c r="K445">
        <f t="shared" si="71"/>
        <v>0.85364877825783514</v>
      </c>
      <c r="L445">
        <f t="shared" si="72"/>
        <v>-0.10488476777947495</v>
      </c>
      <c r="M445">
        <f t="shared" si="73"/>
        <v>0.51017933010535688</v>
      </c>
      <c r="N445">
        <f t="shared" si="74"/>
        <v>30.675775567966692</v>
      </c>
      <c r="O445">
        <f t="shared" si="75"/>
        <v>-7.0046203738237933</v>
      </c>
      <c r="P445" t="str" cm="1">
        <f t="array" ref="P445">IF($N445="","",IFERROR(IF(INDEX(geo_grid!$B$2:$JU$231,INT(($N445+40)/0.5)+1,INT(($O445+30)/0.5)+1)="","",INDEX(geo_grid!$B$2:$JU$231,INT(($N445+40)/0.5)+1,INT(($O445+30)/0.5)+1)),"OUTSIDE GRID"))</f>
        <v>MAR</v>
      </c>
      <c r="Q445">
        <f t="shared" si="76"/>
        <v>3141</v>
      </c>
    </row>
    <row r="446" spans="1:17" x14ac:dyDescent="0.3">
      <c r="A446">
        <f t="shared" si="66"/>
        <v>3</v>
      </c>
      <c r="B446">
        <f t="shared" si="67"/>
        <v>142</v>
      </c>
      <c r="C446" cm="1">
        <f t="array" ref="C446">IFERROR(INDEX('TRIP MANAGER'!$O$18:$O$25,$A446),"")</f>
        <v>30.111529999999998</v>
      </c>
      <c r="D446" cm="1">
        <f t="array" ref="D446">IFERROR(INDEX('TRIP MANAGER'!$P$18:$P$25,$A446),"")</f>
        <v>31.39669</v>
      </c>
      <c r="E446" cm="1">
        <f t="array" ref="E446">IFERROR(INDEX('TRIP MANAGER'!$Q$18:$Q$25,$A446),"")</f>
        <v>30.322479999999999</v>
      </c>
      <c r="F446" cm="1">
        <f t="array" ref="F446">IFERROR(INDEX('TRIP MANAGER'!$R$18:$R$25,$A446),"")</f>
        <v>-9.4120000000000008</v>
      </c>
      <c r="G446" cm="1">
        <f t="array" ref="G446">IFERROR(INDEX('TRIP MANAGER'!$S$18:$S$25,$A446),"")</f>
        <v>0.61206181805380777</v>
      </c>
      <c r="H446">
        <f t="shared" si="68"/>
        <v>0.94666666666666666</v>
      </c>
      <c r="I446">
        <f t="shared" si="69"/>
        <v>5.6804712133023828E-2</v>
      </c>
      <c r="J446">
        <f t="shared" si="70"/>
        <v>0.95297457890372517</v>
      </c>
      <c r="K446">
        <f t="shared" si="71"/>
        <v>0.85347540098258201</v>
      </c>
      <c r="L446">
        <f t="shared" si="72"/>
        <v>-0.1089233329015758</v>
      </c>
      <c r="M446">
        <f t="shared" si="73"/>
        <v>0.50962284825862503</v>
      </c>
      <c r="N446">
        <f t="shared" si="74"/>
        <v>30.638711120385821</v>
      </c>
      <c r="O446">
        <f t="shared" si="75"/>
        <v>-7.2729589620057231</v>
      </c>
      <c r="P446" t="str" cm="1">
        <f t="array" ref="P446">IF($N446="","",IFERROR(IF(INDEX(geo_grid!$B$2:$JU$231,INT(($N446+40)/0.5)+1,INT(($O446+30)/0.5)+1)="","",INDEX(geo_grid!$B$2:$JU$231,INT(($N446+40)/0.5)+1,INT(($O446+30)/0.5)+1)),"OUTSIDE GRID"))</f>
        <v>MAR</v>
      </c>
      <c r="Q446">
        <f t="shared" si="76"/>
        <v>3142</v>
      </c>
    </row>
    <row r="447" spans="1:17" x14ac:dyDescent="0.3">
      <c r="A447">
        <f t="shared" si="66"/>
        <v>3</v>
      </c>
      <c r="B447">
        <f t="shared" si="67"/>
        <v>143</v>
      </c>
      <c r="C447" cm="1">
        <f t="array" ref="C447">IFERROR(INDEX('TRIP MANAGER'!$O$18:$O$25,$A447),"")</f>
        <v>30.111529999999998</v>
      </c>
      <c r="D447" cm="1">
        <f t="array" ref="D447">IFERROR(INDEX('TRIP MANAGER'!$P$18:$P$25,$A447),"")</f>
        <v>31.39669</v>
      </c>
      <c r="E447" cm="1">
        <f t="array" ref="E447">IFERROR(INDEX('TRIP MANAGER'!$Q$18:$Q$25,$A447),"")</f>
        <v>30.322479999999999</v>
      </c>
      <c r="F447" cm="1">
        <f t="array" ref="F447">IFERROR(INDEX('TRIP MANAGER'!$R$18:$R$25,$A447),"")</f>
        <v>-9.4120000000000008</v>
      </c>
      <c r="G447" cm="1">
        <f t="array" ref="G447">IFERROR(INDEX('TRIP MANAGER'!$S$18:$S$25,$A447),"")</f>
        <v>0.61206181805380777</v>
      </c>
      <c r="H447">
        <f t="shared" si="68"/>
        <v>0.95333333333333337</v>
      </c>
      <c r="I447">
        <f t="shared" si="69"/>
        <v>4.970619219390545E-2</v>
      </c>
      <c r="J447">
        <f t="shared" si="70"/>
        <v>0.95890932358006853</v>
      </c>
      <c r="K447">
        <f t="shared" si="71"/>
        <v>0.85328781356383065</v>
      </c>
      <c r="L447">
        <f t="shared" si="72"/>
        <v>-0.11296008447850706</v>
      </c>
      <c r="M447">
        <f t="shared" si="73"/>
        <v>0.50905788132398622</v>
      </c>
      <c r="N447">
        <f t="shared" si="74"/>
        <v>30.601096046413893</v>
      </c>
      <c r="O447">
        <f t="shared" si="75"/>
        <v>-7.5410904681459412</v>
      </c>
      <c r="P447" t="str" cm="1">
        <f t="array" ref="P447">IF($N447="","",IFERROR(IF(INDEX(geo_grid!$B$2:$JU$231,INT(($N447+40)/0.5)+1,INT(($O447+30)/0.5)+1)="","",INDEX(geo_grid!$B$2:$JU$231,INT(($N447+40)/0.5)+1,INT(($O447+30)/0.5)+1)),"OUTSIDE GRID"))</f>
        <v>MAR</v>
      </c>
      <c r="Q447">
        <f t="shared" si="76"/>
        <v>3143</v>
      </c>
    </row>
    <row r="448" spans="1:17" x14ac:dyDescent="0.3">
      <c r="A448">
        <f t="shared" si="66"/>
        <v>3</v>
      </c>
      <c r="B448">
        <f t="shared" si="67"/>
        <v>144</v>
      </c>
      <c r="C448" cm="1">
        <f t="array" ref="C448">IFERROR(INDEX('TRIP MANAGER'!$O$18:$O$25,$A448),"")</f>
        <v>30.111529999999998</v>
      </c>
      <c r="D448" cm="1">
        <f t="array" ref="D448">IFERROR(INDEX('TRIP MANAGER'!$P$18:$P$25,$A448),"")</f>
        <v>31.39669</v>
      </c>
      <c r="E448" cm="1">
        <f t="array" ref="E448">IFERROR(INDEX('TRIP MANAGER'!$Q$18:$Q$25,$A448),"")</f>
        <v>30.322479999999999</v>
      </c>
      <c r="F448" cm="1">
        <f t="array" ref="F448">IFERROR(INDEX('TRIP MANAGER'!$R$18:$R$25,$A448),"")</f>
        <v>-9.4120000000000008</v>
      </c>
      <c r="G448" cm="1">
        <f t="array" ref="G448">IFERROR(INDEX('TRIP MANAGER'!$S$18:$S$25,$A448),"")</f>
        <v>0.61206181805380777</v>
      </c>
      <c r="H448">
        <f t="shared" si="68"/>
        <v>0.96</v>
      </c>
      <c r="I448">
        <f t="shared" si="69"/>
        <v>4.2606844659612217E-2</v>
      </c>
      <c r="J448">
        <f t="shared" si="70"/>
        <v>0.96482810266551888</v>
      </c>
      <c r="K448">
        <f t="shared" si="71"/>
        <v>0.85308601912486359</v>
      </c>
      <c r="L448">
        <f t="shared" si="72"/>
        <v>-0.11699495529940461</v>
      </c>
      <c r="M448">
        <f t="shared" si="73"/>
        <v>0.50848443870799354</v>
      </c>
      <c r="N448">
        <f t="shared" si="74"/>
        <v>30.562931597241281</v>
      </c>
      <c r="O448">
        <f t="shared" si="75"/>
        <v>-7.8090123194859604</v>
      </c>
      <c r="P448" t="str" cm="1">
        <f t="array" ref="P448">IF($N448="","",IFERROR(IF(INDEX(geo_grid!$B$2:$JU$231,INT(($N448+40)/0.5)+1,INT(($O448+30)/0.5)+1)="","",INDEX(geo_grid!$B$2:$JU$231,INT(($N448+40)/0.5)+1,INT(($O448+30)/0.5)+1)),"OUTSIDE GRID"))</f>
        <v>MAR</v>
      </c>
      <c r="Q448">
        <f t="shared" si="76"/>
        <v>3144</v>
      </c>
    </row>
    <row r="449" spans="1:17" x14ac:dyDescent="0.3">
      <c r="A449">
        <f t="shared" si="66"/>
        <v>3</v>
      </c>
      <c r="B449">
        <f t="shared" si="67"/>
        <v>145</v>
      </c>
      <c r="C449" cm="1">
        <f t="array" ref="C449">IFERROR(INDEX('TRIP MANAGER'!$O$18:$O$25,$A449),"")</f>
        <v>30.111529999999998</v>
      </c>
      <c r="D449" cm="1">
        <f t="array" ref="D449">IFERROR(INDEX('TRIP MANAGER'!$P$18:$P$25,$A449),"")</f>
        <v>31.39669</v>
      </c>
      <c r="E449" cm="1">
        <f t="array" ref="E449">IFERROR(INDEX('TRIP MANAGER'!$Q$18:$Q$25,$A449),"")</f>
        <v>30.322479999999999</v>
      </c>
      <c r="F449" cm="1">
        <f t="array" ref="F449">IFERROR(INDEX('TRIP MANAGER'!$R$18:$R$25,$A449),"")</f>
        <v>-9.4120000000000008</v>
      </c>
      <c r="G449" cm="1">
        <f t="array" ref="G449">IFERROR(INDEX('TRIP MANAGER'!$S$18:$S$25,$A449),"")</f>
        <v>0.61206181805380777</v>
      </c>
      <c r="H449">
        <f t="shared" si="68"/>
        <v>0.96666666666666667</v>
      </c>
      <c r="I449">
        <f t="shared" si="69"/>
        <v>3.5506787732434313E-2</v>
      </c>
      <c r="J449">
        <f t="shared" si="70"/>
        <v>0.97073081761394331</v>
      </c>
      <c r="K449">
        <f t="shared" si="71"/>
        <v>0.85287002102550513</v>
      </c>
      <c r="L449">
        <f t="shared" si="72"/>
        <v>-0.12102787818471861</v>
      </c>
      <c r="M449">
        <f t="shared" si="73"/>
        <v>0.50790252995831697</v>
      </c>
      <c r="N449">
        <f t="shared" si="74"/>
        <v>30.524219039380693</v>
      </c>
      <c r="O449">
        <f t="shared" si="75"/>
        <v>-8.0767219700111905</v>
      </c>
      <c r="P449" t="str" cm="1">
        <f t="array" ref="P449">IF($N449="","",IFERROR(IF(INDEX(geo_grid!$B$2:$JU$231,INT(($N449+40)/0.5)+1,INT(($O449+30)/0.5)+1)="","",INDEX(geo_grid!$B$2:$JU$231,INT(($N449+40)/0.5)+1,INT(($O449+30)/0.5)+1)),"OUTSIDE GRID"))</f>
        <v>MAR</v>
      </c>
      <c r="Q449">
        <f t="shared" si="76"/>
        <v>3145</v>
      </c>
    </row>
    <row r="450" spans="1:17" x14ac:dyDescent="0.3">
      <c r="A450">
        <f t="shared" si="66"/>
        <v>3</v>
      </c>
      <c r="B450">
        <f t="shared" si="67"/>
        <v>146</v>
      </c>
      <c r="C450" cm="1">
        <f t="array" ref="C450">IFERROR(INDEX('TRIP MANAGER'!$O$18:$O$25,$A450),"")</f>
        <v>30.111529999999998</v>
      </c>
      <c r="D450" cm="1">
        <f t="array" ref="D450">IFERROR(INDEX('TRIP MANAGER'!$P$18:$P$25,$A450),"")</f>
        <v>31.39669</v>
      </c>
      <c r="E450" cm="1">
        <f t="array" ref="E450">IFERROR(INDEX('TRIP MANAGER'!$Q$18:$Q$25,$A450),"")</f>
        <v>30.322479999999999</v>
      </c>
      <c r="F450" cm="1">
        <f t="array" ref="F450">IFERROR(INDEX('TRIP MANAGER'!$R$18:$R$25,$A450),"")</f>
        <v>-9.4120000000000008</v>
      </c>
      <c r="G450" cm="1">
        <f t="array" ref="G450">IFERROR(INDEX('TRIP MANAGER'!$S$18:$S$25,$A450),"")</f>
        <v>0.61206181805380777</v>
      </c>
      <c r="H450">
        <f t="shared" si="68"/>
        <v>0.97333333333333338</v>
      </c>
      <c r="I450">
        <f t="shared" si="69"/>
        <v>2.8406139626473464E-2</v>
      </c>
      <c r="J450">
        <f t="shared" si="70"/>
        <v>0.97661737014667316</v>
      </c>
      <c r="K450">
        <f t="shared" si="71"/>
        <v>0.85263982286206796</v>
      </c>
      <c r="L450">
        <f t="shared" si="72"/>
        <v>-0.12505878598733164</v>
      </c>
      <c r="M450">
        <f t="shared" si="73"/>
        <v>0.50731216476358632</v>
      </c>
      <c r="N450">
        <f t="shared" si="74"/>
        <v>30.484959654507019</v>
      </c>
      <c r="O450">
        <f t="shared" si="75"/>
        <v>-8.3442169006778446</v>
      </c>
      <c r="P450" t="str" cm="1">
        <f t="array" ref="P450">IF($N450="","",IFERROR(IF(INDEX(geo_grid!$B$2:$JU$231,INT(($N450+40)/0.5)+1,INT(($O450+30)/0.5)+1)="","",INDEX(geo_grid!$B$2:$JU$231,INT(($N450+40)/0.5)+1,INT(($O450+30)/0.5)+1)),"OUTSIDE GRID"))</f>
        <v>MAR</v>
      </c>
      <c r="Q450">
        <f t="shared" si="76"/>
        <v>3146</v>
      </c>
    </row>
    <row r="451" spans="1:17" x14ac:dyDescent="0.3">
      <c r="A451">
        <f t="shared" ref="A451:A514" si="77">INT((ROW()-2)/151)+1</f>
        <v>3</v>
      </c>
      <c r="B451">
        <f t="shared" ref="B451:B514" si="78">MOD(ROW()-2,151)</f>
        <v>147</v>
      </c>
      <c r="C451" cm="1">
        <f t="array" ref="C451">IFERROR(INDEX('TRIP MANAGER'!$O$18:$O$25,$A451),"")</f>
        <v>30.111529999999998</v>
      </c>
      <c r="D451" cm="1">
        <f t="array" ref="D451">IFERROR(INDEX('TRIP MANAGER'!$P$18:$P$25,$A451),"")</f>
        <v>31.39669</v>
      </c>
      <c r="E451" cm="1">
        <f t="array" ref="E451">IFERROR(INDEX('TRIP MANAGER'!$Q$18:$Q$25,$A451),"")</f>
        <v>30.322479999999999</v>
      </c>
      <c r="F451" cm="1">
        <f t="array" ref="F451">IFERROR(INDEX('TRIP MANAGER'!$R$18:$R$25,$A451),"")</f>
        <v>-9.4120000000000008</v>
      </c>
      <c r="G451" cm="1">
        <f t="array" ref="G451">IFERROR(INDEX('TRIP MANAGER'!$S$18:$S$25,$A451),"")</f>
        <v>0.61206181805380777</v>
      </c>
      <c r="H451">
        <f t="shared" ref="H451:H514" si="79">$B451/150</f>
        <v>0.98</v>
      </c>
      <c r="I451">
        <f t="shared" ref="I451:I514" si="80">IF(OR($G451="",$G451=0),"",SIN((1-$H451)*$G451)/SIN($G451))</f>
        <v>2.1305018565674381E-2</v>
      </c>
      <c r="J451">
        <f t="shared" ref="J451:J514" si="81">IF($I451="","",SIN($H451*$G451)/SIN($G451))</f>
        <v>0.98248766225413864</v>
      </c>
      <c r="K451">
        <f t="shared" ref="K451:K514" si="82">IF($I451="","",$I451*COS(RADIANS($C451))*COS(RADIANS($D451))+$J451*COS(RADIANS($E451))*COS(RADIANS($F451)))</f>
        <v>0.85239542846729122</v>
      </c>
      <c r="L451">
        <f t="shared" ref="L451:L514" si="83">IF($I451="","",$I451*COS(RADIANS($C451))*SIN(RADIANS($D451))+$J451*COS(RADIANS($E451))*SIN(RADIANS($F451)))</f>
        <v>-0.12908761159367682</v>
      </c>
      <c r="M451">
        <f t="shared" ref="M451:M514" si="84">IF($I451="","",$I451*SIN(RADIANS($C451))+$J451*SIN(RADIANS($E451)))</f>
        <v>0.50671335295322817</v>
      </c>
      <c r="N451">
        <f t="shared" ref="N451:N514" si="85">IF($M451="","",DEGREES(ATAN2(SQRT($K451^2+$L451^2),$M451)))</f>
        <v>30.445154739296164</v>
      </c>
      <c r="O451">
        <f t="shared" ref="O451:O514" si="86">IF($M451="","",DEGREES(ATAN2($K451,$L451)))</f>
        <v>-8.611494619633131</v>
      </c>
      <c r="P451" t="str" cm="1">
        <f t="array" ref="P451">IF($N451="","",IFERROR(IF(INDEX(geo_grid!$B$2:$JU$231,INT(($N451+40)/0.5)+1,INT(($O451+30)/0.5)+1)="","",INDEX(geo_grid!$B$2:$JU$231,INT(($N451+40)/0.5)+1,INT(($O451+30)/0.5)+1)),"OUTSIDE GRID"))</f>
        <v>MAR</v>
      </c>
      <c r="Q451">
        <f t="shared" ref="Q451:Q514" si="87">IF($P451="","",$A451*1000+$B451)</f>
        <v>3147</v>
      </c>
    </row>
    <row r="452" spans="1:17" x14ac:dyDescent="0.3">
      <c r="A452">
        <f t="shared" si="77"/>
        <v>3</v>
      </c>
      <c r="B452">
        <f t="shared" si="78"/>
        <v>148</v>
      </c>
      <c r="C452" cm="1">
        <f t="array" ref="C452">IFERROR(INDEX('TRIP MANAGER'!$O$18:$O$25,$A452),"")</f>
        <v>30.111529999999998</v>
      </c>
      <c r="D452" cm="1">
        <f t="array" ref="D452">IFERROR(INDEX('TRIP MANAGER'!$P$18:$P$25,$A452),"")</f>
        <v>31.39669</v>
      </c>
      <c r="E452" cm="1">
        <f t="array" ref="E452">IFERROR(INDEX('TRIP MANAGER'!$Q$18:$Q$25,$A452),"")</f>
        <v>30.322479999999999</v>
      </c>
      <c r="F452" cm="1">
        <f t="array" ref="F452">IFERROR(INDEX('TRIP MANAGER'!$R$18:$R$25,$A452),"")</f>
        <v>-9.4120000000000008</v>
      </c>
      <c r="G452" cm="1">
        <f t="array" ref="G452">IFERROR(INDEX('TRIP MANAGER'!$S$18:$S$25,$A452),"")</f>
        <v>0.61206181805380777</v>
      </c>
      <c r="H452">
        <f t="shared" si="79"/>
        <v>0.98666666666666669</v>
      </c>
      <c r="I452">
        <f t="shared" si="80"/>
        <v>1.4203542781855986E-2</v>
      </c>
      <c r="J452">
        <f t="shared" si="81"/>
        <v>0.9883415961975035</v>
      </c>
      <c r="K452">
        <f t="shared" si="82"/>
        <v>0.85213684191027828</v>
      </c>
      <c r="L452">
        <f t="shared" si="83"/>
        <v>-0.13311428792485561</v>
      </c>
      <c r="M452">
        <f t="shared" si="84"/>
        <v>0.50610610449730375</v>
      </c>
      <c r="N452">
        <f t="shared" si="85"/>
        <v>30.404805605262776</v>
      </c>
      <c r="O452">
        <f t="shared" si="86"/>
        <v>-8.8785526624285893</v>
      </c>
      <c r="P452" t="str" cm="1">
        <f t="array" ref="P452">IF($N452="","",IFERROR(IF(INDEX(geo_grid!$B$2:$JU$231,INT(($N452+40)/0.5)+1,INT(($O452+30)/0.5)+1)="","",INDEX(geo_grid!$B$2:$JU$231,INT(($N452+40)/0.5)+1,INT(($O452+30)/0.5)+1)),"OUTSIDE GRID"))</f>
        <v>MAR</v>
      </c>
      <c r="Q452">
        <f t="shared" si="87"/>
        <v>3148</v>
      </c>
    </row>
    <row r="453" spans="1:17" x14ac:dyDescent="0.3">
      <c r="A453">
        <f t="shared" si="77"/>
        <v>3</v>
      </c>
      <c r="B453">
        <f t="shared" si="78"/>
        <v>149</v>
      </c>
      <c r="C453" cm="1">
        <f t="array" ref="C453">IFERROR(INDEX('TRIP MANAGER'!$O$18:$O$25,$A453),"")</f>
        <v>30.111529999999998</v>
      </c>
      <c r="D453" cm="1">
        <f t="array" ref="D453">IFERROR(INDEX('TRIP MANAGER'!$P$18:$P$25,$A453),"")</f>
        <v>31.39669</v>
      </c>
      <c r="E453" cm="1">
        <f t="array" ref="E453">IFERROR(INDEX('TRIP MANAGER'!$Q$18:$Q$25,$A453),"")</f>
        <v>30.322479999999999</v>
      </c>
      <c r="F453" cm="1">
        <f t="array" ref="F453">IFERROR(INDEX('TRIP MANAGER'!$R$18:$R$25,$A453),"")</f>
        <v>-9.4120000000000008</v>
      </c>
      <c r="G453" cm="1">
        <f t="array" ref="G453">IFERROR(INDEX('TRIP MANAGER'!$S$18:$S$25,$A453),"")</f>
        <v>0.61206181805380777</v>
      </c>
      <c r="H453">
        <f t="shared" si="79"/>
        <v>0.99333333333333329</v>
      </c>
      <c r="I453">
        <f t="shared" si="80"/>
        <v>7.1018305127437302E-3</v>
      </c>
      <c r="J453">
        <f t="shared" si="81"/>
        <v>0.99417907451028931</v>
      </c>
      <c r="K453">
        <f t="shared" si="82"/>
        <v>0.85186406749642829</v>
      </c>
      <c r="L453">
        <f t="shared" si="83"/>
        <v>-0.13713874793775399</v>
      </c>
      <c r="M453">
        <f t="shared" si="84"/>
        <v>0.50549042950634193</v>
      </c>
      <c r="N453">
        <f t="shared" si="85"/>
        <v>30.36391357859695</v>
      </c>
      <c r="O453">
        <f t="shared" si="86"/>
        <v>-9.1453885922265759</v>
      </c>
      <c r="P453" t="str" cm="1">
        <f t="array" ref="P453">IF($N453="","",IFERROR(IF(INDEX(geo_grid!$B$2:$JU$231,INT(($N453+40)/0.5)+1,INT(($O453+30)/0.5)+1)="","",INDEX(geo_grid!$B$2:$JU$231,INT(($N453+40)/0.5)+1,INT(($O453+30)/0.5)+1)),"OUTSIDE GRID"))</f>
        <v>MAR</v>
      </c>
      <c r="Q453">
        <f t="shared" si="87"/>
        <v>3149</v>
      </c>
    </row>
    <row r="454" spans="1:17" x14ac:dyDescent="0.3">
      <c r="A454">
        <f t="shared" si="77"/>
        <v>3</v>
      </c>
      <c r="B454">
        <f t="shared" si="78"/>
        <v>150</v>
      </c>
      <c r="C454" cm="1">
        <f t="array" ref="C454">IFERROR(INDEX('TRIP MANAGER'!$O$18:$O$25,$A454),"")</f>
        <v>30.111529999999998</v>
      </c>
      <c r="D454" cm="1">
        <f t="array" ref="D454">IFERROR(INDEX('TRIP MANAGER'!$P$18:$P$25,$A454),"")</f>
        <v>31.39669</v>
      </c>
      <c r="E454" cm="1">
        <f t="array" ref="E454">IFERROR(INDEX('TRIP MANAGER'!$Q$18:$Q$25,$A454),"")</f>
        <v>30.322479999999999</v>
      </c>
      <c r="F454" cm="1">
        <f t="array" ref="F454">IFERROR(INDEX('TRIP MANAGER'!$R$18:$R$25,$A454),"")</f>
        <v>-9.4120000000000008</v>
      </c>
      <c r="G454" cm="1">
        <f t="array" ref="G454">IFERROR(INDEX('TRIP MANAGER'!$S$18:$S$25,$A454),"")</f>
        <v>0.61206181805380777</v>
      </c>
      <c r="H454">
        <f t="shared" si="79"/>
        <v>1</v>
      </c>
      <c r="I454">
        <f t="shared" si="80"/>
        <v>0</v>
      </c>
      <c r="J454">
        <f t="shared" si="81"/>
        <v>1</v>
      </c>
      <c r="K454">
        <f t="shared" si="82"/>
        <v>0.85157710976736378</v>
      </c>
      <c r="L454">
        <f t="shared" si="83"/>
        <v>-0.14116092462615937</v>
      </c>
      <c r="M454">
        <f t="shared" si="84"/>
        <v>0.50486633823117089</v>
      </c>
      <c r="N454">
        <f t="shared" si="85"/>
        <v>30.322479999999995</v>
      </c>
      <c r="O454">
        <f t="shared" si="86"/>
        <v>-9.4120000000000008</v>
      </c>
      <c r="P454" t="str" cm="1">
        <f t="array" ref="P454">IF($N454="","",IFERROR(IF(INDEX(geo_grid!$B$2:$JU$231,INT(($N454+40)/0.5)+1,INT(($O454+30)/0.5)+1)="","",INDEX(geo_grid!$B$2:$JU$231,INT(($N454+40)/0.5)+1,INT(($O454+30)/0.5)+1)),"OUTSIDE GRID"))</f>
        <v>MAR</v>
      </c>
      <c r="Q454">
        <f t="shared" si="87"/>
        <v>3150</v>
      </c>
    </row>
    <row r="455" spans="1:17" x14ac:dyDescent="0.3">
      <c r="A455">
        <f t="shared" si="77"/>
        <v>4</v>
      </c>
      <c r="B455">
        <f t="shared" si="78"/>
        <v>0</v>
      </c>
      <c r="C455" cm="1">
        <f t="array" ref="C455">IFERROR(INDEX('TRIP MANAGER'!$O$18:$O$25,$A455),"")</f>
        <v>30.322479999999999</v>
      </c>
      <c r="D455" cm="1">
        <f t="array" ref="D455">IFERROR(INDEX('TRIP MANAGER'!$P$18:$P$25,$A455),"")</f>
        <v>-9.4120000000000008</v>
      </c>
      <c r="E455" cm="1">
        <f t="array" ref="E455">IFERROR(INDEX('TRIP MANAGER'!$Q$18:$Q$25,$A455),"")</f>
        <v>-26.140080000000001</v>
      </c>
      <c r="F455" cm="1">
        <f t="array" ref="F455">IFERROR(INDEX('TRIP MANAGER'!$R$18:$R$25,$A455),"")</f>
        <v>28.2468</v>
      </c>
      <c r="G455" cm="1">
        <f t="array" ref="G455">IFERROR(INDEX('TRIP MANAGER'!$S$18:$S$25,$A455),"")</f>
        <v>1.1690355391911331</v>
      </c>
      <c r="H455">
        <f t="shared" si="79"/>
        <v>0</v>
      </c>
      <c r="I455">
        <f t="shared" si="80"/>
        <v>1</v>
      </c>
      <c r="J455">
        <f t="shared" si="81"/>
        <v>0</v>
      </c>
      <c r="K455">
        <f t="shared" si="82"/>
        <v>0.85157710976736378</v>
      </c>
      <c r="L455">
        <f t="shared" si="83"/>
        <v>-0.14116092462615937</v>
      </c>
      <c r="M455">
        <f t="shared" si="84"/>
        <v>0.50486633823117089</v>
      </c>
      <c r="N455">
        <f t="shared" si="85"/>
        <v>30.322479999999995</v>
      </c>
      <c r="O455">
        <f t="shared" si="86"/>
        <v>-9.4120000000000008</v>
      </c>
      <c r="P455" t="str" cm="1">
        <f t="array" ref="P455">IF($N455="","",IFERROR(IF(INDEX(geo_grid!$B$2:$JU$231,INT(($N455+40)/0.5)+1,INT(($O455+30)/0.5)+1)="","",INDEX(geo_grid!$B$2:$JU$231,INT(($N455+40)/0.5)+1,INT(($O455+30)/0.5)+1)),"OUTSIDE GRID"))</f>
        <v>MAR</v>
      </c>
      <c r="Q455">
        <f t="shared" si="87"/>
        <v>4000</v>
      </c>
    </row>
    <row r="456" spans="1:17" x14ac:dyDescent="0.3">
      <c r="A456">
        <f t="shared" si="77"/>
        <v>4</v>
      </c>
      <c r="B456">
        <f t="shared" si="78"/>
        <v>1</v>
      </c>
      <c r="C456" cm="1">
        <f t="array" ref="C456">IFERROR(INDEX('TRIP MANAGER'!$O$18:$O$25,$A456),"")</f>
        <v>30.322479999999999</v>
      </c>
      <c r="D456" cm="1">
        <f t="array" ref="D456">IFERROR(INDEX('TRIP MANAGER'!$P$18:$P$25,$A456),"")</f>
        <v>-9.4120000000000008</v>
      </c>
      <c r="E456" cm="1">
        <f t="array" ref="E456">IFERROR(INDEX('TRIP MANAGER'!$Q$18:$Q$25,$A456),"")</f>
        <v>-26.140080000000001</v>
      </c>
      <c r="F456" cm="1">
        <f t="array" ref="F456">IFERROR(INDEX('TRIP MANAGER'!$R$18:$R$25,$A456),"")</f>
        <v>28.2468</v>
      </c>
      <c r="G456" cm="1">
        <f t="array" ref="G456">IFERROR(INDEX('TRIP MANAGER'!$S$18:$S$25,$A456),"")</f>
        <v>1.1690355391911331</v>
      </c>
      <c r="H456">
        <f t="shared" si="79"/>
        <v>6.6666666666666671E-3</v>
      </c>
      <c r="I456">
        <f t="shared" si="80"/>
        <v>0.99665840724903265</v>
      </c>
      <c r="J456">
        <f t="shared" si="81"/>
        <v>8.467745015615407E-3</v>
      </c>
      <c r="K456">
        <f t="shared" si="82"/>
        <v>0.85542791933592599</v>
      </c>
      <c r="L456">
        <f t="shared" si="83"/>
        <v>-0.13709158077460967</v>
      </c>
      <c r="M456">
        <f t="shared" si="84"/>
        <v>0.49944866933582577</v>
      </c>
      <c r="N456">
        <f t="shared" si="85"/>
        <v>29.963530955343053</v>
      </c>
      <c r="O456">
        <f t="shared" si="86"/>
        <v>-9.1048472619715959</v>
      </c>
      <c r="P456" t="str" cm="1">
        <f t="array" ref="P456">IF($N456="","",IFERROR(IF(INDEX(geo_grid!$B$2:$JU$231,INT(($N456+40)/0.5)+1,INT(($O456+30)/0.5)+1)="","",INDEX(geo_grid!$B$2:$JU$231,INT(($N456+40)/0.5)+1,INT(($O456+30)/0.5)+1)),"OUTSIDE GRID"))</f>
        <v>MAR</v>
      </c>
      <c r="Q456">
        <f t="shared" si="87"/>
        <v>4001</v>
      </c>
    </row>
    <row r="457" spans="1:17" x14ac:dyDescent="0.3">
      <c r="A457">
        <f t="shared" si="77"/>
        <v>4</v>
      </c>
      <c r="B457">
        <f t="shared" si="78"/>
        <v>2</v>
      </c>
      <c r="C457" cm="1">
        <f t="array" ref="C457">IFERROR(INDEX('TRIP MANAGER'!$O$18:$O$25,$A457),"")</f>
        <v>30.322479999999999</v>
      </c>
      <c r="D457" cm="1">
        <f t="array" ref="D457">IFERROR(INDEX('TRIP MANAGER'!$P$18:$P$25,$A457),"")</f>
        <v>-9.4120000000000008</v>
      </c>
      <c r="E457" cm="1">
        <f t="array" ref="E457">IFERROR(INDEX('TRIP MANAGER'!$Q$18:$Q$25,$A457),"")</f>
        <v>-26.140080000000001</v>
      </c>
      <c r="F457" cm="1">
        <f t="array" ref="F457">IFERROR(INDEX('TRIP MANAGER'!$R$18:$R$25,$A457),"")</f>
        <v>28.2468</v>
      </c>
      <c r="G457" cm="1">
        <f t="array" ref="G457">IFERROR(INDEX('TRIP MANAGER'!$S$18:$S$25,$A457),"")</f>
        <v>1.1690355391911331</v>
      </c>
      <c r="H457">
        <f t="shared" si="79"/>
        <v>1.3333333333333334E-2</v>
      </c>
      <c r="I457">
        <f t="shared" si="80"/>
        <v>0.99325627803452921</v>
      </c>
      <c r="J457">
        <f t="shared" si="81"/>
        <v>1.6934975705225393E-2</v>
      </c>
      <c r="K457">
        <f t="shared" si="82"/>
        <v>0.85922677070028297</v>
      </c>
      <c r="L457">
        <f t="shared" si="83"/>
        <v>-0.13301391005858934</v>
      </c>
      <c r="M457">
        <f t="shared" si="84"/>
        <v>0.49400066421300348</v>
      </c>
      <c r="N457">
        <f t="shared" si="85"/>
        <v>29.603874571975279</v>
      </c>
      <c r="O457">
        <f t="shared" si="86"/>
        <v>-8.7999074115811382</v>
      </c>
      <c r="P457" t="str" cm="1">
        <f t="array" ref="P457">IF($N457="","",IFERROR(IF(INDEX(geo_grid!$B$2:$JU$231,INT(($N457+40)/0.5)+1,INT(($O457+30)/0.5)+1)="","",INDEX(geo_grid!$B$2:$JU$231,INT(($N457+40)/0.5)+1,INT(($O457+30)/0.5)+1)),"OUTSIDE GRID"))</f>
        <v>MAR</v>
      </c>
      <c r="Q457">
        <f t="shared" si="87"/>
        <v>4002</v>
      </c>
    </row>
    <row r="458" spans="1:17" x14ac:dyDescent="0.3">
      <c r="A458">
        <f t="shared" si="77"/>
        <v>4</v>
      </c>
      <c r="B458">
        <f t="shared" si="78"/>
        <v>3</v>
      </c>
      <c r="C458" cm="1">
        <f t="array" ref="C458">IFERROR(INDEX('TRIP MANAGER'!$O$18:$O$25,$A458),"")</f>
        <v>30.322479999999999</v>
      </c>
      <c r="D458" cm="1">
        <f t="array" ref="D458">IFERROR(INDEX('TRIP MANAGER'!$P$18:$P$25,$A458),"")</f>
        <v>-9.4120000000000008</v>
      </c>
      <c r="E458" cm="1">
        <f t="array" ref="E458">IFERROR(INDEX('TRIP MANAGER'!$Q$18:$Q$25,$A458),"")</f>
        <v>-26.140080000000001</v>
      </c>
      <c r="F458" cm="1">
        <f t="array" ref="F458">IFERROR(INDEX('TRIP MANAGER'!$R$18:$R$25,$A458),"")</f>
        <v>28.2468</v>
      </c>
      <c r="G458" cm="1">
        <f t="array" ref="G458">IFERROR(INDEX('TRIP MANAGER'!$S$18:$S$25,$A458),"")</f>
        <v>1.1690355391911331</v>
      </c>
      <c r="H458">
        <f t="shared" si="79"/>
        <v>0.02</v>
      </c>
      <c r="I458">
        <f t="shared" si="80"/>
        <v>0.98979381899987884</v>
      </c>
      <c r="J458">
        <f t="shared" si="81"/>
        <v>2.5401177774064396E-2</v>
      </c>
      <c r="K458">
        <f t="shared" si="82"/>
        <v>0.86297343312036845</v>
      </c>
      <c r="L458">
        <f t="shared" si="83"/>
        <v>-0.12892816015349334</v>
      </c>
      <c r="M458">
        <f t="shared" si="84"/>
        <v>0.4885226537714295</v>
      </c>
      <c r="N458">
        <f t="shared" si="85"/>
        <v>29.243526065635184</v>
      </c>
      <c r="O458">
        <f t="shared" si="86"/>
        <v>-8.4971370638452957</v>
      </c>
      <c r="P458" t="str" cm="1">
        <f t="array" ref="P458">IF($N458="","",IFERROR(IF(INDEX(geo_grid!$B$2:$JU$231,INT(($N458+40)/0.5)+1,INT(($O458+30)/0.5)+1)="","",INDEX(geo_grid!$B$2:$JU$231,INT(($N458+40)/0.5)+1,INT(($O458+30)/0.5)+1)),"OUTSIDE GRID"))</f>
        <v>MAR</v>
      </c>
      <c r="Q458">
        <f t="shared" si="87"/>
        <v>4003</v>
      </c>
    </row>
    <row r="459" spans="1:17" x14ac:dyDescent="0.3">
      <c r="A459">
        <f t="shared" si="77"/>
        <v>4</v>
      </c>
      <c r="B459">
        <f t="shared" si="78"/>
        <v>4</v>
      </c>
      <c r="C459" cm="1">
        <f t="array" ref="C459">IFERROR(INDEX('TRIP MANAGER'!$O$18:$O$25,$A459),"")</f>
        <v>30.322479999999999</v>
      </c>
      <c r="D459" cm="1">
        <f t="array" ref="D459">IFERROR(INDEX('TRIP MANAGER'!$P$18:$P$25,$A459),"")</f>
        <v>-9.4120000000000008</v>
      </c>
      <c r="E459" cm="1">
        <f t="array" ref="E459">IFERROR(INDEX('TRIP MANAGER'!$Q$18:$Q$25,$A459),"")</f>
        <v>-26.140080000000001</v>
      </c>
      <c r="F459" cm="1">
        <f t="array" ref="F459">IFERROR(INDEX('TRIP MANAGER'!$R$18:$R$25,$A459),"")</f>
        <v>28.2468</v>
      </c>
      <c r="G459" cm="1">
        <f t="array" ref="G459">IFERROR(INDEX('TRIP MANAGER'!$S$18:$S$25,$A459),"")</f>
        <v>1.1690355391911331</v>
      </c>
      <c r="H459">
        <f t="shared" si="79"/>
        <v>2.6666666666666668E-2</v>
      </c>
      <c r="I459">
        <f t="shared" si="80"/>
        <v>0.98627124045286962</v>
      </c>
      <c r="J459">
        <f t="shared" si="81"/>
        <v>3.3865836989844716E-2</v>
      </c>
      <c r="K459">
        <f t="shared" si="82"/>
        <v>0.86666767902604247</v>
      </c>
      <c r="L459">
        <f t="shared" si="83"/>
        <v>-0.12483457922544187</v>
      </c>
      <c r="M459">
        <f t="shared" si="84"/>
        <v>0.48301497074233563</v>
      </c>
      <c r="N459">
        <f t="shared" si="85"/>
        <v>28.882500356560602</v>
      </c>
      <c r="O459">
        <f t="shared" si="86"/>
        <v>-8.1964934875809412</v>
      </c>
      <c r="P459" t="str" cm="1">
        <f t="array" ref="P459">IF($N459="","",IFERROR(IF(INDEX(geo_grid!$B$2:$JU$231,INT(($N459+40)/0.5)+1,INT(($O459+30)/0.5)+1)="","",INDEX(geo_grid!$B$2:$JU$231,INT(($N459+40)/0.5)+1,INT(($O459+30)/0.5)+1)),"OUTSIDE GRID"))</f>
        <v>DZA</v>
      </c>
      <c r="Q459">
        <f t="shared" si="87"/>
        <v>4004</v>
      </c>
    </row>
    <row r="460" spans="1:17" x14ac:dyDescent="0.3">
      <c r="A460">
        <f t="shared" si="77"/>
        <v>4</v>
      </c>
      <c r="B460">
        <f t="shared" si="78"/>
        <v>5</v>
      </c>
      <c r="C460" cm="1">
        <f t="array" ref="C460">IFERROR(INDEX('TRIP MANAGER'!$O$18:$O$25,$A460),"")</f>
        <v>30.322479999999999</v>
      </c>
      <c r="D460" cm="1">
        <f t="array" ref="D460">IFERROR(INDEX('TRIP MANAGER'!$P$18:$P$25,$A460),"")</f>
        <v>-9.4120000000000008</v>
      </c>
      <c r="E460" cm="1">
        <f t="array" ref="E460">IFERROR(INDEX('TRIP MANAGER'!$Q$18:$Q$25,$A460),"")</f>
        <v>-26.140080000000001</v>
      </c>
      <c r="F460" cm="1">
        <f t="array" ref="F460">IFERROR(INDEX('TRIP MANAGER'!$R$18:$R$25,$A460),"")</f>
        <v>28.2468</v>
      </c>
      <c r="G460" cm="1">
        <f t="array" ref="G460">IFERROR(INDEX('TRIP MANAGER'!$S$18:$S$25,$A460),"")</f>
        <v>1.1690355391911331</v>
      </c>
      <c r="H460">
        <f t="shared" si="79"/>
        <v>3.3333333333333333E-2</v>
      </c>
      <c r="I460">
        <f t="shared" si="80"/>
        <v>0.98268875635291442</v>
      </c>
      <c r="J460">
        <f t="shared" si="81"/>
        <v>4.232843921399064E-2</v>
      </c>
      <c r="K460">
        <f t="shared" si="82"/>
        <v>0.87030928403091457</v>
      </c>
      <c r="L460">
        <f t="shared" si="83"/>
        <v>-0.12073341591620704</v>
      </c>
      <c r="M460">
        <f t="shared" si="84"/>
        <v>0.47747794965924939</v>
      </c>
      <c r="N460">
        <f t="shared" si="85"/>
        <v>28.520812077060334</v>
      </c>
      <c r="O460">
        <f t="shared" si="86"/>
        <v>-7.8979345944227655</v>
      </c>
      <c r="P460" t="str" cm="1">
        <f t="array" ref="P460">IF($N460="","",IFERROR(IF(INDEX(geo_grid!$B$2:$JU$231,INT(($N460+40)/0.5)+1,INT(($O460+30)/0.5)+1)="","",INDEX(geo_grid!$B$2:$JU$231,INT(($N460+40)/0.5)+1,INT(($O460+30)/0.5)+1)),"OUTSIDE GRID"))</f>
        <v>DZA</v>
      </c>
      <c r="Q460">
        <f t="shared" si="87"/>
        <v>4005</v>
      </c>
    </row>
    <row r="461" spans="1:17" x14ac:dyDescent="0.3">
      <c r="A461">
        <f t="shared" si="77"/>
        <v>4</v>
      </c>
      <c r="B461">
        <f t="shared" si="78"/>
        <v>6</v>
      </c>
      <c r="C461" cm="1">
        <f t="array" ref="C461">IFERROR(INDEX('TRIP MANAGER'!$O$18:$O$25,$A461),"")</f>
        <v>30.322479999999999</v>
      </c>
      <c r="D461" cm="1">
        <f t="array" ref="D461">IFERROR(INDEX('TRIP MANAGER'!$P$18:$P$25,$A461),"")</f>
        <v>-9.4120000000000008</v>
      </c>
      <c r="E461" cm="1">
        <f t="array" ref="E461">IFERROR(INDEX('TRIP MANAGER'!$Q$18:$Q$25,$A461),"")</f>
        <v>-26.140080000000001</v>
      </c>
      <c r="F461" cm="1">
        <f t="array" ref="F461">IFERROR(INDEX('TRIP MANAGER'!$R$18:$R$25,$A461),"")</f>
        <v>28.2468</v>
      </c>
      <c r="G461" cm="1">
        <f t="array" ref="G461">IFERROR(INDEX('TRIP MANAGER'!$S$18:$S$25,$A461),"")</f>
        <v>1.1690355391911331</v>
      </c>
      <c r="H461">
        <f t="shared" si="79"/>
        <v>0.04</v>
      </c>
      <c r="I461">
        <f t="shared" si="80"/>
        <v>0.97904658429805558</v>
      </c>
      <c r="J461">
        <f t="shared" si="81"/>
        <v>5.0788470432866967E-2</v>
      </c>
      <c r="K461">
        <f t="shared" si="82"/>
        <v>0.87389802694597296</v>
      </c>
      <c r="L461">
        <f t="shared" si="83"/>
        <v>-0.11662491932811059</v>
      </c>
      <c r="M461">
        <f t="shared" si="84"/>
        <v>0.4719119268376753</v>
      </c>
      <c r="N461">
        <f t="shared" si="85"/>
        <v>28.158475578914892</v>
      </c>
      <c r="O461">
        <f t="shared" si="86"/>
        <v>-7.6014189277863213</v>
      </c>
      <c r="P461" t="str" cm="1">
        <f t="array" ref="P461">IF($N461="","",IFERROR(IF(INDEX(geo_grid!$B$2:$JU$231,INT(($N461+40)/0.5)+1,INT(($O461+30)/0.5)+1)="","",INDEX(geo_grid!$B$2:$JU$231,INT(($N461+40)/0.5)+1,INT(($O461+30)/0.5)+1)),"OUTSIDE GRID"))</f>
        <v>DZA</v>
      </c>
      <c r="Q461">
        <f t="shared" si="87"/>
        <v>4006</v>
      </c>
    </row>
    <row r="462" spans="1:17" x14ac:dyDescent="0.3">
      <c r="A462">
        <f t="shared" si="77"/>
        <v>4</v>
      </c>
      <c r="B462">
        <f t="shared" si="78"/>
        <v>7</v>
      </c>
      <c r="C462" cm="1">
        <f t="array" ref="C462">IFERROR(INDEX('TRIP MANAGER'!$O$18:$O$25,$A462),"")</f>
        <v>30.322479999999999</v>
      </c>
      <c r="D462" cm="1">
        <f t="array" ref="D462">IFERROR(INDEX('TRIP MANAGER'!$P$18:$P$25,$A462),"")</f>
        <v>-9.4120000000000008</v>
      </c>
      <c r="E462" cm="1">
        <f t="array" ref="E462">IFERROR(INDEX('TRIP MANAGER'!$Q$18:$Q$25,$A462),"")</f>
        <v>-26.140080000000001</v>
      </c>
      <c r="F462" cm="1">
        <f t="array" ref="F462">IFERROR(INDEX('TRIP MANAGER'!$R$18:$R$25,$A462),"")</f>
        <v>28.2468</v>
      </c>
      <c r="G462" cm="1">
        <f t="array" ref="G462">IFERROR(INDEX('TRIP MANAGER'!$S$18:$S$25,$A462),"")</f>
        <v>1.1690355391911331</v>
      </c>
      <c r="H462">
        <f t="shared" si="79"/>
        <v>4.6666666666666669E-2</v>
      </c>
      <c r="I462">
        <f t="shared" si="80"/>
        <v>0.97534494551174722</v>
      </c>
      <c r="J462">
        <f t="shared" si="81"/>
        <v>5.9245416788999902E-2</v>
      </c>
      <c r="K462">
        <f t="shared" si="82"/>
        <v>0.87743368979301783</v>
      </c>
      <c r="L462">
        <f t="shared" si="83"/>
        <v>-0.11250933900889318</v>
      </c>
      <c r="M462">
        <f t="shared" si="84"/>
        <v>0.46631724035466654</v>
      </c>
      <c r="N462">
        <f t="shared" si="85"/>
        <v>27.795504940609529</v>
      </c>
      <c r="O462">
        <f t="shared" si="86"/>
        <v>-7.3069056517937101</v>
      </c>
      <c r="P462" t="str" cm="1">
        <f t="array" ref="P462">IF($N462="","",IFERROR(IF(INDEX(geo_grid!$B$2:$JU$231,INT(($N462+40)/0.5)+1,INT(($O462+30)/0.5)+1)="","",INDEX(geo_grid!$B$2:$JU$231,INT(($N462+40)/0.5)+1,INT(($O462+30)/0.5)+1)),"OUTSIDE GRID"))</f>
        <v>DZA</v>
      </c>
      <c r="Q462">
        <f t="shared" si="87"/>
        <v>4007</v>
      </c>
    </row>
    <row r="463" spans="1:17" x14ac:dyDescent="0.3">
      <c r="A463">
        <f t="shared" si="77"/>
        <v>4</v>
      </c>
      <c r="B463">
        <f t="shared" si="78"/>
        <v>8</v>
      </c>
      <c r="C463" cm="1">
        <f t="array" ref="C463">IFERROR(INDEX('TRIP MANAGER'!$O$18:$O$25,$A463),"")</f>
        <v>30.322479999999999</v>
      </c>
      <c r="D463" cm="1">
        <f t="array" ref="D463">IFERROR(INDEX('TRIP MANAGER'!$P$18:$P$25,$A463),"")</f>
        <v>-9.4120000000000008</v>
      </c>
      <c r="E463" cm="1">
        <f t="array" ref="E463">IFERROR(INDEX('TRIP MANAGER'!$Q$18:$Q$25,$A463),"")</f>
        <v>-26.140080000000001</v>
      </c>
      <c r="F463" cm="1">
        <f t="array" ref="F463">IFERROR(INDEX('TRIP MANAGER'!$R$18:$R$25,$A463),"")</f>
        <v>28.2468</v>
      </c>
      <c r="G463" cm="1">
        <f t="array" ref="G463">IFERROR(INDEX('TRIP MANAGER'!$S$18:$S$25,$A463),"")</f>
        <v>1.1690355391911331</v>
      </c>
      <c r="H463">
        <f t="shared" si="79"/>
        <v>5.3333333333333337E-2</v>
      </c>
      <c r="I463">
        <f t="shared" si="80"/>
        <v>0.97158406482941939</v>
      </c>
      <c r="J463">
        <f t="shared" si="81"/>
        <v>6.7698764612288451E-2</v>
      </c>
      <c r="K463">
        <f t="shared" si="82"/>
        <v>0.88091605781790416</v>
      </c>
      <c r="L463">
        <f t="shared" si="83"/>
        <v>-0.10838692493655752</v>
      </c>
      <c r="M463">
        <f t="shared" si="84"/>
        <v>0.46069423002829102</v>
      </c>
      <c r="N463">
        <f t="shared" si="85"/>
        <v>27.431913974402637</v>
      </c>
      <c r="O463">
        <f t="shared" si="86"/>
        <v>-7.0143545401776866</v>
      </c>
      <c r="P463" t="str" cm="1">
        <f t="array" ref="P463">IF($N463="","",IFERROR(IF(INDEX(geo_grid!$B$2:$JU$231,INT(($N463+40)/0.5)+1,INT(($O463+30)/0.5)+1)="","",INDEX(geo_grid!$B$2:$JU$231,INT(($N463+40)/0.5)+1,INT(($O463+30)/0.5)+1)),"OUTSIDE GRID"))</f>
        <v>DZA</v>
      </c>
      <c r="Q463">
        <f t="shared" si="87"/>
        <v>4008</v>
      </c>
    </row>
    <row r="464" spans="1:17" x14ac:dyDescent="0.3">
      <c r="A464">
        <f t="shared" si="77"/>
        <v>4</v>
      </c>
      <c r="B464">
        <f t="shared" si="78"/>
        <v>9</v>
      </c>
      <c r="C464" cm="1">
        <f t="array" ref="C464">IFERROR(INDEX('TRIP MANAGER'!$O$18:$O$25,$A464),"")</f>
        <v>30.322479999999999</v>
      </c>
      <c r="D464" cm="1">
        <f t="array" ref="D464">IFERROR(INDEX('TRIP MANAGER'!$P$18:$P$25,$A464),"")</f>
        <v>-9.4120000000000008</v>
      </c>
      <c r="E464" cm="1">
        <f t="array" ref="E464">IFERROR(INDEX('TRIP MANAGER'!$Q$18:$Q$25,$A464),"")</f>
        <v>-26.140080000000001</v>
      </c>
      <c r="F464" cm="1">
        <f t="array" ref="F464">IFERROR(INDEX('TRIP MANAGER'!$R$18:$R$25,$A464),"")</f>
        <v>28.2468</v>
      </c>
      <c r="G464" cm="1">
        <f t="array" ref="G464">IFERROR(INDEX('TRIP MANAGER'!$S$18:$S$25,$A464),"")</f>
        <v>1.1690355391911331</v>
      </c>
      <c r="H464">
        <f t="shared" si="79"/>
        <v>0.06</v>
      </c>
      <c r="I464">
        <f t="shared" si="80"/>
        <v>0.96776417068482112</v>
      </c>
      <c r="J464">
        <f t="shared" si="81"/>
        <v>7.6148000451204415E-2</v>
      </c>
      <c r="K464">
        <f t="shared" si="82"/>
        <v>0.88434491950358252</v>
      </c>
      <c r="L464">
        <f t="shared" si="83"/>
        <v>-0.10425792750418447</v>
      </c>
      <c r="M464">
        <f t="shared" si="84"/>
        <v>0.45504323739699087</v>
      </c>
      <c r="N464">
        <f t="shared" si="85"/>
        <v>27.067716233232979</v>
      </c>
      <c r="O464">
        <f t="shared" si="86"/>
        <v>-6.7237259651786871</v>
      </c>
      <c r="P464" t="str" cm="1">
        <f t="array" ref="P464">IF($N464="","",IFERROR(IF(INDEX(geo_grid!$B$2:$JU$231,INT(($N464+40)/0.5)+1,INT(($O464+30)/0.5)+1)="","",INDEX(geo_grid!$B$2:$JU$231,INT(($N464+40)/0.5)+1,INT(($O464+30)/0.5)+1)),"OUTSIDE GRID"))</f>
        <v>DZA</v>
      </c>
      <c r="Q464">
        <f t="shared" si="87"/>
        <v>4009</v>
      </c>
    </row>
    <row r="465" spans="1:17" x14ac:dyDescent="0.3">
      <c r="A465">
        <f t="shared" si="77"/>
        <v>4</v>
      </c>
      <c r="B465">
        <f t="shared" si="78"/>
        <v>10</v>
      </c>
      <c r="C465" cm="1">
        <f t="array" ref="C465">IFERROR(INDEX('TRIP MANAGER'!$O$18:$O$25,$A465),"")</f>
        <v>30.322479999999999</v>
      </c>
      <c r="D465" cm="1">
        <f t="array" ref="D465">IFERROR(INDEX('TRIP MANAGER'!$P$18:$P$25,$A465),"")</f>
        <v>-9.4120000000000008</v>
      </c>
      <c r="E465" cm="1">
        <f t="array" ref="E465">IFERROR(INDEX('TRIP MANAGER'!$Q$18:$Q$25,$A465),"")</f>
        <v>-26.140080000000001</v>
      </c>
      <c r="F465" cm="1">
        <f t="array" ref="F465">IFERROR(INDEX('TRIP MANAGER'!$R$18:$R$25,$A465),"")</f>
        <v>28.2468</v>
      </c>
      <c r="G465" cm="1">
        <f t="array" ref="G465">IFERROR(INDEX('TRIP MANAGER'!$S$18:$S$25,$A465),"")</f>
        <v>1.1690355391911331</v>
      </c>
      <c r="H465">
        <f t="shared" si="79"/>
        <v>6.6666666666666666E-2</v>
      </c>
      <c r="I465">
        <f t="shared" si="80"/>
        <v>0.96388549509614507</v>
      </c>
      <c r="J465">
        <f t="shared" si="81"/>
        <v>8.4592611103979226E-2</v>
      </c>
      <c r="K465">
        <f t="shared" si="82"/>
        <v>0.88772006658294877</v>
      </c>
      <c r="L465">
        <f t="shared" si="83"/>
        <v>-0.10012259750472444</v>
      </c>
      <c r="M465">
        <f t="shared" si="84"/>
        <v>0.44936460569883724</v>
      </c>
      <c r="N465">
        <f t="shared" si="85"/>
        <v>26.702925017468772</v>
      </c>
      <c r="O465">
        <f t="shared" si="86"/>
        <v>-6.4349808864481357</v>
      </c>
      <c r="P465" t="str" cm="1">
        <f t="array" ref="P465">IF($N465="","",IFERROR(IF(INDEX(geo_grid!$B$2:$JU$231,INT(($N465+40)/0.5)+1,INT(($O465+30)/0.5)+1)="","",INDEX(geo_grid!$B$2:$JU$231,INT(($N465+40)/0.5)+1,INT(($O465+30)/0.5)+1)),"OUTSIDE GRID"))</f>
        <v>DZA</v>
      </c>
      <c r="Q465">
        <f t="shared" si="87"/>
        <v>4010</v>
      </c>
    </row>
    <row r="466" spans="1:17" x14ac:dyDescent="0.3">
      <c r="A466">
        <f t="shared" si="77"/>
        <v>4</v>
      </c>
      <c r="B466">
        <f t="shared" si="78"/>
        <v>11</v>
      </c>
      <c r="C466" cm="1">
        <f t="array" ref="C466">IFERROR(INDEX('TRIP MANAGER'!$O$18:$O$25,$A466),"")</f>
        <v>30.322479999999999</v>
      </c>
      <c r="D466" cm="1">
        <f t="array" ref="D466">IFERROR(INDEX('TRIP MANAGER'!$P$18:$P$25,$A466),"")</f>
        <v>-9.4120000000000008</v>
      </c>
      <c r="E466" cm="1">
        <f t="array" ref="E466">IFERROR(INDEX('TRIP MANAGER'!$Q$18:$Q$25,$A466),"")</f>
        <v>-26.140080000000001</v>
      </c>
      <c r="F466" cm="1">
        <f t="array" ref="F466">IFERROR(INDEX('TRIP MANAGER'!$R$18:$R$25,$A466),"")</f>
        <v>28.2468</v>
      </c>
      <c r="G466" cm="1">
        <f t="array" ref="G466">IFERROR(INDEX('TRIP MANAGER'!$S$18:$S$25,$A466),"")</f>
        <v>1.1690355391911331</v>
      </c>
      <c r="H466">
        <f t="shared" si="79"/>
        <v>7.3333333333333334E-2</v>
      </c>
      <c r="I466">
        <f t="shared" si="80"/>
        <v>0.9599482736519358</v>
      </c>
      <c r="J466">
        <f t="shared" si="81"/>
        <v>9.3032083649775485E-2</v>
      </c>
      <c r="K466">
        <f t="shared" si="82"/>
        <v>0.89104129405149379</v>
      </c>
      <c r="L466">
        <f t="shared" si="83"/>
        <v>-9.5981186115764366E-2</v>
      </c>
      <c r="M466">
        <f t="shared" si="84"/>
        <v>0.44365867985068247</v>
      </c>
      <c r="N466">
        <f t="shared" si="85"/>
        <v>26.337553381502204</v>
      </c>
      <c r="O466">
        <f t="shared" si="86"/>
        <v>-6.1480808399702287</v>
      </c>
      <c r="P466" t="str" cm="1">
        <f t="array" ref="P466">IF($N466="","",IFERROR(IF(INDEX(geo_grid!$B$2:$JU$231,INT(($N466+40)/0.5)+1,INT(($O466+30)/0.5)+1)="","",INDEX(geo_grid!$B$2:$JU$231,INT(($N466+40)/0.5)+1,INT(($O466+30)/0.5)+1)),"OUTSIDE GRID"))</f>
        <v>DZA</v>
      </c>
      <c r="Q466">
        <f t="shared" si="87"/>
        <v>4011</v>
      </c>
    </row>
    <row r="467" spans="1:17" x14ac:dyDescent="0.3">
      <c r="A467">
        <f t="shared" si="77"/>
        <v>4</v>
      </c>
      <c r="B467">
        <f t="shared" si="78"/>
        <v>12</v>
      </c>
      <c r="C467" cm="1">
        <f t="array" ref="C467">IFERROR(INDEX('TRIP MANAGER'!$O$18:$O$25,$A467),"")</f>
        <v>30.322479999999999</v>
      </c>
      <c r="D467" cm="1">
        <f t="array" ref="D467">IFERROR(INDEX('TRIP MANAGER'!$P$18:$P$25,$A467),"")</f>
        <v>-9.4120000000000008</v>
      </c>
      <c r="E467" cm="1">
        <f t="array" ref="E467">IFERROR(INDEX('TRIP MANAGER'!$Q$18:$Q$25,$A467),"")</f>
        <v>-26.140080000000001</v>
      </c>
      <c r="F467" cm="1">
        <f t="array" ref="F467">IFERROR(INDEX('TRIP MANAGER'!$R$18:$R$25,$A467),"")</f>
        <v>28.2468</v>
      </c>
      <c r="G467" cm="1">
        <f t="array" ref="G467">IFERROR(INDEX('TRIP MANAGER'!$S$18:$S$25,$A467),"")</f>
        <v>1.1690355391911331</v>
      </c>
      <c r="H467">
        <f t="shared" si="79"/>
        <v>0.08</v>
      </c>
      <c r="I467">
        <f t="shared" si="80"/>
        <v>0.95595274549677933</v>
      </c>
      <c r="J467">
        <f t="shared" si="81"/>
        <v>0.10146590547984147</v>
      </c>
      <c r="K467">
        <f t="shared" si="82"/>
        <v>0.89430840017975366</v>
      </c>
      <c r="L467">
        <f t="shared" si="83"/>
        <v>-9.1833944884271296E-2</v>
      </c>
      <c r="M467">
        <f t="shared" si="84"/>
        <v>0.43792580642721013</v>
      </c>
      <c r="N467">
        <f t="shared" si="85"/>
        <v>25.971614140192539</v>
      </c>
      <c r="O467">
        <f t="shared" si="86"/>
        <v>-5.8629879270133669</v>
      </c>
      <c r="P467" t="str" cm="1">
        <f t="array" ref="P467">IF($N467="","",IFERROR(IF(INDEX(geo_grid!$B$2:$JU$231,INT(($N467+40)/0.5)+1,INT(($O467+30)/0.5)+1)="","",INDEX(geo_grid!$B$2:$JU$231,INT(($N467+40)/0.5)+1,INT(($O467+30)/0.5)+1)),"OUTSIDE GRID"))</f>
        <v>DZA</v>
      </c>
      <c r="Q467">
        <f t="shared" si="87"/>
        <v>4012</v>
      </c>
    </row>
    <row r="468" spans="1:17" x14ac:dyDescent="0.3">
      <c r="A468">
        <f t="shared" si="77"/>
        <v>4</v>
      </c>
      <c r="B468">
        <f t="shared" si="78"/>
        <v>13</v>
      </c>
      <c r="C468" cm="1">
        <f t="array" ref="C468">IFERROR(INDEX('TRIP MANAGER'!$O$18:$O$25,$A468),"")</f>
        <v>30.322479999999999</v>
      </c>
      <c r="D468" cm="1">
        <f t="array" ref="D468">IFERROR(INDEX('TRIP MANAGER'!$P$18:$P$25,$A468),"")</f>
        <v>-9.4120000000000008</v>
      </c>
      <c r="E468" cm="1">
        <f t="array" ref="E468">IFERROR(INDEX('TRIP MANAGER'!$Q$18:$Q$25,$A468),"")</f>
        <v>-26.140080000000001</v>
      </c>
      <c r="F468" cm="1">
        <f t="array" ref="F468">IFERROR(INDEX('TRIP MANAGER'!$R$18:$R$25,$A468),"")</f>
        <v>28.2468</v>
      </c>
      <c r="G468" cm="1">
        <f t="array" ref="G468">IFERROR(INDEX('TRIP MANAGER'!$S$18:$S$25,$A468),"")</f>
        <v>1.1690355391911331</v>
      </c>
      <c r="H468">
        <f t="shared" si="79"/>
        <v>8.666666666666667E-2</v>
      </c>
      <c r="I468">
        <f t="shared" si="80"/>
        <v>0.9518991533167781</v>
      </c>
      <c r="J468">
        <f t="shared" si="81"/>
        <v>0.10989356432864672</v>
      </c>
      <c r="K468">
        <f t="shared" si="82"/>
        <v>0.89752118652556445</v>
      </c>
      <c r="L468">
        <f t="shared" si="83"/>
        <v>-8.7681125711313534E-2</v>
      </c>
      <c r="M468">
        <f t="shared" si="84"/>
        <v>0.43216633363988388</v>
      </c>
      <c r="N468">
        <f t="shared" si="85"/>
        <v>25.605119875161098</v>
      </c>
      <c r="O468">
        <f t="shared" si="86"/>
        <v>-5.579664803121398</v>
      </c>
      <c r="P468" t="str" cm="1">
        <f t="array" ref="P468">IF($N468="","",IFERROR(IF(INDEX(geo_grid!$B$2:$JU$231,INT(($N468+40)/0.5)+1,INT(($O468+30)/0.5)+1)="","",INDEX(geo_grid!$B$2:$JU$231,INT(($N468+40)/0.5)+1,INT(($O468+30)/0.5)+1)),"OUTSIDE GRID"))</f>
        <v>DZA</v>
      </c>
      <c r="Q468">
        <f t="shared" si="87"/>
        <v>4013</v>
      </c>
    </row>
    <row r="469" spans="1:17" x14ac:dyDescent="0.3">
      <c r="A469">
        <f t="shared" si="77"/>
        <v>4</v>
      </c>
      <c r="B469">
        <f t="shared" si="78"/>
        <v>14</v>
      </c>
      <c r="C469" cm="1">
        <f t="array" ref="C469">IFERROR(INDEX('TRIP MANAGER'!$O$18:$O$25,$A469),"")</f>
        <v>30.322479999999999</v>
      </c>
      <c r="D469" cm="1">
        <f t="array" ref="D469">IFERROR(INDEX('TRIP MANAGER'!$P$18:$P$25,$A469),"")</f>
        <v>-9.4120000000000008</v>
      </c>
      <c r="E469" cm="1">
        <f t="array" ref="E469">IFERROR(INDEX('TRIP MANAGER'!$Q$18:$Q$25,$A469),"")</f>
        <v>-26.140080000000001</v>
      </c>
      <c r="F469" cm="1">
        <f t="array" ref="F469">IFERROR(INDEX('TRIP MANAGER'!$R$18:$R$25,$A469),"")</f>
        <v>28.2468</v>
      </c>
      <c r="G469" cm="1">
        <f t="array" ref="G469">IFERROR(INDEX('TRIP MANAGER'!$S$18:$S$25,$A469),"")</f>
        <v>1.1690355391911331</v>
      </c>
      <c r="H469">
        <f t="shared" si="79"/>
        <v>9.3333333333333338E-2</v>
      </c>
      <c r="I469">
        <f t="shared" si="80"/>
        <v>0.94778774332481086</v>
      </c>
      <c r="J469">
        <f t="shared" si="81"/>
        <v>0.1183145483049967</v>
      </c>
      <c r="K469">
        <f t="shared" si="82"/>
        <v>0.90067945794611548</v>
      </c>
      <c r="L469">
        <f t="shared" si="83"/>
        <v>-8.3522980836760574E-2</v>
      </c>
      <c r="M469">
        <f t="shared" si="84"/>
        <v>0.42638061131579813</v>
      </c>
      <c r="N469">
        <f t="shared" si="85"/>
        <v>25.238082940941563</v>
      </c>
      <c r="O469">
        <f t="shared" si="86"/>
        <v>-5.2980746671539558</v>
      </c>
      <c r="P469" t="str" cm="1">
        <f t="array" ref="P469">IF($N469="","",IFERROR(IF(INDEX(geo_grid!$B$2:$JU$231,INT(($N469+40)/0.5)+1,INT(($O469+30)/0.5)+1)="","",INDEX(geo_grid!$B$2:$JU$231,INT(($N469+40)/0.5)+1,INT(($O469+30)/0.5)+1)),"OUTSIDE GRID"))</f>
        <v>DZA</v>
      </c>
      <c r="Q469">
        <f t="shared" si="87"/>
        <v>4014</v>
      </c>
    </row>
    <row r="470" spans="1:17" x14ac:dyDescent="0.3">
      <c r="A470">
        <f t="shared" si="77"/>
        <v>4</v>
      </c>
      <c r="B470">
        <f t="shared" si="78"/>
        <v>15</v>
      </c>
      <c r="C470" cm="1">
        <f t="array" ref="C470">IFERROR(INDEX('TRIP MANAGER'!$O$18:$O$25,$A470),"")</f>
        <v>30.322479999999999</v>
      </c>
      <c r="D470" cm="1">
        <f t="array" ref="D470">IFERROR(INDEX('TRIP MANAGER'!$P$18:$P$25,$A470),"")</f>
        <v>-9.4120000000000008</v>
      </c>
      <c r="E470" cm="1">
        <f t="array" ref="E470">IFERROR(INDEX('TRIP MANAGER'!$Q$18:$Q$25,$A470),"")</f>
        <v>-26.140080000000001</v>
      </c>
      <c r="F470" cm="1">
        <f t="array" ref="F470">IFERROR(INDEX('TRIP MANAGER'!$R$18:$R$25,$A470),"")</f>
        <v>28.2468</v>
      </c>
      <c r="G470" cm="1">
        <f t="array" ref="G470">IFERROR(INDEX('TRIP MANAGER'!$S$18:$S$25,$A470),"")</f>
        <v>1.1690355391911331</v>
      </c>
      <c r="H470">
        <f t="shared" si="79"/>
        <v>0.1</v>
      </c>
      <c r="I470">
        <f t="shared" si="80"/>
        <v>0.94361876524557664</v>
      </c>
      <c r="J470">
        <f t="shared" si="81"/>
        <v>0.12672834592312487</v>
      </c>
      <c r="K470">
        <f t="shared" si="82"/>
        <v>0.90378302260980048</v>
      </c>
      <c r="L470">
        <f t="shared" si="83"/>
        <v>-7.9359762823961719E-2</v>
      </c>
      <c r="M470">
        <f t="shared" si="84"/>
        <v>0.42056899087642852</v>
      </c>
      <c r="N470">
        <f t="shared" si="85"/>
        <v>24.870515470988785</v>
      </c>
      <c r="O470">
        <f t="shared" si="86"/>
        <v>-5.0181812503842353</v>
      </c>
      <c r="P470" t="str" cm="1">
        <f t="array" ref="P470">IF($N470="","",IFERROR(IF(INDEX(geo_grid!$B$2:$JU$231,INT(($N470+40)/0.5)+1,INT(($O470+30)/0.5)+1)="","",INDEX(geo_grid!$B$2:$JU$231,INT(($N470+40)/0.5)+1,INT(($O470+30)/0.5)+1)),"OUTSIDE GRID"))</f>
        <v>MLI</v>
      </c>
      <c r="Q470">
        <f t="shared" si="87"/>
        <v>4015</v>
      </c>
    </row>
    <row r="471" spans="1:17" x14ac:dyDescent="0.3">
      <c r="A471">
        <f t="shared" si="77"/>
        <v>4</v>
      </c>
      <c r="B471">
        <f t="shared" si="78"/>
        <v>16</v>
      </c>
      <c r="C471" cm="1">
        <f t="array" ref="C471">IFERROR(INDEX('TRIP MANAGER'!$O$18:$O$25,$A471),"")</f>
        <v>30.322479999999999</v>
      </c>
      <c r="D471" cm="1">
        <f t="array" ref="D471">IFERROR(INDEX('TRIP MANAGER'!$P$18:$P$25,$A471),"")</f>
        <v>-9.4120000000000008</v>
      </c>
      <c r="E471" cm="1">
        <f t="array" ref="E471">IFERROR(INDEX('TRIP MANAGER'!$Q$18:$Q$25,$A471),"")</f>
        <v>-26.140080000000001</v>
      </c>
      <c r="F471" cm="1">
        <f t="array" ref="F471">IFERROR(INDEX('TRIP MANAGER'!$R$18:$R$25,$A471),"")</f>
        <v>28.2468</v>
      </c>
      <c r="G471" cm="1">
        <f t="array" ref="G471">IFERROR(INDEX('TRIP MANAGER'!$S$18:$S$25,$A471),"")</f>
        <v>1.1690355391911331</v>
      </c>
      <c r="H471">
        <f t="shared" si="79"/>
        <v>0.10666666666666667</v>
      </c>
      <c r="I471">
        <f t="shared" si="80"/>
        <v>0.93939247230042755</v>
      </c>
      <c r="J471">
        <f t="shared" si="81"/>
        <v>0.13513444613376002</v>
      </c>
      <c r="K471">
        <f t="shared" si="82"/>
        <v>0.90683169200787084</v>
      </c>
      <c r="L471">
        <f t="shared" si="83"/>
        <v>-7.5191724544405952E-2</v>
      </c>
      <c r="M471">
        <f t="shared" si="84"/>
        <v>0.41473182531628788</v>
      </c>
      <c r="N471">
        <f t="shared" si="85"/>
        <v>24.502429383549497</v>
      </c>
      <c r="O471">
        <f t="shared" si="86"/>
        <v>-4.7399488056618608</v>
      </c>
      <c r="P471" t="str" cm="1">
        <f t="array" ref="P471">IF($N471="","",IFERROR(IF(INDEX(geo_grid!$B$2:$JU$231,INT(($N471+40)/0.5)+1,INT(($O471+30)/0.5)+1)="","",INDEX(geo_grid!$B$2:$JU$231,INT(($N471+40)/0.5)+1,INT(($O471+30)/0.5)+1)),"OUTSIDE GRID"))</f>
        <v>MLI</v>
      </c>
      <c r="Q471">
        <f t="shared" si="87"/>
        <v>4016</v>
      </c>
    </row>
    <row r="472" spans="1:17" x14ac:dyDescent="0.3">
      <c r="A472">
        <f t="shared" si="77"/>
        <v>4</v>
      </c>
      <c r="B472">
        <f t="shared" si="78"/>
        <v>17</v>
      </c>
      <c r="C472" cm="1">
        <f t="array" ref="C472">IFERROR(INDEX('TRIP MANAGER'!$O$18:$O$25,$A472),"")</f>
        <v>30.322479999999999</v>
      </c>
      <c r="D472" cm="1">
        <f t="array" ref="D472">IFERROR(INDEX('TRIP MANAGER'!$P$18:$P$25,$A472),"")</f>
        <v>-9.4120000000000008</v>
      </c>
      <c r="E472" cm="1">
        <f t="array" ref="E472">IFERROR(INDEX('TRIP MANAGER'!$Q$18:$Q$25,$A472),"")</f>
        <v>-26.140080000000001</v>
      </c>
      <c r="F472" cm="1">
        <f t="array" ref="F472">IFERROR(INDEX('TRIP MANAGER'!$R$18:$R$25,$A472),"")</f>
        <v>28.2468</v>
      </c>
      <c r="G472" cm="1">
        <f t="array" ref="G472">IFERROR(INDEX('TRIP MANAGER'!$S$18:$S$25,$A472),"")</f>
        <v>1.1690355391911331</v>
      </c>
      <c r="H472">
        <f t="shared" si="79"/>
        <v>0.11333333333333333</v>
      </c>
      <c r="I472">
        <f t="shared" si="80"/>
        <v>0.9351091211919883</v>
      </c>
      <c r="J472">
        <f t="shared" si="81"/>
        <v>0.14353233835516696</v>
      </c>
      <c r="K472">
        <f t="shared" si="82"/>
        <v>0.90982528096588566</v>
      </c>
      <c r="L472">
        <f t="shared" si="83"/>
        <v>-7.1019119162362587E-2</v>
      </c>
      <c r="M472">
        <f t="shared" si="84"/>
        <v>0.40886946918148515</v>
      </c>
      <c r="N472">
        <f t="shared" si="85"/>
        <v>24.133836387398048</v>
      </c>
      <c r="O472">
        <f t="shared" si="86"/>
        <v>-4.4633420966476169</v>
      </c>
      <c r="P472" t="str" cm="1">
        <f t="array" ref="P472">IF($N472="","",IFERROR(IF(INDEX(geo_grid!$B$2:$JU$231,INT(($N472+40)/0.5)+1,INT(($O472+30)/0.5)+1)="","",INDEX(geo_grid!$B$2:$JU$231,INT(($N472+40)/0.5)+1,INT(($O472+30)/0.5)+1)),"OUTSIDE GRID"))</f>
        <v>MLI</v>
      </c>
      <c r="Q472">
        <f t="shared" si="87"/>
        <v>4017</v>
      </c>
    </row>
    <row r="473" spans="1:17" x14ac:dyDescent="0.3">
      <c r="A473">
        <f t="shared" si="77"/>
        <v>4</v>
      </c>
      <c r="B473">
        <f t="shared" si="78"/>
        <v>18</v>
      </c>
      <c r="C473" cm="1">
        <f t="array" ref="C473">IFERROR(INDEX('TRIP MANAGER'!$O$18:$O$25,$A473),"")</f>
        <v>30.322479999999999</v>
      </c>
      <c r="D473" cm="1">
        <f t="array" ref="D473">IFERROR(INDEX('TRIP MANAGER'!$P$18:$P$25,$A473),"")</f>
        <v>-9.4120000000000008</v>
      </c>
      <c r="E473" cm="1">
        <f t="array" ref="E473">IFERROR(INDEX('TRIP MANAGER'!$Q$18:$Q$25,$A473),"")</f>
        <v>-26.140080000000001</v>
      </c>
      <c r="F473" cm="1">
        <f t="array" ref="F473">IFERROR(INDEX('TRIP MANAGER'!$R$18:$R$25,$A473),"")</f>
        <v>28.2468</v>
      </c>
      <c r="G473" cm="1">
        <f t="array" ref="G473">IFERROR(INDEX('TRIP MANAGER'!$S$18:$S$25,$A473),"")</f>
        <v>1.1690355391911331</v>
      </c>
      <c r="H473">
        <f t="shared" si="79"/>
        <v>0.12</v>
      </c>
      <c r="I473">
        <f t="shared" si="80"/>
        <v>0.93076897208856313</v>
      </c>
      <c r="J473">
        <f t="shared" si="81"/>
        <v>0.15192151250415925</v>
      </c>
      <c r="K473">
        <f t="shared" si="82"/>
        <v>0.91276360765495745</v>
      </c>
      <c r="L473">
        <f t="shared" si="83"/>
        <v>-6.6842200119503925E-2</v>
      </c>
      <c r="M473">
        <f t="shared" si="84"/>
        <v>0.40298227854818996</v>
      </c>
      <c r="N473">
        <f t="shared" si="85"/>
        <v>23.764747987440614</v>
      </c>
      <c r="O473">
        <f t="shared" si="86"/>
        <v>-4.1883263871261667</v>
      </c>
      <c r="P473" t="str" cm="1">
        <f t="array" ref="P473">IF($N473="","",IFERROR(IF(INDEX(geo_grid!$B$2:$JU$231,INT(($N473+40)/0.5)+1,INT(($O473+30)/0.5)+1)="","",INDEX(geo_grid!$B$2:$JU$231,INT(($N473+40)/0.5)+1,INT(($O473+30)/0.5)+1)),"OUTSIDE GRID"))</f>
        <v>MLI</v>
      </c>
      <c r="Q473">
        <f t="shared" si="87"/>
        <v>4018</v>
      </c>
    </row>
    <row r="474" spans="1:17" x14ac:dyDescent="0.3">
      <c r="A474">
        <f t="shared" si="77"/>
        <v>4</v>
      </c>
      <c r="B474">
        <f t="shared" si="78"/>
        <v>19</v>
      </c>
      <c r="C474" cm="1">
        <f t="array" ref="C474">IFERROR(INDEX('TRIP MANAGER'!$O$18:$O$25,$A474),"")</f>
        <v>30.322479999999999</v>
      </c>
      <c r="D474" cm="1">
        <f t="array" ref="D474">IFERROR(INDEX('TRIP MANAGER'!$P$18:$P$25,$A474),"")</f>
        <v>-9.4120000000000008</v>
      </c>
      <c r="E474" cm="1">
        <f t="array" ref="E474">IFERROR(INDEX('TRIP MANAGER'!$Q$18:$Q$25,$A474),"")</f>
        <v>-26.140080000000001</v>
      </c>
      <c r="F474" cm="1">
        <f t="array" ref="F474">IFERROR(INDEX('TRIP MANAGER'!$R$18:$R$25,$A474),"")</f>
        <v>28.2468</v>
      </c>
      <c r="G474" cm="1">
        <f t="array" ref="G474">IFERROR(INDEX('TRIP MANAGER'!$S$18:$S$25,$A474),"")</f>
        <v>1.1690355391911331</v>
      </c>
      <c r="H474">
        <f t="shared" si="79"/>
        <v>0.12666666666666668</v>
      </c>
      <c r="I474">
        <f t="shared" si="80"/>
        <v>0.92637228860833487</v>
      </c>
      <c r="J474">
        <f t="shared" si="81"/>
        <v>0.16030145902708109</v>
      </c>
      <c r="K474">
        <f t="shared" si="82"/>
        <v>0.91564649360279848</v>
      </c>
      <c r="L474">
        <f t="shared" si="83"/>
        <v>-6.2661221119511737E-2</v>
      </c>
      <c r="M474">
        <f t="shared" si="84"/>
        <v>0.39707061100100571</v>
      </c>
      <c r="N474">
        <f t="shared" si="85"/>
        <v>23.395175490190883</v>
      </c>
      <c r="O474">
        <f t="shared" si="86"/>
        <v>-3.9148674304022708</v>
      </c>
      <c r="P474" t="str" cm="1">
        <f t="array" ref="P474">IF($N474="","",IFERROR(IF(INDEX(geo_grid!$B$2:$JU$231,INT(($N474+40)/0.5)+1,INT(($O474+30)/0.5)+1)="","",INDEX(geo_grid!$B$2:$JU$231,INT(($N474+40)/0.5)+1,INT(($O474+30)/0.5)+1)),"OUTSIDE GRID"))</f>
        <v>MLI</v>
      </c>
      <c r="Q474">
        <f t="shared" si="87"/>
        <v>4019</v>
      </c>
    </row>
    <row r="475" spans="1:17" x14ac:dyDescent="0.3">
      <c r="A475">
        <f t="shared" si="77"/>
        <v>4</v>
      </c>
      <c r="B475">
        <f t="shared" si="78"/>
        <v>20</v>
      </c>
      <c r="C475" cm="1">
        <f t="array" ref="C475">IFERROR(INDEX('TRIP MANAGER'!$O$18:$O$25,$A475),"")</f>
        <v>30.322479999999999</v>
      </c>
      <c r="D475" cm="1">
        <f t="array" ref="D475">IFERROR(INDEX('TRIP MANAGER'!$P$18:$P$25,$A475),"")</f>
        <v>-9.4120000000000008</v>
      </c>
      <c r="E475" cm="1">
        <f t="array" ref="E475">IFERROR(INDEX('TRIP MANAGER'!$Q$18:$Q$25,$A475),"")</f>
        <v>-26.140080000000001</v>
      </c>
      <c r="F475" cm="1">
        <f t="array" ref="F475">IFERROR(INDEX('TRIP MANAGER'!$R$18:$R$25,$A475),"")</f>
        <v>28.2468</v>
      </c>
      <c r="G475" cm="1">
        <f t="array" ref="G475">IFERROR(INDEX('TRIP MANAGER'!$S$18:$S$25,$A475),"")</f>
        <v>1.1690355391911331</v>
      </c>
      <c r="H475">
        <f t="shared" si="79"/>
        <v>0.13333333333333333</v>
      </c>
      <c r="I475">
        <f t="shared" si="80"/>
        <v>0.92191933780335189</v>
      </c>
      <c r="J475">
        <f t="shared" si="81"/>
        <v>0.16867166893075747</v>
      </c>
      <c r="K475">
        <f t="shared" si="82"/>
        <v>0.91847376370455924</v>
      </c>
      <c r="L475">
        <f t="shared" si="83"/>
        <v>-5.8476436112667188E-2</v>
      </c>
      <c r="M475">
        <f t="shared" si="84"/>
        <v>0.39113482561124951</v>
      </c>
      <c r="N475">
        <f t="shared" si="85"/>
        <v>23.02513000912063</v>
      </c>
      <c r="O475">
        <f t="shared" si="86"/>
        <v>-3.6429314587852963</v>
      </c>
      <c r="P475" t="str" cm="1">
        <f t="array" ref="P475">IF($N475="","",IFERROR(IF(INDEX(geo_grid!$B$2:$JU$231,INT(($N475+40)/0.5)+1,INT(($O475+30)/0.5)+1)="","",INDEX(geo_grid!$B$2:$JU$231,INT(($N475+40)/0.5)+1,INT(($O475+30)/0.5)+1)),"OUTSIDE GRID"))</f>
        <v>MLI</v>
      </c>
      <c r="Q475">
        <f t="shared" si="87"/>
        <v>4020</v>
      </c>
    </row>
    <row r="476" spans="1:17" x14ac:dyDescent="0.3">
      <c r="A476">
        <f t="shared" si="77"/>
        <v>4</v>
      </c>
      <c r="B476">
        <f t="shared" si="78"/>
        <v>21</v>
      </c>
      <c r="C476" cm="1">
        <f t="array" ref="C476">IFERROR(INDEX('TRIP MANAGER'!$O$18:$O$25,$A476),"")</f>
        <v>30.322479999999999</v>
      </c>
      <c r="D476" cm="1">
        <f t="array" ref="D476">IFERROR(INDEX('TRIP MANAGER'!$P$18:$P$25,$A476),"")</f>
        <v>-9.4120000000000008</v>
      </c>
      <c r="E476" cm="1">
        <f t="array" ref="E476">IFERROR(INDEX('TRIP MANAGER'!$Q$18:$Q$25,$A476),"")</f>
        <v>-26.140080000000001</v>
      </c>
      <c r="F476" cm="1">
        <f t="array" ref="F476">IFERROR(INDEX('TRIP MANAGER'!$R$18:$R$25,$A476),"")</f>
        <v>28.2468</v>
      </c>
      <c r="G476" cm="1">
        <f t="array" ref="G476">IFERROR(INDEX('TRIP MANAGER'!$S$18:$S$25,$A476),"")</f>
        <v>1.1690355391911331</v>
      </c>
      <c r="H476">
        <f t="shared" si="79"/>
        <v>0.14000000000000001</v>
      </c>
      <c r="I476">
        <f t="shared" si="80"/>
        <v>0.91741039014330772</v>
      </c>
      <c r="J476">
        <f t="shared" si="81"/>
        <v>0.17703163381341003</v>
      </c>
      <c r="K476">
        <f t="shared" si="82"/>
        <v>0.92124524623346549</v>
      </c>
      <c r="L476">
        <f t="shared" si="83"/>
        <v>-5.4288099280426202E-2</v>
      </c>
      <c r="M476">
        <f t="shared" si="84"/>
        <v>0.38517528291514219</v>
      </c>
      <c r="N476">
        <f t="shared" si="85"/>
        <v>22.654622469888032</v>
      </c>
      <c r="O476">
        <f t="shared" si="86"/>
        <v>-3.3724851731663179</v>
      </c>
      <c r="P476" t="str" cm="1">
        <f t="array" ref="P476">IF($N476="","",IFERROR(IF(INDEX(geo_grid!$B$2:$JU$231,INT(($N476+40)/0.5)+1,INT(($O476+30)/0.5)+1)="","",INDEX(geo_grid!$B$2:$JU$231,INT(($N476+40)/0.5)+1,INT(($O476+30)/0.5)+1)),"OUTSIDE GRID"))</f>
        <v>MLI</v>
      </c>
      <c r="Q476">
        <f t="shared" si="87"/>
        <v>4021</v>
      </c>
    </row>
    <row r="477" spans="1:17" x14ac:dyDescent="0.3">
      <c r="A477">
        <f t="shared" si="77"/>
        <v>4</v>
      </c>
      <c r="B477">
        <f t="shared" si="78"/>
        <v>22</v>
      </c>
      <c r="C477" cm="1">
        <f t="array" ref="C477">IFERROR(INDEX('TRIP MANAGER'!$O$18:$O$25,$A477),"")</f>
        <v>30.322479999999999</v>
      </c>
      <c r="D477" cm="1">
        <f t="array" ref="D477">IFERROR(INDEX('TRIP MANAGER'!$P$18:$P$25,$A477),"")</f>
        <v>-9.4120000000000008</v>
      </c>
      <c r="E477" cm="1">
        <f t="array" ref="E477">IFERROR(INDEX('TRIP MANAGER'!$Q$18:$Q$25,$A477),"")</f>
        <v>-26.140080000000001</v>
      </c>
      <c r="F477" cm="1">
        <f t="array" ref="F477">IFERROR(INDEX('TRIP MANAGER'!$R$18:$R$25,$A477),"")</f>
        <v>28.2468</v>
      </c>
      <c r="G477" cm="1">
        <f t="array" ref="G477">IFERROR(INDEX('TRIP MANAGER'!$S$18:$S$25,$A477),"")</f>
        <v>1.1690355391911331</v>
      </c>
      <c r="H477">
        <f t="shared" si="79"/>
        <v>0.14666666666666667</v>
      </c>
      <c r="I477">
        <f t="shared" si="80"/>
        <v>0.91284571949911308</v>
      </c>
      <c r="J477">
        <f t="shared" si="81"/>
        <v>0.18538084589553716</v>
      </c>
      <c r="K477">
        <f t="shared" si="82"/>
        <v>0.92396077285124856</v>
      </c>
      <c r="L477">
        <f t="shared" si="83"/>
        <v>-5.0096465019980524E-2</v>
      </c>
      <c r="M477">
        <f t="shared" si="84"/>
        <v>0.37919234489191023</v>
      </c>
      <c r="N477">
        <f t="shared" si="85"/>
        <v>22.283663615447228</v>
      </c>
      <c r="O477">
        <f t="shared" si="86"/>
        <v>-3.1034957326915289</v>
      </c>
      <c r="P477" t="str" cm="1">
        <f t="array" ref="P477">IF($N477="","",IFERROR(IF(INDEX(geo_grid!$B$2:$JU$231,INT(($N477+40)/0.5)+1,INT(($O477+30)/0.5)+1)="","",INDEX(geo_grid!$B$2:$JU$231,INT(($N477+40)/0.5)+1,INT(($O477+30)/0.5)+1)),"OUTSIDE GRID"))</f>
        <v>MLI</v>
      </c>
      <c r="Q477">
        <f t="shared" si="87"/>
        <v>4022</v>
      </c>
    </row>
    <row r="478" spans="1:17" x14ac:dyDescent="0.3">
      <c r="A478">
        <f t="shared" si="77"/>
        <v>4</v>
      </c>
      <c r="B478">
        <f t="shared" si="78"/>
        <v>23</v>
      </c>
      <c r="C478" cm="1">
        <f t="array" ref="C478">IFERROR(INDEX('TRIP MANAGER'!$O$18:$O$25,$A478),"")</f>
        <v>30.322479999999999</v>
      </c>
      <c r="D478" cm="1">
        <f t="array" ref="D478">IFERROR(INDEX('TRIP MANAGER'!$P$18:$P$25,$A478),"")</f>
        <v>-9.4120000000000008</v>
      </c>
      <c r="E478" cm="1">
        <f t="array" ref="E478">IFERROR(INDEX('TRIP MANAGER'!$Q$18:$Q$25,$A478),"")</f>
        <v>-26.140080000000001</v>
      </c>
      <c r="F478" cm="1">
        <f t="array" ref="F478">IFERROR(INDEX('TRIP MANAGER'!$R$18:$R$25,$A478),"")</f>
        <v>28.2468</v>
      </c>
      <c r="G478" cm="1">
        <f t="array" ref="G478">IFERROR(INDEX('TRIP MANAGER'!$S$18:$S$25,$A478),"")</f>
        <v>1.1690355391911331</v>
      </c>
      <c r="H478">
        <f t="shared" si="79"/>
        <v>0.15333333333333332</v>
      </c>
      <c r="I478">
        <f t="shared" si="80"/>
        <v>0.90822560312626088</v>
      </c>
      <c r="J478">
        <f t="shared" si="81"/>
        <v>0.19371879805075634</v>
      </c>
      <c r="K478">
        <f t="shared" si="82"/>
        <v>0.92662017861836921</v>
      </c>
      <c r="L478">
        <f t="shared" si="83"/>
        <v>-4.590178792880574E-2</v>
      </c>
      <c r="M478">
        <f t="shared" si="84"/>
        <v>0.37318637494179857</v>
      </c>
      <c r="N478">
        <f t="shared" si="85"/>
        <v>21.912264011041881</v>
      </c>
      <c r="O478">
        <f t="shared" si="86"/>
        <v>-2.835930744535216</v>
      </c>
      <c r="P478" t="str" cm="1">
        <f t="array" ref="P478">IF($N478="","",IFERROR(IF(INDEX(geo_grid!$B$2:$JU$231,INT(($N478+40)/0.5)+1,INT(($O478+30)/0.5)+1)="","",INDEX(geo_grid!$B$2:$JU$231,INT(($N478+40)/0.5)+1,INT(($O478+30)/0.5)+1)),"OUTSIDE GRID"))</f>
        <v>MLI</v>
      </c>
      <c r="Q478">
        <f t="shared" si="87"/>
        <v>4023</v>
      </c>
    </row>
    <row r="479" spans="1:17" x14ac:dyDescent="0.3">
      <c r="A479">
        <f t="shared" si="77"/>
        <v>4</v>
      </c>
      <c r="B479">
        <f t="shared" si="78"/>
        <v>24</v>
      </c>
      <c r="C479" cm="1">
        <f t="array" ref="C479">IFERROR(INDEX('TRIP MANAGER'!$O$18:$O$25,$A479),"")</f>
        <v>30.322479999999999</v>
      </c>
      <c r="D479" cm="1">
        <f t="array" ref="D479">IFERROR(INDEX('TRIP MANAGER'!$P$18:$P$25,$A479),"")</f>
        <v>-9.4120000000000008</v>
      </c>
      <c r="E479" cm="1">
        <f t="array" ref="E479">IFERROR(INDEX('TRIP MANAGER'!$Q$18:$Q$25,$A479),"")</f>
        <v>-26.140080000000001</v>
      </c>
      <c r="F479" cm="1">
        <f t="array" ref="F479">IFERROR(INDEX('TRIP MANAGER'!$R$18:$R$25,$A479),"")</f>
        <v>28.2468</v>
      </c>
      <c r="G479" cm="1">
        <f t="array" ref="G479">IFERROR(INDEX('TRIP MANAGER'!$S$18:$S$25,$A479),"")</f>
        <v>1.1690355391911331</v>
      </c>
      <c r="H479">
        <f t="shared" si="79"/>
        <v>0.16</v>
      </c>
      <c r="I479">
        <f t="shared" si="80"/>
        <v>0.90355032164798588</v>
      </c>
      <c r="J479">
        <f t="shared" si="81"/>
        <v>0.20204498383660649</v>
      </c>
      <c r="K479">
        <f t="shared" si="82"/>
        <v>0.92922330200403691</v>
      </c>
      <c r="L479">
        <f t="shared" si="83"/>
        <v>-4.1704322789197293E-2</v>
      </c>
      <c r="M479">
        <f t="shared" si="84"/>
        <v>0.36715773786399836</v>
      </c>
      <c r="N479">
        <f t="shared" si="85"/>
        <v>21.540434049085874</v>
      </c>
      <c r="O479">
        <f t="shared" si="86"/>
        <v>-2.5697582537750594</v>
      </c>
      <c r="P479" t="str" cm="1">
        <f t="array" ref="P479">IF($N479="","",IFERROR(IF(INDEX(geo_grid!$B$2:$JU$231,INT(($N479+40)/0.5)+1,INT(($O479+30)/0.5)+1)="","",INDEX(geo_grid!$B$2:$JU$231,INT(($N479+40)/0.5)+1,INT(($O479+30)/0.5)+1)),"OUTSIDE GRID"))</f>
        <v>MLI</v>
      </c>
      <c r="Q479">
        <f t="shared" si="87"/>
        <v>4024</v>
      </c>
    </row>
    <row r="480" spans="1:17" x14ac:dyDescent="0.3">
      <c r="A480">
        <f t="shared" si="77"/>
        <v>4</v>
      </c>
      <c r="B480">
        <f t="shared" si="78"/>
        <v>25</v>
      </c>
      <c r="C480" cm="1">
        <f t="array" ref="C480">IFERROR(INDEX('TRIP MANAGER'!$O$18:$O$25,$A480),"")</f>
        <v>30.322479999999999</v>
      </c>
      <c r="D480" cm="1">
        <f t="array" ref="D480">IFERROR(INDEX('TRIP MANAGER'!$P$18:$P$25,$A480),"")</f>
        <v>-9.4120000000000008</v>
      </c>
      <c r="E480" cm="1">
        <f t="array" ref="E480">IFERROR(INDEX('TRIP MANAGER'!$Q$18:$Q$25,$A480),"")</f>
        <v>-26.140080000000001</v>
      </c>
      <c r="F480" cm="1">
        <f t="array" ref="F480">IFERROR(INDEX('TRIP MANAGER'!$R$18:$R$25,$A480),"")</f>
        <v>28.2468</v>
      </c>
      <c r="G480" cm="1">
        <f t="array" ref="G480">IFERROR(INDEX('TRIP MANAGER'!$S$18:$S$25,$A480),"")</f>
        <v>1.1690355391911331</v>
      </c>
      <c r="H480">
        <f t="shared" si="79"/>
        <v>0.16666666666666666</v>
      </c>
      <c r="I480">
        <f t="shared" si="80"/>
        <v>0.89882015903822043</v>
      </c>
      <c r="J480">
        <f t="shared" si="81"/>
        <v>0.21035889752530906</v>
      </c>
      <c r="K480">
        <f t="shared" si="82"/>
        <v>0.9317699848960217</v>
      </c>
      <c r="L480">
        <f t="shared" si="83"/>
        <v>-3.750432455279519E-2</v>
      </c>
      <c r="M480">
        <f t="shared" si="84"/>
        <v>0.36110679983448957</v>
      </c>
      <c r="N480">
        <f t="shared" si="85"/>
        <v>21.168183953934243</v>
      </c>
      <c r="O480">
        <f t="shared" si="86"/>
        <v>-2.3049467333720965</v>
      </c>
      <c r="P480" t="str" cm="1">
        <f t="array" ref="P480">IF($N480="","",IFERROR(IF(INDEX(geo_grid!$B$2:$JU$231,INT(($N480+40)/0.5)+1,INT(($O480+30)/0.5)+1)="","",INDEX(geo_grid!$B$2:$JU$231,INT(($N480+40)/0.5)+1,INT(($O480+30)/0.5)+1)),"OUTSIDE GRID"))</f>
        <v>MLI</v>
      </c>
      <c r="Q480">
        <f t="shared" si="87"/>
        <v>4025</v>
      </c>
    </row>
    <row r="481" spans="1:17" x14ac:dyDescent="0.3">
      <c r="A481">
        <f t="shared" si="77"/>
        <v>4</v>
      </c>
      <c r="B481">
        <f t="shared" si="78"/>
        <v>26</v>
      </c>
      <c r="C481" cm="1">
        <f t="array" ref="C481">IFERROR(INDEX('TRIP MANAGER'!$O$18:$O$25,$A481),"")</f>
        <v>30.322479999999999</v>
      </c>
      <c r="D481" cm="1">
        <f t="array" ref="D481">IFERROR(INDEX('TRIP MANAGER'!$P$18:$P$25,$A481),"")</f>
        <v>-9.4120000000000008</v>
      </c>
      <c r="E481" cm="1">
        <f t="array" ref="E481">IFERROR(INDEX('TRIP MANAGER'!$Q$18:$Q$25,$A481),"")</f>
        <v>-26.140080000000001</v>
      </c>
      <c r="F481" cm="1">
        <f t="array" ref="F481">IFERROR(INDEX('TRIP MANAGER'!$R$18:$R$25,$A481),"")</f>
        <v>28.2468</v>
      </c>
      <c r="G481" cm="1">
        <f t="array" ref="G481">IFERROR(INDEX('TRIP MANAGER'!$S$18:$S$25,$A481),"")</f>
        <v>1.1690355391911331</v>
      </c>
      <c r="H481">
        <f t="shared" si="79"/>
        <v>0.17333333333333334</v>
      </c>
      <c r="I481">
        <f t="shared" si="80"/>
        <v>0.89403540260434478</v>
      </c>
      <c r="J481">
        <f t="shared" si="81"/>
        <v>0.21866003413448579</v>
      </c>
      <c r="K481">
        <f t="shared" si="82"/>
        <v>0.9342600726102559</v>
      </c>
      <c r="L481">
        <f t="shared" si="83"/>
        <v>-3.3302048325098074E-2</v>
      </c>
      <c r="M481">
        <f t="shared" si="84"/>
        <v>0.35503392838379855</v>
      </c>
      <c r="N481">
        <f t="shared" si="85"/>
        <v>20.795523786547118</v>
      </c>
      <c r="O481">
        <f t="shared" si="86"/>
        <v>-2.0414650742572666</v>
      </c>
      <c r="P481" t="str" cm="1">
        <f t="array" ref="P481">IF($N481="","",IFERROR(IF(INDEX(geo_grid!$B$2:$JU$231,INT(($N481+40)/0.5)+1,INT(($O481+30)/0.5)+1)="","",INDEX(geo_grid!$B$2:$JU$231,INT(($N481+40)/0.5)+1,INT(($O481+30)/0.5)+1)),"OUTSIDE GRID"))</f>
        <v>MLI</v>
      </c>
      <c r="Q481">
        <f t="shared" si="87"/>
        <v>4026</v>
      </c>
    </row>
    <row r="482" spans="1:17" x14ac:dyDescent="0.3">
      <c r="A482">
        <f t="shared" si="77"/>
        <v>4</v>
      </c>
      <c r="B482">
        <f t="shared" si="78"/>
        <v>27</v>
      </c>
      <c r="C482" cm="1">
        <f t="array" ref="C482">IFERROR(INDEX('TRIP MANAGER'!$O$18:$O$25,$A482),"")</f>
        <v>30.322479999999999</v>
      </c>
      <c r="D482" cm="1">
        <f t="array" ref="D482">IFERROR(INDEX('TRIP MANAGER'!$P$18:$P$25,$A482),"")</f>
        <v>-9.4120000000000008</v>
      </c>
      <c r="E482" cm="1">
        <f t="array" ref="E482">IFERROR(INDEX('TRIP MANAGER'!$Q$18:$Q$25,$A482),"")</f>
        <v>-26.140080000000001</v>
      </c>
      <c r="F482" cm="1">
        <f t="array" ref="F482">IFERROR(INDEX('TRIP MANAGER'!$R$18:$R$25,$A482),"")</f>
        <v>28.2468</v>
      </c>
      <c r="G482" cm="1">
        <f t="array" ref="G482">IFERROR(INDEX('TRIP MANAGER'!$S$18:$S$25,$A482),"")</f>
        <v>1.1690355391911331</v>
      </c>
      <c r="H482">
        <f t="shared" si="79"/>
        <v>0.18</v>
      </c>
      <c r="I482">
        <f t="shared" si="80"/>
        <v>0.88919634296973749</v>
      </c>
      <c r="J482">
        <f t="shared" si="81"/>
        <v>0.22694788945783079</v>
      </c>
      <c r="K482">
        <f t="shared" si="82"/>
        <v>0.93669341390023131</v>
      </c>
      <c r="L482">
        <f t="shared" si="83"/>
        <v>-2.9097749349968782E-2</v>
      </c>
      <c r="M482">
        <f t="shared" si="84"/>
        <v>0.34893949237467581</v>
      </c>
      <c r="N482">
        <f t="shared" si="85"/>
        <v>20.422463449049754</v>
      </c>
      <c r="O482">
        <f t="shared" si="86"/>
        <v>-1.7792825755261563</v>
      </c>
      <c r="P482" t="str" cm="1">
        <f t="array" ref="P482">IF($N482="","",IFERROR(IF(INDEX(geo_grid!$B$2:$JU$231,INT(($N482+40)/0.5)+1,INT(($O482+30)/0.5)+1)="","",INDEX(geo_grid!$B$2:$JU$231,INT(($N482+40)/0.5)+1,INT(($O482+30)/0.5)+1)),"OUTSIDE GRID"))</f>
        <v>MLI</v>
      </c>
      <c r="Q482">
        <f t="shared" si="87"/>
        <v>4027</v>
      </c>
    </row>
    <row r="483" spans="1:17" x14ac:dyDescent="0.3">
      <c r="A483">
        <f t="shared" si="77"/>
        <v>4</v>
      </c>
      <c r="B483">
        <f t="shared" si="78"/>
        <v>28</v>
      </c>
      <c r="C483" cm="1">
        <f t="array" ref="C483">IFERROR(INDEX('TRIP MANAGER'!$O$18:$O$25,$A483),"")</f>
        <v>30.322479999999999</v>
      </c>
      <c r="D483" cm="1">
        <f t="array" ref="D483">IFERROR(INDEX('TRIP MANAGER'!$P$18:$P$25,$A483),"")</f>
        <v>-9.4120000000000008</v>
      </c>
      <c r="E483" cm="1">
        <f t="array" ref="E483">IFERROR(INDEX('TRIP MANAGER'!$Q$18:$Q$25,$A483),"")</f>
        <v>-26.140080000000001</v>
      </c>
      <c r="F483" cm="1">
        <f t="array" ref="F483">IFERROR(INDEX('TRIP MANAGER'!$R$18:$R$25,$A483),"")</f>
        <v>28.2468</v>
      </c>
      <c r="G483" cm="1">
        <f t="array" ref="G483">IFERROR(INDEX('TRIP MANAGER'!$S$18:$S$25,$A483),"")</f>
        <v>1.1690355391911331</v>
      </c>
      <c r="H483">
        <f t="shared" si="79"/>
        <v>0.18666666666666668</v>
      </c>
      <c r="I483">
        <f t="shared" si="80"/>
        <v>0.88430327405612219</v>
      </c>
      <c r="J483">
        <f t="shared" si="81"/>
        <v>0.23522196009573618</v>
      </c>
      <c r="K483">
        <f t="shared" si="82"/>
        <v>0.93906986096618494</v>
      </c>
      <c r="L483">
        <f t="shared" si="83"/>
        <v>-2.4891682994130318E-2</v>
      </c>
      <c r="M483">
        <f t="shared" si="84"/>
        <v>0.34282386197969034</v>
      </c>
      <c r="N483">
        <f t="shared" si="85"/>
        <v>20.049012689191319</v>
      </c>
      <c r="O483">
        <f t="shared" si="86"/>
        <v>-1.5183689347430587</v>
      </c>
      <c r="P483" t="str" cm="1">
        <f t="array" ref="P483">IF($N483="","",IFERROR(IF(INDEX(geo_grid!$B$2:$JU$231,INT(($N483+40)/0.5)+1,INT(($O483+30)/0.5)+1)="","",INDEX(geo_grid!$B$2:$JU$231,INT(($N483+40)/0.5)+1,INT(($O483+30)/0.5)+1)),"OUTSIDE GRID"))</f>
        <v>MLI</v>
      </c>
      <c r="Q483">
        <f t="shared" si="87"/>
        <v>4028</v>
      </c>
    </row>
    <row r="484" spans="1:17" x14ac:dyDescent="0.3">
      <c r="A484">
        <f t="shared" si="77"/>
        <v>4</v>
      </c>
      <c r="B484">
        <f t="shared" si="78"/>
        <v>29</v>
      </c>
      <c r="C484" cm="1">
        <f t="array" ref="C484">IFERROR(INDEX('TRIP MANAGER'!$O$18:$O$25,$A484),"")</f>
        <v>30.322479999999999</v>
      </c>
      <c r="D484" cm="1">
        <f t="array" ref="D484">IFERROR(INDEX('TRIP MANAGER'!$P$18:$P$25,$A484),"")</f>
        <v>-9.4120000000000008</v>
      </c>
      <c r="E484" cm="1">
        <f t="array" ref="E484">IFERROR(INDEX('TRIP MANAGER'!$Q$18:$Q$25,$A484),"")</f>
        <v>-26.140080000000001</v>
      </c>
      <c r="F484" cm="1">
        <f t="array" ref="F484">IFERROR(INDEX('TRIP MANAGER'!$R$18:$R$25,$A484),"")</f>
        <v>28.2468</v>
      </c>
      <c r="G484" cm="1">
        <f t="array" ref="G484">IFERROR(INDEX('TRIP MANAGER'!$S$18:$S$25,$A484),"")</f>
        <v>1.1690355391911331</v>
      </c>
      <c r="H484">
        <f t="shared" si="79"/>
        <v>0.19333333333333333</v>
      </c>
      <c r="I484">
        <f t="shared" si="80"/>
        <v>0.87935649306571562</v>
      </c>
      <c r="J484">
        <f t="shared" si="81"/>
        <v>0.24348174348586765</v>
      </c>
      <c r="K484">
        <f t="shared" si="82"/>
        <v>0.94138926946407675</v>
      </c>
      <c r="L484">
        <f t="shared" si="83"/>
        <v>-2.0684104731655745E-2</v>
      </c>
      <c r="M484">
        <f t="shared" si="84"/>
        <v>0.33668740865874636</v>
      </c>
      <c r="N484">
        <f t="shared" si="85"/>
        <v>19.675181104705462</v>
      </c>
      <c r="O484">
        <f t="shared" si="86"/>
        <v>-1.2586942383553743</v>
      </c>
      <c r="P484" t="str" cm="1">
        <f t="array" ref="P484">IF($N484="","",IFERROR(IF(INDEX(geo_grid!$B$2:$JU$231,INT(($N484+40)/0.5)+1,INT(($O484+30)/0.5)+1)="","",INDEX(geo_grid!$B$2:$JU$231,INT(($N484+40)/0.5)+1,INT(($O484+30)/0.5)+1)),"OUTSIDE GRID"))</f>
        <v>MLI</v>
      </c>
      <c r="Q484">
        <f t="shared" si="87"/>
        <v>4029</v>
      </c>
    </row>
    <row r="485" spans="1:17" x14ac:dyDescent="0.3">
      <c r="A485">
        <f t="shared" si="77"/>
        <v>4</v>
      </c>
      <c r="B485">
        <f t="shared" si="78"/>
        <v>30</v>
      </c>
      <c r="C485" cm="1">
        <f t="array" ref="C485">IFERROR(INDEX('TRIP MANAGER'!$O$18:$O$25,$A485),"")</f>
        <v>30.322479999999999</v>
      </c>
      <c r="D485" cm="1">
        <f t="array" ref="D485">IFERROR(INDEX('TRIP MANAGER'!$P$18:$P$25,$A485),"")</f>
        <v>-9.4120000000000008</v>
      </c>
      <c r="E485" cm="1">
        <f t="array" ref="E485">IFERROR(INDEX('TRIP MANAGER'!$Q$18:$Q$25,$A485),"")</f>
        <v>-26.140080000000001</v>
      </c>
      <c r="F485" cm="1">
        <f t="array" ref="F485">IFERROR(INDEX('TRIP MANAGER'!$R$18:$R$25,$A485),"")</f>
        <v>28.2468</v>
      </c>
      <c r="G485" cm="1">
        <f t="array" ref="G485">IFERROR(INDEX('TRIP MANAGER'!$S$18:$S$25,$A485),"")</f>
        <v>1.1690355391911331</v>
      </c>
      <c r="H485">
        <f t="shared" si="79"/>
        <v>0.2</v>
      </c>
      <c r="I485">
        <f t="shared" si="80"/>
        <v>0.87435630046317547</v>
      </c>
      <c r="J485">
        <f t="shared" si="81"/>
        <v>0.25172673793369049</v>
      </c>
      <c r="K485">
        <f t="shared" si="82"/>
        <v>0.94365149851435659</v>
      </c>
      <c r="L485">
        <f t="shared" si="83"/>
        <v>-1.6475270128450195E-2</v>
      </c>
      <c r="M485">
        <f t="shared" si="84"/>
        <v>0.33053050513652077</v>
      </c>
      <c r="N485">
        <f t="shared" si="85"/>
        <v>19.300978147575279</v>
      </c>
      <c r="O485">
        <f t="shared" si="86"/>
        <v>-1.0002289522187948</v>
      </c>
      <c r="P485" t="str" cm="1">
        <f t="array" ref="P485">IF($N485="","",IFERROR(IF(INDEX(geo_grid!$B$2:$JU$231,INT(($N485+40)/0.5)+1,INT(($O485+30)/0.5)+1)="","",INDEX(geo_grid!$B$2:$JU$231,INT(($N485+40)/0.5)+1,INT(($O485+30)/0.5)+1)),"OUTSIDE GRID"))</f>
        <v>MLI</v>
      </c>
      <c r="Q485">
        <f t="shared" si="87"/>
        <v>4030</v>
      </c>
    </row>
    <row r="486" spans="1:17" x14ac:dyDescent="0.3">
      <c r="A486">
        <f t="shared" si="77"/>
        <v>4</v>
      </c>
      <c r="B486">
        <f t="shared" si="78"/>
        <v>31</v>
      </c>
      <c r="C486" cm="1">
        <f t="array" ref="C486">IFERROR(INDEX('TRIP MANAGER'!$O$18:$O$25,$A486),"")</f>
        <v>30.322479999999999</v>
      </c>
      <c r="D486" cm="1">
        <f t="array" ref="D486">IFERROR(INDEX('TRIP MANAGER'!$P$18:$P$25,$A486),"")</f>
        <v>-9.4120000000000008</v>
      </c>
      <c r="E486" cm="1">
        <f t="array" ref="E486">IFERROR(INDEX('TRIP MANAGER'!$Q$18:$Q$25,$A486),"")</f>
        <v>-26.140080000000001</v>
      </c>
      <c r="F486" cm="1">
        <f t="array" ref="F486">IFERROR(INDEX('TRIP MANAGER'!$R$18:$R$25,$A486),"")</f>
        <v>28.2468</v>
      </c>
      <c r="G486" cm="1">
        <f t="array" ref="G486">IFERROR(INDEX('TRIP MANAGER'!$S$18:$S$25,$A486),"")</f>
        <v>1.1690355391911331</v>
      </c>
      <c r="H486">
        <f t="shared" si="79"/>
        <v>0.20666666666666667</v>
      </c>
      <c r="I486">
        <f t="shared" si="80"/>
        <v>0.86930299995735005</v>
      </c>
      <c r="J486">
        <f t="shared" si="81"/>
        <v>0.25995644264294177</v>
      </c>
      <c r="K486">
        <f t="shared" si="82"/>
        <v>0.94585641071052184</v>
      </c>
      <c r="L486">
        <f t="shared" si="83"/>
        <v>-1.2265434826728358E-2</v>
      </c>
      <c r="M486">
        <f t="shared" si="84"/>
        <v>0.32435352537982376</v>
      </c>
      <c r="N486">
        <f t="shared" si="85"/>
        <v>18.926413128205365</v>
      </c>
      <c r="O486">
        <f t="shared" si="86"/>
        <v>-0.74294391223372147</v>
      </c>
      <c r="P486" t="str" cm="1">
        <f t="array" ref="P486">IF($N486="","",IFERROR(IF(INDEX(geo_grid!$B$2:$JU$231,INT(($N486+40)/0.5)+1,INT(($O486+30)/0.5)+1)="","",INDEX(geo_grid!$B$2:$JU$231,INT(($N486+40)/0.5)+1,INT(($O486+30)/0.5)+1)),"OUTSIDE GRID"))</f>
        <v>MLI</v>
      </c>
      <c r="Q486">
        <f t="shared" si="87"/>
        <v>4031</v>
      </c>
    </row>
    <row r="487" spans="1:17" x14ac:dyDescent="0.3">
      <c r="A487">
        <f t="shared" si="77"/>
        <v>4</v>
      </c>
      <c r="B487">
        <f t="shared" si="78"/>
        <v>32</v>
      </c>
      <c r="C487" cm="1">
        <f t="array" ref="C487">IFERROR(INDEX('TRIP MANAGER'!$O$18:$O$25,$A487),"")</f>
        <v>30.322479999999999</v>
      </c>
      <c r="D487" cm="1">
        <f t="array" ref="D487">IFERROR(INDEX('TRIP MANAGER'!$P$18:$P$25,$A487),"")</f>
        <v>-9.4120000000000008</v>
      </c>
      <c r="E487" cm="1">
        <f t="array" ref="E487">IFERROR(INDEX('TRIP MANAGER'!$Q$18:$Q$25,$A487),"")</f>
        <v>-26.140080000000001</v>
      </c>
      <c r="F487" cm="1">
        <f t="array" ref="F487">IFERROR(INDEX('TRIP MANAGER'!$R$18:$R$25,$A487),"")</f>
        <v>28.2468</v>
      </c>
      <c r="G487" cm="1">
        <f t="array" ref="G487">IFERROR(INDEX('TRIP MANAGER'!$S$18:$S$25,$A487),"")</f>
        <v>1.1690355391911331</v>
      </c>
      <c r="H487">
        <f t="shared" si="79"/>
        <v>0.21333333333333335</v>
      </c>
      <c r="I487">
        <f t="shared" si="80"/>
        <v>0.86419689848283165</v>
      </c>
      <c r="J487">
        <f t="shared" si="81"/>
        <v>0.26817035774604853</v>
      </c>
      <c r="K487">
        <f t="shared" si="82"/>
        <v>0.94800387212746196</v>
      </c>
      <c r="L487">
        <f t="shared" si="83"/>
        <v>-8.0548545294867741E-3</v>
      </c>
      <c r="M487">
        <f t="shared" si="84"/>
        <v>0.31815684457488486</v>
      </c>
      <c r="N487">
        <f t="shared" si="85"/>
        <v>18.551495219503842</v>
      </c>
      <c r="O487">
        <f t="shared" si="86"/>
        <v>-0.48681031509289202</v>
      </c>
      <c r="P487" t="str" cm="1">
        <f t="array" ref="P487">IF($N487="","",IFERROR(IF(INDEX(geo_grid!$B$2:$JU$231,INT(($N487+40)/0.5)+1,INT(($O487+30)/0.5)+1)="","",INDEX(geo_grid!$B$2:$JU$231,INT(($N487+40)/0.5)+1,INT(($O487+30)/0.5)+1)),"OUTSIDE GRID"))</f>
        <v>MLI</v>
      </c>
      <c r="Q487">
        <f t="shared" si="87"/>
        <v>4032</v>
      </c>
    </row>
    <row r="488" spans="1:17" x14ac:dyDescent="0.3">
      <c r="A488">
        <f t="shared" si="77"/>
        <v>4</v>
      </c>
      <c r="B488">
        <f t="shared" si="78"/>
        <v>33</v>
      </c>
      <c r="C488" cm="1">
        <f t="array" ref="C488">IFERROR(INDEX('TRIP MANAGER'!$O$18:$O$25,$A488),"")</f>
        <v>30.322479999999999</v>
      </c>
      <c r="D488" cm="1">
        <f t="array" ref="D488">IFERROR(INDEX('TRIP MANAGER'!$P$18:$P$25,$A488),"")</f>
        <v>-9.4120000000000008</v>
      </c>
      <c r="E488" cm="1">
        <f t="array" ref="E488">IFERROR(INDEX('TRIP MANAGER'!$Q$18:$Q$25,$A488),"")</f>
        <v>-26.140080000000001</v>
      </c>
      <c r="F488" cm="1">
        <f t="array" ref="F488">IFERROR(INDEX('TRIP MANAGER'!$R$18:$R$25,$A488),"")</f>
        <v>28.2468</v>
      </c>
      <c r="G488" cm="1">
        <f t="array" ref="G488">IFERROR(INDEX('TRIP MANAGER'!$S$18:$S$25,$A488),"")</f>
        <v>1.1690355391911331</v>
      </c>
      <c r="H488">
        <f t="shared" si="79"/>
        <v>0.22</v>
      </c>
      <c r="I488">
        <f t="shared" si="80"/>
        <v>0.85903830618131316</v>
      </c>
      <c r="J488">
        <f t="shared" si="81"/>
        <v>0.27636798433448961</v>
      </c>
      <c r="K488">
        <f t="shared" si="82"/>
        <v>0.95009375232959514</v>
      </c>
      <c r="L488">
        <f t="shared" si="83"/>
        <v>-3.8437849849725231E-3</v>
      </c>
      <c r="M488">
        <f t="shared" si="84"/>
        <v>0.31194083910456372</v>
      </c>
      <c r="N488">
        <f t="shared" si="85"/>
        <v>18.176233460876663</v>
      </c>
      <c r="O488">
        <f t="shared" si="86"/>
        <v>-0.23179970914006545</v>
      </c>
      <c r="P488" t="str" cm="1">
        <f t="array" ref="P488">IF($N488="","",IFERROR(IF(INDEX(geo_grid!$B$2:$JU$231,INT(($N488+40)/0.5)+1,INT(($O488+30)/0.5)+1)="","",INDEX(geo_grid!$B$2:$JU$231,INT(($N488+40)/0.5)+1,INT(($O488+30)/0.5)+1)),"OUTSIDE GRID"))</f>
        <v>MLI</v>
      </c>
      <c r="Q488">
        <f t="shared" si="87"/>
        <v>4033</v>
      </c>
    </row>
    <row r="489" spans="1:17" x14ac:dyDescent="0.3">
      <c r="A489">
        <f t="shared" si="77"/>
        <v>4</v>
      </c>
      <c r="B489">
        <f t="shared" si="78"/>
        <v>34</v>
      </c>
      <c r="C489" cm="1">
        <f t="array" ref="C489">IFERROR(INDEX('TRIP MANAGER'!$O$18:$O$25,$A489),"")</f>
        <v>30.322479999999999</v>
      </c>
      <c r="D489" cm="1">
        <f t="array" ref="D489">IFERROR(INDEX('TRIP MANAGER'!$P$18:$P$25,$A489),"")</f>
        <v>-9.4120000000000008</v>
      </c>
      <c r="E489" cm="1">
        <f t="array" ref="E489">IFERROR(INDEX('TRIP MANAGER'!$Q$18:$Q$25,$A489),"")</f>
        <v>-26.140080000000001</v>
      </c>
      <c r="F489" cm="1">
        <f t="array" ref="F489">IFERROR(INDEX('TRIP MANAGER'!$R$18:$R$25,$A489),"")</f>
        <v>28.2468</v>
      </c>
      <c r="G489" cm="1">
        <f t="array" ref="G489">IFERROR(INDEX('TRIP MANAGER'!$S$18:$S$25,$A489),"")</f>
        <v>1.1690355391911331</v>
      </c>
      <c r="H489">
        <f t="shared" si="79"/>
        <v>0.22666666666666666</v>
      </c>
      <c r="I489">
        <f t="shared" si="80"/>
        <v>0.85382753638275033</v>
      </c>
      <c r="J489">
        <f t="shared" si="81"/>
        <v>0.28454882448909885</v>
      </c>
      <c r="K489">
        <f t="shared" si="82"/>
        <v>0.95212592437878862</v>
      </c>
      <c r="L489">
        <f t="shared" si="83"/>
        <v>3.6751802885066909E-4</v>
      </c>
      <c r="M489">
        <f t="shared" si="84"/>
        <v>0.30570588652548936</v>
      </c>
      <c r="N489">
        <f t="shared" si="85"/>
        <v>17.800636762137096</v>
      </c>
      <c r="O489">
        <f t="shared" si="86"/>
        <v>2.2116014660612887E-2</v>
      </c>
      <c r="P489" t="str" cm="1">
        <f t="array" ref="P489">IF($N489="","",IFERROR(IF(INDEX(geo_grid!$B$2:$JU$231,INT(($N489+40)/0.5)+1,INT(($O489+30)/0.5)+1)="","",INDEX(geo_grid!$B$2:$JU$231,INT(($N489+40)/0.5)+1,INT(($O489+30)/0.5)+1)),"OUTSIDE GRID"))</f>
        <v>MLI</v>
      </c>
      <c r="Q489">
        <f t="shared" si="87"/>
        <v>4034</v>
      </c>
    </row>
    <row r="490" spans="1:17" x14ac:dyDescent="0.3">
      <c r="A490">
        <f t="shared" si="77"/>
        <v>4</v>
      </c>
      <c r="B490">
        <f t="shared" si="78"/>
        <v>35</v>
      </c>
      <c r="C490" cm="1">
        <f t="array" ref="C490">IFERROR(INDEX('TRIP MANAGER'!$O$18:$O$25,$A490),"")</f>
        <v>30.322479999999999</v>
      </c>
      <c r="D490" cm="1">
        <f t="array" ref="D490">IFERROR(INDEX('TRIP MANAGER'!$P$18:$P$25,$A490),"")</f>
        <v>-9.4120000000000008</v>
      </c>
      <c r="E490" cm="1">
        <f t="array" ref="E490">IFERROR(INDEX('TRIP MANAGER'!$Q$18:$Q$25,$A490),"")</f>
        <v>-26.140080000000001</v>
      </c>
      <c r="F490" cm="1">
        <f t="array" ref="F490">IFERROR(INDEX('TRIP MANAGER'!$R$18:$R$25,$A490),"")</f>
        <v>28.2468</v>
      </c>
      <c r="G490" cm="1">
        <f t="array" ref="G490">IFERROR(INDEX('TRIP MANAGER'!$S$18:$S$25,$A490),"")</f>
        <v>1.1690355391911331</v>
      </c>
      <c r="H490">
        <f t="shared" si="79"/>
        <v>0.23333333333333334</v>
      </c>
      <c r="I490">
        <f t="shared" si="80"/>
        <v>0.84856490558633069</v>
      </c>
      <c r="J490">
        <f t="shared" si="81"/>
        <v>0.29271238131030858</v>
      </c>
      <c r="K490">
        <f t="shared" si="82"/>
        <v>0.95410026484207111</v>
      </c>
      <c r="L490">
        <f t="shared" si="83"/>
        <v>4.5787987198383229E-3</v>
      </c>
      <c r="M490">
        <f t="shared" si="84"/>
        <v>0.29945236554512755</v>
      </c>
      <c r="N490">
        <f t="shared" si="85"/>
        <v>17.424713907332642</v>
      </c>
      <c r="O490">
        <f t="shared" si="86"/>
        <v>0.27496463164519369</v>
      </c>
      <c r="P490" t="str" cm="1">
        <f t="array" ref="P490">IF($N490="","",IFERROR(IF(INDEX(geo_grid!$B$2:$JU$231,INT(($N490+40)/0.5)+1,INT(($O490+30)/0.5)+1)="","",INDEX(geo_grid!$B$2:$JU$231,INT(($N490+40)/0.5)+1,INT(($O490+30)/0.5)+1)),"OUTSIDE GRID"))</f>
        <v>MLI</v>
      </c>
      <c r="Q490">
        <f t="shared" si="87"/>
        <v>4035</v>
      </c>
    </row>
    <row r="491" spans="1:17" x14ac:dyDescent="0.3">
      <c r="A491">
        <f t="shared" si="77"/>
        <v>4</v>
      </c>
      <c r="B491">
        <f t="shared" si="78"/>
        <v>36</v>
      </c>
      <c r="C491" cm="1">
        <f t="array" ref="C491">IFERROR(INDEX('TRIP MANAGER'!$O$18:$O$25,$A491),"")</f>
        <v>30.322479999999999</v>
      </c>
      <c r="D491" cm="1">
        <f t="array" ref="D491">IFERROR(INDEX('TRIP MANAGER'!$P$18:$P$25,$A491),"")</f>
        <v>-9.4120000000000008</v>
      </c>
      <c r="E491" cm="1">
        <f t="array" ref="E491">IFERROR(INDEX('TRIP MANAGER'!$Q$18:$Q$25,$A491),"")</f>
        <v>-26.140080000000001</v>
      </c>
      <c r="F491" cm="1">
        <f t="array" ref="F491">IFERROR(INDEX('TRIP MANAGER'!$R$18:$R$25,$A491),"")</f>
        <v>28.2468</v>
      </c>
      <c r="G491" cm="1">
        <f t="array" ref="G491">IFERROR(INDEX('TRIP MANAGER'!$S$18:$S$25,$A491),"")</f>
        <v>1.1690355391911331</v>
      </c>
      <c r="H491">
        <f t="shared" si="79"/>
        <v>0.24</v>
      </c>
      <c r="I491">
        <f t="shared" si="80"/>
        <v>0.84325073344124901</v>
      </c>
      <c r="J491">
        <f t="shared" si="81"/>
        <v>0.30085815894833084</v>
      </c>
      <c r="K491">
        <f t="shared" si="82"/>
        <v>0.95601665379912815</v>
      </c>
      <c r="L491">
        <f t="shared" si="83"/>
        <v>8.7898012972016659E-3</v>
      </c>
      <c r="M491">
        <f t="shared" si="84"/>
        <v>0.29318065599877785</v>
      </c>
      <c r="N491">
        <f t="shared" si="85"/>
        <v>17.048473558492002</v>
      </c>
      <c r="O491">
        <f t="shared" si="86"/>
        <v>0.52677359226120457</v>
      </c>
      <c r="P491" t="str" cm="1">
        <f t="array" ref="P491">IF($N491="","",IFERROR(IF(INDEX(geo_grid!$B$2:$JU$231,INT(($N491+40)/0.5)+1,INT(($O491+30)/0.5)+1)="","",INDEX(geo_grid!$B$2:$JU$231,INT(($N491+40)/0.5)+1,INT(($O491+30)/0.5)+1)),"OUTSIDE GRID"))</f>
        <v>MLI</v>
      </c>
      <c r="Q491">
        <f t="shared" si="87"/>
        <v>4036</v>
      </c>
    </row>
    <row r="492" spans="1:17" x14ac:dyDescent="0.3">
      <c r="A492">
        <f t="shared" si="77"/>
        <v>4</v>
      </c>
      <c r="B492">
        <f t="shared" si="78"/>
        <v>37</v>
      </c>
      <c r="C492" cm="1">
        <f t="array" ref="C492">IFERROR(INDEX('TRIP MANAGER'!$O$18:$O$25,$A492),"")</f>
        <v>30.322479999999999</v>
      </c>
      <c r="D492" cm="1">
        <f t="array" ref="D492">IFERROR(INDEX('TRIP MANAGER'!$P$18:$P$25,$A492),"")</f>
        <v>-9.4120000000000008</v>
      </c>
      <c r="E492" cm="1">
        <f t="array" ref="E492">IFERROR(INDEX('TRIP MANAGER'!$Q$18:$Q$25,$A492),"")</f>
        <v>-26.140080000000001</v>
      </c>
      <c r="F492" cm="1">
        <f t="array" ref="F492">IFERROR(INDEX('TRIP MANAGER'!$R$18:$R$25,$A492),"")</f>
        <v>28.2468</v>
      </c>
      <c r="G492" cm="1">
        <f t="array" ref="G492">IFERROR(INDEX('TRIP MANAGER'!$S$18:$S$25,$A492),"")</f>
        <v>1.1690355391911331</v>
      </c>
      <c r="H492">
        <f t="shared" si="79"/>
        <v>0.24666666666666667</v>
      </c>
      <c r="I492">
        <f t="shared" si="80"/>
        <v>0.83788534272729187</v>
      </c>
      <c r="J492">
        <f t="shared" si="81"/>
        <v>0.3089856626332752</v>
      </c>
      <c r="K492">
        <f t="shared" si="82"/>
        <v>0.9578749748495865</v>
      </c>
      <c r="L492">
        <f t="shared" si="83"/>
        <v>1.3000269987044691E-2</v>
      </c>
      <c r="M492">
        <f t="shared" si="84"/>
        <v>0.28689113882650297</v>
      </c>
      <c r="N492">
        <f t="shared" si="85"/>
        <v>16.671924259294556</v>
      </c>
      <c r="O492">
        <f t="shared" si="86"/>
        <v>0.77757003077064302</v>
      </c>
      <c r="P492" t="str" cm="1">
        <f t="array" ref="P492">IF($N492="","",IFERROR(IF(INDEX(geo_grid!$B$2:$JU$231,INT(($N492+40)/0.5)+1,INT(($O492+30)/0.5)+1)="","",INDEX(geo_grid!$B$2:$JU$231,INT(($N492+40)/0.5)+1,INT(($O492+30)/0.5)+1)),"OUTSIDE GRID"))</f>
        <v>MLI</v>
      </c>
      <c r="Q492">
        <f t="shared" si="87"/>
        <v>4037</v>
      </c>
    </row>
    <row r="493" spans="1:17" x14ac:dyDescent="0.3">
      <c r="A493">
        <f t="shared" si="77"/>
        <v>4</v>
      </c>
      <c r="B493">
        <f t="shared" si="78"/>
        <v>38</v>
      </c>
      <c r="C493" cm="1">
        <f t="array" ref="C493">IFERROR(INDEX('TRIP MANAGER'!$O$18:$O$25,$A493),"")</f>
        <v>30.322479999999999</v>
      </c>
      <c r="D493" cm="1">
        <f t="array" ref="D493">IFERROR(INDEX('TRIP MANAGER'!$P$18:$P$25,$A493),"")</f>
        <v>-9.4120000000000008</v>
      </c>
      <c r="E493" cm="1">
        <f t="array" ref="E493">IFERROR(INDEX('TRIP MANAGER'!$Q$18:$Q$25,$A493),"")</f>
        <v>-26.140080000000001</v>
      </c>
      <c r="F493" cm="1">
        <f t="array" ref="F493">IFERROR(INDEX('TRIP MANAGER'!$R$18:$R$25,$A493),"")</f>
        <v>28.2468</v>
      </c>
      <c r="G493" cm="1">
        <f t="array" ref="G493">IFERROR(INDEX('TRIP MANAGER'!$S$18:$S$25,$A493),"")</f>
        <v>1.1690355391911331</v>
      </c>
      <c r="H493">
        <f t="shared" si="79"/>
        <v>0.25333333333333335</v>
      </c>
      <c r="I493">
        <f t="shared" si="80"/>
        <v>0.83246905933523319</v>
      </c>
      <c r="J493">
        <f t="shared" si="81"/>
        <v>0.31709439870520079</v>
      </c>
      <c r="K493">
        <f t="shared" si="82"/>
        <v>0.9596751151200853</v>
      </c>
      <c r="L493">
        <f t="shared" si="83"/>
        <v>1.7209949047899159E-2</v>
      </c>
      <c r="M493">
        <f t="shared" si="84"/>
        <v>0.28058419604999096</v>
      </c>
      <c r="N493">
        <f t="shared" si="85"/>
        <v>16.295074438664614</v>
      </c>
      <c r="O493">
        <f t="shared" si="86"/>
        <v>1.027380773845693</v>
      </c>
      <c r="P493" t="str" cm="1">
        <f t="array" ref="P493">IF($N493="","",IFERROR(IF(INDEX(geo_grid!$B$2:$JU$231,INT(($N493+40)/0.5)+1,INT(($O493+30)/0.5)+1)="","",INDEX(geo_grid!$B$2:$JU$231,INT(($N493+40)/0.5)+1,INT(($O493+30)/0.5)+1)),"OUTSIDE GRID"))</f>
        <v>MLI</v>
      </c>
      <c r="Q493">
        <f t="shared" si="87"/>
        <v>4038</v>
      </c>
    </row>
    <row r="494" spans="1:17" x14ac:dyDescent="0.3">
      <c r="A494">
        <f t="shared" si="77"/>
        <v>4</v>
      </c>
      <c r="B494">
        <f t="shared" si="78"/>
        <v>39</v>
      </c>
      <c r="C494" cm="1">
        <f t="array" ref="C494">IFERROR(INDEX('TRIP MANAGER'!$O$18:$O$25,$A494),"")</f>
        <v>30.322479999999999</v>
      </c>
      <c r="D494" cm="1">
        <f t="array" ref="D494">IFERROR(INDEX('TRIP MANAGER'!$P$18:$P$25,$A494),"")</f>
        <v>-9.4120000000000008</v>
      </c>
      <c r="E494" cm="1">
        <f t="array" ref="E494">IFERROR(INDEX('TRIP MANAGER'!$Q$18:$Q$25,$A494),"")</f>
        <v>-26.140080000000001</v>
      </c>
      <c r="F494" cm="1">
        <f t="array" ref="F494">IFERROR(INDEX('TRIP MANAGER'!$R$18:$R$25,$A494),"")</f>
        <v>28.2468</v>
      </c>
      <c r="G494" cm="1">
        <f t="array" ref="G494">IFERROR(INDEX('TRIP MANAGER'!$S$18:$S$25,$A494),"")</f>
        <v>1.1690355391911331</v>
      </c>
      <c r="H494">
        <f t="shared" si="79"/>
        <v>0.26</v>
      </c>
      <c r="I494">
        <f t="shared" si="80"/>
        <v>0.82700221224703852</v>
      </c>
      <c r="J494">
        <f t="shared" si="81"/>
        <v>0.32518387464410076</v>
      </c>
      <c r="K494">
        <f t="shared" si="82"/>
        <v>0.96141696527113019</v>
      </c>
      <c r="L494">
        <f t="shared" si="83"/>
        <v>2.141858278625855E-2</v>
      </c>
      <c r="M494">
        <f t="shared" si="84"/>
        <v>0.27426021074935081</v>
      </c>
      <c r="N494">
        <f t="shared" si="85"/>
        <v>15.917932414292885</v>
      </c>
      <c r="O494">
        <f t="shared" si="86"/>
        <v>1.2762323490585372</v>
      </c>
      <c r="P494" t="str" cm="1">
        <f t="array" ref="P494">IF($N494="","",IFERROR(IF(INDEX(geo_grid!$B$2:$JU$231,INT(($N494+40)/0.5)+1,INT(($O494+30)/0.5)+1)="","",INDEX(geo_grid!$B$2:$JU$231,INT(($N494+40)/0.5)+1,INT(($O494+30)/0.5)+1)),"OUTSIDE GRID"))</f>
        <v>MLI</v>
      </c>
      <c r="Q494">
        <f t="shared" si="87"/>
        <v>4039</v>
      </c>
    </row>
    <row r="495" spans="1:17" x14ac:dyDescent="0.3">
      <c r="A495">
        <f t="shared" si="77"/>
        <v>4</v>
      </c>
      <c r="B495">
        <f t="shared" si="78"/>
        <v>40</v>
      </c>
      <c r="C495" cm="1">
        <f t="array" ref="C495">IFERROR(INDEX('TRIP MANAGER'!$O$18:$O$25,$A495),"")</f>
        <v>30.322479999999999</v>
      </c>
      <c r="D495" cm="1">
        <f t="array" ref="D495">IFERROR(INDEX('TRIP MANAGER'!$P$18:$P$25,$A495),"")</f>
        <v>-9.4120000000000008</v>
      </c>
      <c r="E495" cm="1">
        <f t="array" ref="E495">IFERROR(INDEX('TRIP MANAGER'!$Q$18:$Q$25,$A495),"")</f>
        <v>-26.140080000000001</v>
      </c>
      <c r="F495" cm="1">
        <f t="array" ref="F495">IFERROR(INDEX('TRIP MANAGER'!$R$18:$R$25,$A495),"")</f>
        <v>28.2468</v>
      </c>
      <c r="G495" cm="1">
        <f t="array" ref="G495">IFERROR(INDEX('TRIP MANAGER'!$S$18:$S$25,$A495),"")</f>
        <v>1.1690355391911331</v>
      </c>
      <c r="H495">
        <f t="shared" si="79"/>
        <v>0.26666666666666666</v>
      </c>
      <c r="I495">
        <f t="shared" si="80"/>
        <v>0.82148513351588393</v>
      </c>
      <c r="J495">
        <f t="shared" si="81"/>
        <v>0.33325359909981778</v>
      </c>
      <c r="K495">
        <f t="shared" si="82"/>
        <v>0.96310041950373648</v>
      </c>
      <c r="L495">
        <f t="shared" si="83"/>
        <v>2.5625915572108651E-2</v>
      </c>
      <c r="M495">
        <f t="shared" si="84"/>
        <v>0.26791956703984499</v>
      </c>
      <c r="N495">
        <f t="shared" si="85"/>
        <v>15.540506396087427</v>
      </c>
      <c r="O495">
        <f t="shared" si="86"/>
        <v>1.5241509932665778</v>
      </c>
      <c r="P495" t="str" cm="1">
        <f t="array" ref="P495">IF($N495="","",IFERROR(IF(INDEX(geo_grid!$B$2:$JU$231,INT(($N495+40)/0.5)+1,INT(($O495+30)/0.5)+1)="","",INDEX(geo_grid!$B$2:$JU$231,INT(($N495+40)/0.5)+1,INT(($O495+30)/0.5)+1)),"OUTSIDE GRID"))</f>
        <v>MLI</v>
      </c>
      <c r="Q495">
        <f t="shared" si="87"/>
        <v>4040</v>
      </c>
    </row>
    <row r="496" spans="1:17" x14ac:dyDescent="0.3">
      <c r="A496">
        <f t="shared" si="77"/>
        <v>4</v>
      </c>
      <c r="B496">
        <f t="shared" si="78"/>
        <v>41</v>
      </c>
      <c r="C496" cm="1">
        <f t="array" ref="C496">IFERROR(INDEX('TRIP MANAGER'!$O$18:$O$25,$A496),"")</f>
        <v>30.322479999999999</v>
      </c>
      <c r="D496" cm="1">
        <f t="array" ref="D496">IFERROR(INDEX('TRIP MANAGER'!$P$18:$P$25,$A496),"")</f>
        <v>-9.4120000000000008</v>
      </c>
      <c r="E496" cm="1">
        <f t="array" ref="E496">IFERROR(INDEX('TRIP MANAGER'!$Q$18:$Q$25,$A496),"")</f>
        <v>-26.140080000000001</v>
      </c>
      <c r="F496" cm="1">
        <f t="array" ref="F496">IFERROR(INDEX('TRIP MANAGER'!$R$18:$R$25,$A496),"")</f>
        <v>28.2468</v>
      </c>
      <c r="G496" cm="1">
        <f t="array" ref="G496">IFERROR(INDEX('TRIP MANAGER'!$S$18:$S$25,$A496),"")</f>
        <v>1.1690355391911331</v>
      </c>
      <c r="H496">
        <f t="shared" si="79"/>
        <v>0.27333333333333332</v>
      </c>
      <c r="I496">
        <f t="shared" si="80"/>
        <v>0.81591815824598646</v>
      </c>
      <c r="J496">
        <f t="shared" si="81"/>
        <v>0.34130308192188824</v>
      </c>
      <c r="K496">
        <f t="shared" si="82"/>
        <v>0.96472537556585314</v>
      </c>
      <c r="L496">
        <f t="shared" si="83"/>
        <v>2.983169185445432E-2</v>
      </c>
      <c r="M496">
        <f t="shared" si="84"/>
        <v>0.26156265004855789</v>
      </c>
      <c r="N496">
        <f t="shared" si="85"/>
        <v>15.162804489556303</v>
      </c>
      <c r="O496">
        <f t="shared" si="86"/>
        <v>1.7711626608946045</v>
      </c>
      <c r="P496" t="str" cm="1">
        <f t="array" ref="P496">IF($N496="","",IFERROR(IF(INDEX(geo_grid!$B$2:$JU$231,INT(($N496+40)/0.5)+1,INT(($O496+30)/0.5)+1)="","",INDEX(geo_grid!$B$2:$JU$231,INT(($N496+40)/0.5)+1,INT(($O496+30)/0.5)+1)),"OUTSIDE GRID"))</f>
        <v>NER</v>
      </c>
      <c r="Q496">
        <f t="shared" si="87"/>
        <v>4041</v>
      </c>
    </row>
    <row r="497" spans="1:17" x14ac:dyDescent="0.3">
      <c r="A497">
        <f t="shared" si="77"/>
        <v>4</v>
      </c>
      <c r="B497">
        <f t="shared" si="78"/>
        <v>42</v>
      </c>
      <c r="C497" cm="1">
        <f t="array" ref="C497">IFERROR(INDEX('TRIP MANAGER'!$O$18:$O$25,$A497),"")</f>
        <v>30.322479999999999</v>
      </c>
      <c r="D497" cm="1">
        <f t="array" ref="D497">IFERROR(INDEX('TRIP MANAGER'!$P$18:$P$25,$A497),"")</f>
        <v>-9.4120000000000008</v>
      </c>
      <c r="E497" cm="1">
        <f t="array" ref="E497">IFERROR(INDEX('TRIP MANAGER'!$Q$18:$Q$25,$A497),"")</f>
        <v>-26.140080000000001</v>
      </c>
      <c r="F497" cm="1">
        <f t="array" ref="F497">IFERROR(INDEX('TRIP MANAGER'!$R$18:$R$25,$A497),"")</f>
        <v>28.2468</v>
      </c>
      <c r="G497" cm="1">
        <f t="array" ref="G497">IFERROR(INDEX('TRIP MANAGER'!$S$18:$S$25,$A497),"")</f>
        <v>1.1690355391911331</v>
      </c>
      <c r="H497">
        <f t="shared" si="79"/>
        <v>0.28000000000000003</v>
      </c>
      <c r="I497">
        <f t="shared" si="80"/>
        <v>0.81030162457225074</v>
      </c>
      <c r="J497">
        <f t="shared" si="81"/>
        <v>0.34933183418931413</v>
      </c>
      <c r="K497">
        <f t="shared" si="82"/>
        <v>0.96629173475857544</v>
      </c>
      <c r="L497">
        <f t="shared" si="83"/>
        <v>3.4035656176841567E-2</v>
      </c>
      <c r="M497">
        <f t="shared" si="84"/>
        <v>0.25518984589100402</v>
      </c>
      <c r="N497">
        <f t="shared" si="85"/>
        <v>14.784834699124186</v>
      </c>
      <c r="O497">
        <f t="shared" si="86"/>
        <v>2.0172930321155391</v>
      </c>
      <c r="P497" t="str" cm="1">
        <f t="array" ref="P497">IF($N497="","",IFERROR(IF(INDEX(geo_grid!$B$2:$JU$231,INT(($N497+40)/0.5)+1,INT(($O497+30)/0.5)+1)="","",INDEX(geo_grid!$B$2:$JU$231,INT(($N497+40)/0.5)+1,INT(($O497+30)/0.5)+1)),"OUTSIDE GRID"))</f>
        <v>NER</v>
      </c>
      <c r="Q497">
        <f t="shared" si="87"/>
        <v>4042</v>
      </c>
    </row>
    <row r="498" spans="1:17" x14ac:dyDescent="0.3">
      <c r="A498">
        <f t="shared" si="77"/>
        <v>4</v>
      </c>
      <c r="B498">
        <f t="shared" si="78"/>
        <v>43</v>
      </c>
      <c r="C498" cm="1">
        <f t="array" ref="C498">IFERROR(INDEX('TRIP MANAGER'!$O$18:$O$25,$A498),"")</f>
        <v>30.322479999999999</v>
      </c>
      <c r="D498" cm="1">
        <f t="array" ref="D498">IFERROR(INDEX('TRIP MANAGER'!$P$18:$P$25,$A498),"")</f>
        <v>-9.4120000000000008</v>
      </c>
      <c r="E498" cm="1">
        <f t="array" ref="E498">IFERROR(INDEX('TRIP MANAGER'!$Q$18:$Q$25,$A498),"")</f>
        <v>-26.140080000000001</v>
      </c>
      <c r="F498" cm="1">
        <f t="array" ref="F498">IFERROR(INDEX('TRIP MANAGER'!$R$18:$R$25,$A498),"")</f>
        <v>28.2468</v>
      </c>
      <c r="G498" cm="1">
        <f t="array" ref="G498">IFERROR(INDEX('TRIP MANAGER'!$S$18:$S$25,$A498),"")</f>
        <v>1.1690355391911331</v>
      </c>
      <c r="H498">
        <f t="shared" si="79"/>
        <v>0.28666666666666668</v>
      </c>
      <c r="I498">
        <f t="shared" si="80"/>
        <v>0.80463587363973088</v>
      </c>
      <c r="J498">
        <f t="shared" si="81"/>
        <v>0.35733936824025919</v>
      </c>
      <c r="K498">
        <f t="shared" si="82"/>
        <v>0.96779940194213909</v>
      </c>
      <c r="L498">
        <f t="shared" si="83"/>
        <v>3.8237553192873794E-2</v>
      </c>
      <c r="M498">
        <f t="shared" si="84"/>
        <v>0.24880154164767546</v>
      </c>
      <c r="N498">
        <f t="shared" si="85"/>
        <v>14.406604931385075</v>
      </c>
      <c r="O498">
        <f t="shared" si="86"/>
        <v>2.2625675209314742</v>
      </c>
      <c r="P498" t="str" cm="1">
        <f t="array" ref="P498">IF($N498="","",IFERROR(IF(INDEX(geo_grid!$B$2:$JU$231,INT(($N498+40)/0.5)+1,INT(($O498+30)/0.5)+1)="","",INDEX(geo_grid!$B$2:$JU$231,INT(($N498+40)/0.5)+1,INT(($O498+30)/0.5)+1)),"OUTSIDE GRID"))</f>
        <v>NER</v>
      </c>
      <c r="Q498">
        <f t="shared" si="87"/>
        <v>4043</v>
      </c>
    </row>
    <row r="499" spans="1:17" x14ac:dyDescent="0.3">
      <c r="A499">
        <f t="shared" si="77"/>
        <v>4</v>
      </c>
      <c r="B499">
        <f t="shared" si="78"/>
        <v>44</v>
      </c>
      <c r="C499" cm="1">
        <f t="array" ref="C499">IFERROR(INDEX('TRIP MANAGER'!$O$18:$O$25,$A499),"")</f>
        <v>30.322479999999999</v>
      </c>
      <c r="D499" cm="1">
        <f t="array" ref="D499">IFERROR(INDEX('TRIP MANAGER'!$P$18:$P$25,$A499),"")</f>
        <v>-9.4120000000000008</v>
      </c>
      <c r="E499" cm="1">
        <f t="array" ref="E499">IFERROR(INDEX('TRIP MANAGER'!$Q$18:$Q$25,$A499),"")</f>
        <v>-26.140080000000001</v>
      </c>
      <c r="F499" cm="1">
        <f t="array" ref="F499">IFERROR(INDEX('TRIP MANAGER'!$R$18:$R$25,$A499),"")</f>
        <v>28.2468</v>
      </c>
      <c r="G499" cm="1">
        <f t="array" ref="G499">IFERROR(INDEX('TRIP MANAGER'!$S$18:$S$25,$A499),"")</f>
        <v>1.1690355391911331</v>
      </c>
      <c r="H499">
        <f t="shared" si="79"/>
        <v>0.29333333333333333</v>
      </c>
      <c r="I499">
        <f t="shared" si="80"/>
        <v>0.79892124958290855</v>
      </c>
      <c r="J499">
        <f t="shared" si="81"/>
        <v>0.3653251977016696</v>
      </c>
      <c r="K499">
        <f t="shared" si="82"/>
        <v>0.9692482855416984</v>
      </c>
      <c r="L499">
        <f t="shared" si="83"/>
        <v>4.2437127681721393E-2</v>
      </c>
      <c r="M499">
        <f t="shared" si="84"/>
        <v>0.24239812534053029</v>
      </c>
      <c r="N499">
        <f t="shared" si="85"/>
        <v>14.028122998293174</v>
      </c>
      <c r="O499">
        <f t="shared" si="86"/>
        <v>2.5070112831568307</v>
      </c>
      <c r="P499" t="str" cm="1">
        <f t="array" ref="P499">IF($N499="","",IFERROR(IF(INDEX(geo_grid!$B$2:$JU$231,INT(($N499+40)/0.5)+1,INT(($O499+30)/0.5)+1)="","",INDEX(geo_grid!$B$2:$JU$231,INT(($N499+40)/0.5)+1,INT(($O499+30)/0.5)+1)),"OUTSIDE GRID"))</f>
        <v>NER</v>
      </c>
      <c r="Q499">
        <f t="shared" si="87"/>
        <v>4044</v>
      </c>
    </row>
    <row r="500" spans="1:17" x14ac:dyDescent="0.3">
      <c r="A500">
        <f t="shared" si="77"/>
        <v>4</v>
      </c>
      <c r="B500">
        <f t="shared" si="78"/>
        <v>45</v>
      </c>
      <c r="C500" cm="1">
        <f t="array" ref="C500">IFERROR(INDEX('TRIP MANAGER'!$O$18:$O$25,$A500),"")</f>
        <v>30.322479999999999</v>
      </c>
      <c r="D500" cm="1">
        <f t="array" ref="D500">IFERROR(INDEX('TRIP MANAGER'!$P$18:$P$25,$A500),"")</f>
        <v>-9.4120000000000008</v>
      </c>
      <c r="E500" cm="1">
        <f t="array" ref="E500">IFERROR(INDEX('TRIP MANAGER'!$Q$18:$Q$25,$A500),"")</f>
        <v>-26.140080000000001</v>
      </c>
      <c r="F500" cm="1">
        <f t="array" ref="F500">IFERROR(INDEX('TRIP MANAGER'!$R$18:$R$25,$A500),"")</f>
        <v>28.2468</v>
      </c>
      <c r="G500" cm="1">
        <f t="array" ref="G500">IFERROR(INDEX('TRIP MANAGER'!$S$18:$S$25,$A500),"")</f>
        <v>1.1690355391911331</v>
      </c>
      <c r="H500">
        <f t="shared" si="79"/>
        <v>0.3</v>
      </c>
      <c r="I500">
        <f t="shared" si="80"/>
        <v>0.79315809950479155</v>
      </c>
      <c r="J500">
        <f t="shared" si="81"/>
        <v>0.3732888375188162</v>
      </c>
      <c r="K500">
        <f t="shared" si="82"/>
        <v>0.97063829755288977</v>
      </c>
      <c r="L500">
        <f t="shared" si="83"/>
        <v>4.6634124563623883E-2</v>
      </c>
      <c r="M500">
        <f t="shared" si="84"/>
        <v>0.23597998590942482</v>
      </c>
      <c r="N500">
        <f t="shared" si="85"/>
        <v>13.649396620294114</v>
      </c>
      <c r="O500">
        <f t="shared" si="86"/>
        <v>2.7506492243055467</v>
      </c>
      <c r="P500" t="str" cm="1">
        <f t="array" ref="P500">IF($N500="","",IFERROR(IF(INDEX(geo_grid!$B$2:$JU$231,INT(($N500+40)/0.5)+1,INT(($O500+30)/0.5)+1)="","",INDEX(geo_grid!$B$2:$JU$231,INT(($N500+40)/0.5)+1,INT(($O500+30)/0.5)+1)),"OUTSIDE GRID"))</f>
        <v>NER</v>
      </c>
      <c r="Q500">
        <f t="shared" si="87"/>
        <v>4045</v>
      </c>
    </row>
    <row r="501" spans="1:17" x14ac:dyDescent="0.3">
      <c r="A501">
        <f t="shared" si="77"/>
        <v>4</v>
      </c>
      <c r="B501">
        <f t="shared" si="78"/>
        <v>46</v>
      </c>
      <c r="C501" cm="1">
        <f t="array" ref="C501">IFERROR(INDEX('TRIP MANAGER'!$O$18:$O$25,$A501),"")</f>
        <v>30.322479999999999</v>
      </c>
      <c r="D501" cm="1">
        <f t="array" ref="D501">IFERROR(INDEX('TRIP MANAGER'!$P$18:$P$25,$A501),"")</f>
        <v>-9.4120000000000008</v>
      </c>
      <c r="E501" cm="1">
        <f t="array" ref="E501">IFERROR(INDEX('TRIP MANAGER'!$Q$18:$Q$25,$A501),"")</f>
        <v>-26.140080000000001</v>
      </c>
      <c r="F501" cm="1">
        <f t="array" ref="F501">IFERROR(INDEX('TRIP MANAGER'!$R$18:$R$25,$A501),"")</f>
        <v>28.2468</v>
      </c>
      <c r="G501" cm="1">
        <f t="array" ref="G501">IFERROR(INDEX('TRIP MANAGER'!$S$18:$S$25,$A501),"")</f>
        <v>1.1690355391911331</v>
      </c>
      <c r="H501">
        <f t="shared" si="79"/>
        <v>0.30666666666666664</v>
      </c>
      <c r="I501">
        <f t="shared" si="80"/>
        <v>0.7873467734558306</v>
      </c>
      <c r="J501">
        <f t="shared" si="81"/>
        <v>0.38122980398475581</v>
      </c>
      <c r="K501">
        <f t="shared" si="82"/>
        <v>0.97196935354717551</v>
      </c>
      <c r="L501">
        <f t="shared" si="83"/>
        <v>5.0828288915382991E-2</v>
      </c>
      <c r="M501">
        <f t="shared" si="84"/>
        <v>0.22954751318848973</v>
      </c>
      <c r="N501">
        <f t="shared" si="85"/>
        <v>13.270433429398544</v>
      </c>
      <c r="O501">
        <f t="shared" si="86"/>
        <v>2.9935060073842412</v>
      </c>
      <c r="P501" t="str" cm="1">
        <f t="array" ref="P501">IF($N501="","",IFERROR(IF(INDEX(geo_grid!$B$2:$JU$231,INT(($N501+40)/0.5)+1,INT(($O501+30)/0.5)+1)="","",INDEX(geo_grid!$B$2:$JU$231,INT(($N501+40)/0.5)+1,INT(($O501+30)/0.5)+1)),"OUTSIDE GRID"))</f>
        <v>NER</v>
      </c>
      <c r="Q501">
        <f t="shared" si="87"/>
        <v>4046</v>
      </c>
    </row>
    <row r="502" spans="1:17" x14ac:dyDescent="0.3">
      <c r="A502">
        <f t="shared" si="77"/>
        <v>4</v>
      </c>
      <c r="B502">
        <f t="shared" si="78"/>
        <v>47</v>
      </c>
      <c r="C502" cm="1">
        <f t="array" ref="C502">IFERROR(INDEX('TRIP MANAGER'!$O$18:$O$25,$A502),"")</f>
        <v>30.322479999999999</v>
      </c>
      <c r="D502" cm="1">
        <f t="array" ref="D502">IFERROR(INDEX('TRIP MANAGER'!$P$18:$P$25,$A502),"")</f>
        <v>-9.4120000000000008</v>
      </c>
      <c r="E502" cm="1">
        <f t="array" ref="E502">IFERROR(INDEX('TRIP MANAGER'!$Q$18:$Q$25,$A502),"")</f>
        <v>-26.140080000000001</v>
      </c>
      <c r="F502" cm="1">
        <f t="array" ref="F502">IFERROR(INDEX('TRIP MANAGER'!$R$18:$R$25,$A502),"")</f>
        <v>28.2468</v>
      </c>
      <c r="G502" cm="1">
        <f t="array" ref="G502">IFERROR(INDEX('TRIP MANAGER'!$S$18:$S$25,$A502),"")</f>
        <v>1.1690355391911331</v>
      </c>
      <c r="H502">
        <f t="shared" si="79"/>
        <v>0.31333333333333335</v>
      </c>
      <c r="I502">
        <f t="shared" si="80"/>
        <v>0.78148762441265707</v>
      </c>
      <c r="J502">
        <f t="shared" si="81"/>
        <v>0.38914761476971188</v>
      </c>
      <c r="K502">
        <f t="shared" si="82"/>
        <v>0.97324137267697375</v>
      </c>
      <c r="L502">
        <f t="shared" si="83"/>
        <v>5.5019365985846766E-2</v>
      </c>
      <c r="M502">
        <f t="shared" si="84"/>
        <v>0.22310109788245133</v>
      </c>
      <c r="N502">
        <f t="shared" si="85"/>
        <v>12.891240972199949</v>
      </c>
      <c r="O502">
        <f t="shared" si="86"/>
        <v>3.2356060605934656</v>
      </c>
      <c r="P502" t="str" cm="1">
        <f t="array" ref="P502">IF($N502="","",IFERROR(IF(INDEX(geo_grid!$B$2:$JU$231,INT(($N502+40)/0.5)+1,INT(($O502+30)/0.5)+1)="","",INDEX(geo_grid!$B$2:$JU$231,INT(($N502+40)/0.5)+1,INT(($O502+30)/0.5)+1)),"OUTSIDE GRID"))</f>
        <v>NER</v>
      </c>
      <c r="Q502">
        <f t="shared" si="87"/>
        <v>4047</v>
      </c>
    </row>
    <row r="503" spans="1:17" x14ac:dyDescent="0.3">
      <c r="A503">
        <f t="shared" si="77"/>
        <v>4</v>
      </c>
      <c r="B503">
        <f t="shared" si="78"/>
        <v>48</v>
      </c>
      <c r="C503" cm="1">
        <f t="array" ref="C503">IFERROR(INDEX('TRIP MANAGER'!$O$18:$O$25,$A503),"")</f>
        <v>30.322479999999999</v>
      </c>
      <c r="D503" cm="1">
        <f t="array" ref="D503">IFERROR(INDEX('TRIP MANAGER'!$P$18:$P$25,$A503),"")</f>
        <v>-9.4120000000000008</v>
      </c>
      <c r="E503" cm="1">
        <f t="array" ref="E503">IFERROR(INDEX('TRIP MANAGER'!$Q$18:$Q$25,$A503),"")</f>
        <v>-26.140080000000001</v>
      </c>
      <c r="F503" cm="1">
        <f t="array" ref="F503">IFERROR(INDEX('TRIP MANAGER'!$R$18:$R$25,$A503),"")</f>
        <v>28.2468</v>
      </c>
      <c r="G503" cm="1">
        <f t="array" ref="G503">IFERROR(INDEX('TRIP MANAGER'!$S$18:$S$25,$A503),"")</f>
        <v>1.1690355391911331</v>
      </c>
      <c r="H503">
        <f t="shared" si="79"/>
        <v>0.32</v>
      </c>
      <c r="I503">
        <f t="shared" si="80"/>
        <v>0.77558100825664422</v>
      </c>
      <c r="J503">
        <f t="shared" si="81"/>
        <v>0.39704178895037062</v>
      </c>
      <c r="K503">
        <f t="shared" si="82"/>
        <v>0.97445427768056736</v>
      </c>
      <c r="L503">
        <f t="shared" si="83"/>
        <v>5.9207101211382923E-2</v>
      </c>
      <c r="M503">
        <f t="shared" si="84"/>
        <v>0.21664113154290079</v>
      </c>
      <c r="N503">
        <f t="shared" si="85"/>
        <v>12.511826712838904</v>
      </c>
      <c r="O503">
        <f t="shared" si="86"/>
        <v>3.4769735849391088</v>
      </c>
      <c r="P503" t="str" cm="1">
        <f t="array" ref="P503">IF($N503="","",IFERROR(IF(INDEX(geo_grid!$B$2:$JU$231,INT(($N503+40)/0.5)+1,INT(($O503+30)/0.5)+1)="","",INDEX(geo_grid!$B$2:$JU$231,INT(($N503+40)/0.5)+1,INT(($O503+30)/0.5)+1)),"OUTSIDE GRID"))</f>
        <v>NER</v>
      </c>
      <c r="Q503">
        <f t="shared" si="87"/>
        <v>4048</v>
      </c>
    </row>
    <row r="504" spans="1:17" x14ac:dyDescent="0.3">
      <c r="A504">
        <f t="shared" si="77"/>
        <v>4</v>
      </c>
      <c r="B504">
        <f t="shared" si="78"/>
        <v>49</v>
      </c>
      <c r="C504" cm="1">
        <f t="array" ref="C504">IFERROR(INDEX('TRIP MANAGER'!$O$18:$O$25,$A504),"")</f>
        <v>30.322479999999999</v>
      </c>
      <c r="D504" cm="1">
        <f t="array" ref="D504">IFERROR(INDEX('TRIP MANAGER'!$P$18:$P$25,$A504),"")</f>
        <v>-9.4120000000000008</v>
      </c>
      <c r="E504" cm="1">
        <f t="array" ref="E504">IFERROR(INDEX('TRIP MANAGER'!$Q$18:$Q$25,$A504),"")</f>
        <v>-26.140080000000001</v>
      </c>
      <c r="F504" cm="1">
        <f t="array" ref="F504">IFERROR(INDEX('TRIP MANAGER'!$R$18:$R$25,$A504),"")</f>
        <v>28.2468</v>
      </c>
      <c r="G504" cm="1">
        <f t="array" ref="G504">IFERROR(INDEX('TRIP MANAGER'!$S$18:$S$25,$A504),"")</f>
        <v>1.1690355391911331</v>
      </c>
      <c r="H504">
        <f t="shared" si="79"/>
        <v>0.32666666666666666</v>
      </c>
      <c r="I504">
        <f t="shared" si="80"/>
        <v>0.76962728375229061</v>
      </c>
      <c r="J504">
        <f t="shared" si="81"/>
        <v>0.40491184703909228</v>
      </c>
      <c r="K504">
        <f t="shared" si="82"/>
        <v>0.97560799488679795</v>
      </c>
      <c r="L504">
        <f t="shared" si="83"/>
        <v>6.3391240231341045E-2</v>
      </c>
      <c r="M504">
        <f t="shared" si="84"/>
        <v>0.21016800654451126</v>
      </c>
      <c r="N504">
        <f t="shared" si="85"/>
        <v>12.132198035915451</v>
      </c>
      <c r="O504">
        <f t="shared" si="86"/>
        <v>3.7176325617561568</v>
      </c>
      <c r="P504" t="str" cm="1">
        <f t="array" ref="P504">IF($N504="","",IFERROR(IF(INDEX(geo_grid!$B$2:$JU$231,INT(($N504+40)/0.5)+1,INT(($O504+30)/0.5)+1)="","",INDEX(geo_grid!$B$2:$JU$231,INT(($N504+40)/0.5)+1,INT(($O504+30)/0.5)+1)),"OUTSIDE GRID"))</f>
        <v>NGA</v>
      </c>
      <c r="Q504">
        <f t="shared" si="87"/>
        <v>4049</v>
      </c>
    </row>
    <row r="505" spans="1:17" x14ac:dyDescent="0.3">
      <c r="A505">
        <f t="shared" si="77"/>
        <v>4</v>
      </c>
      <c r="B505">
        <f t="shared" si="78"/>
        <v>50</v>
      </c>
      <c r="C505" cm="1">
        <f t="array" ref="C505">IFERROR(INDEX('TRIP MANAGER'!$O$18:$O$25,$A505),"")</f>
        <v>30.322479999999999</v>
      </c>
      <c r="D505" cm="1">
        <f t="array" ref="D505">IFERROR(INDEX('TRIP MANAGER'!$P$18:$P$25,$A505),"")</f>
        <v>-9.4120000000000008</v>
      </c>
      <c r="E505" cm="1">
        <f t="array" ref="E505">IFERROR(INDEX('TRIP MANAGER'!$Q$18:$Q$25,$A505),"")</f>
        <v>-26.140080000000001</v>
      </c>
      <c r="F505" cm="1">
        <f t="array" ref="F505">IFERROR(INDEX('TRIP MANAGER'!$R$18:$R$25,$A505),"")</f>
        <v>28.2468</v>
      </c>
      <c r="G505" cm="1">
        <f t="array" ref="G505">IFERROR(INDEX('TRIP MANAGER'!$S$18:$S$25,$A505),"")</f>
        <v>1.1690355391911331</v>
      </c>
      <c r="H505">
        <f t="shared" si="79"/>
        <v>0.33333333333333331</v>
      </c>
      <c r="I505">
        <f t="shared" si="80"/>
        <v>0.76362681252542841</v>
      </c>
      <c r="J505">
        <f t="shared" si="81"/>
        <v>0.4127573110130347</v>
      </c>
      <c r="K505">
        <f t="shared" si="82"/>
        <v>0.97670245421954016</v>
      </c>
      <c r="L505">
        <f t="shared" si="83"/>
        <v>6.7571528903502126E-2</v>
      </c>
      <c r="M505">
        <f t="shared" si="84"/>
        <v>0.20368211606120515</v>
      </c>
      <c r="N505">
        <f t="shared" si="85"/>
        <v>11.752362249351622</v>
      </c>
      <c r="O505">
        <f t="shared" si="86"/>
        <v>3.9576067601470055</v>
      </c>
      <c r="P505" t="str" cm="1">
        <f t="array" ref="P505">IF($N505="","",IFERROR(IF(INDEX(geo_grid!$B$2:$JU$231,INT(($N505+40)/0.5)+1,INT(($O505+30)/0.5)+1)="","",INDEX(geo_grid!$B$2:$JU$231,INT(($N505+40)/0.5)+1,INT(($O505+30)/0.5)+1)),"OUTSIDE GRID"))</f>
        <v>NGA</v>
      </c>
      <c r="Q505">
        <f t="shared" si="87"/>
        <v>4050</v>
      </c>
    </row>
    <row r="506" spans="1:17" x14ac:dyDescent="0.3">
      <c r="A506">
        <f t="shared" si="77"/>
        <v>4</v>
      </c>
      <c r="B506">
        <f t="shared" si="78"/>
        <v>51</v>
      </c>
      <c r="C506" cm="1">
        <f t="array" ref="C506">IFERROR(INDEX('TRIP MANAGER'!$O$18:$O$25,$A506),"")</f>
        <v>30.322479999999999</v>
      </c>
      <c r="D506" cm="1">
        <f t="array" ref="D506">IFERROR(INDEX('TRIP MANAGER'!$P$18:$P$25,$A506),"")</f>
        <v>-9.4120000000000008</v>
      </c>
      <c r="E506" cm="1">
        <f t="array" ref="E506">IFERROR(INDEX('TRIP MANAGER'!$Q$18:$Q$25,$A506),"")</f>
        <v>-26.140080000000001</v>
      </c>
      <c r="F506" cm="1">
        <f t="array" ref="F506">IFERROR(INDEX('TRIP MANAGER'!$R$18:$R$25,$A506),"")</f>
        <v>28.2468</v>
      </c>
      <c r="G506" cm="1">
        <f t="array" ref="G506">IFERROR(INDEX('TRIP MANAGER'!$S$18:$S$25,$A506),"")</f>
        <v>1.1690355391911331</v>
      </c>
      <c r="H506">
        <f t="shared" si="79"/>
        <v>0.34</v>
      </c>
      <c r="I506">
        <f t="shared" si="80"/>
        <v>0.75757995904125963</v>
      </c>
      <c r="J506">
        <f t="shared" si="81"/>
        <v>0.42057770434318814</v>
      </c>
      <c r="K506">
        <f t="shared" si="82"/>
        <v>0.97773758920195752</v>
      </c>
      <c r="L506">
        <f t="shared" si="83"/>
        <v>7.17477133195151E-2</v>
      </c>
      <c r="M506">
        <f t="shared" si="84"/>
        <v>0.19718385404227326</v>
      </c>
      <c r="N506">
        <f t="shared" si="85"/>
        <v>11.372326587205961</v>
      </c>
      <c r="O506">
        <f t="shared" si="86"/>
        <v>4.1969197443366246</v>
      </c>
      <c r="P506" t="str" cm="1">
        <f t="array" ref="P506">IF($N506="","",IFERROR(IF(INDEX(geo_grid!$B$2:$JU$231,INT(($N506+40)/0.5)+1,INT(($O506+30)/0.5)+1)="","",INDEX(geo_grid!$B$2:$JU$231,INT(($N506+40)/0.5)+1,INT(($O506+30)/0.5)+1)),"OUTSIDE GRID"))</f>
        <v>NGA</v>
      </c>
      <c r="Q506">
        <f t="shared" si="87"/>
        <v>4051</v>
      </c>
    </row>
    <row r="507" spans="1:17" x14ac:dyDescent="0.3">
      <c r="A507">
        <f t="shared" si="77"/>
        <v>4</v>
      </c>
      <c r="B507">
        <f t="shared" si="78"/>
        <v>52</v>
      </c>
      <c r="C507" cm="1">
        <f t="array" ref="C507">IFERROR(INDEX('TRIP MANAGER'!$O$18:$O$25,$A507),"")</f>
        <v>30.322479999999999</v>
      </c>
      <c r="D507" cm="1">
        <f t="array" ref="D507">IFERROR(INDEX('TRIP MANAGER'!$P$18:$P$25,$A507),"")</f>
        <v>-9.4120000000000008</v>
      </c>
      <c r="E507" cm="1">
        <f t="array" ref="E507">IFERROR(INDEX('TRIP MANAGER'!$Q$18:$Q$25,$A507),"")</f>
        <v>-26.140080000000001</v>
      </c>
      <c r="F507" cm="1">
        <f t="array" ref="F507">IFERROR(INDEX('TRIP MANAGER'!$R$18:$R$25,$A507),"")</f>
        <v>28.2468</v>
      </c>
      <c r="G507" cm="1">
        <f t="array" ref="G507">IFERROR(INDEX('TRIP MANAGER'!$S$18:$S$25,$A507),"")</f>
        <v>1.1690355391911331</v>
      </c>
      <c r="H507">
        <f t="shared" si="79"/>
        <v>0.34666666666666668</v>
      </c>
      <c r="I507">
        <f t="shared" si="80"/>
        <v>0.75148709058221841</v>
      </c>
      <c r="J507">
        <f t="shared" si="81"/>
        <v>0.42837255202331948</v>
      </c>
      <c r="K507">
        <f t="shared" si="82"/>
        <v>0.97871333696054186</v>
      </c>
      <c r="L507">
        <f t="shared" si="83"/>
        <v>7.591953982031896E-2</v>
      </c>
      <c r="M507">
        <f t="shared" si="84"/>
        <v>0.19067361518844672</v>
      </c>
      <c r="N507">
        <f t="shared" si="85"/>
        <v>10.992098212441796</v>
      </c>
      <c r="O507">
        <f t="shared" si="86"/>
        <v>4.4355948809468595</v>
      </c>
      <c r="P507" t="str" cm="1">
        <f t="array" ref="P507">IF($N507="","",IFERROR(IF(INDEX(geo_grid!$B$2:$JU$231,INT(($N507+40)/0.5)+1,INT(($O507+30)/0.5)+1)="","",INDEX(geo_grid!$B$2:$JU$231,INT(($N507+40)/0.5)+1,INT(($O507+30)/0.5)+1)),"OUTSIDE GRID"))</f>
        <v>NGA</v>
      </c>
      <c r="Q507">
        <f t="shared" si="87"/>
        <v>4052</v>
      </c>
    </row>
    <row r="508" spans="1:17" x14ac:dyDescent="0.3">
      <c r="A508">
        <f t="shared" si="77"/>
        <v>4</v>
      </c>
      <c r="B508">
        <f t="shared" si="78"/>
        <v>53</v>
      </c>
      <c r="C508" cm="1">
        <f t="array" ref="C508">IFERROR(INDEX('TRIP MANAGER'!$O$18:$O$25,$A508),"")</f>
        <v>30.322479999999999</v>
      </c>
      <c r="D508" cm="1">
        <f t="array" ref="D508">IFERROR(INDEX('TRIP MANAGER'!$P$18:$P$25,$A508),"")</f>
        <v>-9.4120000000000008</v>
      </c>
      <c r="E508" cm="1">
        <f t="array" ref="E508">IFERROR(INDEX('TRIP MANAGER'!$Q$18:$Q$25,$A508),"")</f>
        <v>-26.140080000000001</v>
      </c>
      <c r="F508" cm="1">
        <f t="array" ref="F508">IFERROR(INDEX('TRIP MANAGER'!$R$18:$R$25,$A508),"")</f>
        <v>28.2468</v>
      </c>
      <c r="G508" cm="1">
        <f t="array" ref="G508">IFERROR(INDEX('TRIP MANAGER'!$S$18:$S$25,$A508),"")</f>
        <v>1.1690355391911331</v>
      </c>
      <c r="H508">
        <f t="shared" si="79"/>
        <v>0.35333333333333333</v>
      </c>
      <c r="I508">
        <f t="shared" si="80"/>
        <v>0.7453485772256615</v>
      </c>
      <c r="J508">
        <f t="shared" si="81"/>
        <v>0.43614138059882396</v>
      </c>
      <c r="K508">
        <f t="shared" si="82"/>
        <v>0.97962963822893001</v>
      </c>
      <c r="L508">
        <f t="shared" si="83"/>
        <v>8.0086755011550201E-2</v>
      </c>
      <c r="M508">
        <f t="shared" si="84"/>
        <v>0.18415179492792227</v>
      </c>
      <c r="N508">
        <f t="shared" si="85"/>
        <v>10.611684219651067</v>
      </c>
      <c r="O508">
        <f t="shared" si="86"/>
        <v>4.673655346192267</v>
      </c>
      <c r="P508" t="str" cm="1">
        <f t="array" ref="P508">IF($N508="","",IFERROR(IF(INDEX(geo_grid!$B$2:$JU$231,INT(($N508+40)/0.5)+1,INT(($O508+30)/0.5)+1)="","",INDEX(geo_grid!$B$2:$JU$231,INT(($N508+40)/0.5)+1,INT(($O508+30)/0.5)+1)),"OUTSIDE GRID"))</f>
        <v>NGA</v>
      </c>
      <c r="Q508">
        <f t="shared" si="87"/>
        <v>4053</v>
      </c>
    </row>
    <row r="509" spans="1:17" x14ac:dyDescent="0.3">
      <c r="A509">
        <f t="shared" si="77"/>
        <v>4</v>
      </c>
      <c r="B509">
        <f t="shared" si="78"/>
        <v>54</v>
      </c>
      <c r="C509" cm="1">
        <f t="array" ref="C509">IFERROR(INDEX('TRIP MANAGER'!$O$18:$O$25,$A509),"")</f>
        <v>30.322479999999999</v>
      </c>
      <c r="D509" cm="1">
        <f t="array" ref="D509">IFERROR(INDEX('TRIP MANAGER'!$P$18:$P$25,$A509),"")</f>
        <v>-9.4120000000000008</v>
      </c>
      <c r="E509" cm="1">
        <f t="array" ref="E509">IFERROR(INDEX('TRIP MANAGER'!$Q$18:$Q$25,$A509),"")</f>
        <v>-26.140080000000001</v>
      </c>
      <c r="F509" cm="1">
        <f t="array" ref="F509">IFERROR(INDEX('TRIP MANAGER'!$R$18:$R$25,$A509),"")</f>
        <v>28.2468</v>
      </c>
      <c r="G509" cm="1">
        <f t="array" ref="G509">IFERROR(INDEX('TRIP MANAGER'!$S$18:$S$25,$A509),"")</f>
        <v>1.1690355391911331</v>
      </c>
      <c r="H509">
        <f t="shared" si="79"/>
        <v>0.36</v>
      </c>
      <c r="I509">
        <f t="shared" si="80"/>
        <v>0.73916479182139116</v>
      </c>
      <c r="J509">
        <f t="shared" si="81"/>
        <v>0.44388371819548234</v>
      </c>
      <c r="K509">
        <f t="shared" si="82"/>
        <v>0.98048643735150554</v>
      </c>
      <c r="L509">
        <f t="shared" si="83"/>
        <v>8.424910577893345E-2</v>
      </c>
      <c r="M509">
        <f t="shared" si="84"/>
        <v>0.17761878939234507</v>
      </c>
      <c r="N509">
        <f t="shared" si="85"/>
        <v>10.231091637735537</v>
      </c>
      <c r="O509">
        <f t="shared" si="86"/>
        <v>4.9111241329997828</v>
      </c>
      <c r="P509" t="str" cm="1">
        <f t="array" ref="P509">IF($N509="","",IFERROR(IF(INDEX(geo_grid!$B$2:$JU$231,INT(($N509+40)/0.5)+1,INT(($O509+30)/0.5)+1)="","",INDEX(geo_grid!$B$2:$JU$231,INT(($N509+40)/0.5)+1,INT(($O509+30)/0.5)+1)),"OUTSIDE GRID"))</f>
        <v>NGA</v>
      </c>
      <c r="Q509">
        <f t="shared" si="87"/>
        <v>4054</v>
      </c>
    </row>
    <row r="510" spans="1:17" x14ac:dyDescent="0.3">
      <c r="A510">
        <f t="shared" si="77"/>
        <v>4</v>
      </c>
      <c r="B510">
        <f t="shared" si="78"/>
        <v>55</v>
      </c>
      <c r="C510" cm="1">
        <f t="array" ref="C510">IFERROR(INDEX('TRIP MANAGER'!$O$18:$O$25,$A510),"")</f>
        <v>30.322479999999999</v>
      </c>
      <c r="D510" cm="1">
        <f t="array" ref="D510">IFERROR(INDEX('TRIP MANAGER'!$P$18:$P$25,$A510),"")</f>
        <v>-9.4120000000000008</v>
      </c>
      <c r="E510" cm="1">
        <f t="array" ref="E510">IFERROR(INDEX('TRIP MANAGER'!$Q$18:$Q$25,$A510),"")</f>
        <v>-26.140080000000001</v>
      </c>
      <c r="F510" cm="1">
        <f t="array" ref="F510">IFERROR(INDEX('TRIP MANAGER'!$R$18:$R$25,$A510),"")</f>
        <v>28.2468</v>
      </c>
      <c r="G510" cm="1">
        <f t="array" ref="G510">IFERROR(INDEX('TRIP MANAGER'!$S$18:$S$25,$A510),"")</f>
        <v>1.1690355391911331</v>
      </c>
      <c r="H510">
        <f t="shared" si="79"/>
        <v>0.36666666666666664</v>
      </c>
      <c r="I510">
        <f t="shared" si="80"/>
        <v>0.73293610996900793</v>
      </c>
      <c r="J510">
        <f t="shared" si="81"/>
        <v>0.45159909454812236</v>
      </c>
      <c r="K510">
        <f t="shared" si="82"/>
        <v>0.98128368228677809</v>
      </c>
      <c r="L510">
        <f t="shared" si="83"/>
        <v>8.8406339303655837E-2</v>
      </c>
      <c r="M510">
        <f t="shared" si="84"/>
        <v>0.17107499539274726</v>
      </c>
      <c r="N510">
        <f t="shared" si="85"/>
        <v>9.8503274325469832</v>
      </c>
      <c r="O510">
        <f t="shared" si="86"/>
        <v>5.1480240580547534</v>
      </c>
      <c r="P510" t="str" cm="1">
        <f t="array" ref="P510">IF($N510="","",IFERROR(IF(INDEX(geo_grid!$B$2:$JU$231,INT(($N510+40)/0.5)+1,INT(($O510+30)/0.5)+1)="","",INDEX(geo_grid!$B$2:$JU$231,INT(($N510+40)/0.5)+1,INT(($O510+30)/0.5)+1)),"OUTSIDE GRID"))</f>
        <v>NGA</v>
      </c>
      <c r="Q510">
        <f t="shared" si="87"/>
        <v>4055</v>
      </c>
    </row>
    <row r="511" spans="1:17" x14ac:dyDescent="0.3">
      <c r="A511">
        <f t="shared" si="77"/>
        <v>4</v>
      </c>
      <c r="B511">
        <f t="shared" si="78"/>
        <v>56</v>
      </c>
      <c r="C511" cm="1">
        <f t="array" ref="C511">IFERROR(INDEX('TRIP MANAGER'!$O$18:$O$25,$A511),"")</f>
        <v>30.322479999999999</v>
      </c>
      <c r="D511" cm="1">
        <f t="array" ref="D511">IFERROR(INDEX('TRIP MANAGER'!$P$18:$P$25,$A511),"")</f>
        <v>-9.4120000000000008</v>
      </c>
      <c r="E511" cm="1">
        <f t="array" ref="E511">IFERROR(INDEX('TRIP MANAGER'!$Q$18:$Q$25,$A511),"")</f>
        <v>-26.140080000000001</v>
      </c>
      <c r="F511" cm="1">
        <f t="array" ref="F511">IFERROR(INDEX('TRIP MANAGER'!$R$18:$R$25,$A511),"")</f>
        <v>28.2468</v>
      </c>
      <c r="G511" cm="1">
        <f t="array" ref="G511">IFERROR(INDEX('TRIP MANAGER'!$S$18:$S$25,$A511),"")</f>
        <v>1.1690355391911331</v>
      </c>
      <c r="H511">
        <f t="shared" si="79"/>
        <v>0.37333333333333335</v>
      </c>
      <c r="I511">
        <f t="shared" si="80"/>
        <v>0.72666290999509708</v>
      </c>
      <c r="J511">
        <f t="shared" si="81"/>
        <v>0.45928704102918227</v>
      </c>
      <c r="K511">
        <f t="shared" si="82"/>
        <v>0.9820213246105447</v>
      </c>
      <c r="L511">
        <f t="shared" si="83"/>
        <v>9.2558203077722709E-2</v>
      </c>
      <c r="M511">
        <f t="shared" si="84"/>
        <v>0.16452081039544633</v>
      </c>
      <c r="N511">
        <f t="shared" si="85"/>
        <v>9.469398509488208</v>
      </c>
      <c r="O511">
        <f t="shared" si="86"/>
        <v>5.3843777687756385</v>
      </c>
      <c r="P511" t="str" cm="1">
        <f t="array" ref="P511">IF($N511="","",IFERROR(IF(INDEX(geo_grid!$B$2:$JU$231,INT(($N511+40)/0.5)+1,INT(($O511+30)/0.5)+1)="","",INDEX(geo_grid!$B$2:$JU$231,INT(($N511+40)/0.5)+1,INT(($O511+30)/0.5)+1)),"OUTSIDE GRID"))</f>
        <v>NGA</v>
      </c>
      <c r="Q511">
        <f t="shared" si="87"/>
        <v>4056</v>
      </c>
    </row>
    <row r="512" spans="1:17" x14ac:dyDescent="0.3">
      <c r="A512">
        <f t="shared" si="77"/>
        <v>4</v>
      </c>
      <c r="B512">
        <f t="shared" si="78"/>
        <v>57</v>
      </c>
      <c r="C512" cm="1">
        <f t="array" ref="C512">IFERROR(INDEX('TRIP MANAGER'!$O$18:$O$25,$A512),"")</f>
        <v>30.322479999999999</v>
      </c>
      <c r="D512" cm="1">
        <f t="array" ref="D512">IFERROR(INDEX('TRIP MANAGER'!$P$18:$P$25,$A512),"")</f>
        <v>-9.4120000000000008</v>
      </c>
      <c r="E512" cm="1">
        <f t="array" ref="E512">IFERROR(INDEX('TRIP MANAGER'!$Q$18:$Q$25,$A512),"")</f>
        <v>-26.140080000000001</v>
      </c>
      <c r="F512" cm="1">
        <f t="array" ref="F512">IFERROR(INDEX('TRIP MANAGER'!$R$18:$R$25,$A512),"")</f>
        <v>28.2468</v>
      </c>
      <c r="G512" cm="1">
        <f t="array" ref="G512">IFERROR(INDEX('TRIP MANAGER'!$S$18:$S$25,$A512),"")</f>
        <v>1.1690355391911331</v>
      </c>
      <c r="H512">
        <f t="shared" si="79"/>
        <v>0.38</v>
      </c>
      <c r="I512">
        <f t="shared" si="80"/>
        <v>0.72034557293024915</v>
      </c>
      <c r="J512">
        <f t="shared" si="81"/>
        <v>0.4669470906771751</v>
      </c>
      <c r="K512">
        <f t="shared" si="82"/>
        <v>0.98269931951883105</v>
      </c>
      <c r="L512">
        <f t="shared" si="83"/>
        <v>9.6704444919295141E-2</v>
      </c>
      <c r="M512">
        <f t="shared" si="84"/>
        <v>0.15795663249790293</v>
      </c>
      <c r="N512">
        <f t="shared" si="85"/>
        <v>9.0883117160763653</v>
      </c>
      <c r="O512">
        <f t="shared" si="86"/>
        <v>5.6202077502199685</v>
      </c>
      <c r="P512" t="str" cm="1">
        <f t="array" ref="P512">IF($N512="","",IFERROR(IF(INDEX(geo_grid!$B$2:$JU$231,INT(($N512+40)/0.5)+1,INT(($O512+30)/0.5)+1)="","",INDEX(geo_grid!$B$2:$JU$231,INT(($N512+40)/0.5)+1,INT(($O512+30)/0.5)+1)),"OUTSIDE GRID"))</f>
        <v>NGA</v>
      </c>
      <c r="Q512">
        <f t="shared" si="87"/>
        <v>4057</v>
      </c>
    </row>
    <row r="513" spans="1:17" x14ac:dyDescent="0.3">
      <c r="A513">
        <f t="shared" si="77"/>
        <v>4</v>
      </c>
      <c r="B513">
        <f t="shared" si="78"/>
        <v>58</v>
      </c>
      <c r="C513" cm="1">
        <f t="array" ref="C513">IFERROR(INDEX('TRIP MANAGER'!$O$18:$O$25,$A513),"")</f>
        <v>30.322479999999999</v>
      </c>
      <c r="D513" cm="1">
        <f t="array" ref="D513">IFERROR(INDEX('TRIP MANAGER'!$P$18:$P$25,$A513),"")</f>
        <v>-9.4120000000000008</v>
      </c>
      <c r="E513" cm="1">
        <f t="array" ref="E513">IFERROR(INDEX('TRIP MANAGER'!$Q$18:$Q$25,$A513),"")</f>
        <v>-26.140080000000001</v>
      </c>
      <c r="F513" cm="1">
        <f t="array" ref="F513">IFERROR(INDEX('TRIP MANAGER'!$R$18:$R$25,$A513),"")</f>
        <v>28.2468</v>
      </c>
      <c r="G513" cm="1">
        <f t="array" ref="G513">IFERROR(INDEX('TRIP MANAGER'!$S$18:$S$25,$A513),"")</f>
        <v>1.1690355391911331</v>
      </c>
      <c r="H513">
        <f t="shared" si="79"/>
        <v>0.38666666666666666</v>
      </c>
      <c r="I513">
        <f t="shared" si="80"/>
        <v>0.71398448248591628</v>
      </c>
      <c r="J513">
        <f t="shared" si="81"/>
        <v>0.47457877822505168</v>
      </c>
      <c r="K513">
        <f t="shared" si="82"/>
        <v>0.98331762583061288</v>
      </c>
      <c r="L513">
        <f t="shared" si="83"/>
        <v>0.10084481298800707</v>
      </c>
      <c r="M513">
        <f t="shared" si="84"/>
        <v>0.15138286040454083</v>
      </c>
      <c r="N513">
        <f t="shared" si="85"/>
        <v>8.7070738444704077</v>
      </c>
      <c r="O513">
        <f t="shared" si="86"/>
        <v>5.8555363319239468</v>
      </c>
      <c r="P513" t="str" cm="1">
        <f t="array" ref="P513">IF($N513="","",IFERROR(IF(INDEX(geo_grid!$B$2:$JU$231,INT(($N513+40)/0.5)+1,INT(($O513+30)/0.5)+1)="","",INDEX(geo_grid!$B$2:$JU$231,INT(($N513+40)/0.5)+1,INT(($O513+30)/0.5)+1)),"OUTSIDE GRID"))</f>
        <v>NGA</v>
      </c>
      <c r="Q513">
        <f t="shared" si="87"/>
        <v>4058</v>
      </c>
    </row>
    <row r="514" spans="1:17" x14ac:dyDescent="0.3">
      <c r="A514">
        <f t="shared" si="77"/>
        <v>4</v>
      </c>
      <c r="B514">
        <f t="shared" si="78"/>
        <v>59</v>
      </c>
      <c r="C514" cm="1">
        <f t="array" ref="C514">IFERROR(INDEX('TRIP MANAGER'!$O$18:$O$25,$A514),"")</f>
        <v>30.322479999999999</v>
      </c>
      <c r="D514" cm="1">
        <f t="array" ref="D514">IFERROR(INDEX('TRIP MANAGER'!$P$18:$P$25,$A514),"")</f>
        <v>-9.4120000000000008</v>
      </c>
      <c r="E514" cm="1">
        <f t="array" ref="E514">IFERROR(INDEX('TRIP MANAGER'!$Q$18:$Q$25,$A514),"")</f>
        <v>-26.140080000000001</v>
      </c>
      <c r="F514" cm="1">
        <f t="array" ref="F514">IFERROR(INDEX('TRIP MANAGER'!$R$18:$R$25,$A514),"")</f>
        <v>28.2468</v>
      </c>
      <c r="G514" cm="1">
        <f t="array" ref="G514">IFERROR(INDEX('TRIP MANAGER'!$S$18:$S$25,$A514),"")</f>
        <v>1.1690355391911331</v>
      </c>
      <c r="H514">
        <f t="shared" si="79"/>
        <v>0.39333333333333331</v>
      </c>
      <c r="I514">
        <f t="shared" si="80"/>
        <v>0.70758002503110617</v>
      </c>
      <c r="J514">
        <f t="shared" si="81"/>
        <v>0.4821816401284606</v>
      </c>
      <c r="K514">
        <f t="shared" si="82"/>
        <v>0.98387620599031722</v>
      </c>
      <c r="L514">
        <f t="shared" si="83"/>
        <v>0.10497905580026221</v>
      </c>
      <c r="M514">
        <f t="shared" si="84"/>
        <v>0.14479989340252977</v>
      </c>
      <c r="N514">
        <f t="shared" si="85"/>
        <v>8.3256916339641247</v>
      </c>
      <c r="O514">
        <f t="shared" si="86"/>
        <v>6.0903856946782753</v>
      </c>
      <c r="P514" t="str" cm="1">
        <f t="array" ref="P514">IF($N514="","",IFERROR(IF(INDEX(geo_grid!$B$2:$JU$231,INT(($N514+40)/0.5)+1,INT(($O514+30)/0.5)+1)="","",INDEX(geo_grid!$B$2:$JU$231,INT(($N514+40)/0.5)+1,INT(($O514+30)/0.5)+1)),"OUTSIDE GRID"))</f>
        <v>NGA</v>
      </c>
      <c r="Q514">
        <f t="shared" si="87"/>
        <v>4059</v>
      </c>
    </row>
    <row r="515" spans="1:17" x14ac:dyDescent="0.3">
      <c r="A515">
        <f t="shared" ref="A515:A578" si="88">INT((ROW()-2)/151)+1</f>
        <v>4</v>
      </c>
      <c r="B515">
        <f t="shared" ref="B515:B578" si="89">MOD(ROW()-2,151)</f>
        <v>60</v>
      </c>
      <c r="C515" cm="1">
        <f t="array" ref="C515">IFERROR(INDEX('TRIP MANAGER'!$O$18:$O$25,$A515),"")</f>
        <v>30.322479999999999</v>
      </c>
      <c r="D515" cm="1">
        <f t="array" ref="D515">IFERROR(INDEX('TRIP MANAGER'!$P$18:$P$25,$A515),"")</f>
        <v>-9.4120000000000008</v>
      </c>
      <c r="E515" cm="1">
        <f t="array" ref="E515">IFERROR(INDEX('TRIP MANAGER'!$Q$18:$Q$25,$A515),"")</f>
        <v>-26.140080000000001</v>
      </c>
      <c r="F515" cm="1">
        <f t="array" ref="F515">IFERROR(INDEX('TRIP MANAGER'!$R$18:$R$25,$A515),"")</f>
        <v>28.2468</v>
      </c>
      <c r="G515" cm="1">
        <f t="array" ref="G515">IFERROR(INDEX('TRIP MANAGER'!$S$18:$S$25,$A515),"")</f>
        <v>1.1690355391911331</v>
      </c>
      <c r="H515">
        <f t="shared" ref="H515:H578" si="90">$B515/150</f>
        <v>0.4</v>
      </c>
      <c r="I515">
        <f t="shared" ref="I515:I578" si="91">IF(OR($G515="",$G515=0),"",SIN((1-$H515)*$G515)/SIN($G515))</f>
        <v>0.70113258956891389</v>
      </c>
      <c r="J515">
        <f t="shared" ref="J515:J578" si="92">IF($I515="","",SIN($H515*$G515)/SIN($G515))</f>
        <v>0.48975521459390375</v>
      </c>
      <c r="K515">
        <f t="shared" ref="K515:K578" si="93">IF($I515="","",$I515*COS(RADIANS($C515))*COS(RADIANS($D515))+$J515*COS(RADIANS($E515))*COS(RADIANS($F515)))</f>
        <v>0.98437502607010396</v>
      </c>
      <c r="L515">
        <f t="shared" ref="L515:L578" si="94">IF($I515="","",$I515*COS(RADIANS($C515))*SIN(RADIANS($D515))+$J515*COS(RADIANS($E515))*SIN(RADIANS($F515)))</f>
        <v>0.10910692224450877</v>
      </c>
      <c r="M515">
        <f t="shared" ref="M515:M578" si="95">IF($I515="","",$I515*SIN(RADIANS($C515))+$J515*SIN(RADIANS($E515)))</f>
        <v>0.1382081313375329</v>
      </c>
      <c r="N515">
        <f t="shared" ref="N515:N578" si="96">IF($M515="","",DEGREES(ATAN2(SQRT($K515^2+$L515^2),$M515)))</f>
        <v>7.9441717734464463</v>
      </c>
      <c r="O515">
        <f t="shared" ref="O515:O578" si="97">IF($M515="","",DEGREES(ATAN2($K515,$L515)))</f>
        <v>6.3247778772426342</v>
      </c>
      <c r="P515" t="str" cm="1">
        <f t="array" ref="P515">IF($N515="","",IFERROR(IF(INDEX(geo_grid!$B$2:$JU$231,INT(($N515+40)/0.5)+1,INT(($O515+30)/0.5)+1)="","",INDEX(geo_grid!$B$2:$JU$231,INT(($N515+40)/0.5)+1,INT(($O515+30)/0.5)+1)),"OUTSIDE GRID"))</f>
        <v>NGA</v>
      </c>
      <c r="Q515">
        <f t="shared" ref="Q515:Q578" si="98">IF($P515="","",$A515*1000+$B515)</f>
        <v>4060</v>
      </c>
    </row>
    <row r="516" spans="1:17" x14ac:dyDescent="0.3">
      <c r="A516">
        <f t="shared" si="88"/>
        <v>4</v>
      </c>
      <c r="B516">
        <f t="shared" si="89"/>
        <v>61</v>
      </c>
      <c r="C516" cm="1">
        <f t="array" ref="C516">IFERROR(INDEX('TRIP MANAGER'!$O$18:$O$25,$A516),"")</f>
        <v>30.322479999999999</v>
      </c>
      <c r="D516" cm="1">
        <f t="array" ref="D516">IFERROR(INDEX('TRIP MANAGER'!$P$18:$P$25,$A516),"")</f>
        <v>-9.4120000000000008</v>
      </c>
      <c r="E516" cm="1">
        <f t="array" ref="E516">IFERROR(INDEX('TRIP MANAGER'!$Q$18:$Q$25,$A516),"")</f>
        <v>-26.140080000000001</v>
      </c>
      <c r="F516" cm="1">
        <f t="array" ref="F516">IFERROR(INDEX('TRIP MANAGER'!$R$18:$R$25,$A516),"")</f>
        <v>28.2468</v>
      </c>
      <c r="G516" cm="1">
        <f t="array" ref="G516">IFERROR(INDEX('TRIP MANAGER'!$S$18:$S$25,$A516),"")</f>
        <v>1.1690355391911331</v>
      </c>
      <c r="H516">
        <f t="shared" si="90"/>
        <v>0.40666666666666668</v>
      </c>
      <c r="I516">
        <f t="shared" si="91"/>
        <v>0.69464256771289434</v>
      </c>
      <c r="J516">
        <f t="shared" si="92"/>
        <v>0.49729904160678506</v>
      </c>
      <c r="K516">
        <f t="shared" si="93"/>
        <v>0.98481405577192538</v>
      </c>
      <c r="L516">
        <f t="shared" si="94"/>
        <v>0.11322816159649177</v>
      </c>
      <c r="M516">
        <f t="shared" si="95"/>
        <v>0.13160797458942078</v>
      </c>
      <c r="N516">
        <f t="shared" si="96"/>
        <v>7.5625209038305528</v>
      </c>
      <c r="O516">
        <f t="shared" si="97"/>
        <v>6.5587347830014204</v>
      </c>
      <c r="P516" t="str" cm="1">
        <f t="array" ref="P516">IF($N516="","",IFERROR(IF(INDEX(geo_grid!$B$2:$JU$231,INT(($N516+40)/0.5)+1,INT(($O516+30)/0.5)+1)="","",INDEX(geo_grid!$B$2:$JU$231,INT(($N516+40)/0.5)+1,INT(($O516+30)/0.5)+1)),"OUTSIDE GRID"))</f>
        <v>NGA</v>
      </c>
      <c r="Q516">
        <f t="shared" si="98"/>
        <v>4061</v>
      </c>
    </row>
    <row r="517" spans="1:17" x14ac:dyDescent="0.3">
      <c r="A517">
        <f t="shared" si="88"/>
        <v>4</v>
      </c>
      <c r="B517">
        <f t="shared" si="89"/>
        <v>62</v>
      </c>
      <c r="C517" cm="1">
        <f t="array" ref="C517">IFERROR(INDEX('TRIP MANAGER'!$O$18:$O$25,$A517),"")</f>
        <v>30.322479999999999</v>
      </c>
      <c r="D517" cm="1">
        <f t="array" ref="D517">IFERROR(INDEX('TRIP MANAGER'!$P$18:$P$25,$A517),"")</f>
        <v>-9.4120000000000008</v>
      </c>
      <c r="E517" cm="1">
        <f t="array" ref="E517">IFERROR(INDEX('TRIP MANAGER'!$Q$18:$Q$25,$A517),"")</f>
        <v>-26.140080000000001</v>
      </c>
      <c r="F517" cm="1">
        <f t="array" ref="F517">IFERROR(INDEX('TRIP MANAGER'!$R$18:$R$25,$A517),"")</f>
        <v>28.2468</v>
      </c>
      <c r="G517" cm="1">
        <f t="array" ref="G517">IFERROR(INDEX('TRIP MANAGER'!$S$18:$S$25,$A517),"")</f>
        <v>1.1690355391911331</v>
      </c>
      <c r="H517">
        <f t="shared" si="90"/>
        <v>0.41333333333333333</v>
      </c>
      <c r="I517">
        <f t="shared" si="91"/>
        <v>0.68811035366327555</v>
      </c>
      <c r="J517">
        <f t="shared" si="92"/>
        <v>0.50481266295935201</v>
      </c>
      <c r="K517">
        <f t="shared" si="93"/>
        <v>0.98519326842936783</v>
      </c>
      <c r="L517">
        <f t="shared" si="94"/>
        <v>0.11734252353448227</v>
      </c>
      <c r="M517">
        <f t="shared" si="95"/>
        <v>0.12499982404795193</v>
      </c>
      <c r="N517">
        <f t="shared" si="96"/>
        <v>7.1807456204532558</v>
      </c>
      <c r="O517">
        <f t="shared" si="97"/>
        <v>6.7922781865632711</v>
      </c>
      <c r="P517" t="str" cm="1">
        <f t="array" ref="P517">IF($N517="","",IFERROR(IF(INDEX(geo_grid!$B$2:$JU$231,INT(($N517+40)/0.5)+1,INT(($O517+30)/0.5)+1)="","",INDEX(geo_grid!$B$2:$JU$231,INT(($N517+40)/0.5)+1,INT(($O517+30)/0.5)+1)),"OUTSIDE GRID"))</f>
        <v>NGA</v>
      </c>
      <c r="Q517">
        <f t="shared" si="98"/>
        <v>4062</v>
      </c>
    </row>
    <row r="518" spans="1:17" x14ac:dyDescent="0.3">
      <c r="A518">
        <f t="shared" si="88"/>
        <v>4</v>
      </c>
      <c r="B518">
        <f t="shared" si="89"/>
        <v>63</v>
      </c>
      <c r="C518" cm="1">
        <f t="array" ref="C518">IFERROR(INDEX('TRIP MANAGER'!$O$18:$O$25,$A518),"")</f>
        <v>30.322479999999999</v>
      </c>
      <c r="D518" cm="1">
        <f t="array" ref="D518">IFERROR(INDEX('TRIP MANAGER'!$P$18:$P$25,$A518),"")</f>
        <v>-9.4120000000000008</v>
      </c>
      <c r="E518" cm="1">
        <f t="array" ref="E518">IFERROR(INDEX('TRIP MANAGER'!$Q$18:$Q$25,$A518),"")</f>
        <v>-26.140080000000001</v>
      </c>
      <c r="F518" cm="1">
        <f t="array" ref="F518">IFERROR(INDEX('TRIP MANAGER'!$R$18:$R$25,$A518),"")</f>
        <v>28.2468</v>
      </c>
      <c r="G518" cm="1">
        <f t="array" ref="G518">IFERROR(INDEX('TRIP MANAGER'!$S$18:$S$25,$A518),"")</f>
        <v>1.1690355391911331</v>
      </c>
      <c r="H518">
        <f t="shared" si="90"/>
        <v>0.42</v>
      </c>
      <c r="I518">
        <f t="shared" si="91"/>
        <v>0.68153634418301523</v>
      </c>
      <c r="J518">
        <f t="shared" si="92"/>
        <v>0.51229562227852665</v>
      </c>
      <c r="K518">
        <f t="shared" si="93"/>
        <v>0.9855126410092705</v>
      </c>
      <c r="L518">
        <f t="shared" si="94"/>
        <v>0.12144975815448147</v>
      </c>
      <c r="M518">
        <f t="shared" si="95"/>
        <v>0.11838408108842344</v>
      </c>
      <c r="N518">
        <f t="shared" si="96"/>
        <v>6.798852475446278</v>
      </c>
      <c r="O518">
        <f t="shared" si="97"/>
        <v>7.02542974030687</v>
      </c>
      <c r="P518" t="str" cm="1">
        <f t="array" ref="P518">IF($N518="","",IFERROR(IF(INDEX(geo_grid!$B$2:$JU$231,INT(($N518+40)/0.5)+1,INT(($O518+30)/0.5)+1)="","",INDEX(geo_grid!$B$2:$JU$231,INT(($N518+40)/0.5)+1,INT(($O518+30)/0.5)+1)),"OUTSIDE GRID"))</f>
        <v>NGA</v>
      </c>
      <c r="Q518">
        <f t="shared" si="98"/>
        <v>4063</v>
      </c>
    </row>
    <row r="519" spans="1:17" x14ac:dyDescent="0.3">
      <c r="A519">
        <f t="shared" si="88"/>
        <v>4</v>
      </c>
      <c r="B519">
        <f t="shared" si="89"/>
        <v>64</v>
      </c>
      <c r="C519" cm="1">
        <f t="array" ref="C519">IFERROR(INDEX('TRIP MANAGER'!$O$18:$O$25,$A519),"")</f>
        <v>30.322479999999999</v>
      </c>
      <c r="D519" cm="1">
        <f t="array" ref="D519">IFERROR(INDEX('TRIP MANAGER'!$P$18:$P$25,$A519),"")</f>
        <v>-9.4120000000000008</v>
      </c>
      <c r="E519" cm="1">
        <f t="array" ref="E519">IFERROR(INDEX('TRIP MANAGER'!$Q$18:$Q$25,$A519),"")</f>
        <v>-26.140080000000001</v>
      </c>
      <c r="F519" cm="1">
        <f t="array" ref="F519">IFERROR(INDEX('TRIP MANAGER'!$R$18:$R$25,$A519),"")</f>
        <v>28.2468</v>
      </c>
      <c r="G519" cm="1">
        <f t="array" ref="G519">IFERROR(INDEX('TRIP MANAGER'!$S$18:$S$25,$A519),"")</f>
        <v>1.1690355391911331</v>
      </c>
      <c r="H519">
        <f t="shared" si="90"/>
        <v>0.42666666666666669</v>
      </c>
      <c r="I519">
        <f t="shared" si="91"/>
        <v>0.67492093857370183</v>
      </c>
      <c r="J519">
        <f t="shared" si="92"/>
        <v>0.51974746505362546</v>
      </c>
      <c r="K519">
        <f t="shared" si="93"/>
        <v>0.98577215411312502</v>
      </c>
      <c r="L519">
        <f t="shared" si="94"/>
        <v>0.12554961598539988</v>
      </c>
      <c r="M519">
        <f t="shared" si="95"/>
        <v>0.11176114754729133</v>
      </c>
      <c r="N519">
        <f t="shared" si="96"/>
        <v>6.4168479800808322</v>
      </c>
      <c r="O519">
        <f t="shared" si="97"/>
        <v>7.2582109808756732</v>
      </c>
      <c r="P519" t="str" cm="1">
        <f t="array" ref="P519">IF($N519="","",IFERROR(IF(INDEX(geo_grid!$B$2:$JU$231,INT(($N519+40)/0.5)+1,INT(($O519+30)/0.5)+1)="","",INDEX(geo_grid!$B$2:$JU$231,INT(($N519+40)/0.5)+1,INT(($O519+30)/0.5)+1)),"OUTSIDE GRID"))</f>
        <v>NGA</v>
      </c>
      <c r="Q519">
        <f t="shared" si="98"/>
        <v>4064</v>
      </c>
    </row>
    <row r="520" spans="1:17" x14ac:dyDescent="0.3">
      <c r="A520">
        <f t="shared" si="88"/>
        <v>4</v>
      </c>
      <c r="B520">
        <f t="shared" si="89"/>
        <v>65</v>
      </c>
      <c r="C520" cm="1">
        <f t="array" ref="C520">IFERROR(INDEX('TRIP MANAGER'!$O$18:$O$25,$A520),"")</f>
        <v>30.322479999999999</v>
      </c>
      <c r="D520" cm="1">
        <f t="array" ref="D520">IFERROR(INDEX('TRIP MANAGER'!$P$18:$P$25,$A520),"")</f>
        <v>-9.4120000000000008</v>
      </c>
      <c r="E520" cm="1">
        <f t="array" ref="E520">IFERROR(INDEX('TRIP MANAGER'!$Q$18:$Q$25,$A520),"")</f>
        <v>-26.140080000000001</v>
      </c>
      <c r="F520" cm="1">
        <f t="array" ref="F520">IFERROR(INDEX('TRIP MANAGER'!$R$18:$R$25,$A520),"")</f>
        <v>28.2468</v>
      </c>
      <c r="G520" cm="1">
        <f t="array" ref="G520">IFERROR(INDEX('TRIP MANAGER'!$S$18:$S$25,$A520),"")</f>
        <v>1.1690355391911331</v>
      </c>
      <c r="H520">
        <f t="shared" si="90"/>
        <v>0.43333333333333335</v>
      </c>
      <c r="I520">
        <f t="shared" si="91"/>
        <v>0.66826453865130142</v>
      </c>
      <c r="J520">
        <f t="shared" si="92"/>
        <v>0.52716773866396593</v>
      </c>
      <c r="K520">
        <f t="shared" si="93"/>
        <v>0.9859717919782538</v>
      </c>
      <c r="L520">
        <f t="shared" si="94"/>
        <v>0.12964184800420964</v>
      </c>
      <c r="M520">
        <f t="shared" si="95"/>
        <v>0.10513142569776399</v>
      </c>
      <c r="N520">
        <f t="shared" si="96"/>
        <v>6.034738607087049</v>
      </c>
      <c r="O520">
        <f t="shared" si="97"/>
        <v>7.4906433356240285</v>
      </c>
      <c r="P520" t="str" cm="1">
        <f t="array" ref="P520">IF($N520="","",IFERROR(IF(INDEX(geo_grid!$B$2:$JU$231,INT(($N520+40)/0.5)+1,INT(($O520+30)/0.5)+1)="","",INDEX(geo_grid!$B$2:$JU$231,INT(($N520+40)/0.5)+1,INT(($O520+30)/0.5)+1)),"OUTSIDE GRID"))</f>
        <v>NGA</v>
      </c>
      <c r="Q520">
        <f t="shared" si="98"/>
        <v>4065</v>
      </c>
    </row>
    <row r="521" spans="1:17" x14ac:dyDescent="0.3">
      <c r="A521">
        <f t="shared" si="88"/>
        <v>4</v>
      </c>
      <c r="B521">
        <f t="shared" si="89"/>
        <v>66</v>
      </c>
      <c r="C521" cm="1">
        <f t="array" ref="C521">IFERROR(INDEX('TRIP MANAGER'!$O$18:$O$25,$A521),"")</f>
        <v>30.322479999999999</v>
      </c>
      <c r="D521" cm="1">
        <f t="array" ref="D521">IFERROR(INDEX('TRIP MANAGER'!$P$18:$P$25,$A521),"")</f>
        <v>-9.4120000000000008</v>
      </c>
      <c r="E521" cm="1">
        <f t="array" ref="E521">IFERROR(INDEX('TRIP MANAGER'!$Q$18:$Q$25,$A521),"")</f>
        <v>-26.140080000000001</v>
      </c>
      <c r="F521" cm="1">
        <f t="array" ref="F521">IFERROR(INDEX('TRIP MANAGER'!$R$18:$R$25,$A521),"")</f>
        <v>28.2468</v>
      </c>
      <c r="G521" cm="1">
        <f t="array" ref="G521">IFERROR(INDEX('TRIP MANAGER'!$S$18:$S$25,$A521),"")</f>
        <v>1.1690355391911331</v>
      </c>
      <c r="H521">
        <f t="shared" si="90"/>
        <v>0.44</v>
      </c>
      <c r="I521">
        <f t="shared" si="91"/>
        <v>0.66156754872175083</v>
      </c>
      <c r="J521">
        <f t="shared" si="92"/>
        <v>0.53455599240635865</v>
      </c>
      <c r="K521">
        <f t="shared" si="93"/>
        <v>0.98611154247876609</v>
      </c>
      <c r="L521">
        <f t="shared" si="94"/>
        <v>0.13372620565107071</v>
      </c>
      <c r="M521">
        <f t="shared" si="95"/>
        <v>9.8495318225367362E-2</v>
      </c>
      <c r="N521">
        <f t="shared" si="96"/>
        <v>5.6525307929495927</v>
      </c>
      <c r="O521">
        <f t="shared" si="97"/>
        <v>7.7227481290174094</v>
      </c>
      <c r="P521" t="str" cm="1">
        <f t="array" ref="P521">IF($N521="","",IFERROR(IF(INDEX(geo_grid!$B$2:$JU$231,INT(($N521+40)/0.5)+1,INT(($O521+30)/0.5)+1)="","",INDEX(geo_grid!$B$2:$JU$231,INT(($N521+40)/0.5)+1,INT(($O521+30)/0.5)+1)),"OUTSIDE GRID"))</f>
        <v>NGA</v>
      </c>
      <c r="Q521">
        <f t="shared" si="98"/>
        <v>4066</v>
      </c>
    </row>
    <row r="522" spans="1:17" x14ac:dyDescent="0.3">
      <c r="A522">
        <f t="shared" si="88"/>
        <v>4</v>
      </c>
      <c r="B522">
        <f t="shared" si="89"/>
        <v>67</v>
      </c>
      <c r="C522" cm="1">
        <f t="array" ref="C522">IFERROR(INDEX('TRIP MANAGER'!$O$18:$O$25,$A522),"")</f>
        <v>30.322479999999999</v>
      </c>
      <c r="D522" cm="1">
        <f t="array" ref="D522">IFERROR(INDEX('TRIP MANAGER'!$P$18:$P$25,$A522),"")</f>
        <v>-9.4120000000000008</v>
      </c>
      <c r="E522" cm="1">
        <f t="array" ref="E522">IFERROR(INDEX('TRIP MANAGER'!$Q$18:$Q$25,$A522),"")</f>
        <v>-26.140080000000001</v>
      </c>
      <c r="F522" cm="1">
        <f t="array" ref="F522">IFERROR(INDEX('TRIP MANAGER'!$R$18:$R$25,$A522),"")</f>
        <v>28.2468</v>
      </c>
      <c r="G522" cm="1">
        <f t="array" ref="G522">IFERROR(INDEX('TRIP MANAGER'!$S$18:$S$25,$A522),"")</f>
        <v>1.1690355391911331</v>
      </c>
      <c r="H522">
        <f t="shared" si="90"/>
        <v>0.44666666666666666</v>
      </c>
      <c r="I522">
        <f t="shared" si="91"/>
        <v>0.65483037555640078</v>
      </c>
      <c r="J522">
        <f t="shared" si="92"/>
        <v>0.54191177752248265</v>
      </c>
      <c r="K522">
        <f t="shared" si="93"/>
        <v>0.98619139712629633</v>
      </c>
      <c r="L522">
        <f t="shared" si="94"/>
        <v>0.13780244084442772</v>
      </c>
      <c r="M522">
        <f t="shared" si="95"/>
        <v>9.1853228203486514E-2</v>
      </c>
      <c r="N522">
        <f t="shared" si="96"/>
        <v>5.270230940181011</v>
      </c>
      <c r="O522">
        <f t="shared" si="97"/>
        <v>7.9545465889891345</v>
      </c>
      <c r="P522" t="str" cm="1">
        <f t="array" ref="P522">IF($N522="","",IFERROR(IF(INDEX(geo_grid!$B$2:$JU$231,INT(($N522+40)/0.5)+1,INT(($O522+30)/0.5)+1)="","",INDEX(geo_grid!$B$2:$JU$231,INT(($N522+40)/0.5)+1,INT(($O522+30)/0.5)+1)),"OUTSIDE GRID"))</f>
        <v>NGA</v>
      </c>
      <c r="Q522">
        <f t="shared" si="98"/>
        <v>4067</v>
      </c>
    </row>
    <row r="523" spans="1:17" x14ac:dyDescent="0.3">
      <c r="A523">
        <f t="shared" si="88"/>
        <v>4</v>
      </c>
      <c r="B523">
        <f t="shared" si="89"/>
        <v>68</v>
      </c>
      <c r="C523" cm="1">
        <f t="array" ref="C523">IFERROR(INDEX('TRIP MANAGER'!$O$18:$O$25,$A523),"")</f>
        <v>30.322479999999999</v>
      </c>
      <c r="D523" cm="1">
        <f t="array" ref="D523">IFERROR(INDEX('TRIP MANAGER'!$P$18:$P$25,$A523),"")</f>
        <v>-9.4120000000000008</v>
      </c>
      <c r="E523" cm="1">
        <f t="array" ref="E523">IFERROR(INDEX('TRIP MANAGER'!$Q$18:$Q$25,$A523),"")</f>
        <v>-26.140080000000001</v>
      </c>
      <c r="F523" cm="1">
        <f t="array" ref="F523">IFERROR(INDEX('TRIP MANAGER'!$R$18:$R$25,$A523),"")</f>
        <v>28.2468</v>
      </c>
      <c r="G523" cm="1">
        <f t="array" ref="G523">IFERROR(INDEX('TRIP MANAGER'!$S$18:$S$25,$A523),"")</f>
        <v>1.1690355391911331</v>
      </c>
      <c r="H523">
        <f t="shared" si="90"/>
        <v>0.45333333333333331</v>
      </c>
      <c r="I523">
        <f t="shared" si="91"/>
        <v>0.64805342836730906</v>
      </c>
      <c r="J523">
        <f t="shared" si="92"/>
        <v>0.54923464722614346</v>
      </c>
      <c r="K523">
        <f t="shared" si="93"/>
        <v>0.98621135107051883</v>
      </c>
      <c r="L523">
        <f t="shared" si="94"/>
        <v>0.1418703059960788</v>
      </c>
      <c r="M523">
        <f t="shared" si="95"/>
        <v>8.5205559068883108E-2</v>
      </c>
      <c r="N523">
        <f t="shared" si="96"/>
        <v>4.887845419574198</v>
      </c>
      <c r="O523">
        <f t="shared" si="97"/>
        <v>8.1860598532563564</v>
      </c>
      <c r="P523" t="str" cm="1">
        <f t="array" ref="P523">IF($N523="","",IFERROR(IF(INDEX(geo_grid!$B$2:$JU$231,INT(($N523+40)/0.5)+1,INT(($O523+30)/0.5)+1)="","",INDEX(geo_grid!$B$2:$JU$231,INT(($N523+40)/0.5)+1,INT(($O523+30)/0.5)+1)),"OUTSIDE GRID"))</f>
        <v>NGA</v>
      </c>
      <c r="Q523">
        <f t="shared" si="98"/>
        <v>4068</v>
      </c>
    </row>
    <row r="524" spans="1:17" x14ac:dyDescent="0.3">
      <c r="A524">
        <f t="shared" si="88"/>
        <v>4</v>
      </c>
      <c r="B524">
        <f t="shared" si="89"/>
        <v>69</v>
      </c>
      <c r="C524" cm="1">
        <f t="array" ref="C524">IFERROR(INDEX('TRIP MANAGER'!$O$18:$O$25,$A524),"")</f>
        <v>30.322479999999999</v>
      </c>
      <c r="D524" cm="1">
        <f t="array" ref="D524">IFERROR(INDEX('TRIP MANAGER'!$P$18:$P$25,$A524),"")</f>
        <v>-9.4120000000000008</v>
      </c>
      <c r="E524" cm="1">
        <f t="array" ref="E524">IFERROR(INDEX('TRIP MANAGER'!$Q$18:$Q$25,$A524),"")</f>
        <v>-26.140080000000001</v>
      </c>
      <c r="F524" cm="1">
        <f t="array" ref="F524">IFERROR(INDEX('TRIP MANAGER'!$R$18:$R$25,$A524),"")</f>
        <v>28.2468</v>
      </c>
      <c r="G524" cm="1">
        <f t="array" ref="G524">IFERROR(INDEX('TRIP MANAGER'!$S$18:$S$25,$A524),"")</f>
        <v>1.1690355391911331</v>
      </c>
      <c r="H524">
        <f t="shared" si="90"/>
        <v>0.46</v>
      </c>
      <c r="I524">
        <f t="shared" si="91"/>
        <v>0.64123711878238498</v>
      </c>
      <c r="J524">
        <f t="shared" si="92"/>
        <v>0.556524156730409</v>
      </c>
      <c r="K524">
        <f t="shared" si="93"/>
        <v>0.98617140309944229</v>
      </c>
      <c r="L524">
        <f t="shared" si="94"/>
        <v>0.14592955402621322</v>
      </c>
      <c r="M524">
        <f t="shared" si="95"/>
        <v>7.8552714597191264E-2</v>
      </c>
      <c r="N524">
        <f t="shared" si="96"/>
        <v>4.5053805724353655</v>
      </c>
      <c r="O524">
        <f t="shared" si="97"/>
        <v>8.4173089755977291</v>
      </c>
      <c r="P524" t="str" cm="1">
        <f t="array" ref="P524">IF($N524="","",IFERROR(IF(INDEX(geo_grid!$B$2:$JU$231,INT(($N524+40)/0.5)+1,INT(($O524+30)/0.5)+1)="","",INDEX(geo_grid!$B$2:$JU$231,INT(($N524+40)/0.5)+1,INT(($O524+30)/0.5)+1)),"OUTSIDE GRID"))</f>
        <v>NGA</v>
      </c>
      <c r="Q524">
        <f t="shared" si="98"/>
        <v>4069</v>
      </c>
    </row>
    <row r="525" spans="1:17" x14ac:dyDescent="0.3">
      <c r="A525">
        <f t="shared" si="88"/>
        <v>4</v>
      </c>
      <c r="B525">
        <f t="shared" si="89"/>
        <v>70</v>
      </c>
      <c r="C525" cm="1">
        <f t="array" ref="C525">IFERROR(INDEX('TRIP MANAGER'!$O$18:$O$25,$A525),"")</f>
        <v>30.322479999999999</v>
      </c>
      <c r="D525" cm="1">
        <f t="array" ref="D525">IFERROR(INDEX('TRIP MANAGER'!$P$18:$P$25,$A525),"")</f>
        <v>-9.4120000000000008</v>
      </c>
      <c r="E525" cm="1">
        <f t="array" ref="E525">IFERROR(INDEX('TRIP MANAGER'!$Q$18:$Q$25,$A525),"")</f>
        <v>-26.140080000000001</v>
      </c>
      <c r="F525" cm="1">
        <f t="array" ref="F525">IFERROR(INDEX('TRIP MANAGER'!$R$18:$R$25,$A525),"")</f>
        <v>28.2468</v>
      </c>
      <c r="G525" cm="1">
        <f t="array" ref="G525">IFERROR(INDEX('TRIP MANAGER'!$S$18:$S$25,$A525),"")</f>
        <v>1.1690355391911331</v>
      </c>
      <c r="H525">
        <f t="shared" si="90"/>
        <v>0.46666666666666667</v>
      </c>
      <c r="I525">
        <f t="shared" si="91"/>
        <v>0.63438186082038706</v>
      </c>
      <c r="J525">
        <f t="shared" si="92"/>
        <v>0.56377986327462748</v>
      </c>
      <c r="K525">
        <f t="shared" si="93"/>
        <v>0.98607155563948379</v>
      </c>
      <c r="L525">
        <f t="shared" si="94"/>
        <v>0.14997993837841961</v>
      </c>
      <c r="M525">
        <f t="shared" si="95"/>
        <v>7.1895098878391628E-2</v>
      </c>
      <c r="N525">
        <f t="shared" si="96"/>
        <v>4.1228427127988585</v>
      </c>
      <c r="O525">
        <f t="shared" si="97"/>
        <v>8.6483149320955039</v>
      </c>
      <c r="P525" t="str" cm="1">
        <f t="array" ref="P525">IF($N525="","",IFERROR(IF(INDEX(geo_grid!$B$2:$JU$231,INT(($N525+40)/0.5)+1,INT(($O525+30)/0.5)+1)="","",INDEX(geo_grid!$B$2:$JU$231,INT(($N525+40)/0.5)+1,INT(($O525+30)/0.5)+1)),"OUTSIDE GRID"))</f>
        <v/>
      </c>
      <c r="Q525" t="str">
        <f t="shared" si="98"/>
        <v/>
      </c>
    </row>
    <row r="526" spans="1:17" x14ac:dyDescent="0.3">
      <c r="A526">
        <f t="shared" si="88"/>
        <v>4</v>
      </c>
      <c r="B526">
        <f t="shared" si="89"/>
        <v>71</v>
      </c>
      <c r="C526" cm="1">
        <f t="array" ref="C526">IFERROR(INDEX('TRIP MANAGER'!$O$18:$O$25,$A526),"")</f>
        <v>30.322479999999999</v>
      </c>
      <c r="D526" cm="1">
        <f t="array" ref="D526">IFERROR(INDEX('TRIP MANAGER'!$P$18:$P$25,$A526),"")</f>
        <v>-9.4120000000000008</v>
      </c>
      <c r="E526" cm="1">
        <f t="array" ref="E526">IFERROR(INDEX('TRIP MANAGER'!$Q$18:$Q$25,$A526),"")</f>
        <v>-26.140080000000001</v>
      </c>
      <c r="F526" cm="1">
        <f t="array" ref="F526">IFERROR(INDEX('TRIP MANAGER'!$R$18:$R$25,$A526),"")</f>
        <v>28.2468</v>
      </c>
      <c r="G526" cm="1">
        <f t="array" ref="G526">IFERROR(INDEX('TRIP MANAGER'!$S$18:$S$25,$A526),"")</f>
        <v>1.1690355391911331</v>
      </c>
      <c r="H526">
        <f t="shared" si="90"/>
        <v>0.47333333333333333</v>
      </c>
      <c r="I526">
        <f t="shared" si="91"/>
        <v>0.62748807086577629</v>
      </c>
      <c r="J526">
        <f t="shared" si="92"/>
        <v>0.57100132615131916</v>
      </c>
      <c r="K526">
        <f t="shared" si="93"/>
        <v>0.98591181475532108</v>
      </c>
      <c r="L526">
        <f t="shared" si="94"/>
        <v>0.15402121303466121</v>
      </c>
      <c r="M526">
        <f t="shared" si="95"/>
        <v>6.5233116292268134E-2</v>
      </c>
      <c r="N526">
        <f t="shared" si="96"/>
        <v>3.7402381296253253</v>
      </c>
      <c r="O526">
        <f t="shared" si="97"/>
        <v>8.8790986273444794</v>
      </c>
      <c r="P526" t="str" cm="1">
        <f t="array" ref="P526">IF($N526="","",IFERROR(IF(INDEX(geo_grid!$B$2:$JU$231,INT(($N526+40)/0.5)+1,INT(($O526+30)/0.5)+1)="","",INDEX(geo_grid!$B$2:$JU$231,INT(($N526+40)/0.5)+1,INT(($O526+30)/0.5)+1)),"OUTSIDE GRID"))</f>
        <v/>
      </c>
      <c r="Q526" t="str">
        <f t="shared" si="98"/>
        <v/>
      </c>
    </row>
    <row r="527" spans="1:17" x14ac:dyDescent="0.3">
      <c r="A527">
        <f t="shared" si="88"/>
        <v>4</v>
      </c>
      <c r="B527">
        <f t="shared" si="89"/>
        <v>72</v>
      </c>
      <c r="C527" cm="1">
        <f t="array" ref="C527">IFERROR(INDEX('TRIP MANAGER'!$O$18:$O$25,$A527),"")</f>
        <v>30.322479999999999</v>
      </c>
      <c r="D527" cm="1">
        <f t="array" ref="D527">IFERROR(INDEX('TRIP MANAGER'!$P$18:$P$25,$A527),"")</f>
        <v>-9.4120000000000008</v>
      </c>
      <c r="E527" cm="1">
        <f t="array" ref="E527">IFERROR(INDEX('TRIP MANAGER'!$Q$18:$Q$25,$A527),"")</f>
        <v>-26.140080000000001</v>
      </c>
      <c r="F527" cm="1">
        <f t="array" ref="F527">IFERROR(INDEX('TRIP MANAGER'!$R$18:$R$25,$A527),"")</f>
        <v>28.2468</v>
      </c>
      <c r="G527" cm="1">
        <f t="array" ref="G527">IFERROR(INDEX('TRIP MANAGER'!$S$18:$S$25,$A527),"")</f>
        <v>1.1690355391911331</v>
      </c>
      <c r="H527">
        <f t="shared" si="90"/>
        <v>0.48</v>
      </c>
      <c r="I527">
        <f t="shared" si="91"/>
        <v>0.62055616764342525</v>
      </c>
      <c r="J527">
        <f t="shared" si="92"/>
        <v>0.57818810673294552</v>
      </c>
      <c r="K527">
        <f t="shared" si="93"/>
        <v>0.98569219014952458</v>
      </c>
      <c r="L527">
        <f t="shared" si="94"/>
        <v>0.15805313253021899</v>
      </c>
      <c r="M527">
        <f t="shared" si="95"/>
        <v>5.8567171483845659E-2</v>
      </c>
      <c r="N527">
        <f t="shared" si="96"/>
        <v>3.3575730889844393</v>
      </c>
      <c r="O527">
        <f t="shared" si="97"/>
        <v>9.109680900630531</v>
      </c>
      <c r="P527" t="str" cm="1">
        <f t="array" ref="P527">IF($N527="","",IFERROR(IF(INDEX(geo_grid!$B$2:$JU$231,INT(($N527+40)/0.5)+1,INT(($O527+30)/0.5)+1)="","",INDEX(geo_grid!$B$2:$JU$231,INT(($N527+40)/0.5)+1,INT(($O527+30)/0.5)+1)),"OUTSIDE GRID"))</f>
        <v/>
      </c>
      <c r="Q527" t="str">
        <f t="shared" si="98"/>
        <v/>
      </c>
    </row>
    <row r="528" spans="1:17" x14ac:dyDescent="0.3">
      <c r="A528">
        <f t="shared" si="88"/>
        <v>4</v>
      </c>
      <c r="B528">
        <f t="shared" si="89"/>
        <v>73</v>
      </c>
      <c r="C528" cm="1">
        <f t="array" ref="C528">IFERROR(INDEX('TRIP MANAGER'!$O$18:$O$25,$A528),"")</f>
        <v>30.322479999999999</v>
      </c>
      <c r="D528" cm="1">
        <f t="array" ref="D528">IFERROR(INDEX('TRIP MANAGER'!$P$18:$P$25,$A528),"")</f>
        <v>-9.4120000000000008</v>
      </c>
      <c r="E528" cm="1">
        <f t="array" ref="E528">IFERROR(INDEX('TRIP MANAGER'!$Q$18:$Q$25,$A528),"")</f>
        <v>-26.140080000000001</v>
      </c>
      <c r="F528" cm="1">
        <f t="array" ref="F528">IFERROR(INDEX('TRIP MANAGER'!$R$18:$R$25,$A528),"")</f>
        <v>28.2468</v>
      </c>
      <c r="G528" cm="1">
        <f t="array" ref="G528">IFERROR(INDEX('TRIP MANAGER'!$S$18:$S$25,$A528),"")</f>
        <v>1.1690355391911331</v>
      </c>
      <c r="H528">
        <f t="shared" si="90"/>
        <v>0.48666666666666669</v>
      </c>
      <c r="I528">
        <f t="shared" si="91"/>
        <v>0.61358657219318402</v>
      </c>
      <c r="J528">
        <f t="shared" si="92"/>
        <v>0.58533976849855052</v>
      </c>
      <c r="K528">
        <f t="shared" si="93"/>
        <v>0.9854126951619675</v>
      </c>
      <c r="L528">
        <f t="shared" si="94"/>
        <v>0.16207545196860113</v>
      </c>
      <c r="M528">
        <f t="shared" si="95"/>
        <v>5.1897669338811958E-2</v>
      </c>
      <c r="N528">
        <f t="shared" si="96"/>
        <v>2.9748538362236046</v>
      </c>
      <c r="O528">
        <f t="shared" si="97"/>
        <v>9.3400825320812206</v>
      </c>
      <c r="P528" t="str" cm="1">
        <f t="array" ref="P528">IF($N528="","",IFERROR(IF(INDEX(geo_grid!$B$2:$JU$231,INT(($N528+40)/0.5)+1,INT(($O528+30)/0.5)+1)="","",INDEX(geo_grid!$B$2:$JU$231,INT(($N528+40)/0.5)+1,INT(($O528+30)/0.5)+1)),"OUTSIDE GRID"))</f>
        <v/>
      </c>
      <c r="Q528" t="str">
        <f t="shared" si="98"/>
        <v/>
      </c>
    </row>
    <row r="529" spans="1:17" x14ac:dyDescent="0.3">
      <c r="A529">
        <f t="shared" si="88"/>
        <v>4</v>
      </c>
      <c r="B529">
        <f t="shared" si="89"/>
        <v>74</v>
      </c>
      <c r="C529" cm="1">
        <f t="array" ref="C529">IFERROR(INDEX('TRIP MANAGER'!$O$18:$O$25,$A529),"")</f>
        <v>30.322479999999999</v>
      </c>
      <c r="D529" cm="1">
        <f t="array" ref="D529">IFERROR(INDEX('TRIP MANAGER'!$P$18:$P$25,$A529),"")</f>
        <v>-9.4120000000000008</v>
      </c>
      <c r="E529" cm="1">
        <f t="array" ref="E529">IFERROR(INDEX('TRIP MANAGER'!$Q$18:$Q$25,$A529),"")</f>
        <v>-26.140080000000001</v>
      </c>
      <c r="F529" cm="1">
        <f t="array" ref="F529">IFERROR(INDEX('TRIP MANAGER'!$R$18:$R$25,$A529),"")</f>
        <v>28.2468</v>
      </c>
      <c r="G529" cm="1">
        <f t="array" ref="G529">IFERROR(INDEX('TRIP MANAGER'!$S$18:$S$25,$A529),"")</f>
        <v>1.1690355391911331</v>
      </c>
      <c r="H529">
        <f t="shared" si="90"/>
        <v>0.49333333333333335</v>
      </c>
      <c r="I529">
        <f t="shared" si="91"/>
        <v>0.60657970784430726</v>
      </c>
      <c r="J529">
        <f t="shared" si="92"/>
        <v>0.59245587706027514</v>
      </c>
      <c r="K529">
        <f t="shared" si="93"/>
        <v>0.98507334676901603</v>
      </c>
      <c r="L529">
        <f t="shared" si="94"/>
        <v>0.16608792703641773</v>
      </c>
      <c r="M529">
        <f t="shared" si="95"/>
        <v>4.5225014958925613E-2</v>
      </c>
      <c r="N529">
        <f t="shared" si="96"/>
        <v>2.592086598124014</v>
      </c>
      <c r="O529">
        <f t="shared" si="97"/>
        <v>9.5703242487911275</v>
      </c>
      <c r="P529" t="str" cm="1">
        <f t="array" ref="P529">IF($N529="","",IFERROR(IF(INDEX(geo_grid!$B$2:$JU$231,INT(($N529+40)/0.5)+1,INT(($O529+30)/0.5)+1)="","",INDEX(geo_grid!$B$2:$JU$231,INT(($N529+40)/0.5)+1,INT(($O529+30)/0.5)+1)),"OUTSIDE GRID"))</f>
        <v>CMR</v>
      </c>
      <c r="Q529">
        <f t="shared" si="98"/>
        <v>4074</v>
      </c>
    </row>
    <row r="530" spans="1:17" x14ac:dyDescent="0.3">
      <c r="A530">
        <f t="shared" si="88"/>
        <v>4</v>
      </c>
      <c r="B530">
        <f t="shared" si="89"/>
        <v>75</v>
      </c>
      <c r="C530" cm="1">
        <f t="array" ref="C530">IFERROR(INDEX('TRIP MANAGER'!$O$18:$O$25,$A530),"")</f>
        <v>30.322479999999999</v>
      </c>
      <c r="D530" cm="1">
        <f t="array" ref="D530">IFERROR(INDEX('TRIP MANAGER'!$P$18:$P$25,$A530),"")</f>
        <v>-9.4120000000000008</v>
      </c>
      <c r="E530" cm="1">
        <f t="array" ref="E530">IFERROR(INDEX('TRIP MANAGER'!$Q$18:$Q$25,$A530),"")</f>
        <v>-26.140080000000001</v>
      </c>
      <c r="F530" cm="1">
        <f t="array" ref="F530">IFERROR(INDEX('TRIP MANAGER'!$R$18:$R$25,$A530),"")</f>
        <v>28.2468</v>
      </c>
      <c r="G530" cm="1">
        <f t="array" ref="G530">IFERROR(INDEX('TRIP MANAGER'!$S$18:$S$25,$A530),"")</f>
        <v>1.1690355391911331</v>
      </c>
      <c r="H530">
        <f t="shared" si="90"/>
        <v>0.5</v>
      </c>
      <c r="I530">
        <f t="shared" si="91"/>
        <v>0.59953600018974185</v>
      </c>
      <c r="J530">
        <f t="shared" si="92"/>
        <v>0.59953600018974185</v>
      </c>
      <c r="K530">
        <f t="shared" si="93"/>
        <v>0.98467416558249843</v>
      </c>
      <c r="L530">
        <f t="shared" si="94"/>
        <v>0.17009031401822047</v>
      </c>
      <c r="M530">
        <f t="shared" si="95"/>
        <v>3.8549613637410052E-2</v>
      </c>
      <c r="N530">
        <f t="shared" si="96"/>
        <v>2.2092775850452937</v>
      </c>
      <c r="O530">
        <f t="shared" si="97"/>
        <v>9.8004267309244408</v>
      </c>
      <c r="P530" t="str" cm="1">
        <f t="array" ref="P530">IF($N530="","",IFERROR(IF(INDEX(geo_grid!$B$2:$JU$231,INT(($N530+40)/0.5)+1,INT(($O530+30)/0.5)+1)="","",INDEX(geo_grid!$B$2:$JU$231,INT(($N530+40)/0.5)+1,INT(($O530+30)/0.5)+1)),"OUTSIDE GRID"))</f>
        <v>GNQ</v>
      </c>
      <c r="Q530">
        <f t="shared" si="98"/>
        <v>4075</v>
      </c>
    </row>
    <row r="531" spans="1:17" x14ac:dyDescent="0.3">
      <c r="A531">
        <f t="shared" si="88"/>
        <v>4</v>
      </c>
      <c r="B531">
        <f t="shared" si="89"/>
        <v>76</v>
      </c>
      <c r="C531" cm="1">
        <f t="array" ref="C531">IFERROR(INDEX('TRIP MANAGER'!$O$18:$O$25,$A531),"")</f>
        <v>30.322479999999999</v>
      </c>
      <c r="D531" cm="1">
        <f t="array" ref="D531">IFERROR(INDEX('TRIP MANAGER'!$P$18:$P$25,$A531),"")</f>
        <v>-9.4120000000000008</v>
      </c>
      <c r="E531" cm="1">
        <f t="array" ref="E531">IFERROR(INDEX('TRIP MANAGER'!$Q$18:$Q$25,$A531),"")</f>
        <v>-26.140080000000001</v>
      </c>
      <c r="F531" cm="1">
        <f t="array" ref="F531">IFERROR(INDEX('TRIP MANAGER'!$R$18:$R$25,$A531),"")</f>
        <v>28.2468</v>
      </c>
      <c r="G531" cm="1">
        <f t="array" ref="G531">IFERROR(INDEX('TRIP MANAGER'!$S$18:$S$25,$A531),"")</f>
        <v>1.1690355391911331</v>
      </c>
      <c r="H531">
        <f t="shared" si="90"/>
        <v>0.50666666666666671</v>
      </c>
      <c r="I531">
        <f t="shared" si="91"/>
        <v>0.59245587706027514</v>
      </c>
      <c r="J531">
        <f t="shared" si="92"/>
        <v>0.60657970784430737</v>
      </c>
      <c r="K531">
        <f t="shared" si="93"/>
        <v>0.98421517584845197</v>
      </c>
      <c r="L531">
        <f t="shared" si="94"/>
        <v>0.17408236981130532</v>
      </c>
      <c r="M531">
        <f t="shared" si="95"/>
        <v>3.1871870834336347E-2</v>
      </c>
      <c r="N531">
        <f t="shared" si="96"/>
        <v>1.8264329930601229</v>
      </c>
      <c r="O531">
        <f t="shared" si="97"/>
        <v>10.030410617797454</v>
      </c>
      <c r="P531" t="str" cm="1">
        <f t="array" ref="P531">IF($N531="","",IFERROR(IF(INDEX(geo_grid!$B$2:$JU$231,INT(($N531+40)/0.5)+1,INT(($O531+30)/0.5)+1)="","",INDEX(geo_grid!$B$2:$JU$231,INT(($N531+40)/0.5)+1,INT(($O531+30)/0.5)+1)),"OUTSIDE GRID"))</f>
        <v>GNQ</v>
      </c>
      <c r="Q531">
        <f t="shared" si="98"/>
        <v>4076</v>
      </c>
    </row>
    <row r="532" spans="1:17" x14ac:dyDescent="0.3">
      <c r="A532">
        <f t="shared" si="88"/>
        <v>4</v>
      </c>
      <c r="B532">
        <f t="shared" si="89"/>
        <v>77</v>
      </c>
      <c r="C532" cm="1">
        <f t="array" ref="C532">IFERROR(INDEX('TRIP MANAGER'!$O$18:$O$25,$A532),"")</f>
        <v>30.322479999999999</v>
      </c>
      <c r="D532" cm="1">
        <f t="array" ref="D532">IFERROR(INDEX('TRIP MANAGER'!$P$18:$P$25,$A532),"")</f>
        <v>-9.4120000000000008</v>
      </c>
      <c r="E532" cm="1">
        <f t="array" ref="E532">IFERROR(INDEX('TRIP MANAGER'!$Q$18:$Q$25,$A532),"")</f>
        <v>-26.140080000000001</v>
      </c>
      <c r="F532" cm="1">
        <f t="array" ref="F532">IFERROR(INDEX('TRIP MANAGER'!$R$18:$R$25,$A532),"")</f>
        <v>28.2468</v>
      </c>
      <c r="G532" cm="1">
        <f t="array" ref="G532">IFERROR(INDEX('TRIP MANAGER'!$S$18:$S$25,$A532),"")</f>
        <v>1.1690355391911331</v>
      </c>
      <c r="H532">
        <f t="shared" si="90"/>
        <v>0.51333333333333331</v>
      </c>
      <c r="I532">
        <f t="shared" si="91"/>
        <v>0.58533976849855052</v>
      </c>
      <c r="J532">
        <f t="shared" si="92"/>
        <v>0.61358657219318402</v>
      </c>
      <c r="K532">
        <f t="shared" si="93"/>
        <v>0.98369640544565162</v>
      </c>
      <c r="L532">
        <f t="shared" si="94"/>
        <v>0.17806385194047925</v>
      </c>
      <c r="M532">
        <f t="shared" si="95"/>
        <v>2.5192192151995974E-2</v>
      </c>
      <c r="N532">
        <f t="shared" si="96"/>
        <v>1.4435590060801216</v>
      </c>
      <c r="O532">
        <f t="shared" si="97"/>
        <v>10.260296513943553</v>
      </c>
      <c r="P532" t="str" cm="1">
        <f t="array" ref="P532">IF($N532="","",IFERROR(IF(INDEX(geo_grid!$B$2:$JU$231,INT(($N532+40)/0.5)+1,INT(($O532+30)/0.5)+1)="","",INDEX(geo_grid!$B$2:$JU$231,INT(($N532+40)/0.5)+1,INT(($O532+30)/0.5)+1)),"OUTSIDE GRID"))</f>
        <v>GNQ</v>
      </c>
      <c r="Q532">
        <f t="shared" si="98"/>
        <v>4077</v>
      </c>
    </row>
    <row r="533" spans="1:17" x14ac:dyDescent="0.3">
      <c r="A533">
        <f t="shared" si="88"/>
        <v>4</v>
      </c>
      <c r="B533">
        <f t="shared" si="89"/>
        <v>78</v>
      </c>
      <c r="C533" cm="1">
        <f t="array" ref="C533">IFERROR(INDEX('TRIP MANAGER'!$O$18:$O$25,$A533),"")</f>
        <v>30.322479999999999</v>
      </c>
      <c r="D533" cm="1">
        <f t="array" ref="D533">IFERROR(INDEX('TRIP MANAGER'!$P$18:$P$25,$A533),"")</f>
        <v>-9.4120000000000008</v>
      </c>
      <c r="E533" cm="1">
        <f t="array" ref="E533">IFERROR(INDEX('TRIP MANAGER'!$Q$18:$Q$25,$A533),"")</f>
        <v>-26.140080000000001</v>
      </c>
      <c r="F533" cm="1">
        <f t="array" ref="F533">IFERROR(INDEX('TRIP MANAGER'!$R$18:$R$25,$A533),"")</f>
        <v>28.2468</v>
      </c>
      <c r="G533" cm="1">
        <f t="array" ref="G533">IFERROR(INDEX('TRIP MANAGER'!$S$18:$S$25,$A533),"")</f>
        <v>1.1690355391911331</v>
      </c>
      <c r="H533">
        <f t="shared" si="90"/>
        <v>0.52</v>
      </c>
      <c r="I533">
        <f t="shared" si="91"/>
        <v>0.57818810673294552</v>
      </c>
      <c r="J533">
        <f t="shared" si="92"/>
        <v>0.62055616764342525</v>
      </c>
      <c r="K533">
        <f t="shared" si="93"/>
        <v>0.98311788588391602</v>
      </c>
      <c r="L533">
        <f t="shared" si="94"/>
        <v>0.18203451857278707</v>
      </c>
      <c r="M533">
        <f t="shared" si="95"/>
        <v>1.8510983310264462E-2</v>
      </c>
      <c r="N533">
        <f t="shared" si="96"/>
        <v>1.060661797974275</v>
      </c>
      <c r="O533">
        <f t="shared" si="97"/>
        <v>10.490104995163186</v>
      </c>
      <c r="P533" t="str" cm="1">
        <f t="array" ref="P533">IF($N533="","",IFERROR(IF(INDEX(geo_grid!$B$2:$JU$231,INT(($N533+40)/0.5)+1,INT(($O533+30)/0.5)+1)="","",INDEX(geo_grid!$B$2:$JU$231,INT(($N533+40)/0.5)+1,INT(($O533+30)/0.5)+1)),"OUTSIDE GRID"))</f>
        <v>GNQ</v>
      </c>
      <c r="Q533">
        <f t="shared" si="98"/>
        <v>4078</v>
      </c>
    </row>
    <row r="534" spans="1:17" x14ac:dyDescent="0.3">
      <c r="A534">
        <f t="shared" si="88"/>
        <v>4</v>
      </c>
      <c r="B534">
        <f t="shared" si="89"/>
        <v>79</v>
      </c>
      <c r="C534" cm="1">
        <f t="array" ref="C534">IFERROR(INDEX('TRIP MANAGER'!$O$18:$O$25,$A534),"")</f>
        <v>30.322479999999999</v>
      </c>
      <c r="D534" cm="1">
        <f t="array" ref="D534">IFERROR(INDEX('TRIP MANAGER'!$P$18:$P$25,$A534),"")</f>
        <v>-9.4120000000000008</v>
      </c>
      <c r="E534" cm="1">
        <f t="array" ref="E534">IFERROR(INDEX('TRIP MANAGER'!$Q$18:$Q$25,$A534),"")</f>
        <v>-26.140080000000001</v>
      </c>
      <c r="F534" cm="1">
        <f t="array" ref="F534">IFERROR(INDEX('TRIP MANAGER'!$R$18:$R$25,$A534),"")</f>
        <v>28.2468</v>
      </c>
      <c r="G534" cm="1">
        <f t="array" ref="G534">IFERROR(INDEX('TRIP MANAGER'!$S$18:$S$25,$A534),"")</f>
        <v>1.1690355391911331</v>
      </c>
      <c r="H534">
        <f t="shared" si="90"/>
        <v>0.52666666666666662</v>
      </c>
      <c r="I534">
        <f t="shared" si="91"/>
        <v>0.57100132615131927</v>
      </c>
      <c r="J534">
        <f t="shared" si="92"/>
        <v>0.62748807086577629</v>
      </c>
      <c r="K534">
        <f t="shared" si="93"/>
        <v>0.98247965230219347</v>
      </c>
      <c r="L534">
        <f t="shared" si="94"/>
        <v>0.18599412853220093</v>
      </c>
      <c r="M534">
        <f t="shared" si="95"/>
        <v>1.1828650121958439E-2</v>
      </c>
      <c r="N534">
        <f t="shared" si="96"/>
        <v>0.67774753468125493</v>
      </c>
      <c r="O534">
        <f t="shared" si="97"/>
        <v>10.719856614561587</v>
      </c>
      <c r="P534" t="str" cm="1">
        <f t="array" ref="P534">IF($N534="","",IFERROR(IF(INDEX(geo_grid!$B$2:$JU$231,INT(($N534+40)/0.5)+1,INT(($O534+30)/0.5)+1)="","",INDEX(geo_grid!$B$2:$JU$231,INT(($N534+40)/0.5)+1,INT(($O534+30)/0.5)+1)),"OUTSIDE GRID"))</f>
        <v>GAB</v>
      </c>
      <c r="Q534">
        <f t="shared" si="98"/>
        <v>4079</v>
      </c>
    </row>
    <row r="535" spans="1:17" x14ac:dyDescent="0.3">
      <c r="A535">
        <f t="shared" si="88"/>
        <v>4</v>
      </c>
      <c r="B535">
        <f t="shared" si="89"/>
        <v>80</v>
      </c>
      <c r="C535" cm="1">
        <f t="array" ref="C535">IFERROR(INDEX('TRIP MANAGER'!$O$18:$O$25,$A535),"")</f>
        <v>30.322479999999999</v>
      </c>
      <c r="D535" cm="1">
        <f t="array" ref="D535">IFERROR(INDEX('TRIP MANAGER'!$P$18:$P$25,$A535),"")</f>
        <v>-9.4120000000000008</v>
      </c>
      <c r="E535" cm="1">
        <f t="array" ref="E535">IFERROR(INDEX('TRIP MANAGER'!$Q$18:$Q$25,$A535),"")</f>
        <v>-26.140080000000001</v>
      </c>
      <c r="F535" cm="1">
        <f t="array" ref="F535">IFERROR(INDEX('TRIP MANAGER'!$R$18:$R$25,$A535),"")</f>
        <v>28.2468</v>
      </c>
      <c r="G535" cm="1">
        <f t="array" ref="G535">IFERROR(INDEX('TRIP MANAGER'!$S$18:$S$25,$A535),"")</f>
        <v>1.1690355391911331</v>
      </c>
      <c r="H535">
        <f t="shared" si="90"/>
        <v>0.53333333333333333</v>
      </c>
      <c r="I535">
        <f t="shared" si="91"/>
        <v>0.56377986327462748</v>
      </c>
      <c r="J535">
        <f t="shared" si="92"/>
        <v>0.63438186082038706</v>
      </c>
      <c r="K535">
        <f t="shared" si="93"/>
        <v>0.98178174346642821</v>
      </c>
      <c r="L535">
        <f t="shared" si="94"/>
        <v>0.18994244131426918</v>
      </c>
      <c r="M535">
        <f t="shared" si="95"/>
        <v>5.145598468186463E-3</v>
      </c>
      <c r="N535">
        <f t="shared" si="96"/>
        <v>0.29482237631685687</v>
      </c>
      <c r="O535">
        <f t="shared" si="97"/>
        <v>10.949571908576667</v>
      </c>
      <c r="P535" t="str" cm="1">
        <f t="array" ref="P535">IF($N535="","",IFERROR(IF(INDEX(geo_grid!$B$2:$JU$231,INT(($N535+40)/0.5)+1,INT(($O535+30)/0.5)+1)="","",INDEX(geo_grid!$B$2:$JU$231,INT(($N535+40)/0.5)+1,INT(($O535+30)/0.5)+1)),"OUTSIDE GRID"))</f>
        <v>GAB</v>
      </c>
      <c r="Q535">
        <f t="shared" si="98"/>
        <v>4080</v>
      </c>
    </row>
    <row r="536" spans="1:17" x14ac:dyDescent="0.3">
      <c r="A536">
        <f t="shared" si="88"/>
        <v>4</v>
      </c>
      <c r="B536">
        <f t="shared" si="89"/>
        <v>81</v>
      </c>
      <c r="C536" cm="1">
        <f t="array" ref="C536">IFERROR(INDEX('TRIP MANAGER'!$O$18:$O$25,$A536),"")</f>
        <v>30.322479999999999</v>
      </c>
      <c r="D536" cm="1">
        <f t="array" ref="D536">IFERROR(INDEX('TRIP MANAGER'!$P$18:$P$25,$A536),"")</f>
        <v>-9.4120000000000008</v>
      </c>
      <c r="E536" cm="1">
        <f t="array" ref="E536">IFERROR(INDEX('TRIP MANAGER'!$Q$18:$Q$25,$A536),"")</f>
        <v>-26.140080000000001</v>
      </c>
      <c r="F536" cm="1">
        <f t="array" ref="F536">IFERROR(INDEX('TRIP MANAGER'!$R$18:$R$25,$A536),"")</f>
        <v>28.2468</v>
      </c>
      <c r="G536" cm="1">
        <f t="array" ref="G536">IFERROR(INDEX('TRIP MANAGER'!$S$18:$S$25,$A536),"")</f>
        <v>1.1690355391911331</v>
      </c>
      <c r="H536">
        <f t="shared" si="90"/>
        <v>0.54</v>
      </c>
      <c r="I536">
        <f t="shared" si="91"/>
        <v>0.55652415673040889</v>
      </c>
      <c r="J536">
        <f t="shared" si="92"/>
        <v>0.64123711878238498</v>
      </c>
      <c r="K536">
        <f t="shared" si="93"/>
        <v>0.98102420176720484</v>
      </c>
      <c r="L536">
        <f t="shared" si="94"/>
        <v>0.19387921710072398</v>
      </c>
      <c r="M536">
        <f t="shared" si="95"/>
        <v>-1.5377657263033195E-3</v>
      </c>
      <c r="N536">
        <f t="shared" si="96"/>
        <v>-8.8107520722059587E-2</v>
      </c>
      <c r="O536">
        <f t="shared" si="97"/>
        <v>11.179271402999749</v>
      </c>
      <c r="P536" t="str" cm="1">
        <f t="array" ref="P536">IF($N536="","",IFERROR(IF(INDEX(geo_grid!$B$2:$JU$231,INT(($N536+40)/0.5)+1,INT(($O536+30)/0.5)+1)="","",INDEX(geo_grid!$B$2:$JU$231,INT(($N536+40)/0.5)+1,INT(($O536+30)/0.5)+1)),"OUTSIDE GRID"))</f>
        <v>GAB</v>
      </c>
      <c r="Q536">
        <f t="shared" si="98"/>
        <v>4081</v>
      </c>
    </row>
    <row r="537" spans="1:17" x14ac:dyDescent="0.3">
      <c r="A537">
        <f t="shared" si="88"/>
        <v>4</v>
      </c>
      <c r="B537">
        <f t="shared" si="89"/>
        <v>82</v>
      </c>
      <c r="C537" cm="1">
        <f t="array" ref="C537">IFERROR(INDEX('TRIP MANAGER'!$O$18:$O$25,$A537),"")</f>
        <v>30.322479999999999</v>
      </c>
      <c r="D537" cm="1">
        <f t="array" ref="D537">IFERROR(INDEX('TRIP MANAGER'!$P$18:$P$25,$A537),"")</f>
        <v>-9.4120000000000008</v>
      </c>
      <c r="E537" cm="1">
        <f t="array" ref="E537">IFERROR(INDEX('TRIP MANAGER'!$Q$18:$Q$25,$A537),"")</f>
        <v>-26.140080000000001</v>
      </c>
      <c r="F537" cm="1">
        <f t="array" ref="F537">IFERROR(INDEX('TRIP MANAGER'!$R$18:$R$25,$A537),"")</f>
        <v>28.2468</v>
      </c>
      <c r="G537" cm="1">
        <f t="array" ref="G537">IFERROR(INDEX('TRIP MANAGER'!$S$18:$S$25,$A537),"")</f>
        <v>1.1690355391911331</v>
      </c>
      <c r="H537">
        <f t="shared" si="90"/>
        <v>0.54666666666666663</v>
      </c>
      <c r="I537">
        <f t="shared" si="91"/>
        <v>0.54923464722614346</v>
      </c>
      <c r="J537">
        <f t="shared" si="92"/>
        <v>0.64805342836730906</v>
      </c>
      <c r="K537">
        <f t="shared" si="93"/>
        <v>0.98020707321717426</v>
      </c>
      <c r="L537">
        <f t="shared" si="94"/>
        <v>0.19780421677404791</v>
      </c>
      <c r="M537">
        <f t="shared" si="95"/>
        <v>-8.2210365177792788E-3</v>
      </c>
      <c r="N537">
        <f t="shared" si="96"/>
        <v>-0.47103600165596948</v>
      </c>
      <c r="O537">
        <f t="shared" si="97"/>
        <v>11.408975618991725</v>
      </c>
      <c r="P537" t="str" cm="1">
        <f t="array" ref="P537">IF($N537="","",IFERROR(IF(INDEX(geo_grid!$B$2:$JU$231,INT(($N537+40)/0.5)+1,INT(($O537+30)/0.5)+1)="","",INDEX(geo_grid!$B$2:$JU$231,INT(($N537+40)/0.5)+1,INT(($O537+30)/0.5)+1)),"OUTSIDE GRID"))</f>
        <v>GAB</v>
      </c>
      <c r="Q537">
        <f t="shared" si="98"/>
        <v>4082</v>
      </c>
    </row>
    <row r="538" spans="1:17" x14ac:dyDescent="0.3">
      <c r="A538">
        <f t="shared" si="88"/>
        <v>4</v>
      </c>
      <c r="B538">
        <f t="shared" si="89"/>
        <v>83</v>
      </c>
      <c r="C538" cm="1">
        <f t="array" ref="C538">IFERROR(INDEX('TRIP MANAGER'!$O$18:$O$25,$A538),"")</f>
        <v>30.322479999999999</v>
      </c>
      <c r="D538" cm="1">
        <f t="array" ref="D538">IFERROR(INDEX('TRIP MANAGER'!$P$18:$P$25,$A538),"")</f>
        <v>-9.4120000000000008</v>
      </c>
      <c r="E538" cm="1">
        <f t="array" ref="E538">IFERROR(INDEX('TRIP MANAGER'!$Q$18:$Q$25,$A538),"")</f>
        <v>-26.140080000000001</v>
      </c>
      <c r="F538" cm="1">
        <f t="array" ref="F538">IFERROR(INDEX('TRIP MANAGER'!$R$18:$R$25,$A538),"")</f>
        <v>28.2468</v>
      </c>
      <c r="G538" cm="1">
        <f t="array" ref="G538">IFERROR(INDEX('TRIP MANAGER'!$S$18:$S$25,$A538),"")</f>
        <v>1.1690355391911331</v>
      </c>
      <c r="H538">
        <f t="shared" si="90"/>
        <v>0.55333333333333334</v>
      </c>
      <c r="I538">
        <f t="shared" si="91"/>
        <v>0.54191177752248265</v>
      </c>
      <c r="J538">
        <f t="shared" si="92"/>
        <v>0.65483037555640078</v>
      </c>
      <c r="K538">
        <f t="shared" si="93"/>
        <v>0.97933040744825894</v>
      </c>
      <c r="L538">
        <f t="shared" si="94"/>
        <v>0.20171720193199844</v>
      </c>
      <c r="M538">
        <f t="shared" si="95"/>
        <v>-1.4903807968183413E-2</v>
      </c>
      <c r="N538">
        <f t="shared" si="96"/>
        <v>-0.85395691122205875</v>
      </c>
      <c r="O538">
        <f t="shared" si="97"/>
        <v>11.638705079097253</v>
      </c>
      <c r="P538" t="str" cm="1">
        <f t="array" ref="P538">IF($N538="","",IFERROR(IF(INDEX(geo_grid!$B$2:$JU$231,INT(($N538+40)/0.5)+1,INT(($O538+30)/0.5)+1)="","",INDEX(geo_grid!$B$2:$JU$231,INT(($N538+40)/0.5)+1,INT(($O538+30)/0.5)+1)),"OUTSIDE GRID"))</f>
        <v>GAB</v>
      </c>
      <c r="Q538">
        <f t="shared" si="98"/>
        <v>4083</v>
      </c>
    </row>
    <row r="539" spans="1:17" x14ac:dyDescent="0.3">
      <c r="A539">
        <f t="shared" si="88"/>
        <v>4</v>
      </c>
      <c r="B539">
        <f t="shared" si="89"/>
        <v>84</v>
      </c>
      <c r="C539" cm="1">
        <f t="array" ref="C539">IFERROR(INDEX('TRIP MANAGER'!$O$18:$O$25,$A539),"")</f>
        <v>30.322479999999999</v>
      </c>
      <c r="D539" cm="1">
        <f t="array" ref="D539">IFERROR(INDEX('TRIP MANAGER'!$P$18:$P$25,$A539),"")</f>
        <v>-9.4120000000000008</v>
      </c>
      <c r="E539" cm="1">
        <f t="array" ref="E539">IFERROR(INDEX('TRIP MANAGER'!$Q$18:$Q$25,$A539),"")</f>
        <v>-26.140080000000001</v>
      </c>
      <c r="F539" cm="1">
        <f t="array" ref="F539">IFERROR(INDEX('TRIP MANAGER'!$R$18:$R$25,$A539),"")</f>
        <v>28.2468</v>
      </c>
      <c r="G539" cm="1">
        <f t="array" ref="G539">IFERROR(INDEX('TRIP MANAGER'!$S$18:$S$25,$A539),"")</f>
        <v>1.1690355391911331</v>
      </c>
      <c r="H539">
        <f t="shared" si="90"/>
        <v>0.56000000000000005</v>
      </c>
      <c r="I539">
        <f t="shared" si="91"/>
        <v>0.53455599240635854</v>
      </c>
      <c r="J539">
        <f t="shared" si="92"/>
        <v>0.66156754872175083</v>
      </c>
      <c r="K539">
        <f t="shared" si="93"/>
        <v>0.97839425770863797</v>
      </c>
      <c r="L539">
        <f t="shared" si="94"/>
        <v>0.20561793490208735</v>
      </c>
      <c r="M539">
        <f t="shared" si="95"/>
        <v>-2.1585674169787128E-2</v>
      </c>
      <c r="N539">
        <f t="shared" si="96"/>
        <v>-1.2368640915732483</v>
      </c>
      <c r="O539">
        <f t="shared" si="97"/>
        <v>11.868480313259473</v>
      </c>
      <c r="P539" t="str" cm="1">
        <f t="array" ref="P539">IF($N539="","",IFERROR(IF(INDEX(geo_grid!$B$2:$JU$231,INT(($N539+40)/0.5)+1,INT(($O539+30)/0.5)+1)="","",INDEX(geo_grid!$B$2:$JU$231,INT(($N539+40)/0.5)+1,INT(($O539+30)/0.5)+1)),"OUTSIDE GRID"))</f>
        <v>GAB</v>
      </c>
      <c r="Q539">
        <f t="shared" si="98"/>
        <v>4084</v>
      </c>
    </row>
    <row r="540" spans="1:17" x14ac:dyDescent="0.3">
      <c r="A540">
        <f t="shared" si="88"/>
        <v>4</v>
      </c>
      <c r="B540">
        <f t="shared" si="89"/>
        <v>85</v>
      </c>
      <c r="C540" cm="1">
        <f t="array" ref="C540">IFERROR(INDEX('TRIP MANAGER'!$O$18:$O$25,$A540),"")</f>
        <v>30.322479999999999</v>
      </c>
      <c r="D540" cm="1">
        <f t="array" ref="D540">IFERROR(INDEX('TRIP MANAGER'!$P$18:$P$25,$A540),"")</f>
        <v>-9.4120000000000008</v>
      </c>
      <c r="E540" cm="1">
        <f t="array" ref="E540">IFERROR(INDEX('TRIP MANAGER'!$Q$18:$Q$25,$A540),"")</f>
        <v>-26.140080000000001</v>
      </c>
      <c r="F540" cm="1">
        <f t="array" ref="F540">IFERROR(INDEX('TRIP MANAGER'!$R$18:$R$25,$A540),"")</f>
        <v>28.2468</v>
      </c>
      <c r="G540" cm="1">
        <f t="array" ref="G540">IFERROR(INDEX('TRIP MANAGER'!$S$18:$S$25,$A540),"")</f>
        <v>1.1690355391911331</v>
      </c>
      <c r="H540">
        <f t="shared" si="90"/>
        <v>0.56666666666666665</v>
      </c>
      <c r="I540">
        <f t="shared" si="91"/>
        <v>0.52716773866396593</v>
      </c>
      <c r="J540">
        <f t="shared" si="92"/>
        <v>0.66826453865130142</v>
      </c>
      <c r="K540">
        <f t="shared" si="93"/>
        <v>0.97739868085951298</v>
      </c>
      <c r="L540">
        <f t="shared" si="94"/>
        <v>0.20950617875601768</v>
      </c>
      <c r="M540">
        <f t="shared" si="95"/>
        <v>-2.826622926984601E-2</v>
      </c>
      <c r="N540">
        <f t="shared" si="96"/>
        <v>-1.6197513801756898</v>
      </c>
      <c r="O540">
        <f t="shared" si="97"/>
        <v>12.098321864837997</v>
      </c>
      <c r="P540" t="str" cm="1">
        <f t="array" ref="P540">IF($N540="","",IFERROR(IF(INDEX(geo_grid!$B$2:$JU$231,INT(($N540+40)/0.5)+1,INT(($O540+30)/0.5)+1)="","",INDEX(geo_grid!$B$2:$JU$231,INT(($N540+40)/0.5)+1,INT(($O540+30)/0.5)+1)),"OUTSIDE GRID"))</f>
        <v>GAB</v>
      </c>
      <c r="Q540">
        <f t="shared" si="98"/>
        <v>4085</v>
      </c>
    </row>
    <row r="541" spans="1:17" x14ac:dyDescent="0.3">
      <c r="A541">
        <f t="shared" si="88"/>
        <v>4</v>
      </c>
      <c r="B541">
        <f t="shared" si="89"/>
        <v>86</v>
      </c>
      <c r="C541" cm="1">
        <f t="array" ref="C541">IFERROR(INDEX('TRIP MANAGER'!$O$18:$O$25,$A541),"")</f>
        <v>30.322479999999999</v>
      </c>
      <c r="D541" cm="1">
        <f t="array" ref="D541">IFERROR(INDEX('TRIP MANAGER'!$P$18:$P$25,$A541),"")</f>
        <v>-9.4120000000000008</v>
      </c>
      <c r="E541" cm="1">
        <f t="array" ref="E541">IFERROR(INDEX('TRIP MANAGER'!$Q$18:$Q$25,$A541),"")</f>
        <v>-26.140080000000001</v>
      </c>
      <c r="F541" cm="1">
        <f t="array" ref="F541">IFERROR(INDEX('TRIP MANAGER'!$R$18:$R$25,$A541),"")</f>
        <v>28.2468</v>
      </c>
      <c r="G541" cm="1">
        <f t="array" ref="G541">IFERROR(INDEX('TRIP MANAGER'!$S$18:$S$25,$A541),"")</f>
        <v>1.1690355391911331</v>
      </c>
      <c r="H541">
        <f t="shared" si="90"/>
        <v>0.57333333333333336</v>
      </c>
      <c r="I541">
        <f t="shared" si="91"/>
        <v>0.51974746505362546</v>
      </c>
      <c r="J541">
        <f t="shared" si="92"/>
        <v>0.67492093857370195</v>
      </c>
      <c r="K541">
        <f t="shared" si="93"/>
        <v>0.97634373737165403</v>
      </c>
      <c r="L541">
        <f t="shared" si="94"/>
        <v>0.21338169732407408</v>
      </c>
      <c r="M541">
        <f t="shared" si="95"/>
        <v>-3.4945067495251725E-2</v>
      </c>
      <c r="N541">
        <f t="shared" si="96"/>
        <v>-2.0026126077034219</v>
      </c>
      <c r="O541">
        <f t="shared" si="97"/>
        <v>12.328250296632593</v>
      </c>
      <c r="P541" t="str" cm="1">
        <f t="array" ref="P541">IF($N541="","",IFERROR(IF(INDEX(geo_grid!$B$2:$JU$231,INT(($N541+40)/0.5)+1,INT(($O541+30)/0.5)+1)="","",INDEX(geo_grid!$B$2:$JU$231,INT(($N541+40)/0.5)+1,INT(($O541+30)/0.5)+1)),"OUTSIDE GRID"))</f>
        <v>GAB</v>
      </c>
      <c r="Q541">
        <f t="shared" si="98"/>
        <v>4086</v>
      </c>
    </row>
    <row r="542" spans="1:17" x14ac:dyDescent="0.3">
      <c r="A542">
        <f t="shared" si="88"/>
        <v>4</v>
      </c>
      <c r="B542">
        <f t="shared" si="89"/>
        <v>87</v>
      </c>
      <c r="C542" cm="1">
        <f t="array" ref="C542">IFERROR(INDEX('TRIP MANAGER'!$O$18:$O$25,$A542),"")</f>
        <v>30.322479999999999</v>
      </c>
      <c r="D542" cm="1">
        <f t="array" ref="D542">IFERROR(INDEX('TRIP MANAGER'!$P$18:$P$25,$A542),"")</f>
        <v>-9.4120000000000008</v>
      </c>
      <c r="E542" cm="1">
        <f t="array" ref="E542">IFERROR(INDEX('TRIP MANAGER'!$Q$18:$Q$25,$A542),"")</f>
        <v>-26.140080000000001</v>
      </c>
      <c r="F542" cm="1">
        <f t="array" ref="F542">IFERROR(INDEX('TRIP MANAGER'!$R$18:$R$25,$A542),"")</f>
        <v>28.2468</v>
      </c>
      <c r="G542" cm="1">
        <f t="array" ref="G542">IFERROR(INDEX('TRIP MANAGER'!$S$18:$S$25,$A542),"")</f>
        <v>1.1690355391911331</v>
      </c>
      <c r="H542">
        <f t="shared" si="90"/>
        <v>0.57999999999999996</v>
      </c>
      <c r="I542">
        <f t="shared" si="91"/>
        <v>0.51229562227852676</v>
      </c>
      <c r="J542">
        <f t="shared" si="92"/>
        <v>0.68153634418301512</v>
      </c>
      <c r="K542">
        <f t="shared" si="93"/>
        <v>0.97522949132172743</v>
      </c>
      <c r="L542">
        <f t="shared" si="94"/>
        <v>0.21724425520946794</v>
      </c>
      <c r="M542">
        <f t="shared" si="95"/>
        <v>-4.1621783177177185E-2</v>
      </c>
      <c r="N542">
        <f t="shared" si="96"/>
        <v>-2.3854415959287709</v>
      </c>
      <c r="O542">
        <f t="shared" si="97"/>
        <v>12.558286196915294</v>
      </c>
      <c r="P542" t="str" cm="1">
        <f t="array" ref="P542">IF($N542="","",IFERROR(IF(INDEX(geo_grid!$B$2:$JU$231,INT(($N542+40)/0.5)+1,INT(($O542+30)/0.5)+1)="","",INDEX(geo_grid!$B$2:$JU$231,INT(($N542+40)/0.5)+1,INT(($O542+30)/0.5)+1)),"OUTSIDE GRID"))</f>
        <v>COG</v>
      </c>
      <c r="Q542">
        <f t="shared" si="98"/>
        <v>4087</v>
      </c>
    </row>
    <row r="543" spans="1:17" x14ac:dyDescent="0.3">
      <c r="A543">
        <f t="shared" si="88"/>
        <v>4</v>
      </c>
      <c r="B543">
        <f t="shared" si="89"/>
        <v>88</v>
      </c>
      <c r="C543" cm="1">
        <f t="array" ref="C543">IFERROR(INDEX('TRIP MANAGER'!$O$18:$O$25,$A543),"")</f>
        <v>30.322479999999999</v>
      </c>
      <c r="D543" cm="1">
        <f t="array" ref="D543">IFERROR(INDEX('TRIP MANAGER'!$P$18:$P$25,$A543),"")</f>
        <v>-9.4120000000000008</v>
      </c>
      <c r="E543" cm="1">
        <f t="array" ref="E543">IFERROR(INDEX('TRIP MANAGER'!$Q$18:$Q$25,$A543),"")</f>
        <v>-26.140080000000001</v>
      </c>
      <c r="F543" cm="1">
        <f t="array" ref="F543">IFERROR(INDEX('TRIP MANAGER'!$R$18:$R$25,$A543),"")</f>
        <v>28.2468</v>
      </c>
      <c r="G543" cm="1">
        <f t="array" ref="G543">IFERROR(INDEX('TRIP MANAGER'!$S$18:$S$25,$A543),"")</f>
        <v>1.1690355391911331</v>
      </c>
      <c r="H543">
        <f t="shared" si="90"/>
        <v>0.58666666666666667</v>
      </c>
      <c r="I543">
        <f t="shared" si="91"/>
        <v>0.50481266295935201</v>
      </c>
      <c r="J543">
        <f t="shared" si="92"/>
        <v>0.68811035366327555</v>
      </c>
      <c r="K543">
        <f t="shared" si="93"/>
        <v>0.97405601038840328</v>
      </c>
      <c r="L543">
        <f t="shared" si="94"/>
        <v>0.22109361780263515</v>
      </c>
      <c r="M543">
        <f t="shared" si="95"/>
        <v>-4.8295970775718011E-2</v>
      </c>
      <c r="N543">
        <f t="shared" si="96"/>
        <v>-2.7682321556074583</v>
      </c>
      <c r="O543">
        <f t="shared" si="97"/>
        <v>12.788450185473417</v>
      </c>
      <c r="P543" t="str" cm="1">
        <f t="array" ref="P543">IF($N543="","",IFERROR(IF(INDEX(geo_grid!$B$2:$JU$231,INT(($N543+40)/0.5)+1,INT(($O543+30)/0.5)+1)="","",INDEX(geo_grid!$B$2:$JU$231,INT(($N543+40)/0.5)+1,INT(($O543+30)/0.5)+1)),"OUTSIDE GRID"))</f>
        <v>COG</v>
      </c>
      <c r="Q543">
        <f t="shared" si="98"/>
        <v>4088</v>
      </c>
    </row>
    <row r="544" spans="1:17" x14ac:dyDescent="0.3">
      <c r="A544">
        <f t="shared" si="88"/>
        <v>4</v>
      </c>
      <c r="B544">
        <f t="shared" si="89"/>
        <v>89</v>
      </c>
      <c r="C544" cm="1">
        <f t="array" ref="C544">IFERROR(INDEX('TRIP MANAGER'!$O$18:$O$25,$A544),"")</f>
        <v>30.322479999999999</v>
      </c>
      <c r="D544" cm="1">
        <f t="array" ref="D544">IFERROR(INDEX('TRIP MANAGER'!$P$18:$P$25,$A544),"")</f>
        <v>-9.4120000000000008</v>
      </c>
      <c r="E544" cm="1">
        <f t="array" ref="E544">IFERROR(INDEX('TRIP MANAGER'!$Q$18:$Q$25,$A544),"")</f>
        <v>-26.140080000000001</v>
      </c>
      <c r="F544" cm="1">
        <f t="array" ref="F544">IFERROR(INDEX('TRIP MANAGER'!$R$18:$R$25,$A544),"")</f>
        <v>28.2468</v>
      </c>
      <c r="G544" cm="1">
        <f t="array" ref="G544">IFERROR(INDEX('TRIP MANAGER'!$S$18:$S$25,$A544),"")</f>
        <v>1.1690355391911331</v>
      </c>
      <c r="H544">
        <f t="shared" si="90"/>
        <v>0.59333333333333338</v>
      </c>
      <c r="I544">
        <f t="shared" si="91"/>
        <v>0.49729904160678501</v>
      </c>
      <c r="J544">
        <f t="shared" si="92"/>
        <v>0.69464256771289445</v>
      </c>
      <c r="K544">
        <f t="shared" si="93"/>
        <v>0.97282336584824425</v>
      </c>
      <c r="L544">
        <f t="shared" si="94"/>
        <v>0.22492955129548575</v>
      </c>
      <c r="M544">
        <f t="shared" si="95"/>
        <v>-5.4967224904523826E-2</v>
      </c>
      <c r="N544">
        <f t="shared" si="96"/>
        <v>-3.1509780843568467</v>
      </c>
      <c r="O544">
        <f t="shared" si="97"/>
        <v>13.018762919666127</v>
      </c>
      <c r="P544" t="str" cm="1">
        <f t="array" ref="P544">IF($N544="","",IFERROR(IF(INDEX(geo_grid!$B$2:$JU$231,INT(($N544+40)/0.5)+1,INT(($O544+30)/0.5)+1)="","",INDEX(geo_grid!$B$2:$JU$231,INT(($N544+40)/0.5)+1,INT(($O544+30)/0.5)+1)),"OUTSIDE GRID"))</f>
        <v>COG</v>
      </c>
      <c r="Q544">
        <f t="shared" si="98"/>
        <v>4089</v>
      </c>
    </row>
    <row r="545" spans="1:17" x14ac:dyDescent="0.3">
      <c r="A545">
        <f t="shared" si="88"/>
        <v>4</v>
      </c>
      <c r="B545">
        <f t="shared" si="89"/>
        <v>90</v>
      </c>
      <c r="C545" cm="1">
        <f t="array" ref="C545">IFERROR(INDEX('TRIP MANAGER'!$O$18:$O$25,$A545),"")</f>
        <v>30.322479999999999</v>
      </c>
      <c r="D545" cm="1">
        <f t="array" ref="D545">IFERROR(INDEX('TRIP MANAGER'!$P$18:$P$25,$A545),"")</f>
        <v>-9.4120000000000008</v>
      </c>
      <c r="E545" cm="1">
        <f t="array" ref="E545">IFERROR(INDEX('TRIP MANAGER'!$Q$18:$Q$25,$A545),"")</f>
        <v>-26.140080000000001</v>
      </c>
      <c r="F545" cm="1">
        <f t="array" ref="F545">IFERROR(INDEX('TRIP MANAGER'!$R$18:$R$25,$A545),"")</f>
        <v>28.2468</v>
      </c>
      <c r="G545" cm="1">
        <f t="array" ref="G545">IFERROR(INDEX('TRIP MANAGER'!$S$18:$S$25,$A545),"")</f>
        <v>1.1690355391911331</v>
      </c>
      <c r="H545">
        <f t="shared" si="90"/>
        <v>0.6</v>
      </c>
      <c r="I545">
        <f t="shared" si="91"/>
        <v>0.48975521459390375</v>
      </c>
      <c r="J545">
        <f t="shared" si="92"/>
        <v>0.70113258956891389</v>
      </c>
      <c r="K545">
        <f t="shared" si="93"/>
        <v>0.9715316325713772</v>
      </c>
      <c r="L545">
        <f t="shared" si="94"/>
        <v>0.22875182269560607</v>
      </c>
      <c r="M545">
        <f t="shared" si="95"/>
        <v>-6.1635140355421447E-2</v>
      </c>
      <c r="N545">
        <f t="shared" si="96"/>
        <v>-3.5336731645262129</v>
      </c>
      <c r="O545">
        <f t="shared" si="97"/>
        <v>13.249245100497177</v>
      </c>
      <c r="P545" t="str" cm="1">
        <f t="array" ref="P545">IF($N545="","",IFERROR(IF(INDEX(geo_grid!$B$2:$JU$231,INT(($N545+40)/0.5)+1,INT(($O545+30)/0.5)+1)="","",INDEX(geo_grid!$B$2:$JU$231,INT(($N545+40)/0.5)+1,INT(($O545+30)/0.5)+1)),"OUTSIDE GRID"))</f>
        <v>COG</v>
      </c>
      <c r="Q545">
        <f t="shared" si="98"/>
        <v>4090</v>
      </c>
    </row>
    <row r="546" spans="1:17" x14ac:dyDescent="0.3">
      <c r="A546">
        <f t="shared" si="88"/>
        <v>4</v>
      </c>
      <c r="B546">
        <f t="shared" si="89"/>
        <v>91</v>
      </c>
      <c r="C546" cm="1">
        <f t="array" ref="C546">IFERROR(INDEX('TRIP MANAGER'!$O$18:$O$25,$A546),"")</f>
        <v>30.322479999999999</v>
      </c>
      <c r="D546" cm="1">
        <f t="array" ref="D546">IFERROR(INDEX('TRIP MANAGER'!$P$18:$P$25,$A546),"")</f>
        <v>-9.4120000000000008</v>
      </c>
      <c r="E546" cm="1">
        <f t="array" ref="E546">IFERROR(INDEX('TRIP MANAGER'!$Q$18:$Q$25,$A546),"")</f>
        <v>-26.140080000000001</v>
      </c>
      <c r="F546" cm="1">
        <f t="array" ref="F546">IFERROR(INDEX('TRIP MANAGER'!$R$18:$R$25,$A546),"")</f>
        <v>28.2468</v>
      </c>
      <c r="G546" cm="1">
        <f t="array" ref="G546">IFERROR(INDEX('TRIP MANAGER'!$S$18:$S$25,$A546),"")</f>
        <v>1.1690355391911331</v>
      </c>
      <c r="H546">
        <f t="shared" si="90"/>
        <v>0.60666666666666669</v>
      </c>
      <c r="I546">
        <f t="shared" si="91"/>
        <v>0.4821816401284606</v>
      </c>
      <c r="J546">
        <f t="shared" si="92"/>
        <v>0.70758002503110617</v>
      </c>
      <c r="K546">
        <f t="shared" si="93"/>
        <v>0.97018088901694477</v>
      </c>
      <c r="L546">
        <f t="shared" si="94"/>
        <v>0.23256019984041021</v>
      </c>
      <c r="M546">
        <f t="shared" si="95"/>
        <v>-6.8299312123027645E-2</v>
      </c>
      <c r="N546">
        <f t="shared" si="96"/>
        <v>-3.9163111610577142</v>
      </c>
      <c r="O546">
        <f t="shared" si="97"/>
        <v>13.479917478706316</v>
      </c>
      <c r="P546" t="str" cm="1">
        <f t="array" ref="P546">IF($N546="","",IFERROR(IF(INDEX(geo_grid!$B$2:$JU$231,INT(($N546+40)/0.5)+1,INT(($O546+30)/0.5)+1)="","",INDEX(geo_grid!$B$2:$JU$231,INT(($N546+40)/0.5)+1,INT(($O546+30)/0.5)+1)),"OUTSIDE GRID"))</f>
        <v>COG</v>
      </c>
      <c r="Q546">
        <f t="shared" si="98"/>
        <v>4091</v>
      </c>
    </row>
    <row r="547" spans="1:17" x14ac:dyDescent="0.3">
      <c r="A547">
        <f t="shared" si="88"/>
        <v>4</v>
      </c>
      <c r="B547">
        <f t="shared" si="89"/>
        <v>92</v>
      </c>
      <c r="C547" cm="1">
        <f t="array" ref="C547">IFERROR(INDEX('TRIP MANAGER'!$O$18:$O$25,$A547),"")</f>
        <v>30.322479999999999</v>
      </c>
      <c r="D547" cm="1">
        <f t="array" ref="D547">IFERROR(INDEX('TRIP MANAGER'!$P$18:$P$25,$A547),"")</f>
        <v>-9.4120000000000008</v>
      </c>
      <c r="E547" cm="1">
        <f t="array" ref="E547">IFERROR(INDEX('TRIP MANAGER'!$Q$18:$Q$25,$A547),"")</f>
        <v>-26.140080000000001</v>
      </c>
      <c r="F547" cm="1">
        <f t="array" ref="F547">IFERROR(INDEX('TRIP MANAGER'!$R$18:$R$25,$A547),"")</f>
        <v>28.2468</v>
      </c>
      <c r="G547" cm="1">
        <f t="array" ref="G547">IFERROR(INDEX('TRIP MANAGER'!$S$18:$S$25,$A547),"")</f>
        <v>1.1690355391911331</v>
      </c>
      <c r="H547">
        <f t="shared" si="90"/>
        <v>0.61333333333333329</v>
      </c>
      <c r="I547">
        <f t="shared" si="91"/>
        <v>0.47457877822505179</v>
      </c>
      <c r="J547">
        <f t="shared" si="92"/>
        <v>0.71398448248591628</v>
      </c>
      <c r="K547">
        <f t="shared" si="93"/>
        <v>0.96877121722834136</v>
      </c>
      <c r="L547">
        <f t="shared" si="94"/>
        <v>0.23635445141124117</v>
      </c>
      <c r="M547">
        <f t="shared" si="95"/>
        <v>-7.4959335429347712E-2</v>
      </c>
      <c r="N547">
        <f t="shared" si="96"/>
        <v>-4.2988858193365802</v>
      </c>
      <c r="O547">
        <f t="shared" si="97"/>
        <v>13.710800860882006</v>
      </c>
      <c r="P547" t="str" cm="1">
        <f t="array" ref="P547">IF($N547="","",IFERROR(IF(INDEX(geo_grid!$B$2:$JU$231,INT(($N547+40)/0.5)+1,INT(($O547+30)/0.5)+1)="","",INDEX(geo_grid!$B$2:$JU$231,INT(($N547+40)/0.5)+1,INT(($O547+30)/0.5)+1)),"OUTSIDE GRID"))</f>
        <v>COG</v>
      </c>
      <c r="Q547">
        <f t="shared" si="98"/>
        <v>4092</v>
      </c>
    </row>
    <row r="548" spans="1:17" x14ac:dyDescent="0.3">
      <c r="A548">
        <f t="shared" si="88"/>
        <v>4</v>
      </c>
      <c r="B548">
        <f t="shared" si="89"/>
        <v>93</v>
      </c>
      <c r="C548" cm="1">
        <f t="array" ref="C548">IFERROR(INDEX('TRIP MANAGER'!$O$18:$O$25,$A548),"")</f>
        <v>30.322479999999999</v>
      </c>
      <c r="D548" cm="1">
        <f t="array" ref="D548">IFERROR(INDEX('TRIP MANAGER'!$P$18:$P$25,$A548),"")</f>
        <v>-9.4120000000000008</v>
      </c>
      <c r="E548" cm="1">
        <f t="array" ref="E548">IFERROR(INDEX('TRIP MANAGER'!$Q$18:$Q$25,$A548),"")</f>
        <v>-26.140080000000001</v>
      </c>
      <c r="F548" cm="1">
        <f t="array" ref="F548">IFERROR(INDEX('TRIP MANAGER'!$R$18:$R$25,$A548),"")</f>
        <v>28.2468</v>
      </c>
      <c r="G548" cm="1">
        <f t="array" ref="G548">IFERROR(INDEX('TRIP MANAGER'!$S$18:$S$25,$A548),"")</f>
        <v>1.1690355391911331</v>
      </c>
      <c r="H548">
        <f t="shared" si="90"/>
        <v>0.62</v>
      </c>
      <c r="I548">
        <f t="shared" si="91"/>
        <v>0.4669470906771751</v>
      </c>
      <c r="J548">
        <f t="shared" si="92"/>
        <v>0.72034557293024915</v>
      </c>
      <c r="K548">
        <f t="shared" si="93"/>
        <v>0.96730270282822661</v>
      </c>
      <c r="L548">
        <f t="shared" si="94"/>
        <v>0.24013434694742131</v>
      </c>
      <c r="M548">
        <f t="shared" si="95"/>
        <v>-8.1614805748362634E-2</v>
      </c>
      <c r="N548">
        <f t="shared" si="96"/>
        <v>-4.68139086302949</v>
      </c>
      <c r="O548">
        <f t="shared" si="97"/>
        <v>13.941916115598112</v>
      </c>
      <c r="P548" t="str" cm="1">
        <f t="array" ref="P548">IF($N548="","",IFERROR(IF(INDEX(geo_grid!$B$2:$JU$231,INT(($N548+40)/0.5)+1,INT(($O548+30)/0.5)+1)="","",INDEX(geo_grid!$B$2:$JU$231,INT(($N548+40)/0.5)+1,INT(($O548+30)/0.5)+1)),"OUTSIDE GRID"))</f>
        <v>COD</v>
      </c>
      <c r="Q548">
        <f t="shared" si="98"/>
        <v>4093</v>
      </c>
    </row>
    <row r="549" spans="1:17" x14ac:dyDescent="0.3">
      <c r="A549">
        <f t="shared" si="88"/>
        <v>4</v>
      </c>
      <c r="B549">
        <f t="shared" si="89"/>
        <v>94</v>
      </c>
      <c r="C549" cm="1">
        <f t="array" ref="C549">IFERROR(INDEX('TRIP MANAGER'!$O$18:$O$25,$A549),"")</f>
        <v>30.322479999999999</v>
      </c>
      <c r="D549" cm="1">
        <f t="array" ref="D549">IFERROR(INDEX('TRIP MANAGER'!$P$18:$P$25,$A549),"")</f>
        <v>-9.4120000000000008</v>
      </c>
      <c r="E549" cm="1">
        <f t="array" ref="E549">IFERROR(INDEX('TRIP MANAGER'!$Q$18:$Q$25,$A549),"")</f>
        <v>-26.140080000000001</v>
      </c>
      <c r="F549" cm="1">
        <f t="array" ref="F549">IFERROR(INDEX('TRIP MANAGER'!$R$18:$R$25,$A549),"")</f>
        <v>28.2468</v>
      </c>
      <c r="G549" cm="1">
        <f t="array" ref="G549">IFERROR(INDEX('TRIP MANAGER'!$S$18:$S$25,$A549),"")</f>
        <v>1.1690355391911331</v>
      </c>
      <c r="H549">
        <f t="shared" si="90"/>
        <v>0.62666666666666671</v>
      </c>
      <c r="I549">
        <f t="shared" si="91"/>
        <v>0.45928704102918222</v>
      </c>
      <c r="J549">
        <f t="shared" si="92"/>
        <v>0.72666290999509708</v>
      </c>
      <c r="K549">
        <f t="shared" si="93"/>
        <v>0.96577543501332896</v>
      </c>
      <c r="L549">
        <f t="shared" si="94"/>
        <v>0.24389965686025045</v>
      </c>
      <c r="M549">
        <f t="shared" si="95"/>
        <v>-8.826531883059871E-2</v>
      </c>
      <c r="N549">
        <f t="shared" si="96"/>
        <v>-5.0638199919094893</v>
      </c>
      <c r="O549">
        <f t="shared" si="97"/>
        <v>14.173284179576976</v>
      </c>
      <c r="P549" t="str" cm="1">
        <f t="array" ref="P549">IF($N549="","",IFERROR(IF(INDEX(geo_grid!$B$2:$JU$231,INT(($N549+40)/0.5)+1,INT(($O549+30)/0.5)+1)="","",INDEX(geo_grid!$B$2:$JU$231,INT(($N549+40)/0.5)+1,INT(($O549+30)/0.5)+1)),"OUTSIDE GRID"))</f>
        <v>COD</v>
      </c>
      <c r="Q549">
        <f t="shared" si="98"/>
        <v>4094</v>
      </c>
    </row>
    <row r="550" spans="1:17" x14ac:dyDescent="0.3">
      <c r="A550">
        <f t="shared" si="88"/>
        <v>4</v>
      </c>
      <c r="B550">
        <f t="shared" si="89"/>
        <v>95</v>
      </c>
      <c r="C550" cm="1">
        <f t="array" ref="C550">IFERROR(INDEX('TRIP MANAGER'!$O$18:$O$25,$A550),"")</f>
        <v>30.322479999999999</v>
      </c>
      <c r="D550" cm="1">
        <f t="array" ref="D550">IFERROR(INDEX('TRIP MANAGER'!$P$18:$P$25,$A550),"")</f>
        <v>-9.4120000000000008</v>
      </c>
      <c r="E550" cm="1">
        <f t="array" ref="E550">IFERROR(INDEX('TRIP MANAGER'!$Q$18:$Q$25,$A550),"")</f>
        <v>-26.140080000000001</v>
      </c>
      <c r="F550" cm="1">
        <f t="array" ref="F550">IFERROR(INDEX('TRIP MANAGER'!$R$18:$R$25,$A550),"")</f>
        <v>28.2468</v>
      </c>
      <c r="G550" cm="1">
        <f t="array" ref="G550">IFERROR(INDEX('TRIP MANAGER'!$S$18:$S$25,$A550),"")</f>
        <v>1.1690355391911331</v>
      </c>
      <c r="H550">
        <f t="shared" si="90"/>
        <v>0.6333333333333333</v>
      </c>
      <c r="I550">
        <f t="shared" si="91"/>
        <v>0.45159909454812242</v>
      </c>
      <c r="J550">
        <f t="shared" si="92"/>
        <v>0.73293610996900793</v>
      </c>
      <c r="K550">
        <f t="shared" si="93"/>
        <v>0.96418950654902469</v>
      </c>
      <c r="L550">
        <f t="shared" si="94"/>
        <v>0.24765015244695071</v>
      </c>
      <c r="M550">
        <f t="shared" si="95"/>
        <v>-9.4910470727682467E-2</v>
      </c>
      <c r="N550">
        <f t="shared" si="96"/>
        <v>-5.446166879666408</v>
      </c>
      <c r="O550">
        <f t="shared" si="97"/>
        <v>14.404926063881671</v>
      </c>
      <c r="P550" t="str" cm="1">
        <f t="array" ref="P550">IF($N550="","",IFERROR(IF(INDEX(geo_grid!$B$2:$JU$231,INT(($N550+40)/0.5)+1,INT(($O550+30)/0.5)+1)="","",INDEX(geo_grid!$B$2:$JU$231,INT(($N550+40)/0.5)+1,INT(($O550+30)/0.5)+1)),"OUTSIDE GRID"))</f>
        <v>COD</v>
      </c>
      <c r="Q550">
        <f t="shared" si="98"/>
        <v>4095</v>
      </c>
    </row>
    <row r="551" spans="1:17" x14ac:dyDescent="0.3">
      <c r="A551">
        <f t="shared" si="88"/>
        <v>4</v>
      </c>
      <c r="B551">
        <f t="shared" si="89"/>
        <v>96</v>
      </c>
      <c r="C551" cm="1">
        <f t="array" ref="C551">IFERROR(INDEX('TRIP MANAGER'!$O$18:$O$25,$A551),"")</f>
        <v>30.322479999999999</v>
      </c>
      <c r="D551" cm="1">
        <f t="array" ref="D551">IFERROR(INDEX('TRIP MANAGER'!$P$18:$P$25,$A551),"")</f>
        <v>-9.4120000000000008</v>
      </c>
      <c r="E551" cm="1">
        <f t="array" ref="E551">IFERROR(INDEX('TRIP MANAGER'!$Q$18:$Q$25,$A551),"")</f>
        <v>-26.140080000000001</v>
      </c>
      <c r="F551" cm="1">
        <f t="array" ref="F551">IFERROR(INDEX('TRIP MANAGER'!$R$18:$R$25,$A551),"")</f>
        <v>28.2468</v>
      </c>
      <c r="G551" cm="1">
        <f t="array" ref="G551">IFERROR(INDEX('TRIP MANAGER'!$S$18:$S$25,$A551),"")</f>
        <v>1.1690355391911331</v>
      </c>
      <c r="H551">
        <f t="shared" si="90"/>
        <v>0.64</v>
      </c>
      <c r="I551">
        <f t="shared" si="91"/>
        <v>0.44388371819548234</v>
      </c>
      <c r="J551">
        <f t="shared" si="92"/>
        <v>0.73916479182139116</v>
      </c>
      <c r="K551">
        <f t="shared" si="93"/>
        <v>0.9625450137637046</v>
      </c>
      <c r="L551">
        <f t="shared" si="94"/>
        <v>0.25138560590455816</v>
      </c>
      <c r="M551">
        <f t="shared" si="95"/>
        <v>-0.10154985781687567</v>
      </c>
      <c r="N551">
        <f t="shared" si="96"/>
        <v>-5.8284251717011655</v>
      </c>
      <c r="O551">
        <f t="shared" si="97"/>
        <v>14.636862860139871</v>
      </c>
      <c r="P551" t="str" cm="1">
        <f t="array" ref="P551">IF($N551="","",IFERROR(IF(INDEX(geo_grid!$B$2:$JU$231,INT(($N551+40)/0.5)+1,INT(($O551+30)/0.5)+1)="","",INDEX(geo_grid!$B$2:$JU$231,INT(($N551+40)/0.5)+1,INT(($O551+30)/0.5)+1)),"OUTSIDE GRID"))</f>
        <v>COD</v>
      </c>
      <c r="Q551">
        <f t="shared" si="98"/>
        <v>4096</v>
      </c>
    </row>
    <row r="552" spans="1:17" x14ac:dyDescent="0.3">
      <c r="A552">
        <f t="shared" si="88"/>
        <v>4</v>
      </c>
      <c r="B552">
        <f t="shared" si="89"/>
        <v>97</v>
      </c>
      <c r="C552" cm="1">
        <f t="array" ref="C552">IFERROR(INDEX('TRIP MANAGER'!$O$18:$O$25,$A552),"")</f>
        <v>30.322479999999999</v>
      </c>
      <c r="D552" cm="1">
        <f t="array" ref="D552">IFERROR(INDEX('TRIP MANAGER'!$P$18:$P$25,$A552),"")</f>
        <v>-9.4120000000000008</v>
      </c>
      <c r="E552" cm="1">
        <f t="array" ref="E552">IFERROR(INDEX('TRIP MANAGER'!$Q$18:$Q$25,$A552),"")</f>
        <v>-26.140080000000001</v>
      </c>
      <c r="F552" cm="1">
        <f t="array" ref="F552">IFERROR(INDEX('TRIP MANAGER'!$R$18:$R$25,$A552),"")</f>
        <v>28.2468</v>
      </c>
      <c r="G552" cm="1">
        <f t="array" ref="G552">IFERROR(INDEX('TRIP MANAGER'!$S$18:$S$25,$A552),"")</f>
        <v>1.1690355391911331</v>
      </c>
      <c r="H552">
        <f t="shared" si="90"/>
        <v>0.64666666666666661</v>
      </c>
      <c r="I552">
        <f t="shared" si="91"/>
        <v>0.43614138059882396</v>
      </c>
      <c r="J552">
        <f t="shared" si="92"/>
        <v>0.74534857722566139</v>
      </c>
      <c r="K552">
        <f t="shared" si="93"/>
        <v>0.96084205654292321</v>
      </c>
      <c r="L552">
        <f t="shared" si="94"/>
        <v>0.25510579034375902</v>
      </c>
      <c r="M552">
        <f t="shared" si="95"/>
        <v>-0.10818307682559086</v>
      </c>
      <c r="N552">
        <f t="shared" si="96"/>
        <v>-6.2105884829027431</v>
      </c>
      <c r="O552">
        <f t="shared" si="97"/>
        <v>14.869115746801977</v>
      </c>
      <c r="P552" t="str" cm="1">
        <f t="array" ref="P552">IF($N552="","",IFERROR(IF(INDEX(geo_grid!$B$2:$JU$231,INT(($N552+40)/0.5)+1,INT(($O552+30)/0.5)+1)="","",INDEX(geo_grid!$B$2:$JU$231,INT(($N552+40)/0.5)+1,INT(($O552+30)/0.5)+1)),"OUTSIDE GRID"))</f>
        <v>AGO</v>
      </c>
      <c r="Q552">
        <f t="shared" si="98"/>
        <v>4097</v>
      </c>
    </row>
    <row r="553" spans="1:17" x14ac:dyDescent="0.3">
      <c r="A553">
        <f t="shared" si="88"/>
        <v>4</v>
      </c>
      <c r="B553">
        <f t="shared" si="89"/>
        <v>98</v>
      </c>
      <c r="C553" cm="1">
        <f t="array" ref="C553">IFERROR(INDEX('TRIP MANAGER'!$O$18:$O$25,$A553),"")</f>
        <v>30.322479999999999</v>
      </c>
      <c r="D553" cm="1">
        <f t="array" ref="D553">IFERROR(INDEX('TRIP MANAGER'!$P$18:$P$25,$A553),"")</f>
        <v>-9.4120000000000008</v>
      </c>
      <c r="E553" cm="1">
        <f t="array" ref="E553">IFERROR(INDEX('TRIP MANAGER'!$Q$18:$Q$25,$A553),"")</f>
        <v>-26.140080000000001</v>
      </c>
      <c r="F553" cm="1">
        <f t="array" ref="F553">IFERROR(INDEX('TRIP MANAGER'!$R$18:$R$25,$A553),"")</f>
        <v>28.2468</v>
      </c>
      <c r="G553" cm="1">
        <f t="array" ref="G553">IFERROR(INDEX('TRIP MANAGER'!$S$18:$S$25,$A553),"")</f>
        <v>1.1690355391911331</v>
      </c>
      <c r="H553">
        <f t="shared" si="90"/>
        <v>0.65333333333333332</v>
      </c>
      <c r="I553">
        <f t="shared" si="91"/>
        <v>0.42837255202331948</v>
      </c>
      <c r="J553">
        <f t="shared" si="92"/>
        <v>0.75148709058221841</v>
      </c>
      <c r="K553">
        <f t="shared" si="93"/>
        <v>0.95908073832333141</v>
      </c>
      <c r="L553">
        <f t="shared" si="94"/>
        <v>0.25881047980267102</v>
      </c>
      <c r="M553">
        <f t="shared" si="95"/>
        <v>-0.11480972485588684</v>
      </c>
      <c r="N553">
        <f t="shared" si="96"/>
        <v>-6.5926503954064808</v>
      </c>
      <c r="O553">
        <f t="shared" si="97"/>
        <v>15.101705995436118</v>
      </c>
      <c r="P553" t="str" cm="1">
        <f t="array" ref="P553">IF($N553="","",IFERROR(IF(INDEX(geo_grid!$B$2:$JU$231,INT(($N553+40)/0.5)+1,INT(($O553+30)/0.5)+1)="","",INDEX(geo_grid!$B$2:$JU$231,INT(($N553+40)/0.5)+1,INT(($O553+30)/0.5)+1)),"OUTSIDE GRID"))</f>
        <v>AGO</v>
      </c>
      <c r="Q553">
        <f t="shared" si="98"/>
        <v>4098</v>
      </c>
    </row>
    <row r="554" spans="1:17" x14ac:dyDescent="0.3">
      <c r="A554">
        <f t="shared" si="88"/>
        <v>4</v>
      </c>
      <c r="B554">
        <f t="shared" si="89"/>
        <v>99</v>
      </c>
      <c r="C554" cm="1">
        <f t="array" ref="C554">IFERROR(INDEX('TRIP MANAGER'!$O$18:$O$25,$A554),"")</f>
        <v>30.322479999999999</v>
      </c>
      <c r="D554" cm="1">
        <f t="array" ref="D554">IFERROR(INDEX('TRIP MANAGER'!$P$18:$P$25,$A554),"")</f>
        <v>-9.4120000000000008</v>
      </c>
      <c r="E554" cm="1">
        <f t="array" ref="E554">IFERROR(INDEX('TRIP MANAGER'!$Q$18:$Q$25,$A554),"")</f>
        <v>-26.140080000000001</v>
      </c>
      <c r="F554" cm="1">
        <f t="array" ref="F554">IFERROR(INDEX('TRIP MANAGER'!$R$18:$R$25,$A554),"")</f>
        <v>28.2468</v>
      </c>
      <c r="G554" cm="1">
        <f t="array" ref="G554">IFERROR(INDEX('TRIP MANAGER'!$S$18:$S$25,$A554),"")</f>
        <v>1.1690355391911331</v>
      </c>
      <c r="H554">
        <f t="shared" si="90"/>
        <v>0.66</v>
      </c>
      <c r="I554">
        <f t="shared" si="91"/>
        <v>0.42057770434318809</v>
      </c>
      <c r="J554">
        <f t="shared" si="92"/>
        <v>0.75757995904125974</v>
      </c>
      <c r="K554">
        <f t="shared" si="93"/>
        <v>0.95726116608639389</v>
      </c>
      <c r="L554">
        <f t="shared" si="94"/>
        <v>0.26249944926056834</v>
      </c>
      <c r="M554">
        <f t="shared" si="95"/>
        <v>-0.12142939940893943</v>
      </c>
      <c r="N554">
        <f t="shared" si="96"/>
        <v>-6.9746044563321261</v>
      </c>
      <c r="O554">
        <f t="shared" si="97"/>
        <v>15.334654977062565</v>
      </c>
      <c r="P554" t="str" cm="1">
        <f t="array" ref="P554">IF($N554="","",IFERROR(IF(INDEX(geo_grid!$B$2:$JU$231,INT(($N554+40)/0.5)+1,INT(($O554+30)/0.5)+1)="","",INDEX(geo_grid!$B$2:$JU$231,INT(($N554+40)/0.5)+1,INT(($O554+30)/0.5)+1)),"OUTSIDE GRID"))</f>
        <v>AGO</v>
      </c>
      <c r="Q554">
        <f t="shared" si="98"/>
        <v>4099</v>
      </c>
    </row>
    <row r="555" spans="1:17" x14ac:dyDescent="0.3">
      <c r="A555">
        <f t="shared" si="88"/>
        <v>4</v>
      </c>
      <c r="B555">
        <f t="shared" si="89"/>
        <v>100</v>
      </c>
      <c r="C555" cm="1">
        <f t="array" ref="C555">IFERROR(INDEX('TRIP MANAGER'!$O$18:$O$25,$A555),"")</f>
        <v>30.322479999999999</v>
      </c>
      <c r="D555" cm="1">
        <f t="array" ref="D555">IFERROR(INDEX('TRIP MANAGER'!$P$18:$P$25,$A555),"")</f>
        <v>-9.4120000000000008</v>
      </c>
      <c r="E555" cm="1">
        <f t="array" ref="E555">IFERROR(INDEX('TRIP MANAGER'!$Q$18:$Q$25,$A555),"")</f>
        <v>-26.140080000000001</v>
      </c>
      <c r="F555" cm="1">
        <f t="array" ref="F555">IFERROR(INDEX('TRIP MANAGER'!$R$18:$R$25,$A555),"")</f>
        <v>28.2468</v>
      </c>
      <c r="G555" cm="1">
        <f t="array" ref="G555">IFERROR(INDEX('TRIP MANAGER'!$S$18:$S$25,$A555),"")</f>
        <v>1.1690355391911331</v>
      </c>
      <c r="H555">
        <f t="shared" si="90"/>
        <v>0.66666666666666663</v>
      </c>
      <c r="I555">
        <f t="shared" si="91"/>
        <v>0.41275731101303476</v>
      </c>
      <c r="J555">
        <f t="shared" si="92"/>
        <v>0.7636268125254283</v>
      </c>
      <c r="K555">
        <f t="shared" si="93"/>
        <v>0.95538345035189076</v>
      </c>
      <c r="L555">
        <f t="shared" si="94"/>
        <v>0.2661724746515487</v>
      </c>
      <c r="M555">
        <f t="shared" si="95"/>
        <v>-0.12804169840948967</v>
      </c>
      <c r="N555">
        <f t="shared" si="96"/>
        <v>-7.3564441755004433</v>
      </c>
      <c r="O555">
        <f t="shared" si="97"/>
        <v>15.567984168530135</v>
      </c>
      <c r="P555" t="str" cm="1">
        <f t="array" ref="P555">IF($N555="","",IFERROR(IF(INDEX(geo_grid!$B$2:$JU$231,INT(($N555+40)/0.5)+1,INT(($O555+30)/0.5)+1)="","",INDEX(geo_grid!$B$2:$JU$231,INT(($N555+40)/0.5)+1,INT(($O555+30)/0.5)+1)),"OUTSIDE GRID"))</f>
        <v>AGO</v>
      </c>
      <c r="Q555">
        <f t="shared" si="98"/>
        <v>4100</v>
      </c>
    </row>
    <row r="556" spans="1:17" x14ac:dyDescent="0.3">
      <c r="A556">
        <f t="shared" si="88"/>
        <v>4</v>
      </c>
      <c r="B556">
        <f t="shared" si="89"/>
        <v>101</v>
      </c>
      <c r="C556" cm="1">
        <f t="array" ref="C556">IFERROR(INDEX('TRIP MANAGER'!$O$18:$O$25,$A556),"")</f>
        <v>30.322479999999999</v>
      </c>
      <c r="D556" cm="1">
        <f t="array" ref="D556">IFERROR(INDEX('TRIP MANAGER'!$P$18:$P$25,$A556),"")</f>
        <v>-9.4120000000000008</v>
      </c>
      <c r="E556" cm="1">
        <f t="array" ref="E556">IFERROR(INDEX('TRIP MANAGER'!$Q$18:$Q$25,$A556),"")</f>
        <v>-26.140080000000001</v>
      </c>
      <c r="F556" cm="1">
        <f t="array" ref="F556">IFERROR(INDEX('TRIP MANAGER'!$R$18:$R$25,$A556),"")</f>
        <v>28.2468</v>
      </c>
      <c r="G556" cm="1">
        <f t="array" ref="G556">IFERROR(INDEX('TRIP MANAGER'!$S$18:$S$25,$A556),"")</f>
        <v>1.1690355391911331</v>
      </c>
      <c r="H556">
        <f t="shared" si="90"/>
        <v>0.67333333333333334</v>
      </c>
      <c r="I556">
        <f t="shared" si="91"/>
        <v>0.40491184703909228</v>
      </c>
      <c r="J556">
        <f t="shared" si="92"/>
        <v>0.76962728375229061</v>
      </c>
      <c r="K556">
        <f t="shared" si="93"/>
        <v>0.95344770517120581</v>
      </c>
      <c r="L556">
        <f t="shared" si="94"/>
        <v>0.26982933287814381</v>
      </c>
      <c r="M556">
        <f t="shared" si="95"/>
        <v>-0.13464622023026562</v>
      </c>
      <c r="N556">
        <f t="shared" si="96"/>
        <v>-7.7381630231268002</v>
      </c>
      <c r="O556">
        <f t="shared" si="97"/>
        <v>15.801715158937242</v>
      </c>
      <c r="P556" t="str" cm="1">
        <f t="array" ref="P556">IF($N556="","",IFERROR(IF(INDEX(geo_grid!$B$2:$JU$231,INT(($N556+40)/0.5)+1,INT(($O556+30)/0.5)+1)="","",INDEX(geo_grid!$B$2:$JU$231,INT(($N556+40)/0.5)+1,INT(($O556+30)/0.5)+1)),"OUTSIDE GRID"))</f>
        <v>AGO</v>
      </c>
      <c r="Q556">
        <f t="shared" si="98"/>
        <v>4101</v>
      </c>
    </row>
    <row r="557" spans="1:17" x14ac:dyDescent="0.3">
      <c r="A557">
        <f t="shared" si="88"/>
        <v>4</v>
      </c>
      <c r="B557">
        <f t="shared" si="89"/>
        <v>102</v>
      </c>
      <c r="C557" cm="1">
        <f t="array" ref="C557">IFERROR(INDEX('TRIP MANAGER'!$O$18:$O$25,$A557),"")</f>
        <v>30.322479999999999</v>
      </c>
      <c r="D557" cm="1">
        <f t="array" ref="D557">IFERROR(INDEX('TRIP MANAGER'!$P$18:$P$25,$A557),"")</f>
        <v>-9.4120000000000008</v>
      </c>
      <c r="E557" cm="1">
        <f t="array" ref="E557">IFERROR(INDEX('TRIP MANAGER'!$Q$18:$Q$25,$A557),"")</f>
        <v>-26.140080000000001</v>
      </c>
      <c r="F557" cm="1">
        <f t="array" ref="F557">IFERROR(INDEX('TRIP MANAGER'!$R$18:$R$25,$A557),"")</f>
        <v>28.2468</v>
      </c>
      <c r="G557" cm="1">
        <f t="array" ref="G557">IFERROR(INDEX('TRIP MANAGER'!$S$18:$S$25,$A557),"")</f>
        <v>1.1690355391911331</v>
      </c>
      <c r="H557">
        <f t="shared" si="90"/>
        <v>0.68</v>
      </c>
      <c r="I557">
        <f t="shared" si="91"/>
        <v>0.39704178895037057</v>
      </c>
      <c r="J557">
        <f t="shared" si="92"/>
        <v>0.77558100825664433</v>
      </c>
      <c r="K557">
        <f t="shared" si="93"/>
        <v>0.95145404812039758</v>
      </c>
      <c r="L557">
        <f t="shared" si="94"/>
        <v>0.27346980182486919</v>
      </c>
      <c r="M557">
        <f t="shared" si="95"/>
        <v>-0.14124256371637639</v>
      </c>
      <c r="N557">
        <f t="shared" si="96"/>
        <v>-8.1197544274903457</v>
      </c>
      <c r="O557">
        <f t="shared" si="97"/>
        <v>16.035869656100026</v>
      </c>
      <c r="P557" t="str" cm="1">
        <f t="array" ref="P557">IF($N557="","",IFERROR(IF(INDEX(geo_grid!$B$2:$JU$231,INT(($N557+40)/0.5)+1,INT(($O557+30)/0.5)+1)="","",INDEX(geo_grid!$B$2:$JU$231,INT(($N557+40)/0.5)+1,INT(($O557+30)/0.5)+1)),"OUTSIDE GRID"))</f>
        <v>AGO</v>
      </c>
      <c r="Q557">
        <f t="shared" si="98"/>
        <v>4102</v>
      </c>
    </row>
    <row r="558" spans="1:17" x14ac:dyDescent="0.3">
      <c r="A558">
        <f t="shared" si="88"/>
        <v>4</v>
      </c>
      <c r="B558">
        <f t="shared" si="89"/>
        <v>103</v>
      </c>
      <c r="C558" cm="1">
        <f t="array" ref="C558">IFERROR(INDEX('TRIP MANAGER'!$O$18:$O$25,$A558),"")</f>
        <v>30.322479999999999</v>
      </c>
      <c r="D558" cm="1">
        <f t="array" ref="D558">IFERROR(INDEX('TRIP MANAGER'!$P$18:$P$25,$A558),"")</f>
        <v>-9.4120000000000008</v>
      </c>
      <c r="E558" cm="1">
        <f t="array" ref="E558">IFERROR(INDEX('TRIP MANAGER'!$Q$18:$Q$25,$A558),"")</f>
        <v>-26.140080000000001</v>
      </c>
      <c r="F558" cm="1">
        <f t="array" ref="F558">IFERROR(INDEX('TRIP MANAGER'!$R$18:$R$25,$A558),"")</f>
        <v>28.2468</v>
      </c>
      <c r="G558" cm="1">
        <f t="array" ref="G558">IFERROR(INDEX('TRIP MANAGER'!$S$18:$S$25,$A558),"")</f>
        <v>1.1690355391911331</v>
      </c>
      <c r="H558">
        <f t="shared" si="90"/>
        <v>0.68666666666666665</v>
      </c>
      <c r="I558">
        <f t="shared" si="91"/>
        <v>0.38914761476971188</v>
      </c>
      <c r="J558">
        <f t="shared" si="92"/>
        <v>0.78148762441265707</v>
      </c>
      <c r="K558">
        <f t="shared" si="93"/>
        <v>0.94940260029305923</v>
      </c>
      <c r="L558">
        <f t="shared" si="94"/>
        <v>0.27709366037171634</v>
      </c>
      <c r="M558">
        <f t="shared" si="95"/>
        <v>-0.14783032820967873</v>
      </c>
      <c r="N558">
        <f t="shared" si="96"/>
        <v>-8.501211772577344</v>
      </c>
      <c r="O558">
        <f t="shared" si="97"/>
        <v>16.270469493070319</v>
      </c>
      <c r="P558" t="str" cm="1">
        <f t="array" ref="P558">IF($N558="","",IFERROR(IF(INDEX(geo_grid!$B$2:$JU$231,INT(($N558+40)/0.5)+1,INT(($O558+30)/0.5)+1)="","",INDEX(geo_grid!$B$2:$JU$231,INT(($N558+40)/0.5)+1,INT(($O558+30)/0.5)+1)),"OUTSIDE GRID"))</f>
        <v>AGO</v>
      </c>
      <c r="Q558">
        <f t="shared" si="98"/>
        <v>4103</v>
      </c>
    </row>
    <row r="559" spans="1:17" x14ac:dyDescent="0.3">
      <c r="A559">
        <f t="shared" si="88"/>
        <v>4</v>
      </c>
      <c r="B559">
        <f t="shared" si="89"/>
        <v>104</v>
      </c>
      <c r="C559" cm="1">
        <f t="array" ref="C559">IFERROR(INDEX('TRIP MANAGER'!$O$18:$O$25,$A559),"")</f>
        <v>30.322479999999999</v>
      </c>
      <c r="D559" cm="1">
        <f t="array" ref="D559">IFERROR(INDEX('TRIP MANAGER'!$P$18:$P$25,$A559),"")</f>
        <v>-9.4120000000000008</v>
      </c>
      <c r="E559" cm="1">
        <f t="array" ref="E559">IFERROR(INDEX('TRIP MANAGER'!$Q$18:$Q$25,$A559),"")</f>
        <v>-26.140080000000001</v>
      </c>
      <c r="F559" cm="1">
        <f t="array" ref="F559">IFERROR(INDEX('TRIP MANAGER'!$R$18:$R$25,$A559),"")</f>
        <v>28.2468</v>
      </c>
      <c r="G559" cm="1">
        <f t="array" ref="G559">IFERROR(INDEX('TRIP MANAGER'!$S$18:$S$25,$A559),"")</f>
        <v>1.1690355391911331</v>
      </c>
      <c r="H559">
        <f t="shared" si="90"/>
        <v>0.69333333333333336</v>
      </c>
      <c r="I559">
        <f t="shared" si="91"/>
        <v>0.38122980398475581</v>
      </c>
      <c r="J559">
        <f t="shared" si="92"/>
        <v>0.7873467734558306</v>
      </c>
      <c r="K559">
        <f t="shared" si="93"/>
        <v>0.94729348629296228</v>
      </c>
      <c r="L559">
        <f t="shared" si="94"/>
        <v>0.28070068840758294</v>
      </c>
      <c r="M559">
        <f t="shared" si="95"/>
        <v>-0.15440911357311274</v>
      </c>
      <c r="N559">
        <f t="shared" si="96"/>
        <v>-8.8825283956971699</v>
      </c>
      <c r="O559">
        <f t="shared" si="97"/>
        <v>16.505536634705837</v>
      </c>
      <c r="P559" t="str" cm="1">
        <f t="array" ref="P559">IF($N559="","",IFERROR(IF(INDEX(geo_grid!$B$2:$JU$231,INT(($N559+40)/0.5)+1,INT(($O559+30)/0.5)+1)="","",INDEX(geo_grid!$B$2:$JU$231,INT(($N559+40)/0.5)+1,INT(($O559+30)/0.5)+1)),"OUTSIDE GRID"))</f>
        <v>AGO</v>
      </c>
      <c r="Q559">
        <f t="shared" si="98"/>
        <v>4104</v>
      </c>
    </row>
    <row r="560" spans="1:17" x14ac:dyDescent="0.3">
      <c r="A560">
        <f t="shared" si="88"/>
        <v>4</v>
      </c>
      <c r="B560">
        <f t="shared" si="89"/>
        <v>105</v>
      </c>
      <c r="C560" cm="1">
        <f t="array" ref="C560">IFERROR(INDEX('TRIP MANAGER'!$O$18:$O$25,$A560),"")</f>
        <v>30.322479999999999</v>
      </c>
      <c r="D560" cm="1">
        <f t="array" ref="D560">IFERROR(INDEX('TRIP MANAGER'!$P$18:$P$25,$A560),"")</f>
        <v>-9.4120000000000008</v>
      </c>
      <c r="E560" cm="1">
        <f t="array" ref="E560">IFERROR(INDEX('TRIP MANAGER'!$Q$18:$Q$25,$A560),"")</f>
        <v>-26.140080000000001</v>
      </c>
      <c r="F560" cm="1">
        <f t="array" ref="F560">IFERROR(INDEX('TRIP MANAGER'!$R$18:$R$25,$A560),"")</f>
        <v>28.2468</v>
      </c>
      <c r="G560" cm="1">
        <f t="array" ref="G560">IFERROR(INDEX('TRIP MANAGER'!$S$18:$S$25,$A560),"")</f>
        <v>1.1690355391911331</v>
      </c>
      <c r="H560">
        <f t="shared" si="90"/>
        <v>0.7</v>
      </c>
      <c r="I560">
        <f t="shared" si="91"/>
        <v>0.37328883751881625</v>
      </c>
      <c r="J560">
        <f t="shared" si="92"/>
        <v>0.79315809950479155</v>
      </c>
      <c r="K560">
        <f t="shared" si="93"/>
        <v>0.94512683422648869</v>
      </c>
      <c r="L560">
        <f t="shared" si="94"/>
        <v>0.28429066684364196</v>
      </c>
      <c r="M560">
        <f t="shared" si="95"/>
        <v>-0.16097852021500525</v>
      </c>
      <c r="N560">
        <f t="shared" si="96"/>
        <v>-9.2636975850693659</v>
      </c>
      <c r="O560">
        <f t="shared" si="97"/>
        <v>16.741093184295217</v>
      </c>
      <c r="P560" t="str" cm="1">
        <f t="array" ref="P560">IF($N560="","",IFERROR(IF(INDEX(geo_grid!$B$2:$JU$231,INT(($N560+40)/0.5)+1,INT(($O560+30)/0.5)+1)="","",INDEX(geo_grid!$B$2:$JU$231,INT(($N560+40)/0.5)+1,INT(($O560+30)/0.5)+1)),"OUTSIDE GRID"))</f>
        <v>AGO</v>
      </c>
      <c r="Q560">
        <f t="shared" si="98"/>
        <v>4105</v>
      </c>
    </row>
    <row r="561" spans="1:17" x14ac:dyDescent="0.3">
      <c r="A561">
        <f t="shared" si="88"/>
        <v>4</v>
      </c>
      <c r="B561">
        <f t="shared" si="89"/>
        <v>106</v>
      </c>
      <c r="C561" cm="1">
        <f t="array" ref="C561">IFERROR(INDEX('TRIP MANAGER'!$O$18:$O$25,$A561),"")</f>
        <v>30.322479999999999</v>
      </c>
      <c r="D561" cm="1">
        <f t="array" ref="D561">IFERROR(INDEX('TRIP MANAGER'!$P$18:$P$25,$A561),"")</f>
        <v>-9.4120000000000008</v>
      </c>
      <c r="E561" cm="1">
        <f t="array" ref="E561">IFERROR(INDEX('TRIP MANAGER'!$Q$18:$Q$25,$A561),"")</f>
        <v>-26.140080000000001</v>
      </c>
      <c r="F561" cm="1">
        <f t="array" ref="F561">IFERROR(INDEX('TRIP MANAGER'!$R$18:$R$25,$A561),"")</f>
        <v>28.2468</v>
      </c>
      <c r="G561" cm="1">
        <f t="array" ref="G561">IFERROR(INDEX('TRIP MANAGER'!$S$18:$S$25,$A561),"")</f>
        <v>1.1690355391911331</v>
      </c>
      <c r="H561">
        <f t="shared" si="90"/>
        <v>0.70666666666666667</v>
      </c>
      <c r="I561">
        <f t="shared" si="91"/>
        <v>0.3653251977016696</v>
      </c>
      <c r="J561">
        <f t="shared" si="92"/>
        <v>0.79892124958290855</v>
      </c>
      <c r="K561">
        <f t="shared" si="93"/>
        <v>0.94290277569485004</v>
      </c>
      <c r="L561">
        <f t="shared" si="94"/>
        <v>0.28786337762664976</v>
      </c>
      <c r="M561">
        <f t="shared" si="95"/>
        <v>-0.16753814911334178</v>
      </c>
      <c r="N561">
        <f t="shared" si="96"/>
        <v>-9.6447125773804494</v>
      </c>
      <c r="O561">
        <f t="shared" si="97"/>
        <v>16.977161390240532</v>
      </c>
      <c r="P561" t="str" cm="1">
        <f t="array" ref="P561">IF($N561="","",IFERROR(IF(INDEX(geo_grid!$B$2:$JU$231,INT(($N561+40)/0.5)+1,INT(($O561+30)/0.5)+1)="","",INDEX(geo_grid!$B$2:$JU$231,INT(($N561+40)/0.5)+1,INT(($O561+30)/0.5)+1)),"OUTSIDE GRID"))</f>
        <v>AGO</v>
      </c>
      <c r="Q561">
        <f t="shared" si="98"/>
        <v>4106</v>
      </c>
    </row>
    <row r="562" spans="1:17" x14ac:dyDescent="0.3">
      <c r="A562">
        <f t="shared" si="88"/>
        <v>4</v>
      </c>
      <c r="B562">
        <f t="shared" si="89"/>
        <v>107</v>
      </c>
      <c r="C562" cm="1">
        <f t="array" ref="C562">IFERROR(INDEX('TRIP MANAGER'!$O$18:$O$25,$A562),"")</f>
        <v>30.322479999999999</v>
      </c>
      <c r="D562" cm="1">
        <f t="array" ref="D562">IFERROR(INDEX('TRIP MANAGER'!$P$18:$P$25,$A562),"")</f>
        <v>-9.4120000000000008</v>
      </c>
      <c r="E562" cm="1">
        <f t="array" ref="E562">IFERROR(INDEX('TRIP MANAGER'!$Q$18:$Q$25,$A562),"")</f>
        <v>-26.140080000000001</v>
      </c>
      <c r="F562" cm="1">
        <f t="array" ref="F562">IFERROR(INDEX('TRIP MANAGER'!$R$18:$R$25,$A562),"")</f>
        <v>28.2468</v>
      </c>
      <c r="G562" cm="1">
        <f t="array" ref="G562">IFERROR(INDEX('TRIP MANAGER'!$S$18:$S$25,$A562),"")</f>
        <v>1.1690355391911331</v>
      </c>
      <c r="H562">
        <f t="shared" si="90"/>
        <v>0.71333333333333337</v>
      </c>
      <c r="I562">
        <f t="shared" si="91"/>
        <v>0.35733936824025908</v>
      </c>
      <c r="J562">
        <f t="shared" si="92"/>
        <v>0.80463587363973088</v>
      </c>
      <c r="K562">
        <f t="shared" si="93"/>
        <v>0.94062144578609364</v>
      </c>
      <c r="L562">
        <f t="shared" si="94"/>
        <v>0.2914186037521897</v>
      </c>
      <c r="M562">
        <f t="shared" si="95"/>
        <v>-0.17408760184000205</v>
      </c>
      <c r="N562">
        <f t="shared" si="96"/>
        <v>-10.02556655530868</v>
      </c>
      <c r="O562">
        <f t="shared" si="97"/>
        <v>17.213763652799628</v>
      </c>
      <c r="P562" t="str" cm="1">
        <f t="array" ref="P562">IF($N562="","",IFERROR(IF(INDEX(geo_grid!$B$2:$JU$231,INT(($N562+40)/0.5)+1,INT(($O562+30)/0.5)+1)="","",INDEX(geo_grid!$B$2:$JU$231,INT(($N562+40)/0.5)+1,INT(($O562+30)/0.5)+1)),"OUTSIDE GRID"))</f>
        <v>AGO</v>
      </c>
      <c r="Q562">
        <f t="shared" si="98"/>
        <v>4107</v>
      </c>
    </row>
    <row r="563" spans="1:17" x14ac:dyDescent="0.3">
      <c r="A563">
        <f t="shared" si="88"/>
        <v>4</v>
      </c>
      <c r="B563">
        <f t="shared" si="89"/>
        <v>108</v>
      </c>
      <c r="C563" cm="1">
        <f t="array" ref="C563">IFERROR(INDEX('TRIP MANAGER'!$O$18:$O$25,$A563),"")</f>
        <v>30.322479999999999</v>
      </c>
      <c r="D563" cm="1">
        <f t="array" ref="D563">IFERROR(INDEX('TRIP MANAGER'!$P$18:$P$25,$A563),"")</f>
        <v>-9.4120000000000008</v>
      </c>
      <c r="E563" cm="1">
        <f t="array" ref="E563">IFERROR(INDEX('TRIP MANAGER'!$Q$18:$Q$25,$A563),"")</f>
        <v>-26.140080000000001</v>
      </c>
      <c r="F563" cm="1">
        <f t="array" ref="F563">IFERROR(INDEX('TRIP MANAGER'!$R$18:$R$25,$A563),"")</f>
        <v>28.2468</v>
      </c>
      <c r="G563" cm="1">
        <f t="array" ref="G563">IFERROR(INDEX('TRIP MANAGER'!$S$18:$S$25,$A563),"")</f>
        <v>1.1690355391911331</v>
      </c>
      <c r="H563">
        <f t="shared" si="90"/>
        <v>0.72</v>
      </c>
      <c r="I563">
        <f t="shared" si="91"/>
        <v>0.34933183418931413</v>
      </c>
      <c r="J563">
        <f t="shared" si="92"/>
        <v>0.81030162457225074</v>
      </c>
      <c r="K563">
        <f t="shared" si="93"/>
        <v>0.93828298306689795</v>
      </c>
      <c r="L563">
        <f t="shared" si="94"/>
        <v>0.29495612927785358</v>
      </c>
      <c r="M563">
        <f t="shared" si="95"/>
        <v>-0.18062648058496067</v>
      </c>
      <c r="N563">
        <f t="shared" si="96"/>
        <v>-10.406252645015419</v>
      </c>
      <c r="O563">
        <f t="shared" si="97"/>
        <v>17.450922530891031</v>
      </c>
      <c r="P563" t="str" cm="1">
        <f t="array" ref="P563">IF($N563="","",IFERROR(IF(INDEX(geo_grid!$B$2:$JU$231,INT(($N563+40)/0.5)+1,INT(($O563+30)/0.5)+1)="","",INDEX(geo_grid!$B$2:$JU$231,INT(($N563+40)/0.5)+1,INT(($O563+30)/0.5)+1)),"OUTSIDE GRID"))</f>
        <v>AGO</v>
      </c>
      <c r="Q563">
        <f t="shared" si="98"/>
        <v>4108</v>
      </c>
    </row>
    <row r="564" spans="1:17" x14ac:dyDescent="0.3">
      <c r="A564">
        <f t="shared" si="88"/>
        <v>4</v>
      </c>
      <c r="B564">
        <f t="shared" si="89"/>
        <v>109</v>
      </c>
      <c r="C564" cm="1">
        <f t="array" ref="C564">IFERROR(INDEX('TRIP MANAGER'!$O$18:$O$25,$A564),"")</f>
        <v>30.322479999999999</v>
      </c>
      <c r="D564" cm="1">
        <f t="array" ref="D564">IFERROR(INDEX('TRIP MANAGER'!$P$18:$P$25,$A564),"")</f>
        <v>-9.4120000000000008</v>
      </c>
      <c r="E564" cm="1">
        <f t="array" ref="E564">IFERROR(INDEX('TRIP MANAGER'!$Q$18:$Q$25,$A564),"")</f>
        <v>-26.140080000000001</v>
      </c>
      <c r="F564" cm="1">
        <f t="array" ref="F564">IFERROR(INDEX('TRIP MANAGER'!$R$18:$R$25,$A564),"")</f>
        <v>28.2468</v>
      </c>
      <c r="G564" cm="1">
        <f t="array" ref="G564">IFERROR(INDEX('TRIP MANAGER'!$S$18:$S$25,$A564),"")</f>
        <v>1.1690355391911331</v>
      </c>
      <c r="H564">
        <f t="shared" si="90"/>
        <v>0.72666666666666668</v>
      </c>
      <c r="I564">
        <f t="shared" si="91"/>
        <v>0.34130308192188824</v>
      </c>
      <c r="J564">
        <f t="shared" si="92"/>
        <v>0.81591815824598646</v>
      </c>
      <c r="K564">
        <f t="shared" si="93"/>
        <v>0.93588752957415555</v>
      </c>
      <c r="L564">
        <f t="shared" si="94"/>
        <v>0.29847573933635757</v>
      </c>
      <c r="M564">
        <f t="shared" si="95"/>
        <v>-0.18715438818045041</v>
      </c>
      <c r="N564">
        <f t="shared" si="96"/>
        <v>-10.786763913601389</v>
      </c>
      <c r="O564">
        <f t="shared" si="97"/>
        <v>17.68866074896377</v>
      </c>
      <c r="P564" t="str" cm="1">
        <f t="array" ref="P564">IF($N564="","",IFERROR(IF(INDEX(geo_grid!$B$2:$JU$231,INT(($N564+40)/0.5)+1,INT(($O564+30)/0.5)+1)="","",INDEX(geo_grid!$B$2:$JU$231,INT(($N564+40)/0.5)+1,INT(($O564+30)/0.5)+1)),"OUTSIDE GRID"))</f>
        <v>AGO</v>
      </c>
      <c r="Q564">
        <f t="shared" si="98"/>
        <v>4109</v>
      </c>
    </row>
    <row r="565" spans="1:17" x14ac:dyDescent="0.3">
      <c r="A565">
        <f t="shared" si="88"/>
        <v>4</v>
      </c>
      <c r="B565">
        <f t="shared" si="89"/>
        <v>110</v>
      </c>
      <c r="C565" cm="1">
        <f t="array" ref="C565">IFERROR(INDEX('TRIP MANAGER'!$O$18:$O$25,$A565),"")</f>
        <v>30.322479999999999</v>
      </c>
      <c r="D565" cm="1">
        <f t="array" ref="D565">IFERROR(INDEX('TRIP MANAGER'!$P$18:$P$25,$A565),"")</f>
        <v>-9.4120000000000008</v>
      </c>
      <c r="E565" cm="1">
        <f t="array" ref="E565">IFERROR(INDEX('TRIP MANAGER'!$Q$18:$Q$25,$A565),"")</f>
        <v>-26.140080000000001</v>
      </c>
      <c r="F565" cm="1">
        <f t="array" ref="F565">IFERROR(INDEX('TRIP MANAGER'!$R$18:$R$25,$A565),"")</f>
        <v>28.2468</v>
      </c>
      <c r="G565" cm="1">
        <f t="array" ref="G565">IFERROR(INDEX('TRIP MANAGER'!$S$18:$S$25,$A565),"")</f>
        <v>1.1690355391911331</v>
      </c>
      <c r="H565">
        <f t="shared" si="90"/>
        <v>0.73333333333333328</v>
      </c>
      <c r="I565">
        <f t="shared" si="91"/>
        <v>0.33325359909981783</v>
      </c>
      <c r="J565">
        <f t="shared" si="92"/>
        <v>0.82148513351588381</v>
      </c>
      <c r="K565">
        <f t="shared" si="93"/>
        <v>0.93343523080634605</v>
      </c>
      <c r="L565">
        <f t="shared" si="94"/>
        <v>0.30197722014859285</v>
      </c>
      <c r="M565">
        <f t="shared" si="95"/>
        <v>-0.19367092812508449</v>
      </c>
      <c r="N565">
        <f t="shared" si="96"/>
        <v>-11.167093366526135</v>
      </c>
      <c r="O565">
        <f t="shared" si="97"/>
        <v>17.92700120393463</v>
      </c>
      <c r="P565" t="str" cm="1">
        <f t="array" ref="P565">IF($N565="","",IFERROR(IF(INDEX(geo_grid!$B$2:$JU$231,INT(($N565+40)/0.5)+1,INT(($O565+30)/0.5)+1)="","",INDEX(geo_grid!$B$2:$JU$231,INT(($N565+40)/0.5)+1,INT(($O565+30)/0.5)+1)),"OUTSIDE GRID"))</f>
        <v>AGO</v>
      </c>
      <c r="Q565">
        <f t="shared" si="98"/>
        <v>4110</v>
      </c>
    </row>
    <row r="566" spans="1:17" x14ac:dyDescent="0.3">
      <c r="A566">
        <f t="shared" si="88"/>
        <v>4</v>
      </c>
      <c r="B566">
        <f t="shared" si="89"/>
        <v>111</v>
      </c>
      <c r="C566" cm="1">
        <f t="array" ref="C566">IFERROR(INDEX('TRIP MANAGER'!$O$18:$O$25,$A566),"")</f>
        <v>30.322479999999999</v>
      </c>
      <c r="D566" cm="1">
        <f t="array" ref="D566">IFERROR(INDEX('TRIP MANAGER'!$P$18:$P$25,$A566),"")</f>
        <v>-9.4120000000000008</v>
      </c>
      <c r="E566" cm="1">
        <f t="array" ref="E566">IFERROR(INDEX('TRIP MANAGER'!$Q$18:$Q$25,$A566),"")</f>
        <v>-26.140080000000001</v>
      </c>
      <c r="F566" cm="1">
        <f t="array" ref="F566">IFERROR(INDEX('TRIP MANAGER'!$R$18:$R$25,$A566),"")</f>
        <v>28.2468</v>
      </c>
      <c r="G566" cm="1">
        <f t="array" ref="G566">IFERROR(INDEX('TRIP MANAGER'!$S$18:$S$25,$A566),"")</f>
        <v>1.1690355391911331</v>
      </c>
      <c r="H566">
        <f t="shared" si="90"/>
        <v>0.74</v>
      </c>
      <c r="I566">
        <f t="shared" si="91"/>
        <v>0.32518387464410076</v>
      </c>
      <c r="J566">
        <f t="shared" si="92"/>
        <v>0.82700221224703852</v>
      </c>
      <c r="K566">
        <f t="shared" si="93"/>
        <v>0.93092623571469868</v>
      </c>
      <c r="L566">
        <f t="shared" si="94"/>
        <v>0.3054603590366109</v>
      </c>
      <c r="M566">
        <f t="shared" si="95"/>
        <v>-0.20017570460794171</v>
      </c>
      <c r="N566">
        <f t="shared" si="96"/>
        <v>-11.547233944989298</v>
      </c>
      <c r="O566">
        <f t="shared" si="97"/>
        <v>18.165966972195413</v>
      </c>
      <c r="P566" t="str" cm="1">
        <f t="array" ref="P566">IF($N566="","",IFERROR(IF(INDEX(geo_grid!$B$2:$JU$231,INT(($N566+40)/0.5)+1,INT(($O566+30)/0.5)+1)="","",INDEX(geo_grid!$B$2:$JU$231,INT(($N566+40)/0.5)+1,INT(($O566+30)/0.5)+1)),"OUTSIDE GRID"))</f>
        <v>AGO</v>
      </c>
      <c r="Q566">
        <f t="shared" si="98"/>
        <v>4111</v>
      </c>
    </row>
    <row r="567" spans="1:17" x14ac:dyDescent="0.3">
      <c r="A567">
        <f t="shared" si="88"/>
        <v>4</v>
      </c>
      <c r="B567">
        <f t="shared" si="89"/>
        <v>112</v>
      </c>
      <c r="C567" cm="1">
        <f t="array" ref="C567">IFERROR(INDEX('TRIP MANAGER'!$O$18:$O$25,$A567),"")</f>
        <v>30.322479999999999</v>
      </c>
      <c r="D567" cm="1">
        <f t="array" ref="D567">IFERROR(INDEX('TRIP MANAGER'!$P$18:$P$25,$A567),"")</f>
        <v>-9.4120000000000008</v>
      </c>
      <c r="E567" cm="1">
        <f t="array" ref="E567">IFERROR(INDEX('TRIP MANAGER'!$Q$18:$Q$25,$A567),"")</f>
        <v>-26.140080000000001</v>
      </c>
      <c r="F567" cm="1">
        <f t="array" ref="F567">IFERROR(INDEX('TRIP MANAGER'!$R$18:$R$25,$A567),"")</f>
        <v>28.2468</v>
      </c>
      <c r="G567" cm="1">
        <f t="array" ref="G567">IFERROR(INDEX('TRIP MANAGER'!$S$18:$S$25,$A567),"")</f>
        <v>1.1690355391911331</v>
      </c>
      <c r="H567">
        <f t="shared" si="90"/>
        <v>0.7466666666666667</v>
      </c>
      <c r="I567">
        <f t="shared" si="91"/>
        <v>0.31709439870520073</v>
      </c>
      <c r="J567">
        <f t="shared" si="92"/>
        <v>0.8324690593352333</v>
      </c>
      <c r="K567">
        <f t="shared" si="93"/>
        <v>0.92836069669414534</v>
      </c>
      <c r="L567">
        <f t="shared" si="94"/>
        <v>0.30892494443654106</v>
      </c>
      <c r="M567">
        <f t="shared" si="95"/>
        <v>-0.2066683225326062</v>
      </c>
      <c r="N567">
        <f t="shared" si="96"/>
        <v>-11.927178523271669</v>
      </c>
      <c r="O567">
        <f t="shared" si="97"/>
        <v>18.405581316692519</v>
      </c>
      <c r="P567" t="str" cm="1">
        <f t="array" ref="P567">IF($N567="","",IFERROR(IF(INDEX(geo_grid!$B$2:$JU$231,INT(($N567+40)/0.5)+1,INT(($O567+30)/0.5)+1)="","",INDEX(geo_grid!$B$2:$JU$231,INT(($N567+40)/0.5)+1,INT(($O567+30)/0.5)+1)),"OUTSIDE GRID"))</f>
        <v>AGO</v>
      </c>
      <c r="Q567">
        <f t="shared" si="98"/>
        <v>4112</v>
      </c>
    </row>
    <row r="568" spans="1:17" x14ac:dyDescent="0.3">
      <c r="A568">
        <f t="shared" si="88"/>
        <v>4</v>
      </c>
      <c r="B568">
        <f t="shared" si="89"/>
        <v>113</v>
      </c>
      <c r="C568" cm="1">
        <f t="array" ref="C568">IFERROR(INDEX('TRIP MANAGER'!$O$18:$O$25,$A568),"")</f>
        <v>30.322479999999999</v>
      </c>
      <c r="D568" cm="1">
        <f t="array" ref="D568">IFERROR(INDEX('TRIP MANAGER'!$P$18:$P$25,$A568),"")</f>
        <v>-9.4120000000000008</v>
      </c>
      <c r="E568" cm="1">
        <f t="array" ref="E568">IFERROR(INDEX('TRIP MANAGER'!$Q$18:$Q$25,$A568),"")</f>
        <v>-26.140080000000001</v>
      </c>
      <c r="F568" cm="1">
        <f t="array" ref="F568">IFERROR(INDEX('TRIP MANAGER'!$R$18:$R$25,$A568),"")</f>
        <v>28.2468</v>
      </c>
      <c r="G568" cm="1">
        <f t="array" ref="G568">IFERROR(INDEX('TRIP MANAGER'!$S$18:$S$25,$A568),"")</f>
        <v>1.1690355391911331</v>
      </c>
      <c r="H568">
        <f t="shared" si="90"/>
        <v>0.7533333333333333</v>
      </c>
      <c r="I568">
        <f t="shared" si="91"/>
        <v>0.30898566263327526</v>
      </c>
      <c r="J568">
        <f t="shared" si="92"/>
        <v>0.83788534272729187</v>
      </c>
      <c r="K568">
        <f t="shared" si="93"/>
        <v>0.9257387695740632</v>
      </c>
      <c r="L568">
        <f t="shared" si="94"/>
        <v>0.31237076591144097</v>
      </c>
      <c r="M568">
        <f t="shared" si="95"/>
        <v>-0.21314838754116594</v>
      </c>
      <c r="N568">
        <f t="shared" si="96"/>
        <v>-12.306919906034629</v>
      </c>
      <c r="O568">
        <f t="shared" si="97"/>
        <v>18.645867694081396</v>
      </c>
      <c r="P568" t="str" cm="1">
        <f t="array" ref="P568">IF($N568="","",IFERROR(IF(INDEX(geo_grid!$B$2:$JU$231,INT(($N568+40)/0.5)+1,INT(($O568+30)/0.5)+1)="","",INDEX(geo_grid!$B$2:$JU$231,INT(($N568+40)/0.5)+1,INT(($O568+30)/0.5)+1)),"OUTSIDE GRID"))</f>
        <v>AGO</v>
      </c>
      <c r="Q568">
        <f t="shared" si="98"/>
        <v>4113</v>
      </c>
    </row>
    <row r="569" spans="1:17" x14ac:dyDescent="0.3">
      <c r="A569">
        <f t="shared" si="88"/>
        <v>4</v>
      </c>
      <c r="B569">
        <f t="shared" si="89"/>
        <v>114</v>
      </c>
      <c r="C569" cm="1">
        <f t="array" ref="C569">IFERROR(INDEX('TRIP MANAGER'!$O$18:$O$25,$A569),"")</f>
        <v>30.322479999999999</v>
      </c>
      <c r="D569" cm="1">
        <f t="array" ref="D569">IFERROR(INDEX('TRIP MANAGER'!$P$18:$P$25,$A569),"")</f>
        <v>-9.4120000000000008</v>
      </c>
      <c r="E569" cm="1">
        <f t="array" ref="E569">IFERROR(INDEX('TRIP MANAGER'!$Q$18:$Q$25,$A569),"")</f>
        <v>-26.140080000000001</v>
      </c>
      <c r="F569" cm="1">
        <f t="array" ref="F569">IFERROR(INDEX('TRIP MANAGER'!$R$18:$R$25,$A569),"")</f>
        <v>28.2468</v>
      </c>
      <c r="G569" cm="1">
        <f t="array" ref="G569">IFERROR(INDEX('TRIP MANAGER'!$S$18:$S$25,$A569),"")</f>
        <v>1.1690355391911331</v>
      </c>
      <c r="H569">
        <f t="shared" si="90"/>
        <v>0.76</v>
      </c>
      <c r="I569">
        <f t="shared" si="91"/>
        <v>0.30085815894833084</v>
      </c>
      <c r="J569">
        <f t="shared" si="92"/>
        <v>0.84325073344124901</v>
      </c>
      <c r="K569">
        <f t="shared" si="93"/>
        <v>0.92306061360881153</v>
      </c>
      <c r="L569">
        <f t="shared" si="94"/>
        <v>0.31579761416407864</v>
      </c>
      <c r="M569">
        <f t="shared" si="95"/>
        <v>-0.21961550603816651</v>
      </c>
      <c r="N569">
        <f t="shared" si="96"/>
        <v>-12.686450825576097</v>
      </c>
      <c r="O569">
        <f t="shared" si="97"/>
        <v>18.886849761958175</v>
      </c>
      <c r="P569" t="str" cm="1">
        <f t="array" ref="P569">IF($N569="","",IFERROR(IF(INDEX(geo_grid!$B$2:$JU$231,INT(($N569+40)/0.5)+1,INT(($O569+30)/0.5)+1)="","",INDEX(geo_grid!$B$2:$JU$231,INT(($N569+40)/0.5)+1,INT(($O569+30)/0.5)+1)),"OUTSIDE GRID"))</f>
        <v>AGO</v>
      </c>
      <c r="Q569">
        <f t="shared" si="98"/>
        <v>4114</v>
      </c>
    </row>
    <row r="570" spans="1:17" x14ac:dyDescent="0.3">
      <c r="A570">
        <f t="shared" si="88"/>
        <v>4</v>
      </c>
      <c r="B570">
        <f t="shared" si="89"/>
        <v>115</v>
      </c>
      <c r="C570" cm="1">
        <f t="array" ref="C570">IFERROR(INDEX('TRIP MANAGER'!$O$18:$O$25,$A570),"")</f>
        <v>30.322479999999999</v>
      </c>
      <c r="D570" cm="1">
        <f t="array" ref="D570">IFERROR(INDEX('TRIP MANAGER'!$P$18:$P$25,$A570),"")</f>
        <v>-9.4120000000000008</v>
      </c>
      <c r="E570" cm="1">
        <f t="array" ref="E570">IFERROR(INDEX('TRIP MANAGER'!$Q$18:$Q$25,$A570),"")</f>
        <v>-26.140080000000001</v>
      </c>
      <c r="F570" cm="1">
        <f t="array" ref="F570">IFERROR(INDEX('TRIP MANAGER'!$R$18:$R$25,$A570),"")</f>
        <v>28.2468</v>
      </c>
      <c r="G570" cm="1">
        <f t="array" ref="G570">IFERROR(INDEX('TRIP MANAGER'!$S$18:$S$25,$A570),"")</f>
        <v>1.1690355391911331</v>
      </c>
      <c r="H570">
        <f t="shared" si="90"/>
        <v>0.76666666666666672</v>
      </c>
      <c r="I570">
        <f t="shared" si="91"/>
        <v>0.29271238131030852</v>
      </c>
      <c r="J570">
        <f t="shared" si="92"/>
        <v>0.8485649055863308</v>
      </c>
      <c r="K570">
        <f t="shared" si="93"/>
        <v>0.92032639146805684</v>
      </c>
      <c r="L570">
        <f t="shared" si="94"/>
        <v>0.31920528104964452</v>
      </c>
      <c r="M570">
        <f t="shared" si="95"/>
        <v>-0.22606928521451661</v>
      </c>
      <c r="N570">
        <f t="shared" si="96"/>
        <v>-13.065763939041139</v>
      </c>
      <c r="O570">
        <f t="shared" si="97"/>
        <v>19.128551386170887</v>
      </c>
      <c r="P570" t="str" cm="1">
        <f t="array" ref="P570">IF($N570="","",IFERROR(IF(INDEX(geo_grid!$B$2:$JU$231,INT(($N570+40)/0.5)+1,INT(($O570+30)/0.5)+1)="","",INDEX(geo_grid!$B$2:$JU$231,INT(($N570+40)/0.5)+1,INT(($O570+30)/0.5)+1)),"OUTSIDE GRID"))</f>
        <v>AGO</v>
      </c>
      <c r="Q570">
        <f t="shared" si="98"/>
        <v>4115</v>
      </c>
    </row>
    <row r="571" spans="1:17" x14ac:dyDescent="0.3">
      <c r="A571">
        <f t="shared" si="88"/>
        <v>4</v>
      </c>
      <c r="B571">
        <f t="shared" si="89"/>
        <v>116</v>
      </c>
      <c r="C571" cm="1">
        <f t="array" ref="C571">IFERROR(INDEX('TRIP MANAGER'!$O$18:$O$25,$A571),"")</f>
        <v>30.322479999999999</v>
      </c>
      <c r="D571" cm="1">
        <f t="array" ref="D571">IFERROR(INDEX('TRIP MANAGER'!$P$18:$P$25,$A571),"")</f>
        <v>-9.4120000000000008</v>
      </c>
      <c r="E571" cm="1">
        <f t="array" ref="E571">IFERROR(INDEX('TRIP MANAGER'!$Q$18:$Q$25,$A571),"")</f>
        <v>-26.140080000000001</v>
      </c>
      <c r="F571" cm="1">
        <f t="array" ref="F571">IFERROR(INDEX('TRIP MANAGER'!$R$18:$R$25,$A571),"")</f>
        <v>28.2468</v>
      </c>
      <c r="G571" cm="1">
        <f t="array" ref="G571">IFERROR(INDEX('TRIP MANAGER'!$S$18:$S$25,$A571),"")</f>
        <v>1.1690355391911331</v>
      </c>
      <c r="H571">
        <f t="shared" si="90"/>
        <v>0.77333333333333332</v>
      </c>
      <c r="I571">
        <f t="shared" si="91"/>
        <v>0.28454882448909885</v>
      </c>
      <c r="J571">
        <f t="shared" si="92"/>
        <v>0.85382753638275033</v>
      </c>
      <c r="K571">
        <f t="shared" si="93"/>
        <v>0.91753626922689324</v>
      </c>
      <c r="L571">
        <f t="shared" si="94"/>
        <v>0.32259355958839431</v>
      </c>
      <c r="M571">
        <f t="shared" si="95"/>
        <v>-0.23250933307134783</v>
      </c>
      <c r="N571">
        <f t="shared" si="96"/>
        <v>-13.444851825585664</v>
      </c>
      <c r="O571">
        <f t="shared" si="97"/>
        <v>19.370996648212614</v>
      </c>
      <c r="P571" t="str" cm="1">
        <f t="array" ref="P571">IF($N571="","",IFERROR(IF(INDEX(geo_grid!$B$2:$JU$231,INT(($N571+40)/0.5)+1,INT(($O571+30)/0.5)+1)="","",INDEX(geo_grid!$B$2:$JU$231,INT(($N571+40)/0.5)+1,INT(($O571+30)/0.5)+1)),"OUTSIDE GRID"))</f>
        <v>AGO</v>
      </c>
      <c r="Q571">
        <f t="shared" si="98"/>
        <v>4116</v>
      </c>
    </row>
    <row r="572" spans="1:17" x14ac:dyDescent="0.3">
      <c r="A572">
        <f t="shared" si="88"/>
        <v>4</v>
      </c>
      <c r="B572">
        <f t="shared" si="89"/>
        <v>117</v>
      </c>
      <c r="C572" cm="1">
        <f t="array" ref="C572">IFERROR(INDEX('TRIP MANAGER'!$O$18:$O$25,$A572),"")</f>
        <v>30.322479999999999</v>
      </c>
      <c r="D572" cm="1">
        <f t="array" ref="D572">IFERROR(INDEX('TRIP MANAGER'!$P$18:$P$25,$A572),"")</f>
        <v>-9.4120000000000008</v>
      </c>
      <c r="E572" cm="1">
        <f t="array" ref="E572">IFERROR(INDEX('TRIP MANAGER'!$Q$18:$Q$25,$A572),"")</f>
        <v>-26.140080000000001</v>
      </c>
      <c r="F572" cm="1">
        <f t="array" ref="F572">IFERROR(INDEX('TRIP MANAGER'!$R$18:$R$25,$A572),"")</f>
        <v>28.2468</v>
      </c>
      <c r="G572" cm="1">
        <f t="array" ref="G572">IFERROR(INDEX('TRIP MANAGER'!$S$18:$S$25,$A572),"")</f>
        <v>1.1690355391911331</v>
      </c>
      <c r="H572">
        <f t="shared" si="90"/>
        <v>0.78</v>
      </c>
      <c r="I572">
        <f t="shared" si="91"/>
        <v>0.27636798433448956</v>
      </c>
      <c r="J572">
        <f t="shared" si="92"/>
        <v>0.85903830618131316</v>
      </c>
      <c r="K572">
        <f t="shared" si="93"/>
        <v>0.91469041635575554</v>
      </c>
      <c r="L572">
        <f t="shared" si="94"/>
        <v>0.32596224397822121</v>
      </c>
      <c r="M572">
        <f t="shared" si="95"/>
        <v>-0.2389352584438246</v>
      </c>
      <c r="N572">
        <f t="shared" si="96"/>
        <v>-13.823706983491139</v>
      </c>
      <c r="O572">
        <f t="shared" si="97"/>
        <v>19.614209852698856</v>
      </c>
      <c r="P572" t="str" cm="1">
        <f t="array" ref="P572">IF($N572="","",IFERROR(IF(INDEX(geo_grid!$B$2:$JU$231,INT(($N572+40)/0.5)+1,INT(($O572+30)/0.5)+1)="","",INDEX(geo_grid!$B$2:$JU$231,INT(($N572+40)/0.5)+1,INT(($O572+30)/0.5)+1)),"OUTSIDE GRID"))</f>
        <v>AGO</v>
      </c>
      <c r="Q572">
        <f t="shared" si="98"/>
        <v>4117</v>
      </c>
    </row>
    <row r="573" spans="1:17" x14ac:dyDescent="0.3">
      <c r="A573">
        <f t="shared" si="88"/>
        <v>4</v>
      </c>
      <c r="B573">
        <f t="shared" si="89"/>
        <v>118</v>
      </c>
      <c r="C573" cm="1">
        <f t="array" ref="C573">IFERROR(INDEX('TRIP MANAGER'!$O$18:$O$25,$A573),"")</f>
        <v>30.322479999999999</v>
      </c>
      <c r="D573" cm="1">
        <f t="array" ref="D573">IFERROR(INDEX('TRIP MANAGER'!$P$18:$P$25,$A573),"")</f>
        <v>-9.4120000000000008</v>
      </c>
      <c r="E573" cm="1">
        <f t="array" ref="E573">IFERROR(INDEX('TRIP MANAGER'!$Q$18:$Q$25,$A573),"")</f>
        <v>-26.140080000000001</v>
      </c>
      <c r="F573" cm="1">
        <f t="array" ref="F573">IFERROR(INDEX('TRIP MANAGER'!$R$18:$R$25,$A573),"")</f>
        <v>28.2468</v>
      </c>
      <c r="G573" cm="1">
        <f t="array" ref="G573">IFERROR(INDEX('TRIP MANAGER'!$S$18:$S$25,$A573),"")</f>
        <v>1.1690355391911331</v>
      </c>
      <c r="H573">
        <f t="shared" si="90"/>
        <v>0.78666666666666663</v>
      </c>
      <c r="I573">
        <f t="shared" si="91"/>
        <v>0.26817035774604858</v>
      </c>
      <c r="J573">
        <f t="shared" si="92"/>
        <v>0.86419689848283165</v>
      </c>
      <c r="K573">
        <f t="shared" si="93"/>
        <v>0.91178900571012467</v>
      </c>
      <c r="L573">
        <f t="shared" si="94"/>
        <v>0.32931112960715542</v>
      </c>
      <c r="M573">
        <f t="shared" si="95"/>
        <v>-0.24534667102490232</v>
      </c>
      <c r="N573">
        <f t="shared" si="96"/>
        <v>-14.202321827228578</v>
      </c>
      <c r="O573">
        <f t="shared" si="97"/>
        <v>19.858215534931322</v>
      </c>
      <c r="P573" t="str" cm="1">
        <f t="array" ref="P573">IF($N573="","",IFERROR(IF(INDEX(geo_grid!$B$2:$JU$231,INT(($N573+40)/0.5)+1,INT(($O573+30)/0.5)+1)="","",INDEX(geo_grid!$B$2:$JU$231,INT(($N573+40)/0.5)+1,INT(($O573+30)/0.5)+1)),"OUTSIDE GRID"))</f>
        <v>AGO</v>
      </c>
      <c r="Q573">
        <f t="shared" si="98"/>
        <v>4118</v>
      </c>
    </row>
    <row r="574" spans="1:17" x14ac:dyDescent="0.3">
      <c r="A574">
        <f t="shared" si="88"/>
        <v>4</v>
      </c>
      <c r="B574">
        <f t="shared" si="89"/>
        <v>119</v>
      </c>
      <c r="C574" cm="1">
        <f t="array" ref="C574">IFERROR(INDEX('TRIP MANAGER'!$O$18:$O$25,$A574),"")</f>
        <v>30.322479999999999</v>
      </c>
      <c r="D574" cm="1">
        <f t="array" ref="D574">IFERROR(INDEX('TRIP MANAGER'!$P$18:$P$25,$A574),"")</f>
        <v>-9.4120000000000008</v>
      </c>
      <c r="E574" cm="1">
        <f t="array" ref="E574">IFERROR(INDEX('TRIP MANAGER'!$Q$18:$Q$25,$A574),"")</f>
        <v>-26.140080000000001</v>
      </c>
      <c r="F574" cm="1">
        <f t="array" ref="F574">IFERROR(INDEX('TRIP MANAGER'!$R$18:$R$25,$A574),"")</f>
        <v>28.2468</v>
      </c>
      <c r="G574" cm="1">
        <f t="array" ref="G574">IFERROR(INDEX('TRIP MANAGER'!$S$18:$S$25,$A574),"")</f>
        <v>1.1690355391911331</v>
      </c>
      <c r="H574">
        <f t="shared" si="90"/>
        <v>0.79333333333333333</v>
      </c>
      <c r="I574">
        <f t="shared" si="91"/>
        <v>0.25995644264294177</v>
      </c>
      <c r="J574">
        <f t="shared" si="92"/>
        <v>0.86930299995735005</v>
      </c>
      <c r="K574">
        <f t="shared" si="93"/>
        <v>0.9088322135200293</v>
      </c>
      <c r="L574">
        <f t="shared" si="94"/>
        <v>0.33264001306579283</v>
      </c>
      <c r="M574">
        <f t="shared" si="95"/>
        <v>-0.25174318138903579</v>
      </c>
      <c r="N574">
        <f t="shared" si="96"/>
        <v>-14.580688684469928</v>
      </c>
      <c r="O574">
        <f t="shared" si="97"/>
        <v>20.103038468550427</v>
      </c>
      <c r="P574" t="str" cm="1">
        <f t="array" ref="P574">IF($N574="","",IFERROR(IF(INDEX(geo_grid!$B$2:$JU$231,INT(($N574+40)/0.5)+1,INT(($O574+30)/0.5)+1)="","",INDEX(geo_grid!$B$2:$JU$231,INT(($N574+40)/0.5)+1,INT(($O574+30)/0.5)+1)),"OUTSIDE GRID"))</f>
        <v>AGO</v>
      </c>
      <c r="Q574">
        <f t="shared" si="98"/>
        <v>4119</v>
      </c>
    </row>
    <row r="575" spans="1:17" x14ac:dyDescent="0.3">
      <c r="A575">
        <f t="shared" si="88"/>
        <v>4</v>
      </c>
      <c r="B575">
        <f t="shared" si="89"/>
        <v>120</v>
      </c>
      <c r="C575" cm="1">
        <f t="array" ref="C575">IFERROR(INDEX('TRIP MANAGER'!$O$18:$O$25,$A575),"")</f>
        <v>30.322479999999999</v>
      </c>
      <c r="D575" cm="1">
        <f t="array" ref="D575">IFERROR(INDEX('TRIP MANAGER'!$P$18:$P$25,$A575),"")</f>
        <v>-9.4120000000000008</v>
      </c>
      <c r="E575" cm="1">
        <f t="array" ref="E575">IFERROR(INDEX('TRIP MANAGER'!$Q$18:$Q$25,$A575),"")</f>
        <v>-26.140080000000001</v>
      </c>
      <c r="F575" cm="1">
        <f t="array" ref="F575">IFERROR(INDEX('TRIP MANAGER'!$R$18:$R$25,$A575),"")</f>
        <v>28.2468</v>
      </c>
      <c r="G575" cm="1">
        <f t="array" ref="G575">IFERROR(INDEX('TRIP MANAGER'!$S$18:$S$25,$A575),"")</f>
        <v>1.1690355391911331</v>
      </c>
      <c r="H575">
        <f t="shared" si="90"/>
        <v>0.8</v>
      </c>
      <c r="I575">
        <f t="shared" si="91"/>
        <v>0.25172673793369044</v>
      </c>
      <c r="J575">
        <f t="shared" si="92"/>
        <v>0.87435630046317547</v>
      </c>
      <c r="K575">
        <f t="shared" si="93"/>
        <v>0.90582021937934176</v>
      </c>
      <c r="L575">
        <f t="shared" si="94"/>
        <v>0.33594869215964973</v>
      </c>
      <c r="M575">
        <f t="shared" si="95"/>
        <v>-0.25812440101583167</v>
      </c>
      <c r="N575">
        <f t="shared" si="96"/>
        <v>-14.958799793044768</v>
      </c>
      <c r="O575">
        <f t="shared" si="97"/>
        <v>20.348703673278575</v>
      </c>
      <c r="P575" t="str" cm="1">
        <f t="array" ref="P575">IF($N575="","",IFERROR(IF(INDEX(geo_grid!$B$2:$JU$231,INT(($N575+40)/0.5)+1,INT(($O575+30)/0.5)+1)="","",INDEX(geo_grid!$B$2:$JU$231,INT(($N575+40)/0.5)+1,INT(($O575+30)/0.5)+1)),"OUTSIDE GRID"))</f>
        <v>AGO</v>
      </c>
      <c r="Q575">
        <f t="shared" si="98"/>
        <v>4120</v>
      </c>
    </row>
    <row r="576" spans="1:17" x14ac:dyDescent="0.3">
      <c r="A576">
        <f t="shared" si="88"/>
        <v>4</v>
      </c>
      <c r="B576">
        <f t="shared" si="89"/>
        <v>121</v>
      </c>
      <c r="C576" cm="1">
        <f t="array" ref="C576">IFERROR(INDEX('TRIP MANAGER'!$O$18:$O$25,$A576),"")</f>
        <v>30.322479999999999</v>
      </c>
      <c r="D576" cm="1">
        <f t="array" ref="D576">IFERROR(INDEX('TRIP MANAGER'!$P$18:$P$25,$A576),"")</f>
        <v>-9.4120000000000008</v>
      </c>
      <c r="E576" cm="1">
        <f t="array" ref="E576">IFERROR(INDEX('TRIP MANAGER'!$Q$18:$Q$25,$A576),"")</f>
        <v>-26.140080000000001</v>
      </c>
      <c r="F576" cm="1">
        <f t="array" ref="F576">IFERROR(INDEX('TRIP MANAGER'!$R$18:$R$25,$A576),"")</f>
        <v>28.2468</v>
      </c>
      <c r="G576" cm="1">
        <f t="array" ref="G576">IFERROR(INDEX('TRIP MANAGER'!$S$18:$S$25,$A576),"")</f>
        <v>1.1690355391911331</v>
      </c>
      <c r="H576">
        <f t="shared" si="90"/>
        <v>0.80666666666666664</v>
      </c>
      <c r="I576">
        <f t="shared" si="91"/>
        <v>0.24348174348586771</v>
      </c>
      <c r="J576">
        <f t="shared" si="92"/>
        <v>0.87935649306571562</v>
      </c>
      <c r="K576">
        <f t="shared" si="93"/>
        <v>0.90275320623486932</v>
      </c>
      <c r="L576">
        <f t="shared" si="94"/>
        <v>0.33923696592144392</v>
      </c>
      <c r="M576">
        <f t="shared" si="95"/>
        <v>-0.26448994231364703</v>
      </c>
      <c r="N576">
        <f t="shared" si="96"/>
        <v>-15.336647297840479</v>
      </c>
      <c r="O576">
        <f t="shared" si="97"/>
        <v>20.595236422756361</v>
      </c>
      <c r="P576" t="str" cm="1">
        <f t="array" ref="P576">IF($N576="","",IFERROR(IF(INDEX(geo_grid!$B$2:$JU$231,INT(($N576+40)/0.5)+1,INT(($O576+30)/0.5)+1)="","",INDEX(geo_grid!$B$2:$JU$231,INT(($N576+40)/0.5)+1,INT(($O576+30)/0.5)+1)),"OUTSIDE GRID"))</f>
        <v>AGO</v>
      </c>
      <c r="Q576">
        <f t="shared" si="98"/>
        <v>4121</v>
      </c>
    </row>
    <row r="577" spans="1:17" x14ac:dyDescent="0.3">
      <c r="A577">
        <f t="shared" si="88"/>
        <v>4</v>
      </c>
      <c r="B577">
        <f t="shared" si="89"/>
        <v>122</v>
      </c>
      <c r="C577" cm="1">
        <f t="array" ref="C577">IFERROR(INDEX('TRIP MANAGER'!$O$18:$O$25,$A577),"")</f>
        <v>30.322479999999999</v>
      </c>
      <c r="D577" cm="1">
        <f t="array" ref="D577">IFERROR(INDEX('TRIP MANAGER'!$P$18:$P$25,$A577),"")</f>
        <v>-9.4120000000000008</v>
      </c>
      <c r="E577" cm="1">
        <f t="array" ref="E577">IFERROR(INDEX('TRIP MANAGER'!$Q$18:$Q$25,$A577),"")</f>
        <v>-26.140080000000001</v>
      </c>
      <c r="F577" cm="1">
        <f t="array" ref="F577">IFERROR(INDEX('TRIP MANAGER'!$R$18:$R$25,$A577),"")</f>
        <v>28.2468</v>
      </c>
      <c r="G577" cm="1">
        <f t="array" ref="G577">IFERROR(INDEX('TRIP MANAGER'!$S$18:$S$25,$A577),"")</f>
        <v>1.1690355391911331</v>
      </c>
      <c r="H577">
        <f t="shared" si="90"/>
        <v>0.81333333333333335</v>
      </c>
      <c r="I577">
        <f t="shared" si="91"/>
        <v>0.23522196009573615</v>
      </c>
      <c r="J577">
        <f t="shared" si="92"/>
        <v>0.88430327405612219</v>
      </c>
      <c r="K577">
        <f t="shared" si="93"/>
        <v>0.89963136037524216</v>
      </c>
      <c r="L577">
        <f t="shared" si="94"/>
        <v>0.34250463462330166</v>
      </c>
      <c r="M577">
        <f t="shared" si="95"/>
        <v>-0.27083941864313227</v>
      </c>
      <c r="N577">
        <f t="shared" si="96"/>
        <v>-15.714223247643842</v>
      </c>
      <c r="O577">
        <f t="shared" si="97"/>
        <v>20.842662252473659</v>
      </c>
      <c r="P577" t="str" cm="1">
        <f t="array" ref="P577">IF($N577="","",IFERROR(IF(INDEX(geo_grid!$B$2:$JU$231,INT(($N577+40)/0.5)+1,INT(($O577+30)/0.5)+1)="","",INDEX(geo_grid!$B$2:$JU$231,INT(($N577+40)/0.5)+1,INT(($O577+30)/0.5)+1)),"OUTSIDE GRID"))</f>
        <v>AGO</v>
      </c>
      <c r="Q577">
        <f t="shared" si="98"/>
        <v>4122</v>
      </c>
    </row>
    <row r="578" spans="1:17" x14ac:dyDescent="0.3">
      <c r="A578">
        <f t="shared" si="88"/>
        <v>4</v>
      </c>
      <c r="B578">
        <f t="shared" si="89"/>
        <v>123</v>
      </c>
      <c r="C578" cm="1">
        <f t="array" ref="C578">IFERROR(INDEX('TRIP MANAGER'!$O$18:$O$25,$A578),"")</f>
        <v>30.322479999999999</v>
      </c>
      <c r="D578" cm="1">
        <f t="array" ref="D578">IFERROR(INDEX('TRIP MANAGER'!$P$18:$P$25,$A578),"")</f>
        <v>-9.4120000000000008</v>
      </c>
      <c r="E578" cm="1">
        <f t="array" ref="E578">IFERROR(INDEX('TRIP MANAGER'!$Q$18:$Q$25,$A578),"")</f>
        <v>-26.140080000000001</v>
      </c>
      <c r="F578" cm="1">
        <f t="array" ref="F578">IFERROR(INDEX('TRIP MANAGER'!$R$18:$R$25,$A578),"")</f>
        <v>28.2468</v>
      </c>
      <c r="G578" cm="1">
        <f t="array" ref="G578">IFERROR(INDEX('TRIP MANAGER'!$S$18:$S$25,$A578),"")</f>
        <v>1.1690355391911331</v>
      </c>
      <c r="H578">
        <f t="shared" si="90"/>
        <v>0.82</v>
      </c>
      <c r="I578">
        <f t="shared" si="91"/>
        <v>0.2269478894578309</v>
      </c>
      <c r="J578">
        <f t="shared" si="92"/>
        <v>0.88919634296973737</v>
      </c>
      <c r="K578">
        <f t="shared" si="93"/>
        <v>0.8964548714195979</v>
      </c>
      <c r="L578">
        <f t="shared" si="94"/>
        <v>0.34575149978888853</v>
      </c>
      <c r="M578">
        <f t="shared" si="95"/>
        <v>-0.2771724443407142</v>
      </c>
      <c r="N578">
        <f t="shared" si="96"/>
        <v>-16.091519591921926</v>
      </c>
      <c r="O578">
        <f t="shared" si="97"/>
        <v>21.09100696779759</v>
      </c>
      <c r="P578" t="str" cm="1">
        <f t="array" ref="P578">IF($N578="","",IFERROR(IF(INDEX(geo_grid!$B$2:$JU$231,INT(($N578+40)/0.5)+1,INT(($O578+30)/0.5)+1)="","",INDEX(geo_grid!$B$2:$JU$231,INT(($N578+40)/0.5)+1,INT(($O578+30)/0.5)+1)),"OUTSIDE GRID"))</f>
        <v>AGO</v>
      </c>
      <c r="Q578">
        <f t="shared" si="98"/>
        <v>4123</v>
      </c>
    </row>
    <row r="579" spans="1:17" x14ac:dyDescent="0.3">
      <c r="A579">
        <f t="shared" ref="A579:A642" si="99">INT((ROW()-2)/151)+1</f>
        <v>4</v>
      </c>
      <c r="B579">
        <f t="shared" ref="B579:B642" si="100">MOD(ROW()-2,151)</f>
        <v>124</v>
      </c>
      <c r="C579" cm="1">
        <f t="array" ref="C579">IFERROR(INDEX('TRIP MANAGER'!$O$18:$O$25,$A579),"")</f>
        <v>30.322479999999999</v>
      </c>
      <c r="D579" cm="1">
        <f t="array" ref="D579">IFERROR(INDEX('TRIP MANAGER'!$P$18:$P$25,$A579),"")</f>
        <v>-9.4120000000000008</v>
      </c>
      <c r="E579" cm="1">
        <f t="array" ref="E579">IFERROR(INDEX('TRIP MANAGER'!$Q$18:$Q$25,$A579),"")</f>
        <v>-26.140080000000001</v>
      </c>
      <c r="F579" cm="1">
        <f t="array" ref="F579">IFERROR(INDEX('TRIP MANAGER'!$R$18:$R$25,$A579),"")</f>
        <v>28.2468</v>
      </c>
      <c r="G579" cm="1">
        <f t="array" ref="G579">IFERROR(INDEX('TRIP MANAGER'!$S$18:$S$25,$A579),"")</f>
        <v>1.1690355391911331</v>
      </c>
      <c r="H579">
        <f t="shared" ref="H579:H642" si="101">$B579/150</f>
        <v>0.82666666666666666</v>
      </c>
      <c r="I579">
        <f t="shared" ref="I579:I642" si="102">IF(OR($G579="",$G579=0),"",SIN((1-$H579)*$G579)/SIN($G579))</f>
        <v>0.21866003413448579</v>
      </c>
      <c r="J579">
        <f t="shared" ref="J579:J642" si="103">IF($I579="","",SIN($H579*$G579)/SIN($G579))</f>
        <v>0.89403540260434478</v>
      </c>
      <c r="K579">
        <f t="shared" ref="K579:K642" si="104">IF($I579="","",$I579*COS(RADIANS($C579))*COS(RADIANS($D579))+$J579*COS(RADIANS($E579))*COS(RADIANS($F579)))</f>
        <v>0.89322393230606534</v>
      </c>
      <c r="L579">
        <f t="shared" ref="L579:L642" si="105">IF($I579="","",$I579*COS(RADIANS($C579))*SIN(RADIANS($D579))+$J579*COS(RADIANS($E579))*SIN(RADIANS($F579)))</f>
        <v>0.34897736420546521</v>
      </c>
      <c r="M579">
        <f t="shared" ref="M579:M642" si="106">IF($I579="","",$I579*SIN(RADIANS($C579))+$J579*SIN(RADIANS($E579)))</f>
        <v>-0.28348863474202224</v>
      </c>
      <c r="N579">
        <f t="shared" ref="N579:N642" si="107">IF($M579="","",DEGREES(ATAN2(SQRT($K579^2+$L579^2),$M579)))</f>
        <v>-16.468528177540286</v>
      </c>
      <c r="O579">
        <f t="shared" ref="O579:O642" si="108">IF($M579="","",DEGREES(ATAN2($K579,$L579)))</f>
        <v>21.34029665209923</v>
      </c>
      <c r="P579" t="str" cm="1">
        <f t="array" ref="P579">IF($N579="","",IFERROR(IF(INDEX(geo_grid!$B$2:$JU$231,INT(($N579+40)/0.5)+1,INT(($O579+30)/0.5)+1)="","",INDEX(geo_grid!$B$2:$JU$231,INT(($N579+40)/0.5)+1,INT(($O579+30)/0.5)+1)),"OUTSIDE GRID"))</f>
        <v>AGO</v>
      </c>
      <c r="Q579">
        <f t="shared" ref="Q579:Q642" si="109">IF($P579="","",$A579*1000+$B579)</f>
        <v>4124</v>
      </c>
    </row>
    <row r="580" spans="1:17" x14ac:dyDescent="0.3">
      <c r="A580">
        <f t="shared" si="99"/>
        <v>4</v>
      </c>
      <c r="B580">
        <f t="shared" si="100"/>
        <v>125</v>
      </c>
      <c r="C580" cm="1">
        <f t="array" ref="C580">IFERROR(INDEX('TRIP MANAGER'!$O$18:$O$25,$A580),"")</f>
        <v>30.322479999999999</v>
      </c>
      <c r="D580" cm="1">
        <f t="array" ref="D580">IFERROR(INDEX('TRIP MANAGER'!$P$18:$P$25,$A580),"")</f>
        <v>-9.4120000000000008</v>
      </c>
      <c r="E580" cm="1">
        <f t="array" ref="E580">IFERROR(INDEX('TRIP MANAGER'!$Q$18:$Q$25,$A580),"")</f>
        <v>-26.140080000000001</v>
      </c>
      <c r="F580" cm="1">
        <f t="array" ref="F580">IFERROR(INDEX('TRIP MANAGER'!$R$18:$R$25,$A580),"")</f>
        <v>28.2468</v>
      </c>
      <c r="G580" cm="1">
        <f t="array" ref="G580">IFERROR(INDEX('TRIP MANAGER'!$S$18:$S$25,$A580),"")</f>
        <v>1.1690355391911331</v>
      </c>
      <c r="H580">
        <f t="shared" si="101"/>
        <v>0.83333333333333337</v>
      </c>
      <c r="I580">
        <f t="shared" si="102"/>
        <v>0.21035889752530901</v>
      </c>
      <c r="J580">
        <f t="shared" si="103"/>
        <v>0.89882015903822043</v>
      </c>
      <c r="K580">
        <f t="shared" si="104"/>
        <v>0.8899387392800443</v>
      </c>
      <c r="L580">
        <f t="shared" si="105"/>
        <v>0.35218203193586589</v>
      </c>
      <c r="M580">
        <f t="shared" si="106"/>
        <v>-0.28978760620525162</v>
      </c>
      <c r="N580">
        <f t="shared" si="107"/>
        <v>-16.845240745416167</v>
      </c>
      <c r="O580">
        <f t="shared" si="108"/>
        <v>21.590557674980829</v>
      </c>
      <c r="P580" t="str" cm="1">
        <f t="array" ref="P580">IF($N580="","",IFERROR(IF(INDEX(geo_grid!$B$2:$JU$231,INT(($N580+40)/0.5)+1,INT(($O580+30)/0.5)+1)="","",INDEX(geo_grid!$B$2:$JU$231,INT(($N580+40)/0.5)+1,INT(($O580+30)/0.5)+1)),"OUTSIDE GRID"))</f>
        <v>AGO</v>
      </c>
      <c r="Q580">
        <f t="shared" si="109"/>
        <v>4125</v>
      </c>
    </row>
    <row r="581" spans="1:17" x14ac:dyDescent="0.3">
      <c r="A581">
        <f t="shared" si="99"/>
        <v>4</v>
      </c>
      <c r="B581">
        <f t="shared" si="100"/>
        <v>126</v>
      </c>
      <c r="C581" cm="1">
        <f t="array" ref="C581">IFERROR(INDEX('TRIP MANAGER'!$O$18:$O$25,$A581),"")</f>
        <v>30.322479999999999</v>
      </c>
      <c r="D581" cm="1">
        <f t="array" ref="D581">IFERROR(INDEX('TRIP MANAGER'!$P$18:$P$25,$A581),"")</f>
        <v>-9.4120000000000008</v>
      </c>
      <c r="E581" cm="1">
        <f t="array" ref="E581">IFERROR(INDEX('TRIP MANAGER'!$Q$18:$Q$25,$A581),"")</f>
        <v>-26.140080000000001</v>
      </c>
      <c r="F581" cm="1">
        <f t="array" ref="F581">IFERROR(INDEX('TRIP MANAGER'!$R$18:$R$25,$A581),"")</f>
        <v>28.2468</v>
      </c>
      <c r="G581" cm="1">
        <f t="array" ref="G581">IFERROR(INDEX('TRIP MANAGER'!$S$18:$S$25,$A581),"")</f>
        <v>1.1690355391911331</v>
      </c>
      <c r="H581">
        <f t="shared" si="101"/>
        <v>0.84</v>
      </c>
      <c r="I581">
        <f t="shared" si="102"/>
        <v>0.20204498383660652</v>
      </c>
      <c r="J581">
        <f t="shared" si="103"/>
        <v>0.90355032164798588</v>
      </c>
      <c r="K581">
        <f t="shared" si="104"/>
        <v>0.88659949188228682</v>
      </c>
      <c r="L581">
        <f t="shared" si="105"/>
        <v>0.3553653083303992</v>
      </c>
      <c r="M581">
        <f t="shared" si="106"/>
        <v>-0.29606897613446614</v>
      </c>
      <c r="N581">
        <f t="shared" si="107"/>
        <v>-17.221648927104752</v>
      </c>
      <c r="O581">
        <f t="shared" si="108"/>
        <v>21.841816700605168</v>
      </c>
      <c r="P581" t="str" cm="1">
        <f t="array" ref="P581">IF($N581="","",IFERROR(IF(INDEX(geo_grid!$B$2:$JU$231,INT(($N581+40)/0.5)+1,INT(($O581+30)/0.5)+1)="","",INDEX(geo_grid!$B$2:$JU$231,INT(($N581+40)/0.5)+1,INT(($O581+30)/0.5)+1)),"OUTSIDE GRID"))</f>
        <v>AGO</v>
      </c>
      <c r="Q581">
        <f t="shared" si="109"/>
        <v>4126</v>
      </c>
    </row>
    <row r="582" spans="1:17" x14ac:dyDescent="0.3">
      <c r="A582">
        <f t="shared" si="99"/>
        <v>4</v>
      </c>
      <c r="B582">
        <f t="shared" si="100"/>
        <v>127</v>
      </c>
      <c r="C582" cm="1">
        <f t="array" ref="C582">IFERROR(INDEX('TRIP MANAGER'!$O$18:$O$25,$A582),"")</f>
        <v>30.322479999999999</v>
      </c>
      <c r="D582" cm="1">
        <f t="array" ref="D582">IFERROR(INDEX('TRIP MANAGER'!$P$18:$P$25,$A582),"")</f>
        <v>-9.4120000000000008</v>
      </c>
      <c r="E582" cm="1">
        <f t="array" ref="E582">IFERROR(INDEX('TRIP MANAGER'!$Q$18:$Q$25,$A582),"")</f>
        <v>-26.140080000000001</v>
      </c>
      <c r="F582" cm="1">
        <f t="array" ref="F582">IFERROR(INDEX('TRIP MANAGER'!$R$18:$R$25,$A582),"")</f>
        <v>28.2468</v>
      </c>
      <c r="G582" cm="1">
        <f t="array" ref="G582">IFERROR(INDEX('TRIP MANAGER'!$S$18:$S$25,$A582),"")</f>
        <v>1.1690355391911331</v>
      </c>
      <c r="H582">
        <f t="shared" si="101"/>
        <v>0.84666666666666668</v>
      </c>
      <c r="I582">
        <f t="shared" si="102"/>
        <v>0.19371879805075634</v>
      </c>
      <c r="J582">
        <f t="shared" si="103"/>
        <v>0.90822560312626088</v>
      </c>
      <c r="K582">
        <f t="shared" si="104"/>
        <v>0.88320639293677627</v>
      </c>
      <c r="L582">
        <f t="shared" si="105"/>
        <v>0.35852700003867177</v>
      </c>
      <c r="M582">
        <f t="shared" si="106"/>
        <v>-0.30233236300283706</v>
      </c>
      <c r="N582">
        <f t="shared" si="107"/>
        <v>-17.597744241316047</v>
      </c>
      <c r="O582">
        <f t="shared" si="108"/>
        <v>22.09410069612878</v>
      </c>
      <c r="P582" t="str" cm="1">
        <f t="array" ref="P582">IF($N582="","",IFERROR(IF(INDEX(geo_grid!$B$2:$JU$231,INT(($N582+40)/0.5)+1,INT(($O582+30)/0.5)+1)="","",INDEX(geo_grid!$B$2:$JU$231,INT(($N582+40)/0.5)+1,INT(($O582+30)/0.5)+1)),"OUTSIDE GRID"))</f>
        <v>NAM</v>
      </c>
      <c r="Q582">
        <f t="shared" si="109"/>
        <v>4127</v>
      </c>
    </row>
    <row r="583" spans="1:17" x14ac:dyDescent="0.3">
      <c r="A583">
        <f t="shared" si="99"/>
        <v>4</v>
      </c>
      <c r="B583">
        <f t="shared" si="100"/>
        <v>128</v>
      </c>
      <c r="C583" cm="1">
        <f t="array" ref="C583">IFERROR(INDEX('TRIP MANAGER'!$O$18:$O$25,$A583),"")</f>
        <v>30.322479999999999</v>
      </c>
      <c r="D583" cm="1">
        <f t="array" ref="D583">IFERROR(INDEX('TRIP MANAGER'!$P$18:$P$25,$A583),"")</f>
        <v>-9.4120000000000008</v>
      </c>
      <c r="E583" cm="1">
        <f t="array" ref="E583">IFERROR(INDEX('TRIP MANAGER'!$Q$18:$Q$25,$A583),"")</f>
        <v>-26.140080000000001</v>
      </c>
      <c r="F583" cm="1">
        <f t="array" ref="F583">IFERROR(INDEX('TRIP MANAGER'!$R$18:$R$25,$A583),"")</f>
        <v>28.2468</v>
      </c>
      <c r="G583" cm="1">
        <f t="array" ref="G583">IFERROR(INDEX('TRIP MANAGER'!$S$18:$S$25,$A583),"")</f>
        <v>1.1690355391911331</v>
      </c>
      <c r="H583">
        <f t="shared" si="101"/>
        <v>0.85333333333333339</v>
      </c>
      <c r="I583">
        <f t="shared" si="102"/>
        <v>0.18538084589553711</v>
      </c>
      <c r="J583">
        <f t="shared" si="103"/>
        <v>0.91284571949911308</v>
      </c>
      <c r="K583">
        <f t="shared" si="104"/>
        <v>0.87975964853840805</v>
      </c>
      <c r="L583">
        <f t="shared" si="105"/>
        <v>0.36166691502133119</v>
      </c>
      <c r="M583">
        <f t="shared" si="106"/>
        <v>-0.30857738637581617</v>
      </c>
      <c r="N583">
        <f t="shared" si="107"/>
        <v>-17.973518090360173</v>
      </c>
      <c r="O583">
        <f t="shared" si="108"/>
        <v>22.3474369402403</v>
      </c>
      <c r="P583" t="str" cm="1">
        <f t="array" ref="P583">IF($N583="","",IFERROR(IF(INDEX(geo_grid!$B$2:$JU$231,INT(($N583+40)/0.5)+1,INT(($O583+30)/0.5)+1)="","",INDEX(geo_grid!$B$2:$JU$231,INT(($N583+40)/0.5)+1,INT(($O583+30)/0.5)+1)),"OUTSIDE GRID"))</f>
        <v>NAM</v>
      </c>
      <c r="Q583">
        <f t="shared" si="109"/>
        <v>4128</v>
      </c>
    </row>
    <row r="584" spans="1:17" x14ac:dyDescent="0.3">
      <c r="A584">
        <f t="shared" si="99"/>
        <v>4</v>
      </c>
      <c r="B584">
        <f t="shared" si="100"/>
        <v>129</v>
      </c>
      <c r="C584" cm="1">
        <f t="array" ref="C584">IFERROR(INDEX('TRIP MANAGER'!$O$18:$O$25,$A584),"")</f>
        <v>30.322479999999999</v>
      </c>
      <c r="D584" cm="1">
        <f t="array" ref="D584">IFERROR(INDEX('TRIP MANAGER'!$P$18:$P$25,$A584),"")</f>
        <v>-9.4120000000000008</v>
      </c>
      <c r="E584" cm="1">
        <f t="array" ref="E584">IFERROR(INDEX('TRIP MANAGER'!$Q$18:$Q$25,$A584),"")</f>
        <v>-26.140080000000001</v>
      </c>
      <c r="F584" cm="1">
        <f t="array" ref="F584">IFERROR(INDEX('TRIP MANAGER'!$R$18:$R$25,$A584),"")</f>
        <v>28.2468</v>
      </c>
      <c r="G584" cm="1">
        <f t="array" ref="G584">IFERROR(INDEX('TRIP MANAGER'!$S$18:$S$25,$A584),"")</f>
        <v>1.1690355391911331</v>
      </c>
      <c r="H584">
        <f t="shared" si="101"/>
        <v>0.86</v>
      </c>
      <c r="I584">
        <f t="shared" si="102"/>
        <v>0.17703163381341003</v>
      </c>
      <c r="J584">
        <f t="shared" si="103"/>
        <v>0.91741039014330772</v>
      </c>
      <c r="K584">
        <f t="shared" si="104"/>
        <v>0.87625946804047294</v>
      </c>
      <c r="L584">
        <f t="shared" si="105"/>
        <v>0.36478486256173143</v>
      </c>
      <c r="M584">
        <f t="shared" si="106"/>
        <v>-0.31480366693424344</v>
      </c>
      <c r="N584">
        <f t="shared" si="107"/>
        <v>-18.348961756518772</v>
      </c>
      <c r="O584">
        <f t="shared" si="108"/>
        <v>22.601853031805398</v>
      </c>
      <c r="P584" t="str" cm="1">
        <f t="array" ref="P584">IF($N584="","",IFERROR(IF(INDEX(geo_grid!$B$2:$JU$231,INT(($N584+40)/0.5)+1,INT(($O584+30)/0.5)+1)="","",INDEX(geo_grid!$B$2:$JU$231,INT(($N584+40)/0.5)+1,INT(($O584+30)/0.5)+1)),"OUTSIDE GRID"))</f>
        <v>BWA</v>
      </c>
      <c r="Q584">
        <f t="shared" si="109"/>
        <v>4129</v>
      </c>
    </row>
    <row r="585" spans="1:17" x14ac:dyDescent="0.3">
      <c r="A585">
        <f t="shared" si="99"/>
        <v>4</v>
      </c>
      <c r="B585">
        <f t="shared" si="100"/>
        <v>130</v>
      </c>
      <c r="C585" cm="1">
        <f t="array" ref="C585">IFERROR(INDEX('TRIP MANAGER'!$O$18:$O$25,$A585),"")</f>
        <v>30.322479999999999</v>
      </c>
      <c r="D585" cm="1">
        <f t="array" ref="D585">IFERROR(INDEX('TRIP MANAGER'!$P$18:$P$25,$A585),"")</f>
        <v>-9.4120000000000008</v>
      </c>
      <c r="E585" cm="1">
        <f t="array" ref="E585">IFERROR(INDEX('TRIP MANAGER'!$Q$18:$Q$25,$A585),"")</f>
        <v>-26.140080000000001</v>
      </c>
      <c r="F585" cm="1">
        <f t="array" ref="F585">IFERROR(INDEX('TRIP MANAGER'!$R$18:$R$25,$A585),"")</f>
        <v>28.2468</v>
      </c>
      <c r="G585" cm="1">
        <f t="array" ref="G585">IFERROR(INDEX('TRIP MANAGER'!$S$18:$S$25,$A585),"")</f>
        <v>1.1690355391911331</v>
      </c>
      <c r="H585">
        <f t="shared" si="101"/>
        <v>0.8666666666666667</v>
      </c>
      <c r="I585">
        <f t="shared" si="102"/>
        <v>0.16867166893075738</v>
      </c>
      <c r="J585">
        <f t="shared" si="103"/>
        <v>0.92191933780335189</v>
      </c>
      <c r="K585">
        <f t="shared" si="104"/>
        <v>0.87270606404193862</v>
      </c>
      <c r="L585">
        <f t="shared" si="105"/>
        <v>0.36788065327751618</v>
      </c>
      <c r="M585">
        <f t="shared" si="106"/>
        <v>-0.32101082649738732</v>
      </c>
      <c r="N585">
        <f t="shared" si="107"/>
        <v>-18.724066398340284</v>
      </c>
      <c r="O585">
        <f t="shared" si="108"/>
        <v>22.857376898619506</v>
      </c>
      <c r="P585" t="str" cm="1">
        <f t="array" ref="P585">IF($N585="","",IFERROR(IF(INDEX(geo_grid!$B$2:$JU$231,INT(($N585+40)/0.5)+1,INT(($O585+30)/0.5)+1)="","",INDEX(geo_grid!$B$2:$JU$231,INT(($N585+40)/0.5)+1,INT(($O585+30)/0.5)+1)),"OUTSIDE GRID"))</f>
        <v>BWA</v>
      </c>
      <c r="Q585">
        <f t="shared" si="109"/>
        <v>4130</v>
      </c>
    </row>
    <row r="586" spans="1:17" x14ac:dyDescent="0.3">
      <c r="A586">
        <f t="shared" si="99"/>
        <v>4</v>
      </c>
      <c r="B586">
        <f t="shared" si="100"/>
        <v>131</v>
      </c>
      <c r="C586" cm="1">
        <f t="array" ref="C586">IFERROR(INDEX('TRIP MANAGER'!$O$18:$O$25,$A586),"")</f>
        <v>30.322479999999999</v>
      </c>
      <c r="D586" cm="1">
        <f t="array" ref="D586">IFERROR(INDEX('TRIP MANAGER'!$P$18:$P$25,$A586),"")</f>
        <v>-9.4120000000000008</v>
      </c>
      <c r="E586" cm="1">
        <f t="array" ref="E586">IFERROR(INDEX('TRIP MANAGER'!$Q$18:$Q$25,$A586),"")</f>
        <v>-26.140080000000001</v>
      </c>
      <c r="F586" cm="1">
        <f t="array" ref="F586">IFERROR(INDEX('TRIP MANAGER'!$R$18:$R$25,$A586),"")</f>
        <v>28.2468</v>
      </c>
      <c r="G586" cm="1">
        <f t="array" ref="G586">IFERROR(INDEX('TRIP MANAGER'!$S$18:$S$25,$A586),"")</f>
        <v>1.1690355391911331</v>
      </c>
      <c r="H586">
        <f t="shared" si="101"/>
        <v>0.87333333333333329</v>
      </c>
      <c r="I586">
        <f t="shared" si="102"/>
        <v>0.16030145902708112</v>
      </c>
      <c r="J586">
        <f t="shared" si="103"/>
        <v>0.92637228860833487</v>
      </c>
      <c r="K586">
        <f t="shared" si="104"/>
        <v>0.86909965237453868</v>
      </c>
      <c r="L586">
        <f t="shared" si="105"/>
        <v>0.37095409913212191</v>
      </c>
      <c r="M586">
        <f t="shared" si="106"/>
        <v>-0.32719848804591367</v>
      </c>
      <c r="N586">
        <f t="shared" si="107"/>
        <v>-19.098823046856324</v>
      </c>
      <c r="O586">
        <f t="shared" si="108"/>
        <v>23.11403680626923</v>
      </c>
      <c r="P586" t="str" cm="1">
        <f t="array" ref="P586">IF($N586="","",IFERROR(IF(INDEX(geo_grid!$B$2:$JU$231,INT(($N586+40)/0.5)+1,INT(($O586+30)/0.5)+1)="","",INDEX(geo_grid!$B$2:$JU$231,INT(($N586+40)/0.5)+1,INT(($O586+30)/0.5)+1)),"OUTSIDE GRID"))</f>
        <v>BWA</v>
      </c>
      <c r="Q586">
        <f t="shared" si="109"/>
        <v>4131</v>
      </c>
    </row>
    <row r="587" spans="1:17" x14ac:dyDescent="0.3">
      <c r="A587">
        <f t="shared" si="99"/>
        <v>4</v>
      </c>
      <c r="B587">
        <f t="shared" si="100"/>
        <v>132</v>
      </c>
      <c r="C587" cm="1">
        <f t="array" ref="C587">IFERROR(INDEX('TRIP MANAGER'!$O$18:$O$25,$A587),"")</f>
        <v>30.322479999999999</v>
      </c>
      <c r="D587" cm="1">
        <f t="array" ref="D587">IFERROR(INDEX('TRIP MANAGER'!$P$18:$P$25,$A587),"")</f>
        <v>-9.4120000000000008</v>
      </c>
      <c r="E587" cm="1">
        <f t="array" ref="E587">IFERROR(INDEX('TRIP MANAGER'!$Q$18:$Q$25,$A587),"")</f>
        <v>-26.140080000000001</v>
      </c>
      <c r="F587" cm="1">
        <f t="array" ref="F587">IFERROR(INDEX('TRIP MANAGER'!$R$18:$R$25,$A587),"")</f>
        <v>28.2468</v>
      </c>
      <c r="G587" cm="1">
        <f t="array" ref="G587">IFERROR(INDEX('TRIP MANAGER'!$S$18:$S$25,$A587),"")</f>
        <v>1.1690355391911331</v>
      </c>
      <c r="H587">
        <f t="shared" si="101"/>
        <v>0.88</v>
      </c>
      <c r="I587">
        <f t="shared" si="102"/>
        <v>0.15192151250415925</v>
      </c>
      <c r="J587">
        <f t="shared" si="103"/>
        <v>0.93076897208856313</v>
      </c>
      <c r="K587">
        <f t="shared" si="104"/>
        <v>0.86544045208966192</v>
      </c>
      <c r="L587">
        <f t="shared" si="105"/>
        <v>0.37400501344619941</v>
      </c>
      <c r="M587">
        <f t="shared" si="106"/>
        <v>-0.33336627574478761</v>
      </c>
      <c r="N587">
        <f t="shared" si="107"/>
        <v>-19.473222601717225</v>
      </c>
      <c r="O587">
        <f t="shared" si="108"/>
        <v>23.371861367103556</v>
      </c>
      <c r="P587" t="str" cm="1">
        <f t="array" ref="P587">IF($N587="","",IFERROR(IF(INDEX(geo_grid!$B$2:$JU$231,INT(($N587+40)/0.5)+1,INT(($O587+30)/0.5)+1)="","",INDEX(geo_grid!$B$2:$JU$231,INT(($N587+40)/0.5)+1,INT(($O587+30)/0.5)+1)),"OUTSIDE GRID"))</f>
        <v>BWA</v>
      </c>
      <c r="Q587">
        <f t="shared" si="109"/>
        <v>4132</v>
      </c>
    </row>
    <row r="588" spans="1:17" x14ac:dyDescent="0.3">
      <c r="A588">
        <f t="shared" si="99"/>
        <v>4</v>
      </c>
      <c r="B588">
        <f t="shared" si="100"/>
        <v>133</v>
      </c>
      <c r="C588" cm="1">
        <f t="array" ref="C588">IFERROR(INDEX('TRIP MANAGER'!$O$18:$O$25,$A588),"")</f>
        <v>30.322479999999999</v>
      </c>
      <c r="D588" cm="1">
        <f t="array" ref="D588">IFERROR(INDEX('TRIP MANAGER'!$P$18:$P$25,$A588),"")</f>
        <v>-9.4120000000000008</v>
      </c>
      <c r="E588" cm="1">
        <f t="array" ref="E588">IFERROR(INDEX('TRIP MANAGER'!$Q$18:$Q$25,$A588),"")</f>
        <v>-26.140080000000001</v>
      </c>
      <c r="F588" cm="1">
        <f t="array" ref="F588">IFERROR(INDEX('TRIP MANAGER'!$R$18:$R$25,$A588),"")</f>
        <v>28.2468</v>
      </c>
      <c r="G588" cm="1">
        <f t="array" ref="G588">IFERROR(INDEX('TRIP MANAGER'!$S$18:$S$25,$A588),"")</f>
        <v>1.1690355391911331</v>
      </c>
      <c r="H588">
        <f t="shared" si="101"/>
        <v>0.88666666666666671</v>
      </c>
      <c r="I588">
        <f t="shared" si="102"/>
        <v>0.14353233835516691</v>
      </c>
      <c r="J588">
        <f t="shared" si="103"/>
        <v>0.9351091211919883</v>
      </c>
      <c r="K588">
        <f t="shared" si="104"/>
        <v>0.86172868544504788</v>
      </c>
      <c r="L588">
        <f t="shared" si="105"/>
        <v>0.37703321090895253</v>
      </c>
      <c r="M588">
        <f t="shared" si="106"/>
        <v>-0.33951381496609989</v>
      </c>
      <c r="N588">
        <f t="shared" si="107"/>
        <v>-19.847255827243753</v>
      </c>
      <c r="O588">
        <f t="shared" si="108"/>
        <v>23.630879549315328</v>
      </c>
      <c r="P588" t="str" cm="1">
        <f t="array" ref="P588">IF($N588="","",IFERROR(IF(INDEX(geo_grid!$B$2:$JU$231,INT(($N588+40)/0.5)+1,INT(($O588+30)/0.5)+1)="","",INDEX(geo_grid!$B$2:$JU$231,INT(($N588+40)/0.5)+1,INT(($O588+30)/0.5)+1)),"OUTSIDE GRID"))</f>
        <v>BWA</v>
      </c>
      <c r="Q588">
        <f t="shared" si="109"/>
        <v>4133</v>
      </c>
    </row>
    <row r="589" spans="1:17" x14ac:dyDescent="0.3">
      <c r="A589">
        <f t="shared" si="99"/>
        <v>4</v>
      </c>
      <c r="B589">
        <f t="shared" si="100"/>
        <v>134</v>
      </c>
      <c r="C589" cm="1">
        <f t="array" ref="C589">IFERROR(INDEX('TRIP MANAGER'!$O$18:$O$25,$A589),"")</f>
        <v>30.322479999999999</v>
      </c>
      <c r="D589" cm="1">
        <f t="array" ref="D589">IFERROR(INDEX('TRIP MANAGER'!$P$18:$P$25,$A589),"")</f>
        <v>-9.4120000000000008</v>
      </c>
      <c r="E589" cm="1">
        <f t="array" ref="E589">IFERROR(INDEX('TRIP MANAGER'!$Q$18:$Q$25,$A589),"")</f>
        <v>-26.140080000000001</v>
      </c>
      <c r="F589" cm="1">
        <f t="array" ref="F589">IFERROR(INDEX('TRIP MANAGER'!$R$18:$R$25,$A589),"")</f>
        <v>28.2468</v>
      </c>
      <c r="G589" cm="1">
        <f t="array" ref="G589">IFERROR(INDEX('TRIP MANAGER'!$S$18:$S$25,$A589),"")</f>
        <v>1.1690355391911331</v>
      </c>
      <c r="H589">
        <f t="shared" si="101"/>
        <v>0.89333333333333331</v>
      </c>
      <c r="I589">
        <f t="shared" si="102"/>
        <v>0.13513444613376002</v>
      </c>
      <c r="J589">
        <f t="shared" si="103"/>
        <v>0.93939247230042755</v>
      </c>
      <c r="K589">
        <f t="shared" si="104"/>
        <v>0.85796457789128677</v>
      </c>
      <c r="L589">
        <f t="shared" si="105"/>
        <v>0.38003850758939328</v>
      </c>
      <c r="M589">
        <f t="shared" si="106"/>
        <v>-0.3456407323118223</v>
      </c>
      <c r="N589">
        <f t="shared" si="107"/>
        <v>-20.22091334839277</v>
      </c>
      <c r="O589">
        <f t="shared" si="108"/>
        <v>23.89112068613359</v>
      </c>
      <c r="P589" t="str" cm="1">
        <f t="array" ref="P589">IF($N589="","",IFERROR(IF(INDEX(geo_grid!$B$2:$JU$231,INT(($N589+40)/0.5)+1,INT(($O589+30)/0.5)+1)="","",INDEX(geo_grid!$B$2:$JU$231,INT(($N589+40)/0.5)+1,INT(($O589+30)/0.5)+1)),"OUTSIDE GRID"))</f>
        <v>BWA</v>
      </c>
      <c r="Q589">
        <f t="shared" si="109"/>
        <v>4134</v>
      </c>
    </row>
    <row r="590" spans="1:17" x14ac:dyDescent="0.3">
      <c r="A590">
        <f t="shared" si="99"/>
        <v>4</v>
      </c>
      <c r="B590">
        <f t="shared" si="100"/>
        <v>135</v>
      </c>
      <c r="C590" cm="1">
        <f t="array" ref="C590">IFERROR(INDEX('TRIP MANAGER'!$O$18:$O$25,$A590),"")</f>
        <v>30.322479999999999</v>
      </c>
      <c r="D590" cm="1">
        <f t="array" ref="D590">IFERROR(INDEX('TRIP MANAGER'!$P$18:$P$25,$A590),"")</f>
        <v>-9.4120000000000008</v>
      </c>
      <c r="E590" cm="1">
        <f t="array" ref="E590">IFERROR(INDEX('TRIP MANAGER'!$Q$18:$Q$25,$A590),"")</f>
        <v>-26.140080000000001</v>
      </c>
      <c r="F590" cm="1">
        <f t="array" ref="F590">IFERROR(INDEX('TRIP MANAGER'!$R$18:$R$25,$A590),"")</f>
        <v>28.2468</v>
      </c>
      <c r="G590" cm="1">
        <f t="array" ref="G590">IFERROR(INDEX('TRIP MANAGER'!$S$18:$S$25,$A590),"")</f>
        <v>1.1690355391911331</v>
      </c>
      <c r="H590">
        <f t="shared" si="101"/>
        <v>0.9</v>
      </c>
      <c r="I590">
        <f t="shared" si="102"/>
        <v>0.12672834592312485</v>
      </c>
      <c r="J590">
        <f t="shared" si="103"/>
        <v>0.94361876524557664</v>
      </c>
      <c r="K590">
        <f t="shared" si="104"/>
        <v>0.85414835805812572</v>
      </c>
      <c r="L590">
        <f t="shared" si="105"/>
        <v>0.38302072094751449</v>
      </c>
      <c r="M590">
        <f t="shared" si="106"/>
        <v>-0.3517466556364881</v>
      </c>
      <c r="N590">
        <f t="shared" si="107"/>
        <v>-20.594185646634191</v>
      </c>
      <c r="O590">
        <f t="shared" si="108"/>
        <v>24.152614485127199</v>
      </c>
      <c r="P590" t="str" cm="1">
        <f t="array" ref="P590">IF($N590="","",IFERROR(IF(INDEX(geo_grid!$B$2:$JU$231,INT(($N590+40)/0.5)+1,INT(($O590+30)/0.5)+1)="","",INDEX(geo_grid!$B$2:$JU$231,INT(($N590+40)/0.5)+1,INT(($O590+30)/0.5)+1)),"OUTSIDE GRID"))</f>
        <v>BWA</v>
      </c>
      <c r="Q590">
        <f t="shared" si="109"/>
        <v>4135</v>
      </c>
    </row>
    <row r="591" spans="1:17" x14ac:dyDescent="0.3">
      <c r="A591">
        <f t="shared" si="99"/>
        <v>4</v>
      </c>
      <c r="B591">
        <f t="shared" si="100"/>
        <v>136</v>
      </c>
      <c r="C591" cm="1">
        <f t="array" ref="C591">IFERROR(INDEX('TRIP MANAGER'!$O$18:$O$25,$A591),"")</f>
        <v>30.322479999999999</v>
      </c>
      <c r="D591" cm="1">
        <f t="array" ref="D591">IFERROR(INDEX('TRIP MANAGER'!$P$18:$P$25,$A591),"")</f>
        <v>-9.4120000000000008</v>
      </c>
      <c r="E591" cm="1">
        <f t="array" ref="E591">IFERROR(INDEX('TRIP MANAGER'!$Q$18:$Q$25,$A591),"")</f>
        <v>-26.140080000000001</v>
      </c>
      <c r="F591" cm="1">
        <f t="array" ref="F591">IFERROR(INDEX('TRIP MANAGER'!$R$18:$R$25,$A591),"")</f>
        <v>28.2468</v>
      </c>
      <c r="G591" cm="1">
        <f t="array" ref="G591">IFERROR(INDEX('TRIP MANAGER'!$S$18:$S$25,$A591),"")</f>
        <v>1.1690355391911331</v>
      </c>
      <c r="H591">
        <f t="shared" si="101"/>
        <v>0.90666666666666662</v>
      </c>
      <c r="I591">
        <f t="shared" si="102"/>
        <v>0.11831454830499677</v>
      </c>
      <c r="J591">
        <f t="shared" si="103"/>
        <v>0.94778774332481086</v>
      </c>
      <c r="K591">
        <f t="shared" si="104"/>
        <v>0.85028025774058213</v>
      </c>
      <c r="L591">
        <f t="shared" si="105"/>
        <v>0.38597966984537668</v>
      </c>
      <c r="M591">
        <f t="shared" si="106"/>
        <v>-0.35783121406979479</v>
      </c>
      <c r="N591">
        <f t="shared" si="107"/>
        <v>-20.967063055736354</v>
      </c>
      <c r="O591">
        <f t="shared" si="108"/>
        <v>24.415391037619575</v>
      </c>
      <c r="P591" t="str" cm="1">
        <f t="array" ref="P591">IF($N591="","",IFERROR(IF(INDEX(geo_grid!$B$2:$JU$231,INT(($N591+40)/0.5)+1,INT(($O591+30)/0.5)+1)="","",INDEX(geo_grid!$B$2:$JU$231,INT(($N591+40)/0.5)+1,INT(($O591+30)/0.5)+1)),"OUTSIDE GRID"))</f>
        <v>BWA</v>
      </c>
      <c r="Q591">
        <f t="shared" si="109"/>
        <v>4136</v>
      </c>
    </row>
    <row r="592" spans="1:17" x14ac:dyDescent="0.3">
      <c r="A592">
        <f t="shared" si="99"/>
        <v>4</v>
      </c>
      <c r="B592">
        <f t="shared" si="100"/>
        <v>137</v>
      </c>
      <c r="C592" cm="1">
        <f t="array" ref="C592">IFERROR(INDEX('TRIP MANAGER'!$O$18:$O$25,$A592),"")</f>
        <v>30.322479999999999</v>
      </c>
      <c r="D592" cm="1">
        <f t="array" ref="D592">IFERROR(INDEX('TRIP MANAGER'!$P$18:$P$25,$A592),"")</f>
        <v>-9.4120000000000008</v>
      </c>
      <c r="E592" cm="1">
        <f t="array" ref="E592">IFERROR(INDEX('TRIP MANAGER'!$Q$18:$Q$25,$A592),"")</f>
        <v>-26.140080000000001</v>
      </c>
      <c r="F592" cm="1">
        <f t="array" ref="F592">IFERROR(INDEX('TRIP MANAGER'!$R$18:$R$25,$A592),"")</f>
        <v>28.2468</v>
      </c>
      <c r="G592" cm="1">
        <f t="array" ref="G592">IFERROR(INDEX('TRIP MANAGER'!$S$18:$S$25,$A592),"")</f>
        <v>1.1690355391911331</v>
      </c>
      <c r="H592">
        <f t="shared" si="101"/>
        <v>0.91333333333333333</v>
      </c>
      <c r="I592">
        <f t="shared" si="102"/>
        <v>0.10989356432864672</v>
      </c>
      <c r="J592">
        <f t="shared" si="103"/>
        <v>0.9518991533167781</v>
      </c>
      <c r="K592">
        <f t="shared" si="104"/>
        <v>0.84636051188486416</v>
      </c>
      <c r="L592">
        <f t="shared" si="105"/>
        <v>0.38891517455811048</v>
      </c>
      <c r="M592">
        <f t="shared" si="106"/>
        <v>-0.36389403803913162</v>
      </c>
      <c r="N592">
        <f t="shared" si="107"/>
        <v>-21.339535757457551</v>
      </c>
      <c r="O592">
        <f t="shared" si="108"/>
        <v>24.679480828214555</v>
      </c>
      <c r="P592" t="str" cm="1">
        <f t="array" ref="P592">IF($N592="","",IFERROR(IF(INDEX(geo_grid!$B$2:$JU$231,INT(($N592+40)/0.5)+1,INT(($O592+30)/0.5)+1)="","",INDEX(geo_grid!$B$2:$JU$231,INT(($N592+40)/0.5)+1,INT(($O592+30)/0.5)+1)),"OUTSIDE GRID"))</f>
        <v>BWA</v>
      </c>
      <c r="Q592">
        <f t="shared" si="109"/>
        <v>4137</v>
      </c>
    </row>
    <row r="593" spans="1:17" x14ac:dyDescent="0.3">
      <c r="A593">
        <f t="shared" si="99"/>
        <v>4</v>
      </c>
      <c r="B593">
        <f t="shared" si="100"/>
        <v>138</v>
      </c>
      <c r="C593" cm="1">
        <f t="array" ref="C593">IFERROR(INDEX('TRIP MANAGER'!$O$18:$O$25,$A593),"")</f>
        <v>30.322479999999999</v>
      </c>
      <c r="D593" cm="1">
        <f t="array" ref="D593">IFERROR(INDEX('TRIP MANAGER'!$P$18:$P$25,$A593),"")</f>
        <v>-9.4120000000000008</v>
      </c>
      <c r="E593" cm="1">
        <f t="array" ref="E593">IFERROR(INDEX('TRIP MANAGER'!$Q$18:$Q$25,$A593),"")</f>
        <v>-26.140080000000001</v>
      </c>
      <c r="F593" cm="1">
        <f t="array" ref="F593">IFERROR(INDEX('TRIP MANAGER'!$R$18:$R$25,$A593),"")</f>
        <v>28.2468</v>
      </c>
      <c r="G593" cm="1">
        <f t="array" ref="G593">IFERROR(INDEX('TRIP MANAGER'!$S$18:$S$25,$A593),"")</f>
        <v>1.1690355391911331</v>
      </c>
      <c r="H593">
        <f t="shared" si="101"/>
        <v>0.92</v>
      </c>
      <c r="I593">
        <f t="shared" si="102"/>
        <v>0.10146590547984143</v>
      </c>
      <c r="J593">
        <f t="shared" si="103"/>
        <v>0.95595274549677933</v>
      </c>
      <c r="K593">
        <f t="shared" si="104"/>
        <v>0.84238935857410113</v>
      </c>
      <c r="L593">
        <f t="shared" si="105"/>
        <v>0.39182705678483304</v>
      </c>
      <c r="M593">
        <f t="shared" si="106"/>
        <v>-0.36993475929202674</v>
      </c>
      <c r="N593">
        <f t="shared" si="107"/>
        <v>-21.711593777140525</v>
      </c>
      <c r="O593">
        <f t="shared" si="108"/>
        <v>24.944914744432872</v>
      </c>
      <c r="P593" t="str" cm="1">
        <f t="array" ref="P593">IF($N593="","",IFERROR(IF(INDEX(geo_grid!$B$2:$JU$231,INT(($N593+40)/0.5)+1,INT(($O593+30)/0.5)+1)="","",INDEX(geo_grid!$B$2:$JU$231,INT(($N593+40)/0.5)+1,INT(($O593+30)/0.5)+1)),"OUTSIDE GRID"))</f>
        <v>BWA</v>
      </c>
      <c r="Q593">
        <f t="shared" si="109"/>
        <v>4138</v>
      </c>
    </row>
    <row r="594" spans="1:17" x14ac:dyDescent="0.3">
      <c r="A594">
        <f t="shared" si="99"/>
        <v>4</v>
      </c>
      <c r="B594">
        <f t="shared" si="100"/>
        <v>139</v>
      </c>
      <c r="C594" cm="1">
        <f t="array" ref="C594">IFERROR(INDEX('TRIP MANAGER'!$O$18:$O$25,$A594),"")</f>
        <v>30.322479999999999</v>
      </c>
      <c r="D594" cm="1">
        <f t="array" ref="D594">IFERROR(INDEX('TRIP MANAGER'!$P$18:$P$25,$A594),"")</f>
        <v>-9.4120000000000008</v>
      </c>
      <c r="E594" cm="1">
        <f t="array" ref="E594">IFERROR(INDEX('TRIP MANAGER'!$Q$18:$Q$25,$A594),"")</f>
        <v>-26.140080000000001</v>
      </c>
      <c r="F594" cm="1">
        <f t="array" ref="F594">IFERROR(INDEX('TRIP MANAGER'!$R$18:$R$25,$A594),"")</f>
        <v>28.2468</v>
      </c>
      <c r="G594" cm="1">
        <f t="array" ref="G594">IFERROR(INDEX('TRIP MANAGER'!$S$18:$S$25,$A594),"")</f>
        <v>1.1690355391911331</v>
      </c>
      <c r="H594">
        <f t="shared" si="101"/>
        <v>0.92666666666666664</v>
      </c>
      <c r="I594">
        <f t="shared" si="102"/>
        <v>9.3032083649775527E-2</v>
      </c>
      <c r="J594">
        <f t="shared" si="103"/>
        <v>0.9599482736519358</v>
      </c>
      <c r="K594">
        <f t="shared" si="104"/>
        <v>0.8383670390138811</v>
      </c>
      <c r="L594">
        <f t="shared" si="105"/>
        <v>0.39471513965947758</v>
      </c>
      <c r="M594">
        <f t="shared" si="106"/>
        <v>-0.37595301091851435</v>
      </c>
      <c r="N594">
        <f t="shared" si="107"/>
        <v>-22.083226979207449</v>
      </c>
      <c r="O594">
        <f t="shared" si="108"/>
        <v>25.211724086458513</v>
      </c>
      <c r="P594" t="str" cm="1">
        <f t="array" ref="P594">IF($N594="","",IFERROR(IF(INDEX(geo_grid!$B$2:$JU$231,INT(($N594+40)/0.5)+1,INT(($O594+30)/0.5)+1)="","",INDEX(geo_grid!$B$2:$JU$231,INT(($N594+40)/0.5)+1,INT(($O594+30)/0.5)+1)),"OUTSIDE GRID"))</f>
        <v>BWA</v>
      </c>
      <c r="Q594">
        <f t="shared" si="109"/>
        <v>4139</v>
      </c>
    </row>
    <row r="595" spans="1:17" x14ac:dyDescent="0.3">
      <c r="A595">
        <f t="shared" si="99"/>
        <v>4</v>
      </c>
      <c r="B595">
        <f t="shared" si="100"/>
        <v>140</v>
      </c>
      <c r="C595" cm="1">
        <f t="array" ref="C595">IFERROR(INDEX('TRIP MANAGER'!$O$18:$O$25,$A595),"")</f>
        <v>30.322479999999999</v>
      </c>
      <c r="D595" cm="1">
        <f t="array" ref="D595">IFERROR(INDEX('TRIP MANAGER'!$P$18:$P$25,$A595),"")</f>
        <v>-9.4120000000000008</v>
      </c>
      <c r="E595" cm="1">
        <f t="array" ref="E595">IFERROR(INDEX('TRIP MANAGER'!$Q$18:$Q$25,$A595),"")</f>
        <v>-26.140080000000001</v>
      </c>
      <c r="F595" cm="1">
        <f t="array" ref="F595">IFERROR(INDEX('TRIP MANAGER'!$R$18:$R$25,$A595),"")</f>
        <v>28.2468</v>
      </c>
      <c r="G595" cm="1">
        <f t="array" ref="G595">IFERROR(INDEX('TRIP MANAGER'!$S$18:$S$25,$A595),"")</f>
        <v>1.1690355391911331</v>
      </c>
      <c r="H595">
        <f t="shared" si="101"/>
        <v>0.93333333333333335</v>
      </c>
      <c r="I595">
        <f t="shared" si="102"/>
        <v>8.4592611103979198E-2</v>
      </c>
      <c r="J595">
        <f t="shared" si="103"/>
        <v>0.96388549509614507</v>
      </c>
      <c r="K595">
        <f t="shared" si="104"/>
        <v>0.83429379751760147</v>
      </c>
      <c r="L595">
        <f t="shared" si="105"/>
        <v>0.39757924776153675</v>
      </c>
      <c r="M595">
        <f t="shared" si="106"/>
        <v>-0.38194842737342144</v>
      </c>
      <c r="N595">
        <f t="shared" si="107"/>
        <v>-22.454425062552477</v>
      </c>
      <c r="O595">
        <f t="shared" si="108"/>
        <v>25.479940576993958</v>
      </c>
      <c r="P595" t="str" cm="1">
        <f t="array" ref="P595">IF($N595="","",IFERROR(IF(INDEX(geo_grid!$B$2:$JU$231,INT(($N595+40)/0.5)+1,INT(($O595+30)/0.5)+1)="","",INDEX(geo_grid!$B$2:$JU$231,INT(($N595+40)/0.5)+1,INT(($O595+30)/0.5)+1)),"OUTSIDE GRID"))</f>
        <v>BWA</v>
      </c>
      <c r="Q595">
        <f t="shared" si="109"/>
        <v>4140</v>
      </c>
    </row>
    <row r="596" spans="1:17" x14ac:dyDescent="0.3">
      <c r="A596">
        <f t="shared" si="99"/>
        <v>4</v>
      </c>
      <c r="B596">
        <f t="shared" si="100"/>
        <v>141</v>
      </c>
      <c r="C596" cm="1">
        <f t="array" ref="C596">IFERROR(INDEX('TRIP MANAGER'!$O$18:$O$25,$A596),"")</f>
        <v>30.322479999999999</v>
      </c>
      <c r="D596" cm="1">
        <f t="array" ref="D596">IFERROR(INDEX('TRIP MANAGER'!$P$18:$P$25,$A596),"")</f>
        <v>-9.4120000000000008</v>
      </c>
      <c r="E596" cm="1">
        <f t="array" ref="E596">IFERROR(INDEX('TRIP MANAGER'!$Q$18:$Q$25,$A596),"")</f>
        <v>-26.140080000000001</v>
      </c>
      <c r="F596" cm="1">
        <f t="array" ref="F596">IFERROR(INDEX('TRIP MANAGER'!$R$18:$R$25,$A596),"")</f>
        <v>28.2468</v>
      </c>
      <c r="G596" cm="1">
        <f t="array" ref="G596">IFERROR(INDEX('TRIP MANAGER'!$S$18:$S$25,$A596),"")</f>
        <v>1.1690355391911331</v>
      </c>
      <c r="H596">
        <f t="shared" si="101"/>
        <v>0.94</v>
      </c>
      <c r="I596">
        <f t="shared" si="102"/>
        <v>7.614800045120447E-2</v>
      </c>
      <c r="J596">
        <f t="shared" si="103"/>
        <v>0.96776417068482112</v>
      </c>
      <c r="K596">
        <f t="shared" si="104"/>
        <v>0.83016988149162896</v>
      </c>
      <c r="L596">
        <f t="shared" si="105"/>
        <v>0.40041920712671702</v>
      </c>
      <c r="M596">
        <f t="shared" si="106"/>
        <v>-0.38792064449856994</v>
      </c>
      <c r="N596">
        <f t="shared" si="107"/>
        <v>-22.825177555828887</v>
      </c>
      <c r="O596">
        <f t="shared" si="108"/>
        <v>25.749596371222875</v>
      </c>
      <c r="P596" t="str" cm="1">
        <f t="array" ref="P596">IF($N596="","",IFERROR(IF(INDEX(geo_grid!$B$2:$JU$231,INT(($N596+40)/0.5)+1,INT(($O596+30)/0.5)+1)="","",INDEX(geo_grid!$B$2:$JU$231,INT(($N596+40)/0.5)+1,INT(($O596+30)/0.5)+1)),"OUTSIDE GRID"))</f>
        <v>BWA</v>
      </c>
      <c r="Q596">
        <f t="shared" si="109"/>
        <v>4141</v>
      </c>
    </row>
    <row r="597" spans="1:17" x14ac:dyDescent="0.3">
      <c r="A597">
        <f t="shared" si="99"/>
        <v>4</v>
      </c>
      <c r="B597">
        <f t="shared" si="100"/>
        <v>142</v>
      </c>
      <c r="C597" cm="1">
        <f t="array" ref="C597">IFERROR(INDEX('TRIP MANAGER'!$O$18:$O$25,$A597),"")</f>
        <v>30.322479999999999</v>
      </c>
      <c r="D597" cm="1">
        <f t="array" ref="D597">IFERROR(INDEX('TRIP MANAGER'!$P$18:$P$25,$A597),"")</f>
        <v>-9.4120000000000008</v>
      </c>
      <c r="E597" cm="1">
        <f t="array" ref="E597">IFERROR(INDEX('TRIP MANAGER'!$Q$18:$Q$25,$A597),"")</f>
        <v>-26.140080000000001</v>
      </c>
      <c r="F597" cm="1">
        <f t="array" ref="F597">IFERROR(INDEX('TRIP MANAGER'!$R$18:$R$25,$A597),"")</f>
        <v>28.2468</v>
      </c>
      <c r="G597" cm="1">
        <f t="array" ref="G597">IFERROR(INDEX('TRIP MANAGER'!$S$18:$S$25,$A597),"")</f>
        <v>1.1690355391911331</v>
      </c>
      <c r="H597">
        <f t="shared" si="101"/>
        <v>0.94666666666666666</v>
      </c>
      <c r="I597">
        <f t="shared" si="102"/>
        <v>6.7698764612288451E-2</v>
      </c>
      <c r="J597">
        <f t="shared" si="103"/>
        <v>0.97158406482941939</v>
      </c>
      <c r="K597">
        <f t="shared" si="104"/>
        <v>0.82599554142027221</v>
      </c>
      <c r="L597">
        <f t="shared" si="105"/>
        <v>0.4032348452575053</v>
      </c>
      <c r="M597">
        <f t="shared" si="106"/>
        <v>-0.39386929954489608</v>
      </c>
      <c r="N597">
        <f t="shared" si="107"/>
        <v>-23.195473812628052</v>
      </c>
      <c r="O597">
        <f t="shared" si="108"/>
        <v>26.020724066878586</v>
      </c>
      <c r="P597" t="str" cm="1">
        <f t="array" ref="P597">IF($N597="","",IFERROR(IF(INDEX(geo_grid!$B$2:$JU$231,INT(($N597+40)/0.5)+1,INT(($O597+30)/0.5)+1)="","",INDEX(geo_grid!$B$2:$JU$231,INT(($N597+40)/0.5)+1,INT(($O597+30)/0.5)+1)),"OUTSIDE GRID"))</f>
        <v>BWA</v>
      </c>
      <c r="Q597">
        <f t="shared" si="109"/>
        <v>4142</v>
      </c>
    </row>
    <row r="598" spans="1:17" x14ac:dyDescent="0.3">
      <c r="A598">
        <f t="shared" si="99"/>
        <v>4</v>
      </c>
      <c r="B598">
        <f t="shared" si="100"/>
        <v>143</v>
      </c>
      <c r="C598" cm="1">
        <f t="array" ref="C598">IFERROR(INDEX('TRIP MANAGER'!$O$18:$O$25,$A598),"")</f>
        <v>30.322479999999999</v>
      </c>
      <c r="D598" cm="1">
        <f t="array" ref="D598">IFERROR(INDEX('TRIP MANAGER'!$P$18:$P$25,$A598),"")</f>
        <v>-9.4120000000000008</v>
      </c>
      <c r="E598" cm="1">
        <f t="array" ref="E598">IFERROR(INDEX('TRIP MANAGER'!$Q$18:$Q$25,$A598),"")</f>
        <v>-26.140080000000001</v>
      </c>
      <c r="F598" cm="1">
        <f t="array" ref="F598">IFERROR(INDEX('TRIP MANAGER'!$R$18:$R$25,$A598),"")</f>
        <v>28.2468</v>
      </c>
      <c r="G598" cm="1">
        <f t="array" ref="G598">IFERROR(INDEX('TRIP MANAGER'!$S$18:$S$25,$A598),"")</f>
        <v>1.1690355391911331</v>
      </c>
      <c r="H598">
        <f t="shared" si="101"/>
        <v>0.95333333333333337</v>
      </c>
      <c r="I598">
        <f t="shared" si="102"/>
        <v>5.9245416788999861E-2</v>
      </c>
      <c r="J598">
        <f t="shared" si="103"/>
        <v>0.97534494551174722</v>
      </c>
      <c r="K598">
        <f t="shared" si="104"/>
        <v>0.82177103085056769</v>
      </c>
      <c r="L598">
        <f t="shared" si="105"/>
        <v>0.40602599113364657</v>
      </c>
      <c r="M598">
        <f t="shared" si="106"/>
        <v>-0.39979403119448326</v>
      </c>
      <c r="N598">
        <f t="shared" si="107"/>
        <v>-23.565303006547119</v>
      </c>
      <c r="O598">
        <f t="shared" si="108"/>
        <v>26.293356714416188</v>
      </c>
      <c r="P598" t="str" cm="1">
        <f t="array" ref="P598">IF($N598="","",IFERROR(IF(INDEX(geo_grid!$B$2:$JU$231,INT(($N598+40)/0.5)+1,INT(($O598+30)/0.5)+1)="","",INDEX(geo_grid!$B$2:$JU$231,INT(($N598+40)/0.5)+1,INT(($O598+30)/0.5)+1)),"OUTSIDE GRID"))</f>
        <v>BWA</v>
      </c>
      <c r="Q598">
        <f t="shared" si="109"/>
        <v>4143</v>
      </c>
    </row>
    <row r="599" spans="1:17" x14ac:dyDescent="0.3">
      <c r="A599">
        <f t="shared" si="99"/>
        <v>4</v>
      </c>
      <c r="B599">
        <f t="shared" si="100"/>
        <v>144</v>
      </c>
      <c r="C599" cm="1">
        <f t="array" ref="C599">IFERROR(INDEX('TRIP MANAGER'!$O$18:$O$25,$A599),"")</f>
        <v>30.322479999999999</v>
      </c>
      <c r="D599" cm="1">
        <f t="array" ref="D599">IFERROR(INDEX('TRIP MANAGER'!$P$18:$P$25,$A599),"")</f>
        <v>-9.4120000000000008</v>
      </c>
      <c r="E599" cm="1">
        <f t="array" ref="E599">IFERROR(INDEX('TRIP MANAGER'!$Q$18:$Q$25,$A599),"")</f>
        <v>-26.140080000000001</v>
      </c>
      <c r="F599" cm="1">
        <f t="array" ref="F599">IFERROR(INDEX('TRIP MANAGER'!$R$18:$R$25,$A599),"")</f>
        <v>28.2468</v>
      </c>
      <c r="G599" cm="1">
        <f t="array" ref="G599">IFERROR(INDEX('TRIP MANAGER'!$S$18:$S$25,$A599),"")</f>
        <v>1.1690355391911331</v>
      </c>
      <c r="H599">
        <f t="shared" si="101"/>
        <v>0.96</v>
      </c>
      <c r="I599">
        <f t="shared" si="102"/>
        <v>5.0788470432867015E-2</v>
      </c>
      <c r="J599">
        <f t="shared" si="103"/>
        <v>0.97904658429805558</v>
      </c>
      <c r="K599">
        <f t="shared" si="104"/>
        <v>0.81749660637687926</v>
      </c>
      <c r="L599">
        <f t="shared" si="105"/>
        <v>0.40879247522253132</v>
      </c>
      <c r="M599">
        <f t="shared" si="106"/>
        <v>-0.40569447958250821</v>
      </c>
      <c r="N599">
        <f t="shared" si="107"/>
        <v>-23.934654126142494</v>
      </c>
      <c r="O599">
        <f t="shared" si="108"/>
        <v>26.567527827285765</v>
      </c>
      <c r="P599" t="str" cm="1">
        <f t="array" ref="P599">IF($N599="","",IFERROR(IF(INDEX(geo_grid!$B$2:$JU$231,INT(($N599+40)/0.5)+1,INT(($O599+30)/0.5)+1)="","",INDEX(geo_grid!$B$2:$JU$231,INT(($N599+40)/0.5)+1,INT(($O599+30)/0.5)+1)),"OUTSIDE GRID"))</f>
        <v>BWA</v>
      </c>
      <c r="Q599">
        <f t="shared" si="109"/>
        <v>4144</v>
      </c>
    </row>
    <row r="600" spans="1:17" x14ac:dyDescent="0.3">
      <c r="A600">
        <f t="shared" si="99"/>
        <v>4</v>
      </c>
      <c r="B600">
        <f t="shared" si="100"/>
        <v>145</v>
      </c>
      <c r="C600" cm="1">
        <f t="array" ref="C600">IFERROR(INDEX('TRIP MANAGER'!$O$18:$O$25,$A600),"")</f>
        <v>30.322479999999999</v>
      </c>
      <c r="D600" cm="1">
        <f t="array" ref="D600">IFERROR(INDEX('TRIP MANAGER'!$P$18:$P$25,$A600),"")</f>
        <v>-9.4120000000000008</v>
      </c>
      <c r="E600" cm="1">
        <f t="array" ref="E600">IFERROR(INDEX('TRIP MANAGER'!$Q$18:$Q$25,$A600),"")</f>
        <v>-26.140080000000001</v>
      </c>
      <c r="F600" cm="1">
        <f t="array" ref="F600">IFERROR(INDEX('TRIP MANAGER'!$R$18:$R$25,$A600),"")</f>
        <v>28.2468</v>
      </c>
      <c r="G600" cm="1">
        <f t="array" ref="G600">IFERROR(INDEX('TRIP MANAGER'!$S$18:$S$25,$A600),"")</f>
        <v>1.1690355391911331</v>
      </c>
      <c r="H600">
        <f t="shared" si="101"/>
        <v>0.96666666666666667</v>
      </c>
      <c r="I600">
        <f t="shared" si="102"/>
        <v>4.2328439213990626E-2</v>
      </c>
      <c r="J600">
        <f t="shared" si="103"/>
        <v>0.98268875635291442</v>
      </c>
      <c r="K600">
        <f t="shared" si="104"/>
        <v>0.81317252762531267</v>
      </c>
      <c r="L600">
        <f t="shared" si="105"/>
        <v>0.41153412948949286</v>
      </c>
      <c r="M600">
        <f t="shared" si="106"/>
        <v>-0.4115702863190992</v>
      </c>
      <c r="N600">
        <f t="shared" si="107"/>
        <v>-24.303515969766032</v>
      </c>
      <c r="O600">
        <f t="shared" si="108"/>
        <v>26.843271392303695</v>
      </c>
      <c r="P600" t="str" cm="1">
        <f t="array" ref="P600">IF($N600="","",IFERROR(IF(INDEX(geo_grid!$B$2:$JU$231,INT(($N600+40)/0.5)+1,INT(($O600+30)/0.5)+1)="","",INDEX(geo_grid!$B$2:$JU$231,INT(($N600+40)/0.5)+1,INT(($O600+30)/0.5)+1)),"OUTSIDE GRID"))</f>
        <v>BWA</v>
      </c>
      <c r="Q600">
        <f t="shared" si="109"/>
        <v>4145</v>
      </c>
    </row>
    <row r="601" spans="1:17" x14ac:dyDescent="0.3">
      <c r="A601">
        <f t="shared" si="99"/>
        <v>4</v>
      </c>
      <c r="B601">
        <f t="shared" si="100"/>
        <v>146</v>
      </c>
      <c r="C601" cm="1">
        <f t="array" ref="C601">IFERROR(INDEX('TRIP MANAGER'!$O$18:$O$25,$A601),"")</f>
        <v>30.322479999999999</v>
      </c>
      <c r="D601" cm="1">
        <f t="array" ref="D601">IFERROR(INDEX('TRIP MANAGER'!$P$18:$P$25,$A601),"")</f>
        <v>-9.4120000000000008</v>
      </c>
      <c r="E601" cm="1">
        <f t="array" ref="E601">IFERROR(INDEX('TRIP MANAGER'!$Q$18:$Q$25,$A601),"")</f>
        <v>-26.140080000000001</v>
      </c>
      <c r="F601" cm="1">
        <f t="array" ref="F601">IFERROR(INDEX('TRIP MANAGER'!$R$18:$R$25,$A601),"")</f>
        <v>28.2468</v>
      </c>
      <c r="G601" cm="1">
        <f t="array" ref="G601">IFERROR(INDEX('TRIP MANAGER'!$S$18:$S$25,$A601),"")</f>
        <v>1.1690355391911331</v>
      </c>
      <c r="H601">
        <f t="shared" si="101"/>
        <v>0.97333333333333338</v>
      </c>
      <c r="I601">
        <f t="shared" si="102"/>
        <v>3.3865836989844647E-2</v>
      </c>
      <c r="J601">
        <f t="shared" si="103"/>
        <v>0.98627124045286962</v>
      </c>
      <c r="K601">
        <f t="shared" si="104"/>
        <v>0.80879905723794698</v>
      </c>
      <c r="L601">
        <f t="shared" si="105"/>
        <v>0.41425078740801397</v>
      </c>
      <c r="M601">
        <f t="shared" si="106"/>
        <v>-0.4174210945111046</v>
      </c>
      <c r="N601">
        <f t="shared" si="107"/>
        <v>-24.671877140280799</v>
      </c>
      <c r="O601">
        <f t="shared" si="108"/>
        <v>27.120621880118698</v>
      </c>
      <c r="P601" t="str" cm="1">
        <f t="array" ref="P601">IF($N601="","",IFERROR(IF(INDEX(geo_grid!$B$2:$JU$231,INT(($N601+40)/0.5)+1,INT(($O601+30)/0.5)+1)="","",INDEX(geo_grid!$B$2:$JU$231,INT(($N601+40)/0.5)+1,INT(($O601+30)/0.5)+1)),"OUTSIDE GRID"))</f>
        <v>ZAF</v>
      </c>
      <c r="Q601">
        <f t="shared" si="109"/>
        <v>4146</v>
      </c>
    </row>
    <row r="602" spans="1:17" x14ac:dyDescent="0.3">
      <c r="A602">
        <f t="shared" si="99"/>
        <v>4</v>
      </c>
      <c r="B602">
        <f t="shared" si="100"/>
        <v>147</v>
      </c>
      <c r="C602" cm="1">
        <f t="array" ref="C602">IFERROR(INDEX('TRIP MANAGER'!$O$18:$O$25,$A602),"")</f>
        <v>30.322479999999999</v>
      </c>
      <c r="D602" cm="1">
        <f t="array" ref="D602">IFERROR(INDEX('TRIP MANAGER'!$P$18:$P$25,$A602),"")</f>
        <v>-9.4120000000000008</v>
      </c>
      <c r="E602" cm="1">
        <f t="array" ref="E602">IFERROR(INDEX('TRIP MANAGER'!$Q$18:$Q$25,$A602),"")</f>
        <v>-26.140080000000001</v>
      </c>
      <c r="F602" cm="1">
        <f t="array" ref="F602">IFERROR(INDEX('TRIP MANAGER'!$R$18:$R$25,$A602),"")</f>
        <v>28.2468</v>
      </c>
      <c r="G602" cm="1">
        <f t="array" ref="G602">IFERROR(INDEX('TRIP MANAGER'!$S$18:$S$25,$A602),"")</f>
        <v>1.1690355391911331</v>
      </c>
      <c r="H602">
        <f t="shared" si="101"/>
        <v>0.98</v>
      </c>
      <c r="I602">
        <f t="shared" si="102"/>
        <v>2.5401177774064421E-2</v>
      </c>
      <c r="J602">
        <f t="shared" si="103"/>
        <v>0.98979381899987884</v>
      </c>
      <c r="K602">
        <f t="shared" si="104"/>
        <v>0.8043764608568803</v>
      </c>
      <c r="L602">
        <f t="shared" si="105"/>
        <v>0.41694228396984123</v>
      </c>
      <c r="M602">
        <f t="shared" si="106"/>
        <v>-0.42324654878376966</v>
      </c>
      <c r="N602">
        <f t="shared" si="107"/>
        <v>-25.039726039653349</v>
      </c>
      <c r="O602">
        <f t="shared" si="108"/>
        <v>27.399614255768476</v>
      </c>
      <c r="P602" t="str" cm="1">
        <f t="array" ref="P602">IF($N602="","",IFERROR(IF(INDEX(geo_grid!$B$2:$JU$231,INT(($N602+40)/0.5)+1,INT(($O602+30)/0.5)+1)="","",INDEX(geo_grid!$B$2:$JU$231,INT(($N602+40)/0.5)+1,INT(($O602+30)/0.5)+1)),"OUTSIDE GRID"))</f>
        <v>ZAF</v>
      </c>
      <c r="Q602">
        <f t="shared" si="109"/>
        <v>4147</v>
      </c>
    </row>
    <row r="603" spans="1:17" x14ac:dyDescent="0.3">
      <c r="A603">
        <f t="shared" si="99"/>
        <v>4</v>
      </c>
      <c r="B603">
        <f t="shared" si="100"/>
        <v>148</v>
      </c>
      <c r="C603" cm="1">
        <f t="array" ref="C603">IFERROR(INDEX('TRIP MANAGER'!$O$18:$O$25,$A603),"")</f>
        <v>30.322479999999999</v>
      </c>
      <c r="D603" cm="1">
        <f t="array" ref="D603">IFERROR(INDEX('TRIP MANAGER'!$P$18:$P$25,$A603),"")</f>
        <v>-9.4120000000000008</v>
      </c>
      <c r="E603" cm="1">
        <f t="array" ref="E603">IFERROR(INDEX('TRIP MANAGER'!$Q$18:$Q$25,$A603),"")</f>
        <v>-26.140080000000001</v>
      </c>
      <c r="F603" cm="1">
        <f t="array" ref="F603">IFERROR(INDEX('TRIP MANAGER'!$R$18:$R$25,$A603),"")</f>
        <v>28.2468</v>
      </c>
      <c r="G603" cm="1">
        <f t="array" ref="G603">IFERROR(INDEX('TRIP MANAGER'!$S$18:$S$25,$A603),"")</f>
        <v>1.1690355391911331</v>
      </c>
      <c r="H603">
        <f t="shared" si="101"/>
        <v>0.98666666666666669</v>
      </c>
      <c r="I603">
        <f t="shared" si="102"/>
        <v>1.6934975705225359E-2</v>
      </c>
      <c r="J603">
        <f t="shared" si="103"/>
        <v>0.99325627803452921</v>
      </c>
      <c r="K603">
        <f t="shared" si="104"/>
        <v>0.79990500710809576</v>
      </c>
      <c r="L603">
        <f t="shared" si="105"/>
        <v>0.41960845569500765</v>
      </c>
      <c r="M603">
        <f t="shared" si="106"/>
        <v>-0.4290462953023228</v>
      </c>
      <c r="N603">
        <f t="shared" si="107"/>
        <v>-25.4070508634193</v>
      </c>
      <c r="O603">
        <f t="shared" si="108"/>
        <v>27.680283989322614</v>
      </c>
      <c r="P603" t="str" cm="1">
        <f t="array" ref="P603">IF($N603="","",IFERROR(IF(INDEX(geo_grid!$B$2:$JU$231,INT(($N603+40)/0.5)+1,INT(($O603+30)/0.5)+1)="","",INDEX(geo_grid!$B$2:$JU$231,INT(($N603+40)/0.5)+1,INT(($O603+30)/0.5)+1)),"OUTSIDE GRID"))</f>
        <v>ZAF</v>
      </c>
      <c r="Q603">
        <f t="shared" si="109"/>
        <v>4148</v>
      </c>
    </row>
    <row r="604" spans="1:17" x14ac:dyDescent="0.3">
      <c r="A604">
        <f t="shared" si="99"/>
        <v>4</v>
      </c>
      <c r="B604">
        <f t="shared" si="100"/>
        <v>149</v>
      </c>
      <c r="C604" cm="1">
        <f t="array" ref="C604">IFERROR(INDEX('TRIP MANAGER'!$O$18:$O$25,$A604),"")</f>
        <v>30.322479999999999</v>
      </c>
      <c r="D604" cm="1">
        <f t="array" ref="D604">IFERROR(INDEX('TRIP MANAGER'!$P$18:$P$25,$A604),"")</f>
        <v>-9.4120000000000008</v>
      </c>
      <c r="E604" cm="1">
        <f t="array" ref="E604">IFERROR(INDEX('TRIP MANAGER'!$Q$18:$Q$25,$A604),"")</f>
        <v>-26.140080000000001</v>
      </c>
      <c r="F604" cm="1">
        <f t="array" ref="F604">IFERROR(INDEX('TRIP MANAGER'!$R$18:$R$25,$A604),"")</f>
        <v>28.2468</v>
      </c>
      <c r="G604" cm="1">
        <f t="array" ref="G604">IFERROR(INDEX('TRIP MANAGER'!$S$18:$S$25,$A604),"")</f>
        <v>1.1690355391911331</v>
      </c>
      <c r="H604">
        <f t="shared" si="101"/>
        <v>0.99333333333333329</v>
      </c>
      <c r="I604">
        <f t="shared" si="102"/>
        <v>8.4677450156154608E-3</v>
      </c>
      <c r="J604">
        <f t="shared" si="103"/>
        <v>0.99665840724903265</v>
      </c>
      <c r="K604">
        <f t="shared" si="104"/>
        <v>0.79538496758514532</v>
      </c>
      <c r="L604">
        <f t="shared" si="105"/>
        <v>0.42224914064176244</v>
      </c>
      <c r="M604">
        <f t="shared" si="106"/>
        <v>-0.43481998179346631</v>
      </c>
      <c r="N604">
        <f t="shared" si="107"/>
        <v>-25.77383959501898</v>
      </c>
      <c r="O604">
        <f t="shared" si="108"/>
        <v>27.962667066606397</v>
      </c>
      <c r="P604" t="str" cm="1">
        <f t="array" ref="P604">IF($N604="","",IFERROR(IF(INDEX(geo_grid!$B$2:$JU$231,INT(($N604+40)/0.5)+1,INT(($O604+30)/0.5)+1)="","",INDEX(geo_grid!$B$2:$JU$231,INT(($N604+40)/0.5)+1,INT(($O604+30)/0.5)+1)),"OUTSIDE GRID"))</f>
        <v>ZAF</v>
      </c>
      <c r="Q604">
        <f t="shared" si="109"/>
        <v>4149</v>
      </c>
    </row>
    <row r="605" spans="1:17" x14ac:dyDescent="0.3">
      <c r="A605">
        <f t="shared" si="99"/>
        <v>4</v>
      </c>
      <c r="B605">
        <f t="shared" si="100"/>
        <v>150</v>
      </c>
      <c r="C605" cm="1">
        <f t="array" ref="C605">IFERROR(INDEX('TRIP MANAGER'!$O$18:$O$25,$A605),"")</f>
        <v>30.322479999999999</v>
      </c>
      <c r="D605" cm="1">
        <f t="array" ref="D605">IFERROR(INDEX('TRIP MANAGER'!$P$18:$P$25,$A605),"")</f>
        <v>-9.4120000000000008</v>
      </c>
      <c r="E605" cm="1">
        <f t="array" ref="E605">IFERROR(INDEX('TRIP MANAGER'!$Q$18:$Q$25,$A605),"")</f>
        <v>-26.140080000000001</v>
      </c>
      <c r="F605" cm="1">
        <f t="array" ref="F605">IFERROR(INDEX('TRIP MANAGER'!$R$18:$R$25,$A605),"")</f>
        <v>28.2468</v>
      </c>
      <c r="G605" cm="1">
        <f t="array" ref="G605">IFERROR(INDEX('TRIP MANAGER'!$S$18:$S$25,$A605),"")</f>
        <v>1.1690355391911331</v>
      </c>
      <c r="H605">
        <f t="shared" si="101"/>
        <v>1</v>
      </c>
      <c r="I605">
        <f t="shared" si="102"/>
        <v>0</v>
      </c>
      <c r="J605">
        <f t="shared" si="103"/>
        <v>1</v>
      </c>
      <c r="K605">
        <f t="shared" si="104"/>
        <v>0.79081661683265303</v>
      </c>
      <c r="L605">
        <f t="shared" si="105"/>
        <v>0.42486417841640722</v>
      </c>
      <c r="M605">
        <f t="shared" si="106"/>
        <v>-0.44056725756677406</v>
      </c>
      <c r="N605">
        <f t="shared" si="107"/>
        <v>-26.140080000000001</v>
      </c>
      <c r="O605">
        <f t="shared" si="108"/>
        <v>28.246799999999997</v>
      </c>
      <c r="P605" t="str" cm="1">
        <f t="array" ref="P605">IF($N605="","",IFERROR(IF(INDEX(geo_grid!$B$2:$JU$231,INT(($N605+40)/0.5)+1,INT(($O605+30)/0.5)+1)="","",INDEX(geo_grid!$B$2:$JU$231,INT(($N605+40)/0.5)+1,INT(($O605+30)/0.5)+1)),"OUTSIDE GRID"))</f>
        <v>ZAF</v>
      </c>
      <c r="Q605">
        <f t="shared" si="109"/>
        <v>4150</v>
      </c>
    </row>
    <row r="606" spans="1:17" x14ac:dyDescent="0.3">
      <c r="A606">
        <f t="shared" si="99"/>
        <v>5</v>
      </c>
      <c r="B606">
        <f t="shared" si="100"/>
        <v>0</v>
      </c>
      <c r="C606" t="str" cm="1">
        <f t="array" ref="C606">IFERROR(INDEX('TRIP MANAGER'!$O$18:$O$25,$A606),"")</f>
        <v/>
      </c>
      <c r="D606" t="str" cm="1">
        <f t="array" ref="D606">IFERROR(INDEX('TRIP MANAGER'!$P$18:$P$25,$A606),"")</f>
        <v/>
      </c>
      <c r="E606" t="str" cm="1">
        <f t="array" ref="E606">IFERROR(INDEX('TRIP MANAGER'!$Q$18:$Q$25,$A606),"")</f>
        <v/>
      </c>
      <c r="F606" t="str" cm="1">
        <f t="array" ref="F606">IFERROR(INDEX('TRIP MANAGER'!$R$18:$R$25,$A606),"")</f>
        <v/>
      </c>
      <c r="G606" t="str" cm="1">
        <f t="array" ref="G606">IFERROR(INDEX('TRIP MANAGER'!$S$18:$S$25,$A606),"")</f>
        <v/>
      </c>
      <c r="H606">
        <f t="shared" si="101"/>
        <v>0</v>
      </c>
      <c r="I606" t="str">
        <f t="shared" si="102"/>
        <v/>
      </c>
      <c r="J606" t="str">
        <f t="shared" si="103"/>
        <v/>
      </c>
      <c r="K606" t="str">
        <f t="shared" si="104"/>
        <v/>
      </c>
      <c r="L606" t="str">
        <f t="shared" si="105"/>
        <v/>
      </c>
      <c r="M606" t="str">
        <f t="shared" si="106"/>
        <v/>
      </c>
      <c r="N606" t="str">
        <f t="shared" si="107"/>
        <v/>
      </c>
      <c r="O606" t="str">
        <f t="shared" si="108"/>
        <v/>
      </c>
      <c r="P606" t="str" cm="1">
        <f t="array" ref="P606">IF($N606="","",IFERROR(IF(INDEX(geo_grid!$B$2:$JU$231,INT(($N606+40)/0.5)+1,INT(($O606+30)/0.5)+1)="","",INDEX(geo_grid!$B$2:$JU$231,INT(($N606+40)/0.5)+1,INT(($O606+30)/0.5)+1)),"OUTSIDE GRID"))</f>
        <v/>
      </c>
      <c r="Q606" t="str">
        <f t="shared" si="109"/>
        <v/>
      </c>
    </row>
    <row r="607" spans="1:17" x14ac:dyDescent="0.3">
      <c r="A607">
        <f t="shared" si="99"/>
        <v>5</v>
      </c>
      <c r="B607">
        <f t="shared" si="100"/>
        <v>1</v>
      </c>
      <c r="C607" t="str" cm="1">
        <f t="array" ref="C607">IFERROR(INDEX('TRIP MANAGER'!$O$18:$O$25,$A607),"")</f>
        <v/>
      </c>
      <c r="D607" t="str" cm="1">
        <f t="array" ref="D607">IFERROR(INDEX('TRIP MANAGER'!$P$18:$P$25,$A607),"")</f>
        <v/>
      </c>
      <c r="E607" t="str" cm="1">
        <f t="array" ref="E607">IFERROR(INDEX('TRIP MANAGER'!$Q$18:$Q$25,$A607),"")</f>
        <v/>
      </c>
      <c r="F607" t="str" cm="1">
        <f t="array" ref="F607">IFERROR(INDEX('TRIP MANAGER'!$R$18:$R$25,$A607),"")</f>
        <v/>
      </c>
      <c r="G607" t="str" cm="1">
        <f t="array" ref="G607">IFERROR(INDEX('TRIP MANAGER'!$S$18:$S$25,$A607),"")</f>
        <v/>
      </c>
      <c r="H607">
        <f t="shared" si="101"/>
        <v>6.6666666666666671E-3</v>
      </c>
      <c r="I607" t="str">
        <f t="shared" si="102"/>
        <v/>
      </c>
      <c r="J607" t="str">
        <f t="shared" si="103"/>
        <v/>
      </c>
      <c r="K607" t="str">
        <f t="shared" si="104"/>
        <v/>
      </c>
      <c r="L607" t="str">
        <f t="shared" si="105"/>
        <v/>
      </c>
      <c r="M607" t="str">
        <f t="shared" si="106"/>
        <v/>
      </c>
      <c r="N607" t="str">
        <f t="shared" si="107"/>
        <v/>
      </c>
      <c r="O607" t="str">
        <f t="shared" si="108"/>
        <v/>
      </c>
      <c r="P607" t="str" cm="1">
        <f t="array" ref="P607">IF($N607="","",IFERROR(IF(INDEX(geo_grid!$B$2:$JU$231,INT(($N607+40)/0.5)+1,INT(($O607+30)/0.5)+1)="","",INDEX(geo_grid!$B$2:$JU$231,INT(($N607+40)/0.5)+1,INT(($O607+30)/0.5)+1)),"OUTSIDE GRID"))</f>
        <v/>
      </c>
      <c r="Q607" t="str">
        <f t="shared" si="109"/>
        <v/>
      </c>
    </row>
    <row r="608" spans="1:17" x14ac:dyDescent="0.3">
      <c r="A608">
        <f t="shared" si="99"/>
        <v>5</v>
      </c>
      <c r="B608">
        <f t="shared" si="100"/>
        <v>2</v>
      </c>
      <c r="C608" t="str" cm="1">
        <f t="array" ref="C608">IFERROR(INDEX('TRIP MANAGER'!$O$18:$O$25,$A608),"")</f>
        <v/>
      </c>
      <c r="D608" t="str" cm="1">
        <f t="array" ref="D608">IFERROR(INDEX('TRIP MANAGER'!$P$18:$P$25,$A608),"")</f>
        <v/>
      </c>
      <c r="E608" t="str" cm="1">
        <f t="array" ref="E608">IFERROR(INDEX('TRIP MANAGER'!$Q$18:$Q$25,$A608),"")</f>
        <v/>
      </c>
      <c r="F608" t="str" cm="1">
        <f t="array" ref="F608">IFERROR(INDEX('TRIP MANAGER'!$R$18:$R$25,$A608),"")</f>
        <v/>
      </c>
      <c r="G608" t="str" cm="1">
        <f t="array" ref="G608">IFERROR(INDEX('TRIP MANAGER'!$S$18:$S$25,$A608),"")</f>
        <v/>
      </c>
      <c r="H608">
        <f t="shared" si="101"/>
        <v>1.3333333333333334E-2</v>
      </c>
      <c r="I608" t="str">
        <f t="shared" si="102"/>
        <v/>
      </c>
      <c r="J608" t="str">
        <f t="shared" si="103"/>
        <v/>
      </c>
      <c r="K608" t="str">
        <f t="shared" si="104"/>
        <v/>
      </c>
      <c r="L608" t="str">
        <f t="shared" si="105"/>
        <v/>
      </c>
      <c r="M608" t="str">
        <f t="shared" si="106"/>
        <v/>
      </c>
      <c r="N608" t="str">
        <f t="shared" si="107"/>
        <v/>
      </c>
      <c r="O608" t="str">
        <f t="shared" si="108"/>
        <v/>
      </c>
      <c r="P608" t="str" cm="1">
        <f t="array" ref="P608">IF($N608="","",IFERROR(IF(INDEX(geo_grid!$B$2:$JU$231,INT(($N608+40)/0.5)+1,INT(($O608+30)/0.5)+1)="","",INDEX(geo_grid!$B$2:$JU$231,INT(($N608+40)/0.5)+1,INT(($O608+30)/0.5)+1)),"OUTSIDE GRID"))</f>
        <v/>
      </c>
      <c r="Q608" t="str">
        <f t="shared" si="109"/>
        <v/>
      </c>
    </row>
    <row r="609" spans="1:17" x14ac:dyDescent="0.3">
      <c r="A609">
        <f t="shared" si="99"/>
        <v>5</v>
      </c>
      <c r="B609">
        <f t="shared" si="100"/>
        <v>3</v>
      </c>
      <c r="C609" t="str" cm="1">
        <f t="array" ref="C609">IFERROR(INDEX('TRIP MANAGER'!$O$18:$O$25,$A609),"")</f>
        <v/>
      </c>
      <c r="D609" t="str" cm="1">
        <f t="array" ref="D609">IFERROR(INDEX('TRIP MANAGER'!$P$18:$P$25,$A609),"")</f>
        <v/>
      </c>
      <c r="E609" t="str" cm="1">
        <f t="array" ref="E609">IFERROR(INDEX('TRIP MANAGER'!$Q$18:$Q$25,$A609),"")</f>
        <v/>
      </c>
      <c r="F609" t="str" cm="1">
        <f t="array" ref="F609">IFERROR(INDEX('TRIP MANAGER'!$R$18:$R$25,$A609),"")</f>
        <v/>
      </c>
      <c r="G609" t="str" cm="1">
        <f t="array" ref="G609">IFERROR(INDEX('TRIP MANAGER'!$S$18:$S$25,$A609),"")</f>
        <v/>
      </c>
      <c r="H609">
        <f t="shared" si="101"/>
        <v>0.02</v>
      </c>
      <c r="I609" t="str">
        <f t="shared" si="102"/>
        <v/>
      </c>
      <c r="J609" t="str">
        <f t="shared" si="103"/>
        <v/>
      </c>
      <c r="K609" t="str">
        <f t="shared" si="104"/>
        <v/>
      </c>
      <c r="L609" t="str">
        <f t="shared" si="105"/>
        <v/>
      </c>
      <c r="M609" t="str">
        <f t="shared" si="106"/>
        <v/>
      </c>
      <c r="N609" t="str">
        <f t="shared" si="107"/>
        <v/>
      </c>
      <c r="O609" t="str">
        <f t="shared" si="108"/>
        <v/>
      </c>
      <c r="P609" t="str" cm="1">
        <f t="array" ref="P609">IF($N609="","",IFERROR(IF(INDEX(geo_grid!$B$2:$JU$231,INT(($N609+40)/0.5)+1,INT(($O609+30)/0.5)+1)="","",INDEX(geo_grid!$B$2:$JU$231,INT(($N609+40)/0.5)+1,INT(($O609+30)/0.5)+1)),"OUTSIDE GRID"))</f>
        <v/>
      </c>
      <c r="Q609" t="str">
        <f t="shared" si="109"/>
        <v/>
      </c>
    </row>
    <row r="610" spans="1:17" x14ac:dyDescent="0.3">
      <c r="A610">
        <f t="shared" si="99"/>
        <v>5</v>
      </c>
      <c r="B610">
        <f t="shared" si="100"/>
        <v>4</v>
      </c>
      <c r="C610" t="str" cm="1">
        <f t="array" ref="C610">IFERROR(INDEX('TRIP MANAGER'!$O$18:$O$25,$A610),"")</f>
        <v/>
      </c>
      <c r="D610" t="str" cm="1">
        <f t="array" ref="D610">IFERROR(INDEX('TRIP MANAGER'!$P$18:$P$25,$A610),"")</f>
        <v/>
      </c>
      <c r="E610" t="str" cm="1">
        <f t="array" ref="E610">IFERROR(INDEX('TRIP MANAGER'!$Q$18:$Q$25,$A610),"")</f>
        <v/>
      </c>
      <c r="F610" t="str" cm="1">
        <f t="array" ref="F610">IFERROR(INDEX('TRIP MANAGER'!$R$18:$R$25,$A610),"")</f>
        <v/>
      </c>
      <c r="G610" t="str" cm="1">
        <f t="array" ref="G610">IFERROR(INDEX('TRIP MANAGER'!$S$18:$S$25,$A610),"")</f>
        <v/>
      </c>
      <c r="H610">
        <f t="shared" si="101"/>
        <v>2.6666666666666668E-2</v>
      </c>
      <c r="I610" t="str">
        <f t="shared" si="102"/>
        <v/>
      </c>
      <c r="J610" t="str">
        <f t="shared" si="103"/>
        <v/>
      </c>
      <c r="K610" t="str">
        <f t="shared" si="104"/>
        <v/>
      </c>
      <c r="L610" t="str">
        <f t="shared" si="105"/>
        <v/>
      </c>
      <c r="M610" t="str">
        <f t="shared" si="106"/>
        <v/>
      </c>
      <c r="N610" t="str">
        <f t="shared" si="107"/>
        <v/>
      </c>
      <c r="O610" t="str">
        <f t="shared" si="108"/>
        <v/>
      </c>
      <c r="P610" t="str" cm="1">
        <f t="array" ref="P610">IF($N610="","",IFERROR(IF(INDEX(geo_grid!$B$2:$JU$231,INT(($N610+40)/0.5)+1,INT(($O610+30)/0.5)+1)="","",INDEX(geo_grid!$B$2:$JU$231,INT(($N610+40)/0.5)+1,INT(($O610+30)/0.5)+1)),"OUTSIDE GRID"))</f>
        <v/>
      </c>
      <c r="Q610" t="str">
        <f t="shared" si="109"/>
        <v/>
      </c>
    </row>
    <row r="611" spans="1:17" x14ac:dyDescent="0.3">
      <c r="A611">
        <f t="shared" si="99"/>
        <v>5</v>
      </c>
      <c r="B611">
        <f t="shared" si="100"/>
        <v>5</v>
      </c>
      <c r="C611" t="str" cm="1">
        <f t="array" ref="C611">IFERROR(INDEX('TRIP MANAGER'!$O$18:$O$25,$A611),"")</f>
        <v/>
      </c>
      <c r="D611" t="str" cm="1">
        <f t="array" ref="D611">IFERROR(INDEX('TRIP MANAGER'!$P$18:$P$25,$A611),"")</f>
        <v/>
      </c>
      <c r="E611" t="str" cm="1">
        <f t="array" ref="E611">IFERROR(INDEX('TRIP MANAGER'!$Q$18:$Q$25,$A611),"")</f>
        <v/>
      </c>
      <c r="F611" t="str" cm="1">
        <f t="array" ref="F611">IFERROR(INDEX('TRIP MANAGER'!$R$18:$R$25,$A611),"")</f>
        <v/>
      </c>
      <c r="G611" t="str" cm="1">
        <f t="array" ref="G611">IFERROR(INDEX('TRIP MANAGER'!$S$18:$S$25,$A611),"")</f>
        <v/>
      </c>
      <c r="H611">
        <f t="shared" si="101"/>
        <v>3.3333333333333333E-2</v>
      </c>
      <c r="I611" t="str">
        <f t="shared" si="102"/>
        <v/>
      </c>
      <c r="J611" t="str">
        <f t="shared" si="103"/>
        <v/>
      </c>
      <c r="K611" t="str">
        <f t="shared" si="104"/>
        <v/>
      </c>
      <c r="L611" t="str">
        <f t="shared" si="105"/>
        <v/>
      </c>
      <c r="M611" t="str">
        <f t="shared" si="106"/>
        <v/>
      </c>
      <c r="N611" t="str">
        <f t="shared" si="107"/>
        <v/>
      </c>
      <c r="O611" t="str">
        <f t="shared" si="108"/>
        <v/>
      </c>
      <c r="P611" t="str" cm="1">
        <f t="array" ref="P611">IF($N611="","",IFERROR(IF(INDEX(geo_grid!$B$2:$JU$231,INT(($N611+40)/0.5)+1,INT(($O611+30)/0.5)+1)="","",INDEX(geo_grid!$B$2:$JU$231,INT(($N611+40)/0.5)+1,INT(($O611+30)/0.5)+1)),"OUTSIDE GRID"))</f>
        <v/>
      </c>
      <c r="Q611" t="str">
        <f t="shared" si="109"/>
        <v/>
      </c>
    </row>
    <row r="612" spans="1:17" x14ac:dyDescent="0.3">
      <c r="A612">
        <f t="shared" si="99"/>
        <v>5</v>
      </c>
      <c r="B612">
        <f t="shared" si="100"/>
        <v>6</v>
      </c>
      <c r="C612" t="str" cm="1">
        <f t="array" ref="C612">IFERROR(INDEX('TRIP MANAGER'!$O$18:$O$25,$A612),"")</f>
        <v/>
      </c>
      <c r="D612" t="str" cm="1">
        <f t="array" ref="D612">IFERROR(INDEX('TRIP MANAGER'!$P$18:$P$25,$A612),"")</f>
        <v/>
      </c>
      <c r="E612" t="str" cm="1">
        <f t="array" ref="E612">IFERROR(INDEX('TRIP MANAGER'!$Q$18:$Q$25,$A612),"")</f>
        <v/>
      </c>
      <c r="F612" t="str" cm="1">
        <f t="array" ref="F612">IFERROR(INDEX('TRIP MANAGER'!$R$18:$R$25,$A612),"")</f>
        <v/>
      </c>
      <c r="G612" t="str" cm="1">
        <f t="array" ref="G612">IFERROR(INDEX('TRIP MANAGER'!$S$18:$S$25,$A612),"")</f>
        <v/>
      </c>
      <c r="H612">
        <f t="shared" si="101"/>
        <v>0.04</v>
      </c>
      <c r="I612" t="str">
        <f t="shared" si="102"/>
        <v/>
      </c>
      <c r="J612" t="str">
        <f t="shared" si="103"/>
        <v/>
      </c>
      <c r="K612" t="str">
        <f t="shared" si="104"/>
        <v/>
      </c>
      <c r="L612" t="str">
        <f t="shared" si="105"/>
        <v/>
      </c>
      <c r="M612" t="str">
        <f t="shared" si="106"/>
        <v/>
      </c>
      <c r="N612" t="str">
        <f t="shared" si="107"/>
        <v/>
      </c>
      <c r="O612" t="str">
        <f t="shared" si="108"/>
        <v/>
      </c>
      <c r="P612" t="str" cm="1">
        <f t="array" ref="P612">IF($N612="","",IFERROR(IF(INDEX(geo_grid!$B$2:$JU$231,INT(($N612+40)/0.5)+1,INT(($O612+30)/0.5)+1)="","",INDEX(geo_grid!$B$2:$JU$231,INT(($N612+40)/0.5)+1,INT(($O612+30)/0.5)+1)),"OUTSIDE GRID"))</f>
        <v/>
      </c>
      <c r="Q612" t="str">
        <f t="shared" si="109"/>
        <v/>
      </c>
    </row>
    <row r="613" spans="1:17" x14ac:dyDescent="0.3">
      <c r="A613">
        <f t="shared" si="99"/>
        <v>5</v>
      </c>
      <c r="B613">
        <f t="shared" si="100"/>
        <v>7</v>
      </c>
      <c r="C613" t="str" cm="1">
        <f t="array" ref="C613">IFERROR(INDEX('TRIP MANAGER'!$O$18:$O$25,$A613),"")</f>
        <v/>
      </c>
      <c r="D613" t="str" cm="1">
        <f t="array" ref="D613">IFERROR(INDEX('TRIP MANAGER'!$P$18:$P$25,$A613),"")</f>
        <v/>
      </c>
      <c r="E613" t="str" cm="1">
        <f t="array" ref="E613">IFERROR(INDEX('TRIP MANAGER'!$Q$18:$Q$25,$A613),"")</f>
        <v/>
      </c>
      <c r="F613" t="str" cm="1">
        <f t="array" ref="F613">IFERROR(INDEX('TRIP MANAGER'!$R$18:$R$25,$A613),"")</f>
        <v/>
      </c>
      <c r="G613" t="str" cm="1">
        <f t="array" ref="G613">IFERROR(INDEX('TRIP MANAGER'!$S$18:$S$25,$A613),"")</f>
        <v/>
      </c>
      <c r="H613">
        <f t="shared" si="101"/>
        <v>4.6666666666666669E-2</v>
      </c>
      <c r="I613" t="str">
        <f t="shared" si="102"/>
        <v/>
      </c>
      <c r="J613" t="str">
        <f t="shared" si="103"/>
        <v/>
      </c>
      <c r="K613" t="str">
        <f t="shared" si="104"/>
        <v/>
      </c>
      <c r="L613" t="str">
        <f t="shared" si="105"/>
        <v/>
      </c>
      <c r="M613" t="str">
        <f t="shared" si="106"/>
        <v/>
      </c>
      <c r="N613" t="str">
        <f t="shared" si="107"/>
        <v/>
      </c>
      <c r="O613" t="str">
        <f t="shared" si="108"/>
        <v/>
      </c>
      <c r="P613" t="str" cm="1">
        <f t="array" ref="P613">IF($N613="","",IFERROR(IF(INDEX(geo_grid!$B$2:$JU$231,INT(($N613+40)/0.5)+1,INT(($O613+30)/0.5)+1)="","",INDEX(geo_grid!$B$2:$JU$231,INT(($N613+40)/0.5)+1,INT(($O613+30)/0.5)+1)),"OUTSIDE GRID"))</f>
        <v/>
      </c>
      <c r="Q613" t="str">
        <f t="shared" si="109"/>
        <v/>
      </c>
    </row>
    <row r="614" spans="1:17" x14ac:dyDescent="0.3">
      <c r="A614">
        <f t="shared" si="99"/>
        <v>5</v>
      </c>
      <c r="B614">
        <f t="shared" si="100"/>
        <v>8</v>
      </c>
      <c r="C614" t="str" cm="1">
        <f t="array" ref="C614">IFERROR(INDEX('TRIP MANAGER'!$O$18:$O$25,$A614),"")</f>
        <v/>
      </c>
      <c r="D614" t="str" cm="1">
        <f t="array" ref="D614">IFERROR(INDEX('TRIP MANAGER'!$P$18:$P$25,$A614),"")</f>
        <v/>
      </c>
      <c r="E614" t="str" cm="1">
        <f t="array" ref="E614">IFERROR(INDEX('TRIP MANAGER'!$Q$18:$Q$25,$A614),"")</f>
        <v/>
      </c>
      <c r="F614" t="str" cm="1">
        <f t="array" ref="F614">IFERROR(INDEX('TRIP MANAGER'!$R$18:$R$25,$A614),"")</f>
        <v/>
      </c>
      <c r="G614" t="str" cm="1">
        <f t="array" ref="G614">IFERROR(INDEX('TRIP MANAGER'!$S$18:$S$25,$A614),"")</f>
        <v/>
      </c>
      <c r="H614">
        <f t="shared" si="101"/>
        <v>5.3333333333333337E-2</v>
      </c>
      <c r="I614" t="str">
        <f t="shared" si="102"/>
        <v/>
      </c>
      <c r="J614" t="str">
        <f t="shared" si="103"/>
        <v/>
      </c>
      <c r="K614" t="str">
        <f t="shared" si="104"/>
        <v/>
      </c>
      <c r="L614" t="str">
        <f t="shared" si="105"/>
        <v/>
      </c>
      <c r="M614" t="str">
        <f t="shared" si="106"/>
        <v/>
      </c>
      <c r="N614" t="str">
        <f t="shared" si="107"/>
        <v/>
      </c>
      <c r="O614" t="str">
        <f t="shared" si="108"/>
        <v/>
      </c>
      <c r="P614" t="str" cm="1">
        <f t="array" ref="P614">IF($N614="","",IFERROR(IF(INDEX(geo_grid!$B$2:$JU$231,INT(($N614+40)/0.5)+1,INT(($O614+30)/0.5)+1)="","",INDEX(geo_grid!$B$2:$JU$231,INT(($N614+40)/0.5)+1,INT(($O614+30)/0.5)+1)),"OUTSIDE GRID"))</f>
        <v/>
      </c>
      <c r="Q614" t="str">
        <f t="shared" si="109"/>
        <v/>
      </c>
    </row>
    <row r="615" spans="1:17" x14ac:dyDescent="0.3">
      <c r="A615">
        <f t="shared" si="99"/>
        <v>5</v>
      </c>
      <c r="B615">
        <f t="shared" si="100"/>
        <v>9</v>
      </c>
      <c r="C615" t="str" cm="1">
        <f t="array" ref="C615">IFERROR(INDEX('TRIP MANAGER'!$O$18:$O$25,$A615),"")</f>
        <v/>
      </c>
      <c r="D615" t="str" cm="1">
        <f t="array" ref="D615">IFERROR(INDEX('TRIP MANAGER'!$P$18:$P$25,$A615),"")</f>
        <v/>
      </c>
      <c r="E615" t="str" cm="1">
        <f t="array" ref="E615">IFERROR(INDEX('TRIP MANAGER'!$Q$18:$Q$25,$A615),"")</f>
        <v/>
      </c>
      <c r="F615" t="str" cm="1">
        <f t="array" ref="F615">IFERROR(INDEX('TRIP MANAGER'!$R$18:$R$25,$A615),"")</f>
        <v/>
      </c>
      <c r="G615" t="str" cm="1">
        <f t="array" ref="G615">IFERROR(INDEX('TRIP MANAGER'!$S$18:$S$25,$A615),"")</f>
        <v/>
      </c>
      <c r="H615">
        <f t="shared" si="101"/>
        <v>0.06</v>
      </c>
      <c r="I615" t="str">
        <f t="shared" si="102"/>
        <v/>
      </c>
      <c r="J615" t="str">
        <f t="shared" si="103"/>
        <v/>
      </c>
      <c r="K615" t="str">
        <f t="shared" si="104"/>
        <v/>
      </c>
      <c r="L615" t="str">
        <f t="shared" si="105"/>
        <v/>
      </c>
      <c r="M615" t="str">
        <f t="shared" si="106"/>
        <v/>
      </c>
      <c r="N615" t="str">
        <f t="shared" si="107"/>
        <v/>
      </c>
      <c r="O615" t="str">
        <f t="shared" si="108"/>
        <v/>
      </c>
      <c r="P615" t="str" cm="1">
        <f t="array" ref="P615">IF($N615="","",IFERROR(IF(INDEX(geo_grid!$B$2:$JU$231,INT(($N615+40)/0.5)+1,INT(($O615+30)/0.5)+1)="","",INDEX(geo_grid!$B$2:$JU$231,INT(($N615+40)/0.5)+1,INT(($O615+30)/0.5)+1)),"OUTSIDE GRID"))</f>
        <v/>
      </c>
      <c r="Q615" t="str">
        <f t="shared" si="109"/>
        <v/>
      </c>
    </row>
    <row r="616" spans="1:17" x14ac:dyDescent="0.3">
      <c r="A616">
        <f t="shared" si="99"/>
        <v>5</v>
      </c>
      <c r="B616">
        <f t="shared" si="100"/>
        <v>10</v>
      </c>
      <c r="C616" t="str" cm="1">
        <f t="array" ref="C616">IFERROR(INDEX('TRIP MANAGER'!$O$18:$O$25,$A616),"")</f>
        <v/>
      </c>
      <c r="D616" t="str" cm="1">
        <f t="array" ref="D616">IFERROR(INDEX('TRIP MANAGER'!$P$18:$P$25,$A616),"")</f>
        <v/>
      </c>
      <c r="E616" t="str" cm="1">
        <f t="array" ref="E616">IFERROR(INDEX('TRIP MANAGER'!$Q$18:$Q$25,$A616),"")</f>
        <v/>
      </c>
      <c r="F616" t="str" cm="1">
        <f t="array" ref="F616">IFERROR(INDEX('TRIP MANAGER'!$R$18:$R$25,$A616),"")</f>
        <v/>
      </c>
      <c r="G616" t="str" cm="1">
        <f t="array" ref="G616">IFERROR(INDEX('TRIP MANAGER'!$S$18:$S$25,$A616),"")</f>
        <v/>
      </c>
      <c r="H616">
        <f t="shared" si="101"/>
        <v>6.6666666666666666E-2</v>
      </c>
      <c r="I616" t="str">
        <f t="shared" si="102"/>
        <v/>
      </c>
      <c r="J616" t="str">
        <f t="shared" si="103"/>
        <v/>
      </c>
      <c r="K616" t="str">
        <f t="shared" si="104"/>
        <v/>
      </c>
      <c r="L616" t="str">
        <f t="shared" si="105"/>
        <v/>
      </c>
      <c r="M616" t="str">
        <f t="shared" si="106"/>
        <v/>
      </c>
      <c r="N616" t="str">
        <f t="shared" si="107"/>
        <v/>
      </c>
      <c r="O616" t="str">
        <f t="shared" si="108"/>
        <v/>
      </c>
      <c r="P616" t="str" cm="1">
        <f t="array" ref="P616">IF($N616="","",IFERROR(IF(INDEX(geo_grid!$B$2:$JU$231,INT(($N616+40)/0.5)+1,INT(($O616+30)/0.5)+1)="","",INDEX(geo_grid!$B$2:$JU$231,INT(($N616+40)/0.5)+1,INT(($O616+30)/0.5)+1)),"OUTSIDE GRID"))</f>
        <v/>
      </c>
      <c r="Q616" t="str">
        <f t="shared" si="109"/>
        <v/>
      </c>
    </row>
    <row r="617" spans="1:17" x14ac:dyDescent="0.3">
      <c r="A617">
        <f t="shared" si="99"/>
        <v>5</v>
      </c>
      <c r="B617">
        <f t="shared" si="100"/>
        <v>11</v>
      </c>
      <c r="C617" t="str" cm="1">
        <f t="array" ref="C617">IFERROR(INDEX('TRIP MANAGER'!$O$18:$O$25,$A617),"")</f>
        <v/>
      </c>
      <c r="D617" t="str" cm="1">
        <f t="array" ref="D617">IFERROR(INDEX('TRIP MANAGER'!$P$18:$P$25,$A617),"")</f>
        <v/>
      </c>
      <c r="E617" t="str" cm="1">
        <f t="array" ref="E617">IFERROR(INDEX('TRIP MANAGER'!$Q$18:$Q$25,$A617),"")</f>
        <v/>
      </c>
      <c r="F617" t="str" cm="1">
        <f t="array" ref="F617">IFERROR(INDEX('TRIP MANAGER'!$R$18:$R$25,$A617),"")</f>
        <v/>
      </c>
      <c r="G617" t="str" cm="1">
        <f t="array" ref="G617">IFERROR(INDEX('TRIP MANAGER'!$S$18:$S$25,$A617),"")</f>
        <v/>
      </c>
      <c r="H617">
        <f t="shared" si="101"/>
        <v>7.3333333333333334E-2</v>
      </c>
      <c r="I617" t="str">
        <f t="shared" si="102"/>
        <v/>
      </c>
      <c r="J617" t="str">
        <f t="shared" si="103"/>
        <v/>
      </c>
      <c r="K617" t="str">
        <f t="shared" si="104"/>
        <v/>
      </c>
      <c r="L617" t="str">
        <f t="shared" si="105"/>
        <v/>
      </c>
      <c r="M617" t="str">
        <f t="shared" si="106"/>
        <v/>
      </c>
      <c r="N617" t="str">
        <f t="shared" si="107"/>
        <v/>
      </c>
      <c r="O617" t="str">
        <f t="shared" si="108"/>
        <v/>
      </c>
      <c r="P617" t="str" cm="1">
        <f t="array" ref="P617">IF($N617="","",IFERROR(IF(INDEX(geo_grid!$B$2:$JU$231,INT(($N617+40)/0.5)+1,INT(($O617+30)/0.5)+1)="","",INDEX(geo_grid!$B$2:$JU$231,INT(($N617+40)/0.5)+1,INT(($O617+30)/0.5)+1)),"OUTSIDE GRID"))</f>
        <v/>
      </c>
      <c r="Q617" t="str">
        <f t="shared" si="109"/>
        <v/>
      </c>
    </row>
    <row r="618" spans="1:17" x14ac:dyDescent="0.3">
      <c r="A618">
        <f t="shared" si="99"/>
        <v>5</v>
      </c>
      <c r="B618">
        <f t="shared" si="100"/>
        <v>12</v>
      </c>
      <c r="C618" t="str" cm="1">
        <f t="array" ref="C618">IFERROR(INDEX('TRIP MANAGER'!$O$18:$O$25,$A618),"")</f>
        <v/>
      </c>
      <c r="D618" t="str" cm="1">
        <f t="array" ref="D618">IFERROR(INDEX('TRIP MANAGER'!$P$18:$P$25,$A618),"")</f>
        <v/>
      </c>
      <c r="E618" t="str" cm="1">
        <f t="array" ref="E618">IFERROR(INDEX('TRIP MANAGER'!$Q$18:$Q$25,$A618),"")</f>
        <v/>
      </c>
      <c r="F618" t="str" cm="1">
        <f t="array" ref="F618">IFERROR(INDEX('TRIP MANAGER'!$R$18:$R$25,$A618),"")</f>
        <v/>
      </c>
      <c r="G618" t="str" cm="1">
        <f t="array" ref="G618">IFERROR(INDEX('TRIP MANAGER'!$S$18:$S$25,$A618),"")</f>
        <v/>
      </c>
      <c r="H618">
        <f t="shared" si="101"/>
        <v>0.08</v>
      </c>
      <c r="I618" t="str">
        <f t="shared" si="102"/>
        <v/>
      </c>
      <c r="J618" t="str">
        <f t="shared" si="103"/>
        <v/>
      </c>
      <c r="K618" t="str">
        <f t="shared" si="104"/>
        <v/>
      </c>
      <c r="L618" t="str">
        <f t="shared" si="105"/>
        <v/>
      </c>
      <c r="M618" t="str">
        <f t="shared" si="106"/>
        <v/>
      </c>
      <c r="N618" t="str">
        <f t="shared" si="107"/>
        <v/>
      </c>
      <c r="O618" t="str">
        <f t="shared" si="108"/>
        <v/>
      </c>
      <c r="P618" t="str" cm="1">
        <f t="array" ref="P618">IF($N618="","",IFERROR(IF(INDEX(geo_grid!$B$2:$JU$231,INT(($N618+40)/0.5)+1,INT(($O618+30)/0.5)+1)="","",INDEX(geo_grid!$B$2:$JU$231,INT(($N618+40)/0.5)+1,INT(($O618+30)/0.5)+1)),"OUTSIDE GRID"))</f>
        <v/>
      </c>
      <c r="Q618" t="str">
        <f t="shared" si="109"/>
        <v/>
      </c>
    </row>
    <row r="619" spans="1:17" x14ac:dyDescent="0.3">
      <c r="A619">
        <f t="shared" si="99"/>
        <v>5</v>
      </c>
      <c r="B619">
        <f t="shared" si="100"/>
        <v>13</v>
      </c>
      <c r="C619" t="str" cm="1">
        <f t="array" ref="C619">IFERROR(INDEX('TRIP MANAGER'!$O$18:$O$25,$A619),"")</f>
        <v/>
      </c>
      <c r="D619" t="str" cm="1">
        <f t="array" ref="D619">IFERROR(INDEX('TRIP MANAGER'!$P$18:$P$25,$A619),"")</f>
        <v/>
      </c>
      <c r="E619" t="str" cm="1">
        <f t="array" ref="E619">IFERROR(INDEX('TRIP MANAGER'!$Q$18:$Q$25,$A619),"")</f>
        <v/>
      </c>
      <c r="F619" t="str" cm="1">
        <f t="array" ref="F619">IFERROR(INDEX('TRIP MANAGER'!$R$18:$R$25,$A619),"")</f>
        <v/>
      </c>
      <c r="G619" t="str" cm="1">
        <f t="array" ref="G619">IFERROR(INDEX('TRIP MANAGER'!$S$18:$S$25,$A619),"")</f>
        <v/>
      </c>
      <c r="H619">
        <f t="shared" si="101"/>
        <v>8.666666666666667E-2</v>
      </c>
      <c r="I619" t="str">
        <f t="shared" si="102"/>
        <v/>
      </c>
      <c r="J619" t="str">
        <f t="shared" si="103"/>
        <v/>
      </c>
      <c r="K619" t="str">
        <f t="shared" si="104"/>
        <v/>
      </c>
      <c r="L619" t="str">
        <f t="shared" si="105"/>
        <v/>
      </c>
      <c r="M619" t="str">
        <f t="shared" si="106"/>
        <v/>
      </c>
      <c r="N619" t="str">
        <f t="shared" si="107"/>
        <v/>
      </c>
      <c r="O619" t="str">
        <f t="shared" si="108"/>
        <v/>
      </c>
      <c r="P619" t="str" cm="1">
        <f t="array" ref="P619">IF($N619="","",IFERROR(IF(INDEX(geo_grid!$B$2:$JU$231,INT(($N619+40)/0.5)+1,INT(($O619+30)/0.5)+1)="","",INDEX(geo_grid!$B$2:$JU$231,INT(($N619+40)/0.5)+1,INT(($O619+30)/0.5)+1)),"OUTSIDE GRID"))</f>
        <v/>
      </c>
      <c r="Q619" t="str">
        <f t="shared" si="109"/>
        <v/>
      </c>
    </row>
    <row r="620" spans="1:17" x14ac:dyDescent="0.3">
      <c r="A620">
        <f t="shared" si="99"/>
        <v>5</v>
      </c>
      <c r="B620">
        <f t="shared" si="100"/>
        <v>14</v>
      </c>
      <c r="C620" t="str" cm="1">
        <f t="array" ref="C620">IFERROR(INDEX('TRIP MANAGER'!$O$18:$O$25,$A620),"")</f>
        <v/>
      </c>
      <c r="D620" t="str" cm="1">
        <f t="array" ref="D620">IFERROR(INDEX('TRIP MANAGER'!$P$18:$P$25,$A620),"")</f>
        <v/>
      </c>
      <c r="E620" t="str" cm="1">
        <f t="array" ref="E620">IFERROR(INDEX('TRIP MANAGER'!$Q$18:$Q$25,$A620),"")</f>
        <v/>
      </c>
      <c r="F620" t="str" cm="1">
        <f t="array" ref="F620">IFERROR(INDEX('TRIP MANAGER'!$R$18:$R$25,$A620),"")</f>
        <v/>
      </c>
      <c r="G620" t="str" cm="1">
        <f t="array" ref="G620">IFERROR(INDEX('TRIP MANAGER'!$S$18:$S$25,$A620),"")</f>
        <v/>
      </c>
      <c r="H620">
        <f t="shared" si="101"/>
        <v>9.3333333333333338E-2</v>
      </c>
      <c r="I620" t="str">
        <f t="shared" si="102"/>
        <v/>
      </c>
      <c r="J620" t="str">
        <f t="shared" si="103"/>
        <v/>
      </c>
      <c r="K620" t="str">
        <f t="shared" si="104"/>
        <v/>
      </c>
      <c r="L620" t="str">
        <f t="shared" si="105"/>
        <v/>
      </c>
      <c r="M620" t="str">
        <f t="shared" si="106"/>
        <v/>
      </c>
      <c r="N620" t="str">
        <f t="shared" si="107"/>
        <v/>
      </c>
      <c r="O620" t="str">
        <f t="shared" si="108"/>
        <v/>
      </c>
      <c r="P620" t="str" cm="1">
        <f t="array" ref="P620">IF($N620="","",IFERROR(IF(INDEX(geo_grid!$B$2:$JU$231,INT(($N620+40)/0.5)+1,INT(($O620+30)/0.5)+1)="","",INDEX(geo_grid!$B$2:$JU$231,INT(($N620+40)/0.5)+1,INT(($O620+30)/0.5)+1)),"OUTSIDE GRID"))</f>
        <v/>
      </c>
      <c r="Q620" t="str">
        <f t="shared" si="109"/>
        <v/>
      </c>
    </row>
    <row r="621" spans="1:17" x14ac:dyDescent="0.3">
      <c r="A621">
        <f t="shared" si="99"/>
        <v>5</v>
      </c>
      <c r="B621">
        <f t="shared" si="100"/>
        <v>15</v>
      </c>
      <c r="C621" t="str" cm="1">
        <f t="array" ref="C621">IFERROR(INDEX('TRIP MANAGER'!$O$18:$O$25,$A621),"")</f>
        <v/>
      </c>
      <c r="D621" t="str" cm="1">
        <f t="array" ref="D621">IFERROR(INDEX('TRIP MANAGER'!$P$18:$P$25,$A621),"")</f>
        <v/>
      </c>
      <c r="E621" t="str" cm="1">
        <f t="array" ref="E621">IFERROR(INDEX('TRIP MANAGER'!$Q$18:$Q$25,$A621),"")</f>
        <v/>
      </c>
      <c r="F621" t="str" cm="1">
        <f t="array" ref="F621">IFERROR(INDEX('TRIP MANAGER'!$R$18:$R$25,$A621),"")</f>
        <v/>
      </c>
      <c r="G621" t="str" cm="1">
        <f t="array" ref="G621">IFERROR(INDEX('TRIP MANAGER'!$S$18:$S$25,$A621),"")</f>
        <v/>
      </c>
      <c r="H621">
        <f t="shared" si="101"/>
        <v>0.1</v>
      </c>
      <c r="I621" t="str">
        <f t="shared" si="102"/>
        <v/>
      </c>
      <c r="J621" t="str">
        <f t="shared" si="103"/>
        <v/>
      </c>
      <c r="K621" t="str">
        <f t="shared" si="104"/>
        <v/>
      </c>
      <c r="L621" t="str">
        <f t="shared" si="105"/>
        <v/>
      </c>
      <c r="M621" t="str">
        <f t="shared" si="106"/>
        <v/>
      </c>
      <c r="N621" t="str">
        <f t="shared" si="107"/>
        <v/>
      </c>
      <c r="O621" t="str">
        <f t="shared" si="108"/>
        <v/>
      </c>
      <c r="P621" t="str" cm="1">
        <f t="array" ref="P621">IF($N621="","",IFERROR(IF(INDEX(geo_grid!$B$2:$JU$231,INT(($N621+40)/0.5)+1,INT(($O621+30)/0.5)+1)="","",INDEX(geo_grid!$B$2:$JU$231,INT(($N621+40)/0.5)+1,INT(($O621+30)/0.5)+1)),"OUTSIDE GRID"))</f>
        <v/>
      </c>
      <c r="Q621" t="str">
        <f t="shared" si="109"/>
        <v/>
      </c>
    </row>
    <row r="622" spans="1:17" x14ac:dyDescent="0.3">
      <c r="A622">
        <f t="shared" si="99"/>
        <v>5</v>
      </c>
      <c r="B622">
        <f t="shared" si="100"/>
        <v>16</v>
      </c>
      <c r="C622" t="str" cm="1">
        <f t="array" ref="C622">IFERROR(INDEX('TRIP MANAGER'!$O$18:$O$25,$A622),"")</f>
        <v/>
      </c>
      <c r="D622" t="str" cm="1">
        <f t="array" ref="D622">IFERROR(INDEX('TRIP MANAGER'!$P$18:$P$25,$A622),"")</f>
        <v/>
      </c>
      <c r="E622" t="str" cm="1">
        <f t="array" ref="E622">IFERROR(INDEX('TRIP MANAGER'!$Q$18:$Q$25,$A622),"")</f>
        <v/>
      </c>
      <c r="F622" t="str" cm="1">
        <f t="array" ref="F622">IFERROR(INDEX('TRIP MANAGER'!$R$18:$R$25,$A622),"")</f>
        <v/>
      </c>
      <c r="G622" t="str" cm="1">
        <f t="array" ref="G622">IFERROR(INDEX('TRIP MANAGER'!$S$18:$S$25,$A622),"")</f>
        <v/>
      </c>
      <c r="H622">
        <f t="shared" si="101"/>
        <v>0.10666666666666667</v>
      </c>
      <c r="I622" t="str">
        <f t="shared" si="102"/>
        <v/>
      </c>
      <c r="J622" t="str">
        <f t="shared" si="103"/>
        <v/>
      </c>
      <c r="K622" t="str">
        <f t="shared" si="104"/>
        <v/>
      </c>
      <c r="L622" t="str">
        <f t="shared" si="105"/>
        <v/>
      </c>
      <c r="M622" t="str">
        <f t="shared" si="106"/>
        <v/>
      </c>
      <c r="N622" t="str">
        <f t="shared" si="107"/>
        <v/>
      </c>
      <c r="O622" t="str">
        <f t="shared" si="108"/>
        <v/>
      </c>
      <c r="P622" t="str" cm="1">
        <f t="array" ref="P622">IF($N622="","",IFERROR(IF(INDEX(geo_grid!$B$2:$JU$231,INT(($N622+40)/0.5)+1,INT(($O622+30)/0.5)+1)="","",INDEX(geo_grid!$B$2:$JU$231,INT(($N622+40)/0.5)+1,INT(($O622+30)/0.5)+1)),"OUTSIDE GRID"))</f>
        <v/>
      </c>
      <c r="Q622" t="str">
        <f t="shared" si="109"/>
        <v/>
      </c>
    </row>
    <row r="623" spans="1:17" x14ac:dyDescent="0.3">
      <c r="A623">
        <f t="shared" si="99"/>
        <v>5</v>
      </c>
      <c r="B623">
        <f t="shared" si="100"/>
        <v>17</v>
      </c>
      <c r="C623" t="str" cm="1">
        <f t="array" ref="C623">IFERROR(INDEX('TRIP MANAGER'!$O$18:$O$25,$A623),"")</f>
        <v/>
      </c>
      <c r="D623" t="str" cm="1">
        <f t="array" ref="D623">IFERROR(INDEX('TRIP MANAGER'!$P$18:$P$25,$A623),"")</f>
        <v/>
      </c>
      <c r="E623" t="str" cm="1">
        <f t="array" ref="E623">IFERROR(INDEX('TRIP MANAGER'!$Q$18:$Q$25,$A623),"")</f>
        <v/>
      </c>
      <c r="F623" t="str" cm="1">
        <f t="array" ref="F623">IFERROR(INDEX('TRIP MANAGER'!$R$18:$R$25,$A623),"")</f>
        <v/>
      </c>
      <c r="G623" t="str" cm="1">
        <f t="array" ref="G623">IFERROR(INDEX('TRIP MANAGER'!$S$18:$S$25,$A623),"")</f>
        <v/>
      </c>
      <c r="H623">
        <f t="shared" si="101"/>
        <v>0.11333333333333333</v>
      </c>
      <c r="I623" t="str">
        <f t="shared" si="102"/>
        <v/>
      </c>
      <c r="J623" t="str">
        <f t="shared" si="103"/>
        <v/>
      </c>
      <c r="K623" t="str">
        <f t="shared" si="104"/>
        <v/>
      </c>
      <c r="L623" t="str">
        <f t="shared" si="105"/>
        <v/>
      </c>
      <c r="M623" t="str">
        <f t="shared" si="106"/>
        <v/>
      </c>
      <c r="N623" t="str">
        <f t="shared" si="107"/>
        <v/>
      </c>
      <c r="O623" t="str">
        <f t="shared" si="108"/>
        <v/>
      </c>
      <c r="P623" t="str" cm="1">
        <f t="array" ref="P623">IF($N623="","",IFERROR(IF(INDEX(geo_grid!$B$2:$JU$231,INT(($N623+40)/0.5)+1,INT(($O623+30)/0.5)+1)="","",INDEX(geo_grid!$B$2:$JU$231,INT(($N623+40)/0.5)+1,INT(($O623+30)/0.5)+1)),"OUTSIDE GRID"))</f>
        <v/>
      </c>
      <c r="Q623" t="str">
        <f t="shared" si="109"/>
        <v/>
      </c>
    </row>
    <row r="624" spans="1:17" x14ac:dyDescent="0.3">
      <c r="A624">
        <f t="shared" si="99"/>
        <v>5</v>
      </c>
      <c r="B624">
        <f t="shared" si="100"/>
        <v>18</v>
      </c>
      <c r="C624" t="str" cm="1">
        <f t="array" ref="C624">IFERROR(INDEX('TRIP MANAGER'!$O$18:$O$25,$A624),"")</f>
        <v/>
      </c>
      <c r="D624" t="str" cm="1">
        <f t="array" ref="D624">IFERROR(INDEX('TRIP MANAGER'!$P$18:$P$25,$A624),"")</f>
        <v/>
      </c>
      <c r="E624" t="str" cm="1">
        <f t="array" ref="E624">IFERROR(INDEX('TRIP MANAGER'!$Q$18:$Q$25,$A624),"")</f>
        <v/>
      </c>
      <c r="F624" t="str" cm="1">
        <f t="array" ref="F624">IFERROR(INDEX('TRIP MANAGER'!$R$18:$R$25,$A624),"")</f>
        <v/>
      </c>
      <c r="G624" t="str" cm="1">
        <f t="array" ref="G624">IFERROR(INDEX('TRIP MANAGER'!$S$18:$S$25,$A624),"")</f>
        <v/>
      </c>
      <c r="H624">
        <f t="shared" si="101"/>
        <v>0.12</v>
      </c>
      <c r="I624" t="str">
        <f t="shared" si="102"/>
        <v/>
      </c>
      <c r="J624" t="str">
        <f t="shared" si="103"/>
        <v/>
      </c>
      <c r="K624" t="str">
        <f t="shared" si="104"/>
        <v/>
      </c>
      <c r="L624" t="str">
        <f t="shared" si="105"/>
        <v/>
      </c>
      <c r="M624" t="str">
        <f t="shared" si="106"/>
        <v/>
      </c>
      <c r="N624" t="str">
        <f t="shared" si="107"/>
        <v/>
      </c>
      <c r="O624" t="str">
        <f t="shared" si="108"/>
        <v/>
      </c>
      <c r="P624" t="str" cm="1">
        <f t="array" ref="P624">IF($N624="","",IFERROR(IF(INDEX(geo_grid!$B$2:$JU$231,INT(($N624+40)/0.5)+1,INT(($O624+30)/0.5)+1)="","",INDEX(geo_grid!$B$2:$JU$231,INT(($N624+40)/0.5)+1,INT(($O624+30)/0.5)+1)),"OUTSIDE GRID"))</f>
        <v/>
      </c>
      <c r="Q624" t="str">
        <f t="shared" si="109"/>
        <v/>
      </c>
    </row>
    <row r="625" spans="1:17" x14ac:dyDescent="0.3">
      <c r="A625">
        <f t="shared" si="99"/>
        <v>5</v>
      </c>
      <c r="B625">
        <f t="shared" si="100"/>
        <v>19</v>
      </c>
      <c r="C625" t="str" cm="1">
        <f t="array" ref="C625">IFERROR(INDEX('TRIP MANAGER'!$O$18:$O$25,$A625),"")</f>
        <v/>
      </c>
      <c r="D625" t="str" cm="1">
        <f t="array" ref="D625">IFERROR(INDEX('TRIP MANAGER'!$P$18:$P$25,$A625),"")</f>
        <v/>
      </c>
      <c r="E625" t="str" cm="1">
        <f t="array" ref="E625">IFERROR(INDEX('TRIP MANAGER'!$Q$18:$Q$25,$A625),"")</f>
        <v/>
      </c>
      <c r="F625" t="str" cm="1">
        <f t="array" ref="F625">IFERROR(INDEX('TRIP MANAGER'!$R$18:$R$25,$A625),"")</f>
        <v/>
      </c>
      <c r="G625" t="str" cm="1">
        <f t="array" ref="G625">IFERROR(INDEX('TRIP MANAGER'!$S$18:$S$25,$A625),"")</f>
        <v/>
      </c>
      <c r="H625">
        <f t="shared" si="101"/>
        <v>0.12666666666666668</v>
      </c>
      <c r="I625" t="str">
        <f t="shared" si="102"/>
        <v/>
      </c>
      <c r="J625" t="str">
        <f t="shared" si="103"/>
        <v/>
      </c>
      <c r="K625" t="str">
        <f t="shared" si="104"/>
        <v/>
      </c>
      <c r="L625" t="str">
        <f t="shared" si="105"/>
        <v/>
      </c>
      <c r="M625" t="str">
        <f t="shared" si="106"/>
        <v/>
      </c>
      <c r="N625" t="str">
        <f t="shared" si="107"/>
        <v/>
      </c>
      <c r="O625" t="str">
        <f t="shared" si="108"/>
        <v/>
      </c>
      <c r="P625" t="str" cm="1">
        <f t="array" ref="P625">IF($N625="","",IFERROR(IF(INDEX(geo_grid!$B$2:$JU$231,INT(($N625+40)/0.5)+1,INT(($O625+30)/0.5)+1)="","",INDEX(geo_grid!$B$2:$JU$231,INT(($N625+40)/0.5)+1,INT(($O625+30)/0.5)+1)),"OUTSIDE GRID"))</f>
        <v/>
      </c>
      <c r="Q625" t="str">
        <f t="shared" si="109"/>
        <v/>
      </c>
    </row>
    <row r="626" spans="1:17" x14ac:dyDescent="0.3">
      <c r="A626">
        <f t="shared" si="99"/>
        <v>5</v>
      </c>
      <c r="B626">
        <f t="shared" si="100"/>
        <v>20</v>
      </c>
      <c r="C626" t="str" cm="1">
        <f t="array" ref="C626">IFERROR(INDEX('TRIP MANAGER'!$O$18:$O$25,$A626),"")</f>
        <v/>
      </c>
      <c r="D626" t="str" cm="1">
        <f t="array" ref="D626">IFERROR(INDEX('TRIP MANAGER'!$P$18:$P$25,$A626),"")</f>
        <v/>
      </c>
      <c r="E626" t="str" cm="1">
        <f t="array" ref="E626">IFERROR(INDEX('TRIP MANAGER'!$Q$18:$Q$25,$A626),"")</f>
        <v/>
      </c>
      <c r="F626" t="str" cm="1">
        <f t="array" ref="F626">IFERROR(INDEX('TRIP MANAGER'!$R$18:$R$25,$A626),"")</f>
        <v/>
      </c>
      <c r="G626" t="str" cm="1">
        <f t="array" ref="G626">IFERROR(INDEX('TRIP MANAGER'!$S$18:$S$25,$A626),"")</f>
        <v/>
      </c>
      <c r="H626">
        <f t="shared" si="101"/>
        <v>0.13333333333333333</v>
      </c>
      <c r="I626" t="str">
        <f t="shared" si="102"/>
        <v/>
      </c>
      <c r="J626" t="str">
        <f t="shared" si="103"/>
        <v/>
      </c>
      <c r="K626" t="str">
        <f t="shared" si="104"/>
        <v/>
      </c>
      <c r="L626" t="str">
        <f t="shared" si="105"/>
        <v/>
      </c>
      <c r="M626" t="str">
        <f t="shared" si="106"/>
        <v/>
      </c>
      <c r="N626" t="str">
        <f t="shared" si="107"/>
        <v/>
      </c>
      <c r="O626" t="str">
        <f t="shared" si="108"/>
        <v/>
      </c>
      <c r="P626" t="str" cm="1">
        <f t="array" ref="P626">IF($N626="","",IFERROR(IF(INDEX(geo_grid!$B$2:$JU$231,INT(($N626+40)/0.5)+1,INT(($O626+30)/0.5)+1)="","",INDEX(geo_grid!$B$2:$JU$231,INT(($N626+40)/0.5)+1,INT(($O626+30)/0.5)+1)),"OUTSIDE GRID"))</f>
        <v/>
      </c>
      <c r="Q626" t="str">
        <f t="shared" si="109"/>
        <v/>
      </c>
    </row>
    <row r="627" spans="1:17" x14ac:dyDescent="0.3">
      <c r="A627">
        <f t="shared" si="99"/>
        <v>5</v>
      </c>
      <c r="B627">
        <f t="shared" si="100"/>
        <v>21</v>
      </c>
      <c r="C627" t="str" cm="1">
        <f t="array" ref="C627">IFERROR(INDEX('TRIP MANAGER'!$O$18:$O$25,$A627),"")</f>
        <v/>
      </c>
      <c r="D627" t="str" cm="1">
        <f t="array" ref="D627">IFERROR(INDEX('TRIP MANAGER'!$P$18:$P$25,$A627),"")</f>
        <v/>
      </c>
      <c r="E627" t="str" cm="1">
        <f t="array" ref="E627">IFERROR(INDEX('TRIP MANAGER'!$Q$18:$Q$25,$A627),"")</f>
        <v/>
      </c>
      <c r="F627" t="str" cm="1">
        <f t="array" ref="F627">IFERROR(INDEX('TRIP MANAGER'!$R$18:$R$25,$A627),"")</f>
        <v/>
      </c>
      <c r="G627" t="str" cm="1">
        <f t="array" ref="G627">IFERROR(INDEX('TRIP MANAGER'!$S$18:$S$25,$A627),"")</f>
        <v/>
      </c>
      <c r="H627">
        <f t="shared" si="101"/>
        <v>0.14000000000000001</v>
      </c>
      <c r="I627" t="str">
        <f t="shared" si="102"/>
        <v/>
      </c>
      <c r="J627" t="str">
        <f t="shared" si="103"/>
        <v/>
      </c>
      <c r="K627" t="str">
        <f t="shared" si="104"/>
        <v/>
      </c>
      <c r="L627" t="str">
        <f t="shared" si="105"/>
        <v/>
      </c>
      <c r="M627" t="str">
        <f t="shared" si="106"/>
        <v/>
      </c>
      <c r="N627" t="str">
        <f t="shared" si="107"/>
        <v/>
      </c>
      <c r="O627" t="str">
        <f t="shared" si="108"/>
        <v/>
      </c>
      <c r="P627" t="str" cm="1">
        <f t="array" ref="P627">IF($N627="","",IFERROR(IF(INDEX(geo_grid!$B$2:$JU$231,INT(($N627+40)/0.5)+1,INT(($O627+30)/0.5)+1)="","",INDEX(geo_grid!$B$2:$JU$231,INT(($N627+40)/0.5)+1,INT(($O627+30)/0.5)+1)),"OUTSIDE GRID"))</f>
        <v/>
      </c>
      <c r="Q627" t="str">
        <f t="shared" si="109"/>
        <v/>
      </c>
    </row>
    <row r="628" spans="1:17" x14ac:dyDescent="0.3">
      <c r="A628">
        <f t="shared" si="99"/>
        <v>5</v>
      </c>
      <c r="B628">
        <f t="shared" si="100"/>
        <v>22</v>
      </c>
      <c r="C628" t="str" cm="1">
        <f t="array" ref="C628">IFERROR(INDEX('TRIP MANAGER'!$O$18:$O$25,$A628),"")</f>
        <v/>
      </c>
      <c r="D628" t="str" cm="1">
        <f t="array" ref="D628">IFERROR(INDEX('TRIP MANAGER'!$P$18:$P$25,$A628),"")</f>
        <v/>
      </c>
      <c r="E628" t="str" cm="1">
        <f t="array" ref="E628">IFERROR(INDEX('TRIP MANAGER'!$Q$18:$Q$25,$A628),"")</f>
        <v/>
      </c>
      <c r="F628" t="str" cm="1">
        <f t="array" ref="F628">IFERROR(INDEX('TRIP MANAGER'!$R$18:$R$25,$A628),"")</f>
        <v/>
      </c>
      <c r="G628" t="str" cm="1">
        <f t="array" ref="G628">IFERROR(INDEX('TRIP MANAGER'!$S$18:$S$25,$A628),"")</f>
        <v/>
      </c>
      <c r="H628">
        <f t="shared" si="101"/>
        <v>0.14666666666666667</v>
      </c>
      <c r="I628" t="str">
        <f t="shared" si="102"/>
        <v/>
      </c>
      <c r="J628" t="str">
        <f t="shared" si="103"/>
        <v/>
      </c>
      <c r="K628" t="str">
        <f t="shared" si="104"/>
        <v/>
      </c>
      <c r="L628" t="str">
        <f t="shared" si="105"/>
        <v/>
      </c>
      <c r="M628" t="str">
        <f t="shared" si="106"/>
        <v/>
      </c>
      <c r="N628" t="str">
        <f t="shared" si="107"/>
        <v/>
      </c>
      <c r="O628" t="str">
        <f t="shared" si="108"/>
        <v/>
      </c>
      <c r="P628" t="str" cm="1">
        <f t="array" ref="P628">IF($N628="","",IFERROR(IF(INDEX(geo_grid!$B$2:$JU$231,INT(($N628+40)/0.5)+1,INT(($O628+30)/0.5)+1)="","",INDEX(geo_grid!$B$2:$JU$231,INT(($N628+40)/0.5)+1,INT(($O628+30)/0.5)+1)),"OUTSIDE GRID"))</f>
        <v/>
      </c>
      <c r="Q628" t="str">
        <f t="shared" si="109"/>
        <v/>
      </c>
    </row>
    <row r="629" spans="1:17" x14ac:dyDescent="0.3">
      <c r="A629">
        <f t="shared" si="99"/>
        <v>5</v>
      </c>
      <c r="B629">
        <f t="shared" si="100"/>
        <v>23</v>
      </c>
      <c r="C629" t="str" cm="1">
        <f t="array" ref="C629">IFERROR(INDEX('TRIP MANAGER'!$O$18:$O$25,$A629),"")</f>
        <v/>
      </c>
      <c r="D629" t="str" cm="1">
        <f t="array" ref="D629">IFERROR(INDEX('TRIP MANAGER'!$P$18:$P$25,$A629),"")</f>
        <v/>
      </c>
      <c r="E629" t="str" cm="1">
        <f t="array" ref="E629">IFERROR(INDEX('TRIP MANAGER'!$Q$18:$Q$25,$A629),"")</f>
        <v/>
      </c>
      <c r="F629" t="str" cm="1">
        <f t="array" ref="F629">IFERROR(INDEX('TRIP MANAGER'!$R$18:$R$25,$A629),"")</f>
        <v/>
      </c>
      <c r="G629" t="str" cm="1">
        <f t="array" ref="G629">IFERROR(INDEX('TRIP MANAGER'!$S$18:$S$25,$A629),"")</f>
        <v/>
      </c>
      <c r="H629">
        <f t="shared" si="101"/>
        <v>0.15333333333333332</v>
      </c>
      <c r="I629" t="str">
        <f t="shared" si="102"/>
        <v/>
      </c>
      <c r="J629" t="str">
        <f t="shared" si="103"/>
        <v/>
      </c>
      <c r="K629" t="str">
        <f t="shared" si="104"/>
        <v/>
      </c>
      <c r="L629" t="str">
        <f t="shared" si="105"/>
        <v/>
      </c>
      <c r="M629" t="str">
        <f t="shared" si="106"/>
        <v/>
      </c>
      <c r="N629" t="str">
        <f t="shared" si="107"/>
        <v/>
      </c>
      <c r="O629" t="str">
        <f t="shared" si="108"/>
        <v/>
      </c>
      <c r="P629" t="str" cm="1">
        <f t="array" ref="P629">IF($N629="","",IFERROR(IF(INDEX(geo_grid!$B$2:$JU$231,INT(($N629+40)/0.5)+1,INT(($O629+30)/0.5)+1)="","",INDEX(geo_grid!$B$2:$JU$231,INT(($N629+40)/0.5)+1,INT(($O629+30)/0.5)+1)),"OUTSIDE GRID"))</f>
        <v/>
      </c>
      <c r="Q629" t="str">
        <f t="shared" si="109"/>
        <v/>
      </c>
    </row>
    <row r="630" spans="1:17" x14ac:dyDescent="0.3">
      <c r="A630">
        <f t="shared" si="99"/>
        <v>5</v>
      </c>
      <c r="B630">
        <f t="shared" si="100"/>
        <v>24</v>
      </c>
      <c r="C630" t="str" cm="1">
        <f t="array" ref="C630">IFERROR(INDEX('TRIP MANAGER'!$O$18:$O$25,$A630),"")</f>
        <v/>
      </c>
      <c r="D630" t="str" cm="1">
        <f t="array" ref="D630">IFERROR(INDEX('TRIP MANAGER'!$P$18:$P$25,$A630),"")</f>
        <v/>
      </c>
      <c r="E630" t="str" cm="1">
        <f t="array" ref="E630">IFERROR(INDEX('TRIP MANAGER'!$Q$18:$Q$25,$A630),"")</f>
        <v/>
      </c>
      <c r="F630" t="str" cm="1">
        <f t="array" ref="F630">IFERROR(INDEX('TRIP MANAGER'!$R$18:$R$25,$A630),"")</f>
        <v/>
      </c>
      <c r="G630" t="str" cm="1">
        <f t="array" ref="G630">IFERROR(INDEX('TRIP MANAGER'!$S$18:$S$25,$A630),"")</f>
        <v/>
      </c>
      <c r="H630">
        <f t="shared" si="101"/>
        <v>0.16</v>
      </c>
      <c r="I630" t="str">
        <f t="shared" si="102"/>
        <v/>
      </c>
      <c r="J630" t="str">
        <f t="shared" si="103"/>
        <v/>
      </c>
      <c r="K630" t="str">
        <f t="shared" si="104"/>
        <v/>
      </c>
      <c r="L630" t="str">
        <f t="shared" si="105"/>
        <v/>
      </c>
      <c r="M630" t="str">
        <f t="shared" si="106"/>
        <v/>
      </c>
      <c r="N630" t="str">
        <f t="shared" si="107"/>
        <v/>
      </c>
      <c r="O630" t="str">
        <f t="shared" si="108"/>
        <v/>
      </c>
      <c r="P630" t="str" cm="1">
        <f t="array" ref="P630">IF($N630="","",IFERROR(IF(INDEX(geo_grid!$B$2:$JU$231,INT(($N630+40)/0.5)+1,INT(($O630+30)/0.5)+1)="","",INDEX(geo_grid!$B$2:$JU$231,INT(($N630+40)/0.5)+1,INT(($O630+30)/0.5)+1)),"OUTSIDE GRID"))</f>
        <v/>
      </c>
      <c r="Q630" t="str">
        <f t="shared" si="109"/>
        <v/>
      </c>
    </row>
    <row r="631" spans="1:17" x14ac:dyDescent="0.3">
      <c r="A631">
        <f t="shared" si="99"/>
        <v>5</v>
      </c>
      <c r="B631">
        <f t="shared" si="100"/>
        <v>25</v>
      </c>
      <c r="C631" t="str" cm="1">
        <f t="array" ref="C631">IFERROR(INDEX('TRIP MANAGER'!$O$18:$O$25,$A631),"")</f>
        <v/>
      </c>
      <c r="D631" t="str" cm="1">
        <f t="array" ref="D631">IFERROR(INDEX('TRIP MANAGER'!$P$18:$P$25,$A631),"")</f>
        <v/>
      </c>
      <c r="E631" t="str" cm="1">
        <f t="array" ref="E631">IFERROR(INDEX('TRIP MANAGER'!$Q$18:$Q$25,$A631),"")</f>
        <v/>
      </c>
      <c r="F631" t="str" cm="1">
        <f t="array" ref="F631">IFERROR(INDEX('TRIP MANAGER'!$R$18:$R$25,$A631),"")</f>
        <v/>
      </c>
      <c r="G631" t="str" cm="1">
        <f t="array" ref="G631">IFERROR(INDEX('TRIP MANAGER'!$S$18:$S$25,$A631),"")</f>
        <v/>
      </c>
      <c r="H631">
        <f t="shared" si="101"/>
        <v>0.16666666666666666</v>
      </c>
      <c r="I631" t="str">
        <f t="shared" si="102"/>
        <v/>
      </c>
      <c r="J631" t="str">
        <f t="shared" si="103"/>
        <v/>
      </c>
      <c r="K631" t="str">
        <f t="shared" si="104"/>
        <v/>
      </c>
      <c r="L631" t="str">
        <f t="shared" si="105"/>
        <v/>
      </c>
      <c r="M631" t="str">
        <f t="shared" si="106"/>
        <v/>
      </c>
      <c r="N631" t="str">
        <f t="shared" si="107"/>
        <v/>
      </c>
      <c r="O631" t="str">
        <f t="shared" si="108"/>
        <v/>
      </c>
      <c r="P631" t="str" cm="1">
        <f t="array" ref="P631">IF($N631="","",IFERROR(IF(INDEX(geo_grid!$B$2:$JU$231,INT(($N631+40)/0.5)+1,INT(($O631+30)/0.5)+1)="","",INDEX(geo_grid!$B$2:$JU$231,INT(($N631+40)/0.5)+1,INT(($O631+30)/0.5)+1)),"OUTSIDE GRID"))</f>
        <v/>
      </c>
      <c r="Q631" t="str">
        <f t="shared" si="109"/>
        <v/>
      </c>
    </row>
    <row r="632" spans="1:17" x14ac:dyDescent="0.3">
      <c r="A632">
        <f t="shared" si="99"/>
        <v>5</v>
      </c>
      <c r="B632">
        <f t="shared" si="100"/>
        <v>26</v>
      </c>
      <c r="C632" t="str" cm="1">
        <f t="array" ref="C632">IFERROR(INDEX('TRIP MANAGER'!$O$18:$O$25,$A632),"")</f>
        <v/>
      </c>
      <c r="D632" t="str" cm="1">
        <f t="array" ref="D632">IFERROR(INDEX('TRIP MANAGER'!$P$18:$P$25,$A632),"")</f>
        <v/>
      </c>
      <c r="E632" t="str" cm="1">
        <f t="array" ref="E632">IFERROR(INDEX('TRIP MANAGER'!$Q$18:$Q$25,$A632),"")</f>
        <v/>
      </c>
      <c r="F632" t="str" cm="1">
        <f t="array" ref="F632">IFERROR(INDEX('TRIP MANAGER'!$R$18:$R$25,$A632),"")</f>
        <v/>
      </c>
      <c r="G632" t="str" cm="1">
        <f t="array" ref="G632">IFERROR(INDEX('TRIP MANAGER'!$S$18:$S$25,$A632),"")</f>
        <v/>
      </c>
      <c r="H632">
        <f t="shared" si="101"/>
        <v>0.17333333333333334</v>
      </c>
      <c r="I632" t="str">
        <f t="shared" si="102"/>
        <v/>
      </c>
      <c r="J632" t="str">
        <f t="shared" si="103"/>
        <v/>
      </c>
      <c r="K632" t="str">
        <f t="shared" si="104"/>
        <v/>
      </c>
      <c r="L632" t="str">
        <f t="shared" si="105"/>
        <v/>
      </c>
      <c r="M632" t="str">
        <f t="shared" si="106"/>
        <v/>
      </c>
      <c r="N632" t="str">
        <f t="shared" si="107"/>
        <v/>
      </c>
      <c r="O632" t="str">
        <f t="shared" si="108"/>
        <v/>
      </c>
      <c r="P632" t="str" cm="1">
        <f t="array" ref="P632">IF($N632="","",IFERROR(IF(INDEX(geo_grid!$B$2:$JU$231,INT(($N632+40)/0.5)+1,INT(($O632+30)/0.5)+1)="","",INDEX(geo_grid!$B$2:$JU$231,INT(($N632+40)/0.5)+1,INT(($O632+30)/0.5)+1)),"OUTSIDE GRID"))</f>
        <v/>
      </c>
      <c r="Q632" t="str">
        <f t="shared" si="109"/>
        <v/>
      </c>
    </row>
    <row r="633" spans="1:17" x14ac:dyDescent="0.3">
      <c r="A633">
        <f t="shared" si="99"/>
        <v>5</v>
      </c>
      <c r="B633">
        <f t="shared" si="100"/>
        <v>27</v>
      </c>
      <c r="C633" t="str" cm="1">
        <f t="array" ref="C633">IFERROR(INDEX('TRIP MANAGER'!$O$18:$O$25,$A633),"")</f>
        <v/>
      </c>
      <c r="D633" t="str" cm="1">
        <f t="array" ref="D633">IFERROR(INDEX('TRIP MANAGER'!$P$18:$P$25,$A633),"")</f>
        <v/>
      </c>
      <c r="E633" t="str" cm="1">
        <f t="array" ref="E633">IFERROR(INDEX('TRIP MANAGER'!$Q$18:$Q$25,$A633),"")</f>
        <v/>
      </c>
      <c r="F633" t="str" cm="1">
        <f t="array" ref="F633">IFERROR(INDEX('TRIP MANAGER'!$R$18:$R$25,$A633),"")</f>
        <v/>
      </c>
      <c r="G633" t="str" cm="1">
        <f t="array" ref="G633">IFERROR(INDEX('TRIP MANAGER'!$S$18:$S$25,$A633),"")</f>
        <v/>
      </c>
      <c r="H633">
        <f t="shared" si="101"/>
        <v>0.18</v>
      </c>
      <c r="I633" t="str">
        <f t="shared" si="102"/>
        <v/>
      </c>
      <c r="J633" t="str">
        <f t="shared" si="103"/>
        <v/>
      </c>
      <c r="K633" t="str">
        <f t="shared" si="104"/>
        <v/>
      </c>
      <c r="L633" t="str">
        <f t="shared" si="105"/>
        <v/>
      </c>
      <c r="M633" t="str">
        <f t="shared" si="106"/>
        <v/>
      </c>
      <c r="N633" t="str">
        <f t="shared" si="107"/>
        <v/>
      </c>
      <c r="O633" t="str">
        <f t="shared" si="108"/>
        <v/>
      </c>
      <c r="P633" t="str" cm="1">
        <f t="array" ref="P633">IF($N633="","",IFERROR(IF(INDEX(geo_grid!$B$2:$JU$231,INT(($N633+40)/0.5)+1,INT(($O633+30)/0.5)+1)="","",INDEX(geo_grid!$B$2:$JU$231,INT(($N633+40)/0.5)+1,INT(($O633+30)/0.5)+1)),"OUTSIDE GRID"))</f>
        <v/>
      </c>
      <c r="Q633" t="str">
        <f t="shared" si="109"/>
        <v/>
      </c>
    </row>
    <row r="634" spans="1:17" x14ac:dyDescent="0.3">
      <c r="A634">
        <f t="shared" si="99"/>
        <v>5</v>
      </c>
      <c r="B634">
        <f t="shared" si="100"/>
        <v>28</v>
      </c>
      <c r="C634" t="str" cm="1">
        <f t="array" ref="C634">IFERROR(INDEX('TRIP MANAGER'!$O$18:$O$25,$A634),"")</f>
        <v/>
      </c>
      <c r="D634" t="str" cm="1">
        <f t="array" ref="D634">IFERROR(INDEX('TRIP MANAGER'!$P$18:$P$25,$A634),"")</f>
        <v/>
      </c>
      <c r="E634" t="str" cm="1">
        <f t="array" ref="E634">IFERROR(INDEX('TRIP MANAGER'!$Q$18:$Q$25,$A634),"")</f>
        <v/>
      </c>
      <c r="F634" t="str" cm="1">
        <f t="array" ref="F634">IFERROR(INDEX('TRIP MANAGER'!$R$18:$R$25,$A634),"")</f>
        <v/>
      </c>
      <c r="G634" t="str" cm="1">
        <f t="array" ref="G634">IFERROR(INDEX('TRIP MANAGER'!$S$18:$S$25,$A634),"")</f>
        <v/>
      </c>
      <c r="H634">
        <f t="shared" si="101"/>
        <v>0.18666666666666668</v>
      </c>
      <c r="I634" t="str">
        <f t="shared" si="102"/>
        <v/>
      </c>
      <c r="J634" t="str">
        <f t="shared" si="103"/>
        <v/>
      </c>
      <c r="K634" t="str">
        <f t="shared" si="104"/>
        <v/>
      </c>
      <c r="L634" t="str">
        <f t="shared" si="105"/>
        <v/>
      </c>
      <c r="M634" t="str">
        <f t="shared" si="106"/>
        <v/>
      </c>
      <c r="N634" t="str">
        <f t="shared" si="107"/>
        <v/>
      </c>
      <c r="O634" t="str">
        <f t="shared" si="108"/>
        <v/>
      </c>
      <c r="P634" t="str" cm="1">
        <f t="array" ref="P634">IF($N634="","",IFERROR(IF(INDEX(geo_grid!$B$2:$JU$231,INT(($N634+40)/0.5)+1,INT(($O634+30)/0.5)+1)="","",INDEX(geo_grid!$B$2:$JU$231,INT(($N634+40)/0.5)+1,INT(($O634+30)/0.5)+1)),"OUTSIDE GRID"))</f>
        <v/>
      </c>
      <c r="Q634" t="str">
        <f t="shared" si="109"/>
        <v/>
      </c>
    </row>
    <row r="635" spans="1:17" x14ac:dyDescent="0.3">
      <c r="A635">
        <f t="shared" si="99"/>
        <v>5</v>
      </c>
      <c r="B635">
        <f t="shared" si="100"/>
        <v>29</v>
      </c>
      <c r="C635" t="str" cm="1">
        <f t="array" ref="C635">IFERROR(INDEX('TRIP MANAGER'!$O$18:$O$25,$A635),"")</f>
        <v/>
      </c>
      <c r="D635" t="str" cm="1">
        <f t="array" ref="D635">IFERROR(INDEX('TRIP MANAGER'!$P$18:$P$25,$A635),"")</f>
        <v/>
      </c>
      <c r="E635" t="str" cm="1">
        <f t="array" ref="E635">IFERROR(INDEX('TRIP MANAGER'!$Q$18:$Q$25,$A635),"")</f>
        <v/>
      </c>
      <c r="F635" t="str" cm="1">
        <f t="array" ref="F635">IFERROR(INDEX('TRIP MANAGER'!$R$18:$R$25,$A635),"")</f>
        <v/>
      </c>
      <c r="G635" t="str" cm="1">
        <f t="array" ref="G635">IFERROR(INDEX('TRIP MANAGER'!$S$18:$S$25,$A635),"")</f>
        <v/>
      </c>
      <c r="H635">
        <f t="shared" si="101"/>
        <v>0.19333333333333333</v>
      </c>
      <c r="I635" t="str">
        <f t="shared" si="102"/>
        <v/>
      </c>
      <c r="J635" t="str">
        <f t="shared" si="103"/>
        <v/>
      </c>
      <c r="K635" t="str">
        <f t="shared" si="104"/>
        <v/>
      </c>
      <c r="L635" t="str">
        <f t="shared" si="105"/>
        <v/>
      </c>
      <c r="M635" t="str">
        <f t="shared" si="106"/>
        <v/>
      </c>
      <c r="N635" t="str">
        <f t="shared" si="107"/>
        <v/>
      </c>
      <c r="O635" t="str">
        <f t="shared" si="108"/>
        <v/>
      </c>
      <c r="P635" t="str" cm="1">
        <f t="array" ref="P635">IF($N635="","",IFERROR(IF(INDEX(geo_grid!$B$2:$JU$231,INT(($N635+40)/0.5)+1,INT(($O635+30)/0.5)+1)="","",INDEX(geo_grid!$B$2:$JU$231,INT(($N635+40)/0.5)+1,INT(($O635+30)/0.5)+1)),"OUTSIDE GRID"))</f>
        <v/>
      </c>
      <c r="Q635" t="str">
        <f t="shared" si="109"/>
        <v/>
      </c>
    </row>
    <row r="636" spans="1:17" x14ac:dyDescent="0.3">
      <c r="A636">
        <f t="shared" si="99"/>
        <v>5</v>
      </c>
      <c r="B636">
        <f t="shared" si="100"/>
        <v>30</v>
      </c>
      <c r="C636" t="str" cm="1">
        <f t="array" ref="C636">IFERROR(INDEX('TRIP MANAGER'!$O$18:$O$25,$A636),"")</f>
        <v/>
      </c>
      <c r="D636" t="str" cm="1">
        <f t="array" ref="D636">IFERROR(INDEX('TRIP MANAGER'!$P$18:$P$25,$A636),"")</f>
        <v/>
      </c>
      <c r="E636" t="str" cm="1">
        <f t="array" ref="E636">IFERROR(INDEX('TRIP MANAGER'!$Q$18:$Q$25,$A636),"")</f>
        <v/>
      </c>
      <c r="F636" t="str" cm="1">
        <f t="array" ref="F636">IFERROR(INDEX('TRIP MANAGER'!$R$18:$R$25,$A636),"")</f>
        <v/>
      </c>
      <c r="G636" t="str" cm="1">
        <f t="array" ref="G636">IFERROR(INDEX('TRIP MANAGER'!$S$18:$S$25,$A636),"")</f>
        <v/>
      </c>
      <c r="H636">
        <f t="shared" si="101"/>
        <v>0.2</v>
      </c>
      <c r="I636" t="str">
        <f t="shared" si="102"/>
        <v/>
      </c>
      <c r="J636" t="str">
        <f t="shared" si="103"/>
        <v/>
      </c>
      <c r="K636" t="str">
        <f t="shared" si="104"/>
        <v/>
      </c>
      <c r="L636" t="str">
        <f t="shared" si="105"/>
        <v/>
      </c>
      <c r="M636" t="str">
        <f t="shared" si="106"/>
        <v/>
      </c>
      <c r="N636" t="str">
        <f t="shared" si="107"/>
        <v/>
      </c>
      <c r="O636" t="str">
        <f t="shared" si="108"/>
        <v/>
      </c>
      <c r="P636" t="str" cm="1">
        <f t="array" ref="P636">IF($N636="","",IFERROR(IF(INDEX(geo_grid!$B$2:$JU$231,INT(($N636+40)/0.5)+1,INT(($O636+30)/0.5)+1)="","",INDEX(geo_grid!$B$2:$JU$231,INT(($N636+40)/0.5)+1,INT(($O636+30)/0.5)+1)),"OUTSIDE GRID"))</f>
        <v/>
      </c>
      <c r="Q636" t="str">
        <f t="shared" si="109"/>
        <v/>
      </c>
    </row>
    <row r="637" spans="1:17" x14ac:dyDescent="0.3">
      <c r="A637">
        <f t="shared" si="99"/>
        <v>5</v>
      </c>
      <c r="B637">
        <f t="shared" si="100"/>
        <v>31</v>
      </c>
      <c r="C637" t="str" cm="1">
        <f t="array" ref="C637">IFERROR(INDEX('TRIP MANAGER'!$O$18:$O$25,$A637),"")</f>
        <v/>
      </c>
      <c r="D637" t="str" cm="1">
        <f t="array" ref="D637">IFERROR(INDEX('TRIP MANAGER'!$P$18:$P$25,$A637),"")</f>
        <v/>
      </c>
      <c r="E637" t="str" cm="1">
        <f t="array" ref="E637">IFERROR(INDEX('TRIP MANAGER'!$Q$18:$Q$25,$A637),"")</f>
        <v/>
      </c>
      <c r="F637" t="str" cm="1">
        <f t="array" ref="F637">IFERROR(INDEX('TRIP MANAGER'!$R$18:$R$25,$A637),"")</f>
        <v/>
      </c>
      <c r="G637" t="str" cm="1">
        <f t="array" ref="G637">IFERROR(INDEX('TRIP MANAGER'!$S$18:$S$25,$A637),"")</f>
        <v/>
      </c>
      <c r="H637">
        <f t="shared" si="101"/>
        <v>0.20666666666666667</v>
      </c>
      <c r="I637" t="str">
        <f t="shared" si="102"/>
        <v/>
      </c>
      <c r="J637" t="str">
        <f t="shared" si="103"/>
        <v/>
      </c>
      <c r="K637" t="str">
        <f t="shared" si="104"/>
        <v/>
      </c>
      <c r="L637" t="str">
        <f t="shared" si="105"/>
        <v/>
      </c>
      <c r="M637" t="str">
        <f t="shared" si="106"/>
        <v/>
      </c>
      <c r="N637" t="str">
        <f t="shared" si="107"/>
        <v/>
      </c>
      <c r="O637" t="str">
        <f t="shared" si="108"/>
        <v/>
      </c>
      <c r="P637" t="str" cm="1">
        <f t="array" ref="P637">IF($N637="","",IFERROR(IF(INDEX(geo_grid!$B$2:$JU$231,INT(($N637+40)/0.5)+1,INT(($O637+30)/0.5)+1)="","",INDEX(geo_grid!$B$2:$JU$231,INT(($N637+40)/0.5)+1,INT(($O637+30)/0.5)+1)),"OUTSIDE GRID"))</f>
        <v/>
      </c>
      <c r="Q637" t="str">
        <f t="shared" si="109"/>
        <v/>
      </c>
    </row>
    <row r="638" spans="1:17" x14ac:dyDescent="0.3">
      <c r="A638">
        <f t="shared" si="99"/>
        <v>5</v>
      </c>
      <c r="B638">
        <f t="shared" si="100"/>
        <v>32</v>
      </c>
      <c r="C638" t="str" cm="1">
        <f t="array" ref="C638">IFERROR(INDEX('TRIP MANAGER'!$O$18:$O$25,$A638),"")</f>
        <v/>
      </c>
      <c r="D638" t="str" cm="1">
        <f t="array" ref="D638">IFERROR(INDEX('TRIP MANAGER'!$P$18:$P$25,$A638),"")</f>
        <v/>
      </c>
      <c r="E638" t="str" cm="1">
        <f t="array" ref="E638">IFERROR(INDEX('TRIP MANAGER'!$Q$18:$Q$25,$A638),"")</f>
        <v/>
      </c>
      <c r="F638" t="str" cm="1">
        <f t="array" ref="F638">IFERROR(INDEX('TRIP MANAGER'!$R$18:$R$25,$A638),"")</f>
        <v/>
      </c>
      <c r="G638" t="str" cm="1">
        <f t="array" ref="G638">IFERROR(INDEX('TRIP MANAGER'!$S$18:$S$25,$A638),"")</f>
        <v/>
      </c>
      <c r="H638">
        <f t="shared" si="101"/>
        <v>0.21333333333333335</v>
      </c>
      <c r="I638" t="str">
        <f t="shared" si="102"/>
        <v/>
      </c>
      <c r="J638" t="str">
        <f t="shared" si="103"/>
        <v/>
      </c>
      <c r="K638" t="str">
        <f t="shared" si="104"/>
        <v/>
      </c>
      <c r="L638" t="str">
        <f t="shared" si="105"/>
        <v/>
      </c>
      <c r="M638" t="str">
        <f t="shared" si="106"/>
        <v/>
      </c>
      <c r="N638" t="str">
        <f t="shared" si="107"/>
        <v/>
      </c>
      <c r="O638" t="str">
        <f t="shared" si="108"/>
        <v/>
      </c>
      <c r="P638" t="str" cm="1">
        <f t="array" ref="P638">IF($N638="","",IFERROR(IF(INDEX(geo_grid!$B$2:$JU$231,INT(($N638+40)/0.5)+1,INT(($O638+30)/0.5)+1)="","",INDEX(geo_grid!$B$2:$JU$231,INT(($N638+40)/0.5)+1,INT(($O638+30)/0.5)+1)),"OUTSIDE GRID"))</f>
        <v/>
      </c>
      <c r="Q638" t="str">
        <f t="shared" si="109"/>
        <v/>
      </c>
    </row>
    <row r="639" spans="1:17" x14ac:dyDescent="0.3">
      <c r="A639">
        <f t="shared" si="99"/>
        <v>5</v>
      </c>
      <c r="B639">
        <f t="shared" si="100"/>
        <v>33</v>
      </c>
      <c r="C639" t="str" cm="1">
        <f t="array" ref="C639">IFERROR(INDEX('TRIP MANAGER'!$O$18:$O$25,$A639),"")</f>
        <v/>
      </c>
      <c r="D639" t="str" cm="1">
        <f t="array" ref="D639">IFERROR(INDEX('TRIP MANAGER'!$P$18:$P$25,$A639),"")</f>
        <v/>
      </c>
      <c r="E639" t="str" cm="1">
        <f t="array" ref="E639">IFERROR(INDEX('TRIP MANAGER'!$Q$18:$Q$25,$A639),"")</f>
        <v/>
      </c>
      <c r="F639" t="str" cm="1">
        <f t="array" ref="F639">IFERROR(INDEX('TRIP MANAGER'!$R$18:$R$25,$A639),"")</f>
        <v/>
      </c>
      <c r="G639" t="str" cm="1">
        <f t="array" ref="G639">IFERROR(INDEX('TRIP MANAGER'!$S$18:$S$25,$A639),"")</f>
        <v/>
      </c>
      <c r="H639">
        <f t="shared" si="101"/>
        <v>0.22</v>
      </c>
      <c r="I639" t="str">
        <f t="shared" si="102"/>
        <v/>
      </c>
      <c r="J639" t="str">
        <f t="shared" si="103"/>
        <v/>
      </c>
      <c r="K639" t="str">
        <f t="shared" si="104"/>
        <v/>
      </c>
      <c r="L639" t="str">
        <f t="shared" si="105"/>
        <v/>
      </c>
      <c r="M639" t="str">
        <f t="shared" si="106"/>
        <v/>
      </c>
      <c r="N639" t="str">
        <f t="shared" si="107"/>
        <v/>
      </c>
      <c r="O639" t="str">
        <f t="shared" si="108"/>
        <v/>
      </c>
      <c r="P639" t="str" cm="1">
        <f t="array" ref="P639">IF($N639="","",IFERROR(IF(INDEX(geo_grid!$B$2:$JU$231,INT(($N639+40)/0.5)+1,INT(($O639+30)/0.5)+1)="","",INDEX(geo_grid!$B$2:$JU$231,INT(($N639+40)/0.5)+1,INT(($O639+30)/0.5)+1)),"OUTSIDE GRID"))</f>
        <v/>
      </c>
      <c r="Q639" t="str">
        <f t="shared" si="109"/>
        <v/>
      </c>
    </row>
    <row r="640" spans="1:17" x14ac:dyDescent="0.3">
      <c r="A640">
        <f t="shared" si="99"/>
        <v>5</v>
      </c>
      <c r="B640">
        <f t="shared" si="100"/>
        <v>34</v>
      </c>
      <c r="C640" t="str" cm="1">
        <f t="array" ref="C640">IFERROR(INDEX('TRIP MANAGER'!$O$18:$O$25,$A640),"")</f>
        <v/>
      </c>
      <c r="D640" t="str" cm="1">
        <f t="array" ref="D640">IFERROR(INDEX('TRIP MANAGER'!$P$18:$P$25,$A640),"")</f>
        <v/>
      </c>
      <c r="E640" t="str" cm="1">
        <f t="array" ref="E640">IFERROR(INDEX('TRIP MANAGER'!$Q$18:$Q$25,$A640),"")</f>
        <v/>
      </c>
      <c r="F640" t="str" cm="1">
        <f t="array" ref="F640">IFERROR(INDEX('TRIP MANAGER'!$R$18:$R$25,$A640),"")</f>
        <v/>
      </c>
      <c r="G640" t="str" cm="1">
        <f t="array" ref="G640">IFERROR(INDEX('TRIP MANAGER'!$S$18:$S$25,$A640),"")</f>
        <v/>
      </c>
      <c r="H640">
        <f t="shared" si="101"/>
        <v>0.22666666666666666</v>
      </c>
      <c r="I640" t="str">
        <f t="shared" si="102"/>
        <v/>
      </c>
      <c r="J640" t="str">
        <f t="shared" si="103"/>
        <v/>
      </c>
      <c r="K640" t="str">
        <f t="shared" si="104"/>
        <v/>
      </c>
      <c r="L640" t="str">
        <f t="shared" si="105"/>
        <v/>
      </c>
      <c r="M640" t="str">
        <f t="shared" si="106"/>
        <v/>
      </c>
      <c r="N640" t="str">
        <f t="shared" si="107"/>
        <v/>
      </c>
      <c r="O640" t="str">
        <f t="shared" si="108"/>
        <v/>
      </c>
      <c r="P640" t="str" cm="1">
        <f t="array" ref="P640">IF($N640="","",IFERROR(IF(INDEX(geo_grid!$B$2:$JU$231,INT(($N640+40)/0.5)+1,INT(($O640+30)/0.5)+1)="","",INDEX(geo_grid!$B$2:$JU$231,INT(($N640+40)/0.5)+1,INT(($O640+30)/0.5)+1)),"OUTSIDE GRID"))</f>
        <v/>
      </c>
      <c r="Q640" t="str">
        <f t="shared" si="109"/>
        <v/>
      </c>
    </row>
    <row r="641" spans="1:17" x14ac:dyDescent="0.3">
      <c r="A641">
        <f t="shared" si="99"/>
        <v>5</v>
      </c>
      <c r="B641">
        <f t="shared" si="100"/>
        <v>35</v>
      </c>
      <c r="C641" t="str" cm="1">
        <f t="array" ref="C641">IFERROR(INDEX('TRIP MANAGER'!$O$18:$O$25,$A641),"")</f>
        <v/>
      </c>
      <c r="D641" t="str" cm="1">
        <f t="array" ref="D641">IFERROR(INDEX('TRIP MANAGER'!$P$18:$P$25,$A641),"")</f>
        <v/>
      </c>
      <c r="E641" t="str" cm="1">
        <f t="array" ref="E641">IFERROR(INDEX('TRIP MANAGER'!$Q$18:$Q$25,$A641),"")</f>
        <v/>
      </c>
      <c r="F641" t="str" cm="1">
        <f t="array" ref="F641">IFERROR(INDEX('TRIP MANAGER'!$R$18:$R$25,$A641),"")</f>
        <v/>
      </c>
      <c r="G641" t="str" cm="1">
        <f t="array" ref="G641">IFERROR(INDEX('TRIP MANAGER'!$S$18:$S$25,$A641),"")</f>
        <v/>
      </c>
      <c r="H641">
        <f t="shared" si="101"/>
        <v>0.23333333333333334</v>
      </c>
      <c r="I641" t="str">
        <f t="shared" si="102"/>
        <v/>
      </c>
      <c r="J641" t="str">
        <f t="shared" si="103"/>
        <v/>
      </c>
      <c r="K641" t="str">
        <f t="shared" si="104"/>
        <v/>
      </c>
      <c r="L641" t="str">
        <f t="shared" si="105"/>
        <v/>
      </c>
      <c r="M641" t="str">
        <f t="shared" si="106"/>
        <v/>
      </c>
      <c r="N641" t="str">
        <f t="shared" si="107"/>
        <v/>
      </c>
      <c r="O641" t="str">
        <f t="shared" si="108"/>
        <v/>
      </c>
      <c r="P641" t="str" cm="1">
        <f t="array" ref="P641">IF($N641="","",IFERROR(IF(INDEX(geo_grid!$B$2:$JU$231,INT(($N641+40)/0.5)+1,INT(($O641+30)/0.5)+1)="","",INDEX(geo_grid!$B$2:$JU$231,INT(($N641+40)/0.5)+1,INT(($O641+30)/0.5)+1)),"OUTSIDE GRID"))</f>
        <v/>
      </c>
      <c r="Q641" t="str">
        <f t="shared" si="109"/>
        <v/>
      </c>
    </row>
    <row r="642" spans="1:17" x14ac:dyDescent="0.3">
      <c r="A642">
        <f t="shared" si="99"/>
        <v>5</v>
      </c>
      <c r="B642">
        <f t="shared" si="100"/>
        <v>36</v>
      </c>
      <c r="C642" t="str" cm="1">
        <f t="array" ref="C642">IFERROR(INDEX('TRIP MANAGER'!$O$18:$O$25,$A642),"")</f>
        <v/>
      </c>
      <c r="D642" t="str" cm="1">
        <f t="array" ref="D642">IFERROR(INDEX('TRIP MANAGER'!$P$18:$P$25,$A642),"")</f>
        <v/>
      </c>
      <c r="E642" t="str" cm="1">
        <f t="array" ref="E642">IFERROR(INDEX('TRIP MANAGER'!$Q$18:$Q$25,$A642),"")</f>
        <v/>
      </c>
      <c r="F642" t="str" cm="1">
        <f t="array" ref="F642">IFERROR(INDEX('TRIP MANAGER'!$R$18:$R$25,$A642),"")</f>
        <v/>
      </c>
      <c r="G642" t="str" cm="1">
        <f t="array" ref="G642">IFERROR(INDEX('TRIP MANAGER'!$S$18:$S$25,$A642),"")</f>
        <v/>
      </c>
      <c r="H642">
        <f t="shared" si="101"/>
        <v>0.24</v>
      </c>
      <c r="I642" t="str">
        <f t="shared" si="102"/>
        <v/>
      </c>
      <c r="J642" t="str">
        <f t="shared" si="103"/>
        <v/>
      </c>
      <c r="K642" t="str">
        <f t="shared" si="104"/>
        <v/>
      </c>
      <c r="L642" t="str">
        <f t="shared" si="105"/>
        <v/>
      </c>
      <c r="M642" t="str">
        <f t="shared" si="106"/>
        <v/>
      </c>
      <c r="N642" t="str">
        <f t="shared" si="107"/>
        <v/>
      </c>
      <c r="O642" t="str">
        <f t="shared" si="108"/>
        <v/>
      </c>
      <c r="P642" t="str" cm="1">
        <f t="array" ref="P642">IF($N642="","",IFERROR(IF(INDEX(geo_grid!$B$2:$JU$231,INT(($N642+40)/0.5)+1,INT(($O642+30)/0.5)+1)="","",INDEX(geo_grid!$B$2:$JU$231,INT(($N642+40)/0.5)+1,INT(($O642+30)/0.5)+1)),"OUTSIDE GRID"))</f>
        <v/>
      </c>
      <c r="Q642" t="str">
        <f t="shared" si="109"/>
        <v/>
      </c>
    </row>
    <row r="643" spans="1:17" x14ac:dyDescent="0.3">
      <c r="A643">
        <f t="shared" ref="A643:A706" si="110">INT((ROW()-2)/151)+1</f>
        <v>5</v>
      </c>
      <c r="B643">
        <f t="shared" ref="B643:B706" si="111">MOD(ROW()-2,151)</f>
        <v>37</v>
      </c>
      <c r="C643" t="str" cm="1">
        <f t="array" ref="C643">IFERROR(INDEX('TRIP MANAGER'!$O$18:$O$25,$A643),"")</f>
        <v/>
      </c>
      <c r="D643" t="str" cm="1">
        <f t="array" ref="D643">IFERROR(INDEX('TRIP MANAGER'!$P$18:$P$25,$A643),"")</f>
        <v/>
      </c>
      <c r="E643" t="str" cm="1">
        <f t="array" ref="E643">IFERROR(INDEX('TRIP MANAGER'!$Q$18:$Q$25,$A643),"")</f>
        <v/>
      </c>
      <c r="F643" t="str" cm="1">
        <f t="array" ref="F643">IFERROR(INDEX('TRIP MANAGER'!$R$18:$R$25,$A643),"")</f>
        <v/>
      </c>
      <c r="G643" t="str" cm="1">
        <f t="array" ref="G643">IFERROR(INDEX('TRIP MANAGER'!$S$18:$S$25,$A643),"")</f>
        <v/>
      </c>
      <c r="H643">
        <f t="shared" ref="H643:H706" si="112">$B643/150</f>
        <v>0.24666666666666667</v>
      </c>
      <c r="I643" t="str">
        <f t="shared" ref="I643:I706" si="113">IF(OR($G643="",$G643=0),"",SIN((1-$H643)*$G643)/SIN($G643))</f>
        <v/>
      </c>
      <c r="J643" t="str">
        <f t="shared" ref="J643:J706" si="114">IF($I643="","",SIN($H643*$G643)/SIN($G643))</f>
        <v/>
      </c>
      <c r="K643" t="str">
        <f t="shared" ref="K643:K706" si="115">IF($I643="","",$I643*COS(RADIANS($C643))*COS(RADIANS($D643))+$J643*COS(RADIANS($E643))*COS(RADIANS($F643)))</f>
        <v/>
      </c>
      <c r="L643" t="str">
        <f t="shared" ref="L643:L706" si="116">IF($I643="","",$I643*COS(RADIANS($C643))*SIN(RADIANS($D643))+$J643*COS(RADIANS($E643))*SIN(RADIANS($F643)))</f>
        <v/>
      </c>
      <c r="M643" t="str">
        <f t="shared" ref="M643:M706" si="117">IF($I643="","",$I643*SIN(RADIANS($C643))+$J643*SIN(RADIANS($E643)))</f>
        <v/>
      </c>
      <c r="N643" t="str">
        <f t="shared" ref="N643:N706" si="118">IF($M643="","",DEGREES(ATAN2(SQRT($K643^2+$L643^2),$M643)))</f>
        <v/>
      </c>
      <c r="O643" t="str">
        <f t="shared" ref="O643:O706" si="119">IF($M643="","",DEGREES(ATAN2($K643,$L643)))</f>
        <v/>
      </c>
      <c r="P643" t="str" cm="1">
        <f t="array" ref="P643">IF($N643="","",IFERROR(IF(INDEX(geo_grid!$B$2:$JU$231,INT(($N643+40)/0.5)+1,INT(($O643+30)/0.5)+1)="","",INDEX(geo_grid!$B$2:$JU$231,INT(($N643+40)/0.5)+1,INT(($O643+30)/0.5)+1)),"OUTSIDE GRID"))</f>
        <v/>
      </c>
      <c r="Q643" t="str">
        <f t="shared" ref="Q643:Q706" si="120">IF($P643="","",$A643*1000+$B643)</f>
        <v/>
      </c>
    </row>
    <row r="644" spans="1:17" x14ac:dyDescent="0.3">
      <c r="A644">
        <f t="shared" si="110"/>
        <v>5</v>
      </c>
      <c r="B644">
        <f t="shared" si="111"/>
        <v>38</v>
      </c>
      <c r="C644" t="str" cm="1">
        <f t="array" ref="C644">IFERROR(INDEX('TRIP MANAGER'!$O$18:$O$25,$A644),"")</f>
        <v/>
      </c>
      <c r="D644" t="str" cm="1">
        <f t="array" ref="D644">IFERROR(INDEX('TRIP MANAGER'!$P$18:$P$25,$A644),"")</f>
        <v/>
      </c>
      <c r="E644" t="str" cm="1">
        <f t="array" ref="E644">IFERROR(INDEX('TRIP MANAGER'!$Q$18:$Q$25,$A644),"")</f>
        <v/>
      </c>
      <c r="F644" t="str" cm="1">
        <f t="array" ref="F644">IFERROR(INDEX('TRIP MANAGER'!$R$18:$R$25,$A644),"")</f>
        <v/>
      </c>
      <c r="G644" t="str" cm="1">
        <f t="array" ref="G644">IFERROR(INDEX('TRIP MANAGER'!$S$18:$S$25,$A644),"")</f>
        <v/>
      </c>
      <c r="H644">
        <f t="shared" si="112"/>
        <v>0.25333333333333335</v>
      </c>
      <c r="I644" t="str">
        <f t="shared" si="113"/>
        <v/>
      </c>
      <c r="J644" t="str">
        <f t="shared" si="114"/>
        <v/>
      </c>
      <c r="K644" t="str">
        <f t="shared" si="115"/>
        <v/>
      </c>
      <c r="L644" t="str">
        <f t="shared" si="116"/>
        <v/>
      </c>
      <c r="M644" t="str">
        <f t="shared" si="117"/>
        <v/>
      </c>
      <c r="N644" t="str">
        <f t="shared" si="118"/>
        <v/>
      </c>
      <c r="O644" t="str">
        <f t="shared" si="119"/>
        <v/>
      </c>
      <c r="P644" t="str" cm="1">
        <f t="array" ref="P644">IF($N644="","",IFERROR(IF(INDEX(geo_grid!$B$2:$JU$231,INT(($N644+40)/0.5)+1,INT(($O644+30)/0.5)+1)="","",INDEX(geo_grid!$B$2:$JU$231,INT(($N644+40)/0.5)+1,INT(($O644+30)/0.5)+1)),"OUTSIDE GRID"))</f>
        <v/>
      </c>
      <c r="Q644" t="str">
        <f t="shared" si="120"/>
        <v/>
      </c>
    </row>
    <row r="645" spans="1:17" x14ac:dyDescent="0.3">
      <c r="A645">
        <f t="shared" si="110"/>
        <v>5</v>
      </c>
      <c r="B645">
        <f t="shared" si="111"/>
        <v>39</v>
      </c>
      <c r="C645" t="str" cm="1">
        <f t="array" ref="C645">IFERROR(INDEX('TRIP MANAGER'!$O$18:$O$25,$A645),"")</f>
        <v/>
      </c>
      <c r="D645" t="str" cm="1">
        <f t="array" ref="D645">IFERROR(INDEX('TRIP MANAGER'!$P$18:$P$25,$A645),"")</f>
        <v/>
      </c>
      <c r="E645" t="str" cm="1">
        <f t="array" ref="E645">IFERROR(INDEX('TRIP MANAGER'!$Q$18:$Q$25,$A645),"")</f>
        <v/>
      </c>
      <c r="F645" t="str" cm="1">
        <f t="array" ref="F645">IFERROR(INDEX('TRIP MANAGER'!$R$18:$R$25,$A645),"")</f>
        <v/>
      </c>
      <c r="G645" t="str" cm="1">
        <f t="array" ref="G645">IFERROR(INDEX('TRIP MANAGER'!$S$18:$S$25,$A645),"")</f>
        <v/>
      </c>
      <c r="H645">
        <f t="shared" si="112"/>
        <v>0.26</v>
      </c>
      <c r="I645" t="str">
        <f t="shared" si="113"/>
        <v/>
      </c>
      <c r="J645" t="str">
        <f t="shared" si="114"/>
        <v/>
      </c>
      <c r="K645" t="str">
        <f t="shared" si="115"/>
        <v/>
      </c>
      <c r="L645" t="str">
        <f t="shared" si="116"/>
        <v/>
      </c>
      <c r="M645" t="str">
        <f t="shared" si="117"/>
        <v/>
      </c>
      <c r="N645" t="str">
        <f t="shared" si="118"/>
        <v/>
      </c>
      <c r="O645" t="str">
        <f t="shared" si="119"/>
        <v/>
      </c>
      <c r="P645" t="str" cm="1">
        <f t="array" ref="P645">IF($N645="","",IFERROR(IF(INDEX(geo_grid!$B$2:$JU$231,INT(($N645+40)/0.5)+1,INT(($O645+30)/0.5)+1)="","",INDEX(geo_grid!$B$2:$JU$231,INT(($N645+40)/0.5)+1,INT(($O645+30)/0.5)+1)),"OUTSIDE GRID"))</f>
        <v/>
      </c>
      <c r="Q645" t="str">
        <f t="shared" si="120"/>
        <v/>
      </c>
    </row>
    <row r="646" spans="1:17" x14ac:dyDescent="0.3">
      <c r="A646">
        <f t="shared" si="110"/>
        <v>5</v>
      </c>
      <c r="B646">
        <f t="shared" si="111"/>
        <v>40</v>
      </c>
      <c r="C646" t="str" cm="1">
        <f t="array" ref="C646">IFERROR(INDEX('TRIP MANAGER'!$O$18:$O$25,$A646),"")</f>
        <v/>
      </c>
      <c r="D646" t="str" cm="1">
        <f t="array" ref="D646">IFERROR(INDEX('TRIP MANAGER'!$P$18:$P$25,$A646),"")</f>
        <v/>
      </c>
      <c r="E646" t="str" cm="1">
        <f t="array" ref="E646">IFERROR(INDEX('TRIP MANAGER'!$Q$18:$Q$25,$A646),"")</f>
        <v/>
      </c>
      <c r="F646" t="str" cm="1">
        <f t="array" ref="F646">IFERROR(INDEX('TRIP MANAGER'!$R$18:$R$25,$A646),"")</f>
        <v/>
      </c>
      <c r="G646" t="str" cm="1">
        <f t="array" ref="G646">IFERROR(INDEX('TRIP MANAGER'!$S$18:$S$25,$A646),"")</f>
        <v/>
      </c>
      <c r="H646">
        <f t="shared" si="112"/>
        <v>0.26666666666666666</v>
      </c>
      <c r="I646" t="str">
        <f t="shared" si="113"/>
        <v/>
      </c>
      <c r="J646" t="str">
        <f t="shared" si="114"/>
        <v/>
      </c>
      <c r="K646" t="str">
        <f t="shared" si="115"/>
        <v/>
      </c>
      <c r="L646" t="str">
        <f t="shared" si="116"/>
        <v/>
      </c>
      <c r="M646" t="str">
        <f t="shared" si="117"/>
        <v/>
      </c>
      <c r="N646" t="str">
        <f t="shared" si="118"/>
        <v/>
      </c>
      <c r="O646" t="str">
        <f t="shared" si="119"/>
        <v/>
      </c>
      <c r="P646" t="str" cm="1">
        <f t="array" ref="P646">IF($N646="","",IFERROR(IF(INDEX(geo_grid!$B$2:$JU$231,INT(($N646+40)/0.5)+1,INT(($O646+30)/0.5)+1)="","",INDEX(geo_grid!$B$2:$JU$231,INT(($N646+40)/0.5)+1,INT(($O646+30)/0.5)+1)),"OUTSIDE GRID"))</f>
        <v/>
      </c>
      <c r="Q646" t="str">
        <f t="shared" si="120"/>
        <v/>
      </c>
    </row>
    <row r="647" spans="1:17" x14ac:dyDescent="0.3">
      <c r="A647">
        <f t="shared" si="110"/>
        <v>5</v>
      </c>
      <c r="B647">
        <f t="shared" si="111"/>
        <v>41</v>
      </c>
      <c r="C647" t="str" cm="1">
        <f t="array" ref="C647">IFERROR(INDEX('TRIP MANAGER'!$O$18:$O$25,$A647),"")</f>
        <v/>
      </c>
      <c r="D647" t="str" cm="1">
        <f t="array" ref="D647">IFERROR(INDEX('TRIP MANAGER'!$P$18:$P$25,$A647),"")</f>
        <v/>
      </c>
      <c r="E647" t="str" cm="1">
        <f t="array" ref="E647">IFERROR(INDEX('TRIP MANAGER'!$Q$18:$Q$25,$A647),"")</f>
        <v/>
      </c>
      <c r="F647" t="str" cm="1">
        <f t="array" ref="F647">IFERROR(INDEX('TRIP MANAGER'!$R$18:$R$25,$A647),"")</f>
        <v/>
      </c>
      <c r="G647" t="str" cm="1">
        <f t="array" ref="G647">IFERROR(INDEX('TRIP MANAGER'!$S$18:$S$25,$A647),"")</f>
        <v/>
      </c>
      <c r="H647">
        <f t="shared" si="112"/>
        <v>0.27333333333333332</v>
      </c>
      <c r="I647" t="str">
        <f t="shared" si="113"/>
        <v/>
      </c>
      <c r="J647" t="str">
        <f t="shared" si="114"/>
        <v/>
      </c>
      <c r="K647" t="str">
        <f t="shared" si="115"/>
        <v/>
      </c>
      <c r="L647" t="str">
        <f t="shared" si="116"/>
        <v/>
      </c>
      <c r="M647" t="str">
        <f t="shared" si="117"/>
        <v/>
      </c>
      <c r="N647" t="str">
        <f t="shared" si="118"/>
        <v/>
      </c>
      <c r="O647" t="str">
        <f t="shared" si="119"/>
        <v/>
      </c>
      <c r="P647" t="str" cm="1">
        <f t="array" ref="P647">IF($N647="","",IFERROR(IF(INDEX(geo_grid!$B$2:$JU$231,INT(($N647+40)/0.5)+1,INT(($O647+30)/0.5)+1)="","",INDEX(geo_grid!$B$2:$JU$231,INT(($N647+40)/0.5)+1,INT(($O647+30)/0.5)+1)),"OUTSIDE GRID"))</f>
        <v/>
      </c>
      <c r="Q647" t="str">
        <f t="shared" si="120"/>
        <v/>
      </c>
    </row>
    <row r="648" spans="1:17" x14ac:dyDescent="0.3">
      <c r="A648">
        <f t="shared" si="110"/>
        <v>5</v>
      </c>
      <c r="B648">
        <f t="shared" si="111"/>
        <v>42</v>
      </c>
      <c r="C648" t="str" cm="1">
        <f t="array" ref="C648">IFERROR(INDEX('TRIP MANAGER'!$O$18:$O$25,$A648),"")</f>
        <v/>
      </c>
      <c r="D648" t="str" cm="1">
        <f t="array" ref="D648">IFERROR(INDEX('TRIP MANAGER'!$P$18:$P$25,$A648),"")</f>
        <v/>
      </c>
      <c r="E648" t="str" cm="1">
        <f t="array" ref="E648">IFERROR(INDEX('TRIP MANAGER'!$Q$18:$Q$25,$A648),"")</f>
        <v/>
      </c>
      <c r="F648" t="str" cm="1">
        <f t="array" ref="F648">IFERROR(INDEX('TRIP MANAGER'!$R$18:$R$25,$A648),"")</f>
        <v/>
      </c>
      <c r="G648" t="str" cm="1">
        <f t="array" ref="G648">IFERROR(INDEX('TRIP MANAGER'!$S$18:$S$25,$A648),"")</f>
        <v/>
      </c>
      <c r="H648">
        <f t="shared" si="112"/>
        <v>0.28000000000000003</v>
      </c>
      <c r="I648" t="str">
        <f t="shared" si="113"/>
        <v/>
      </c>
      <c r="J648" t="str">
        <f t="shared" si="114"/>
        <v/>
      </c>
      <c r="K648" t="str">
        <f t="shared" si="115"/>
        <v/>
      </c>
      <c r="L648" t="str">
        <f t="shared" si="116"/>
        <v/>
      </c>
      <c r="M648" t="str">
        <f t="shared" si="117"/>
        <v/>
      </c>
      <c r="N648" t="str">
        <f t="shared" si="118"/>
        <v/>
      </c>
      <c r="O648" t="str">
        <f t="shared" si="119"/>
        <v/>
      </c>
      <c r="P648" t="str" cm="1">
        <f t="array" ref="P648">IF($N648="","",IFERROR(IF(INDEX(geo_grid!$B$2:$JU$231,INT(($N648+40)/0.5)+1,INT(($O648+30)/0.5)+1)="","",INDEX(geo_grid!$B$2:$JU$231,INT(($N648+40)/0.5)+1,INT(($O648+30)/0.5)+1)),"OUTSIDE GRID"))</f>
        <v/>
      </c>
      <c r="Q648" t="str">
        <f t="shared" si="120"/>
        <v/>
      </c>
    </row>
    <row r="649" spans="1:17" x14ac:dyDescent="0.3">
      <c r="A649">
        <f t="shared" si="110"/>
        <v>5</v>
      </c>
      <c r="B649">
        <f t="shared" si="111"/>
        <v>43</v>
      </c>
      <c r="C649" t="str" cm="1">
        <f t="array" ref="C649">IFERROR(INDEX('TRIP MANAGER'!$O$18:$O$25,$A649),"")</f>
        <v/>
      </c>
      <c r="D649" t="str" cm="1">
        <f t="array" ref="D649">IFERROR(INDEX('TRIP MANAGER'!$P$18:$P$25,$A649),"")</f>
        <v/>
      </c>
      <c r="E649" t="str" cm="1">
        <f t="array" ref="E649">IFERROR(INDEX('TRIP MANAGER'!$Q$18:$Q$25,$A649),"")</f>
        <v/>
      </c>
      <c r="F649" t="str" cm="1">
        <f t="array" ref="F649">IFERROR(INDEX('TRIP MANAGER'!$R$18:$R$25,$A649),"")</f>
        <v/>
      </c>
      <c r="G649" t="str" cm="1">
        <f t="array" ref="G649">IFERROR(INDEX('TRIP MANAGER'!$S$18:$S$25,$A649),"")</f>
        <v/>
      </c>
      <c r="H649">
        <f t="shared" si="112"/>
        <v>0.28666666666666668</v>
      </c>
      <c r="I649" t="str">
        <f t="shared" si="113"/>
        <v/>
      </c>
      <c r="J649" t="str">
        <f t="shared" si="114"/>
        <v/>
      </c>
      <c r="K649" t="str">
        <f t="shared" si="115"/>
        <v/>
      </c>
      <c r="L649" t="str">
        <f t="shared" si="116"/>
        <v/>
      </c>
      <c r="M649" t="str">
        <f t="shared" si="117"/>
        <v/>
      </c>
      <c r="N649" t="str">
        <f t="shared" si="118"/>
        <v/>
      </c>
      <c r="O649" t="str">
        <f t="shared" si="119"/>
        <v/>
      </c>
      <c r="P649" t="str" cm="1">
        <f t="array" ref="P649">IF($N649="","",IFERROR(IF(INDEX(geo_grid!$B$2:$JU$231,INT(($N649+40)/0.5)+1,INT(($O649+30)/0.5)+1)="","",INDEX(geo_grid!$B$2:$JU$231,INT(($N649+40)/0.5)+1,INT(($O649+30)/0.5)+1)),"OUTSIDE GRID"))</f>
        <v/>
      </c>
      <c r="Q649" t="str">
        <f t="shared" si="120"/>
        <v/>
      </c>
    </row>
    <row r="650" spans="1:17" x14ac:dyDescent="0.3">
      <c r="A650">
        <f t="shared" si="110"/>
        <v>5</v>
      </c>
      <c r="B650">
        <f t="shared" si="111"/>
        <v>44</v>
      </c>
      <c r="C650" t="str" cm="1">
        <f t="array" ref="C650">IFERROR(INDEX('TRIP MANAGER'!$O$18:$O$25,$A650),"")</f>
        <v/>
      </c>
      <c r="D650" t="str" cm="1">
        <f t="array" ref="D650">IFERROR(INDEX('TRIP MANAGER'!$P$18:$P$25,$A650),"")</f>
        <v/>
      </c>
      <c r="E650" t="str" cm="1">
        <f t="array" ref="E650">IFERROR(INDEX('TRIP MANAGER'!$Q$18:$Q$25,$A650),"")</f>
        <v/>
      </c>
      <c r="F650" t="str" cm="1">
        <f t="array" ref="F650">IFERROR(INDEX('TRIP MANAGER'!$R$18:$R$25,$A650),"")</f>
        <v/>
      </c>
      <c r="G650" t="str" cm="1">
        <f t="array" ref="G650">IFERROR(INDEX('TRIP MANAGER'!$S$18:$S$25,$A650),"")</f>
        <v/>
      </c>
      <c r="H650">
        <f t="shared" si="112"/>
        <v>0.29333333333333333</v>
      </c>
      <c r="I650" t="str">
        <f t="shared" si="113"/>
        <v/>
      </c>
      <c r="J650" t="str">
        <f t="shared" si="114"/>
        <v/>
      </c>
      <c r="K650" t="str">
        <f t="shared" si="115"/>
        <v/>
      </c>
      <c r="L650" t="str">
        <f t="shared" si="116"/>
        <v/>
      </c>
      <c r="M650" t="str">
        <f t="shared" si="117"/>
        <v/>
      </c>
      <c r="N650" t="str">
        <f t="shared" si="118"/>
        <v/>
      </c>
      <c r="O650" t="str">
        <f t="shared" si="119"/>
        <v/>
      </c>
      <c r="P650" t="str" cm="1">
        <f t="array" ref="P650">IF($N650="","",IFERROR(IF(INDEX(geo_grid!$B$2:$JU$231,INT(($N650+40)/0.5)+1,INT(($O650+30)/0.5)+1)="","",INDEX(geo_grid!$B$2:$JU$231,INT(($N650+40)/0.5)+1,INT(($O650+30)/0.5)+1)),"OUTSIDE GRID"))</f>
        <v/>
      </c>
      <c r="Q650" t="str">
        <f t="shared" si="120"/>
        <v/>
      </c>
    </row>
    <row r="651" spans="1:17" x14ac:dyDescent="0.3">
      <c r="A651">
        <f t="shared" si="110"/>
        <v>5</v>
      </c>
      <c r="B651">
        <f t="shared" si="111"/>
        <v>45</v>
      </c>
      <c r="C651" t="str" cm="1">
        <f t="array" ref="C651">IFERROR(INDEX('TRIP MANAGER'!$O$18:$O$25,$A651),"")</f>
        <v/>
      </c>
      <c r="D651" t="str" cm="1">
        <f t="array" ref="D651">IFERROR(INDEX('TRIP MANAGER'!$P$18:$P$25,$A651),"")</f>
        <v/>
      </c>
      <c r="E651" t="str" cm="1">
        <f t="array" ref="E651">IFERROR(INDEX('TRIP MANAGER'!$Q$18:$Q$25,$A651),"")</f>
        <v/>
      </c>
      <c r="F651" t="str" cm="1">
        <f t="array" ref="F651">IFERROR(INDEX('TRIP MANAGER'!$R$18:$R$25,$A651),"")</f>
        <v/>
      </c>
      <c r="G651" t="str" cm="1">
        <f t="array" ref="G651">IFERROR(INDEX('TRIP MANAGER'!$S$18:$S$25,$A651),"")</f>
        <v/>
      </c>
      <c r="H651">
        <f t="shared" si="112"/>
        <v>0.3</v>
      </c>
      <c r="I651" t="str">
        <f t="shared" si="113"/>
        <v/>
      </c>
      <c r="J651" t="str">
        <f t="shared" si="114"/>
        <v/>
      </c>
      <c r="K651" t="str">
        <f t="shared" si="115"/>
        <v/>
      </c>
      <c r="L651" t="str">
        <f t="shared" si="116"/>
        <v/>
      </c>
      <c r="M651" t="str">
        <f t="shared" si="117"/>
        <v/>
      </c>
      <c r="N651" t="str">
        <f t="shared" si="118"/>
        <v/>
      </c>
      <c r="O651" t="str">
        <f t="shared" si="119"/>
        <v/>
      </c>
      <c r="P651" t="str" cm="1">
        <f t="array" ref="P651">IF($N651="","",IFERROR(IF(INDEX(geo_grid!$B$2:$JU$231,INT(($N651+40)/0.5)+1,INT(($O651+30)/0.5)+1)="","",INDEX(geo_grid!$B$2:$JU$231,INT(($N651+40)/0.5)+1,INT(($O651+30)/0.5)+1)),"OUTSIDE GRID"))</f>
        <v/>
      </c>
      <c r="Q651" t="str">
        <f t="shared" si="120"/>
        <v/>
      </c>
    </row>
    <row r="652" spans="1:17" x14ac:dyDescent="0.3">
      <c r="A652">
        <f t="shared" si="110"/>
        <v>5</v>
      </c>
      <c r="B652">
        <f t="shared" si="111"/>
        <v>46</v>
      </c>
      <c r="C652" t="str" cm="1">
        <f t="array" ref="C652">IFERROR(INDEX('TRIP MANAGER'!$O$18:$O$25,$A652),"")</f>
        <v/>
      </c>
      <c r="D652" t="str" cm="1">
        <f t="array" ref="D652">IFERROR(INDEX('TRIP MANAGER'!$P$18:$P$25,$A652),"")</f>
        <v/>
      </c>
      <c r="E652" t="str" cm="1">
        <f t="array" ref="E652">IFERROR(INDEX('TRIP MANAGER'!$Q$18:$Q$25,$A652),"")</f>
        <v/>
      </c>
      <c r="F652" t="str" cm="1">
        <f t="array" ref="F652">IFERROR(INDEX('TRIP MANAGER'!$R$18:$R$25,$A652),"")</f>
        <v/>
      </c>
      <c r="G652" t="str" cm="1">
        <f t="array" ref="G652">IFERROR(INDEX('TRIP MANAGER'!$S$18:$S$25,$A652),"")</f>
        <v/>
      </c>
      <c r="H652">
        <f t="shared" si="112"/>
        <v>0.30666666666666664</v>
      </c>
      <c r="I652" t="str">
        <f t="shared" si="113"/>
        <v/>
      </c>
      <c r="J652" t="str">
        <f t="shared" si="114"/>
        <v/>
      </c>
      <c r="K652" t="str">
        <f t="shared" si="115"/>
        <v/>
      </c>
      <c r="L652" t="str">
        <f t="shared" si="116"/>
        <v/>
      </c>
      <c r="M652" t="str">
        <f t="shared" si="117"/>
        <v/>
      </c>
      <c r="N652" t="str">
        <f t="shared" si="118"/>
        <v/>
      </c>
      <c r="O652" t="str">
        <f t="shared" si="119"/>
        <v/>
      </c>
      <c r="P652" t="str" cm="1">
        <f t="array" ref="P652">IF($N652="","",IFERROR(IF(INDEX(geo_grid!$B$2:$JU$231,INT(($N652+40)/0.5)+1,INT(($O652+30)/0.5)+1)="","",INDEX(geo_grid!$B$2:$JU$231,INT(($N652+40)/0.5)+1,INT(($O652+30)/0.5)+1)),"OUTSIDE GRID"))</f>
        <v/>
      </c>
      <c r="Q652" t="str">
        <f t="shared" si="120"/>
        <v/>
      </c>
    </row>
    <row r="653" spans="1:17" x14ac:dyDescent="0.3">
      <c r="A653">
        <f t="shared" si="110"/>
        <v>5</v>
      </c>
      <c r="B653">
        <f t="shared" si="111"/>
        <v>47</v>
      </c>
      <c r="C653" t="str" cm="1">
        <f t="array" ref="C653">IFERROR(INDEX('TRIP MANAGER'!$O$18:$O$25,$A653),"")</f>
        <v/>
      </c>
      <c r="D653" t="str" cm="1">
        <f t="array" ref="D653">IFERROR(INDEX('TRIP MANAGER'!$P$18:$P$25,$A653),"")</f>
        <v/>
      </c>
      <c r="E653" t="str" cm="1">
        <f t="array" ref="E653">IFERROR(INDEX('TRIP MANAGER'!$Q$18:$Q$25,$A653),"")</f>
        <v/>
      </c>
      <c r="F653" t="str" cm="1">
        <f t="array" ref="F653">IFERROR(INDEX('TRIP MANAGER'!$R$18:$R$25,$A653),"")</f>
        <v/>
      </c>
      <c r="G653" t="str" cm="1">
        <f t="array" ref="G653">IFERROR(INDEX('TRIP MANAGER'!$S$18:$S$25,$A653),"")</f>
        <v/>
      </c>
      <c r="H653">
        <f t="shared" si="112"/>
        <v>0.31333333333333335</v>
      </c>
      <c r="I653" t="str">
        <f t="shared" si="113"/>
        <v/>
      </c>
      <c r="J653" t="str">
        <f t="shared" si="114"/>
        <v/>
      </c>
      <c r="K653" t="str">
        <f t="shared" si="115"/>
        <v/>
      </c>
      <c r="L653" t="str">
        <f t="shared" si="116"/>
        <v/>
      </c>
      <c r="M653" t="str">
        <f t="shared" si="117"/>
        <v/>
      </c>
      <c r="N653" t="str">
        <f t="shared" si="118"/>
        <v/>
      </c>
      <c r="O653" t="str">
        <f t="shared" si="119"/>
        <v/>
      </c>
      <c r="P653" t="str" cm="1">
        <f t="array" ref="P653">IF($N653="","",IFERROR(IF(INDEX(geo_grid!$B$2:$JU$231,INT(($N653+40)/0.5)+1,INT(($O653+30)/0.5)+1)="","",INDEX(geo_grid!$B$2:$JU$231,INT(($N653+40)/0.5)+1,INT(($O653+30)/0.5)+1)),"OUTSIDE GRID"))</f>
        <v/>
      </c>
      <c r="Q653" t="str">
        <f t="shared" si="120"/>
        <v/>
      </c>
    </row>
    <row r="654" spans="1:17" x14ac:dyDescent="0.3">
      <c r="A654">
        <f t="shared" si="110"/>
        <v>5</v>
      </c>
      <c r="B654">
        <f t="shared" si="111"/>
        <v>48</v>
      </c>
      <c r="C654" t="str" cm="1">
        <f t="array" ref="C654">IFERROR(INDEX('TRIP MANAGER'!$O$18:$O$25,$A654),"")</f>
        <v/>
      </c>
      <c r="D654" t="str" cm="1">
        <f t="array" ref="D654">IFERROR(INDEX('TRIP MANAGER'!$P$18:$P$25,$A654),"")</f>
        <v/>
      </c>
      <c r="E654" t="str" cm="1">
        <f t="array" ref="E654">IFERROR(INDEX('TRIP MANAGER'!$Q$18:$Q$25,$A654),"")</f>
        <v/>
      </c>
      <c r="F654" t="str" cm="1">
        <f t="array" ref="F654">IFERROR(INDEX('TRIP MANAGER'!$R$18:$R$25,$A654),"")</f>
        <v/>
      </c>
      <c r="G654" t="str" cm="1">
        <f t="array" ref="G654">IFERROR(INDEX('TRIP MANAGER'!$S$18:$S$25,$A654),"")</f>
        <v/>
      </c>
      <c r="H654">
        <f t="shared" si="112"/>
        <v>0.32</v>
      </c>
      <c r="I654" t="str">
        <f t="shared" si="113"/>
        <v/>
      </c>
      <c r="J654" t="str">
        <f t="shared" si="114"/>
        <v/>
      </c>
      <c r="K654" t="str">
        <f t="shared" si="115"/>
        <v/>
      </c>
      <c r="L654" t="str">
        <f t="shared" si="116"/>
        <v/>
      </c>
      <c r="M654" t="str">
        <f t="shared" si="117"/>
        <v/>
      </c>
      <c r="N654" t="str">
        <f t="shared" si="118"/>
        <v/>
      </c>
      <c r="O654" t="str">
        <f t="shared" si="119"/>
        <v/>
      </c>
      <c r="P654" t="str" cm="1">
        <f t="array" ref="P654">IF($N654="","",IFERROR(IF(INDEX(geo_grid!$B$2:$JU$231,INT(($N654+40)/0.5)+1,INT(($O654+30)/0.5)+1)="","",INDEX(geo_grid!$B$2:$JU$231,INT(($N654+40)/0.5)+1,INT(($O654+30)/0.5)+1)),"OUTSIDE GRID"))</f>
        <v/>
      </c>
      <c r="Q654" t="str">
        <f t="shared" si="120"/>
        <v/>
      </c>
    </row>
    <row r="655" spans="1:17" x14ac:dyDescent="0.3">
      <c r="A655">
        <f t="shared" si="110"/>
        <v>5</v>
      </c>
      <c r="B655">
        <f t="shared" si="111"/>
        <v>49</v>
      </c>
      <c r="C655" t="str" cm="1">
        <f t="array" ref="C655">IFERROR(INDEX('TRIP MANAGER'!$O$18:$O$25,$A655),"")</f>
        <v/>
      </c>
      <c r="D655" t="str" cm="1">
        <f t="array" ref="D655">IFERROR(INDEX('TRIP MANAGER'!$P$18:$P$25,$A655),"")</f>
        <v/>
      </c>
      <c r="E655" t="str" cm="1">
        <f t="array" ref="E655">IFERROR(INDEX('TRIP MANAGER'!$Q$18:$Q$25,$A655),"")</f>
        <v/>
      </c>
      <c r="F655" t="str" cm="1">
        <f t="array" ref="F655">IFERROR(INDEX('TRIP MANAGER'!$R$18:$R$25,$A655),"")</f>
        <v/>
      </c>
      <c r="G655" t="str" cm="1">
        <f t="array" ref="G655">IFERROR(INDEX('TRIP MANAGER'!$S$18:$S$25,$A655),"")</f>
        <v/>
      </c>
      <c r="H655">
        <f t="shared" si="112"/>
        <v>0.32666666666666666</v>
      </c>
      <c r="I655" t="str">
        <f t="shared" si="113"/>
        <v/>
      </c>
      <c r="J655" t="str">
        <f t="shared" si="114"/>
        <v/>
      </c>
      <c r="K655" t="str">
        <f t="shared" si="115"/>
        <v/>
      </c>
      <c r="L655" t="str">
        <f t="shared" si="116"/>
        <v/>
      </c>
      <c r="M655" t="str">
        <f t="shared" si="117"/>
        <v/>
      </c>
      <c r="N655" t="str">
        <f t="shared" si="118"/>
        <v/>
      </c>
      <c r="O655" t="str">
        <f t="shared" si="119"/>
        <v/>
      </c>
      <c r="P655" t="str" cm="1">
        <f t="array" ref="P655">IF($N655="","",IFERROR(IF(INDEX(geo_grid!$B$2:$JU$231,INT(($N655+40)/0.5)+1,INT(($O655+30)/0.5)+1)="","",INDEX(geo_grid!$B$2:$JU$231,INT(($N655+40)/0.5)+1,INT(($O655+30)/0.5)+1)),"OUTSIDE GRID"))</f>
        <v/>
      </c>
      <c r="Q655" t="str">
        <f t="shared" si="120"/>
        <v/>
      </c>
    </row>
    <row r="656" spans="1:17" x14ac:dyDescent="0.3">
      <c r="A656">
        <f t="shared" si="110"/>
        <v>5</v>
      </c>
      <c r="B656">
        <f t="shared" si="111"/>
        <v>50</v>
      </c>
      <c r="C656" t="str" cm="1">
        <f t="array" ref="C656">IFERROR(INDEX('TRIP MANAGER'!$O$18:$O$25,$A656),"")</f>
        <v/>
      </c>
      <c r="D656" t="str" cm="1">
        <f t="array" ref="D656">IFERROR(INDEX('TRIP MANAGER'!$P$18:$P$25,$A656),"")</f>
        <v/>
      </c>
      <c r="E656" t="str" cm="1">
        <f t="array" ref="E656">IFERROR(INDEX('TRIP MANAGER'!$Q$18:$Q$25,$A656),"")</f>
        <v/>
      </c>
      <c r="F656" t="str" cm="1">
        <f t="array" ref="F656">IFERROR(INDEX('TRIP MANAGER'!$R$18:$R$25,$A656),"")</f>
        <v/>
      </c>
      <c r="G656" t="str" cm="1">
        <f t="array" ref="G656">IFERROR(INDEX('TRIP MANAGER'!$S$18:$S$25,$A656),"")</f>
        <v/>
      </c>
      <c r="H656">
        <f t="shared" si="112"/>
        <v>0.33333333333333331</v>
      </c>
      <c r="I656" t="str">
        <f t="shared" si="113"/>
        <v/>
      </c>
      <c r="J656" t="str">
        <f t="shared" si="114"/>
        <v/>
      </c>
      <c r="K656" t="str">
        <f t="shared" si="115"/>
        <v/>
      </c>
      <c r="L656" t="str">
        <f t="shared" si="116"/>
        <v/>
      </c>
      <c r="M656" t="str">
        <f t="shared" si="117"/>
        <v/>
      </c>
      <c r="N656" t="str">
        <f t="shared" si="118"/>
        <v/>
      </c>
      <c r="O656" t="str">
        <f t="shared" si="119"/>
        <v/>
      </c>
      <c r="P656" t="str" cm="1">
        <f t="array" ref="P656">IF($N656="","",IFERROR(IF(INDEX(geo_grid!$B$2:$JU$231,INT(($N656+40)/0.5)+1,INT(($O656+30)/0.5)+1)="","",INDEX(geo_grid!$B$2:$JU$231,INT(($N656+40)/0.5)+1,INT(($O656+30)/0.5)+1)),"OUTSIDE GRID"))</f>
        <v/>
      </c>
      <c r="Q656" t="str">
        <f t="shared" si="120"/>
        <v/>
      </c>
    </row>
    <row r="657" spans="1:17" x14ac:dyDescent="0.3">
      <c r="A657">
        <f t="shared" si="110"/>
        <v>5</v>
      </c>
      <c r="B657">
        <f t="shared" si="111"/>
        <v>51</v>
      </c>
      <c r="C657" t="str" cm="1">
        <f t="array" ref="C657">IFERROR(INDEX('TRIP MANAGER'!$O$18:$O$25,$A657),"")</f>
        <v/>
      </c>
      <c r="D657" t="str" cm="1">
        <f t="array" ref="D657">IFERROR(INDEX('TRIP MANAGER'!$P$18:$P$25,$A657),"")</f>
        <v/>
      </c>
      <c r="E657" t="str" cm="1">
        <f t="array" ref="E657">IFERROR(INDEX('TRIP MANAGER'!$Q$18:$Q$25,$A657),"")</f>
        <v/>
      </c>
      <c r="F657" t="str" cm="1">
        <f t="array" ref="F657">IFERROR(INDEX('TRIP MANAGER'!$R$18:$R$25,$A657),"")</f>
        <v/>
      </c>
      <c r="G657" t="str" cm="1">
        <f t="array" ref="G657">IFERROR(INDEX('TRIP MANAGER'!$S$18:$S$25,$A657),"")</f>
        <v/>
      </c>
      <c r="H657">
        <f t="shared" si="112"/>
        <v>0.34</v>
      </c>
      <c r="I657" t="str">
        <f t="shared" si="113"/>
        <v/>
      </c>
      <c r="J657" t="str">
        <f t="shared" si="114"/>
        <v/>
      </c>
      <c r="K657" t="str">
        <f t="shared" si="115"/>
        <v/>
      </c>
      <c r="L657" t="str">
        <f t="shared" si="116"/>
        <v/>
      </c>
      <c r="M657" t="str">
        <f t="shared" si="117"/>
        <v/>
      </c>
      <c r="N657" t="str">
        <f t="shared" si="118"/>
        <v/>
      </c>
      <c r="O657" t="str">
        <f t="shared" si="119"/>
        <v/>
      </c>
      <c r="P657" t="str" cm="1">
        <f t="array" ref="P657">IF($N657="","",IFERROR(IF(INDEX(geo_grid!$B$2:$JU$231,INT(($N657+40)/0.5)+1,INT(($O657+30)/0.5)+1)="","",INDEX(geo_grid!$B$2:$JU$231,INT(($N657+40)/0.5)+1,INT(($O657+30)/0.5)+1)),"OUTSIDE GRID"))</f>
        <v/>
      </c>
      <c r="Q657" t="str">
        <f t="shared" si="120"/>
        <v/>
      </c>
    </row>
    <row r="658" spans="1:17" x14ac:dyDescent="0.3">
      <c r="A658">
        <f t="shared" si="110"/>
        <v>5</v>
      </c>
      <c r="B658">
        <f t="shared" si="111"/>
        <v>52</v>
      </c>
      <c r="C658" t="str" cm="1">
        <f t="array" ref="C658">IFERROR(INDEX('TRIP MANAGER'!$O$18:$O$25,$A658),"")</f>
        <v/>
      </c>
      <c r="D658" t="str" cm="1">
        <f t="array" ref="D658">IFERROR(INDEX('TRIP MANAGER'!$P$18:$P$25,$A658),"")</f>
        <v/>
      </c>
      <c r="E658" t="str" cm="1">
        <f t="array" ref="E658">IFERROR(INDEX('TRIP MANAGER'!$Q$18:$Q$25,$A658),"")</f>
        <v/>
      </c>
      <c r="F658" t="str" cm="1">
        <f t="array" ref="F658">IFERROR(INDEX('TRIP MANAGER'!$R$18:$R$25,$A658),"")</f>
        <v/>
      </c>
      <c r="G658" t="str" cm="1">
        <f t="array" ref="G658">IFERROR(INDEX('TRIP MANAGER'!$S$18:$S$25,$A658),"")</f>
        <v/>
      </c>
      <c r="H658">
        <f t="shared" si="112"/>
        <v>0.34666666666666668</v>
      </c>
      <c r="I658" t="str">
        <f t="shared" si="113"/>
        <v/>
      </c>
      <c r="J658" t="str">
        <f t="shared" si="114"/>
        <v/>
      </c>
      <c r="K658" t="str">
        <f t="shared" si="115"/>
        <v/>
      </c>
      <c r="L658" t="str">
        <f t="shared" si="116"/>
        <v/>
      </c>
      <c r="M658" t="str">
        <f t="shared" si="117"/>
        <v/>
      </c>
      <c r="N658" t="str">
        <f t="shared" si="118"/>
        <v/>
      </c>
      <c r="O658" t="str">
        <f t="shared" si="119"/>
        <v/>
      </c>
      <c r="P658" t="str" cm="1">
        <f t="array" ref="P658">IF($N658="","",IFERROR(IF(INDEX(geo_grid!$B$2:$JU$231,INT(($N658+40)/0.5)+1,INT(($O658+30)/0.5)+1)="","",INDEX(geo_grid!$B$2:$JU$231,INT(($N658+40)/0.5)+1,INT(($O658+30)/0.5)+1)),"OUTSIDE GRID"))</f>
        <v/>
      </c>
      <c r="Q658" t="str">
        <f t="shared" si="120"/>
        <v/>
      </c>
    </row>
    <row r="659" spans="1:17" x14ac:dyDescent="0.3">
      <c r="A659">
        <f t="shared" si="110"/>
        <v>5</v>
      </c>
      <c r="B659">
        <f t="shared" si="111"/>
        <v>53</v>
      </c>
      <c r="C659" t="str" cm="1">
        <f t="array" ref="C659">IFERROR(INDEX('TRIP MANAGER'!$O$18:$O$25,$A659),"")</f>
        <v/>
      </c>
      <c r="D659" t="str" cm="1">
        <f t="array" ref="D659">IFERROR(INDEX('TRIP MANAGER'!$P$18:$P$25,$A659),"")</f>
        <v/>
      </c>
      <c r="E659" t="str" cm="1">
        <f t="array" ref="E659">IFERROR(INDEX('TRIP MANAGER'!$Q$18:$Q$25,$A659),"")</f>
        <v/>
      </c>
      <c r="F659" t="str" cm="1">
        <f t="array" ref="F659">IFERROR(INDEX('TRIP MANAGER'!$R$18:$R$25,$A659),"")</f>
        <v/>
      </c>
      <c r="G659" t="str" cm="1">
        <f t="array" ref="G659">IFERROR(INDEX('TRIP MANAGER'!$S$18:$S$25,$A659),"")</f>
        <v/>
      </c>
      <c r="H659">
        <f t="shared" si="112"/>
        <v>0.35333333333333333</v>
      </c>
      <c r="I659" t="str">
        <f t="shared" si="113"/>
        <v/>
      </c>
      <c r="J659" t="str">
        <f t="shared" si="114"/>
        <v/>
      </c>
      <c r="K659" t="str">
        <f t="shared" si="115"/>
        <v/>
      </c>
      <c r="L659" t="str">
        <f t="shared" si="116"/>
        <v/>
      </c>
      <c r="M659" t="str">
        <f t="shared" si="117"/>
        <v/>
      </c>
      <c r="N659" t="str">
        <f t="shared" si="118"/>
        <v/>
      </c>
      <c r="O659" t="str">
        <f t="shared" si="119"/>
        <v/>
      </c>
      <c r="P659" t="str" cm="1">
        <f t="array" ref="P659">IF($N659="","",IFERROR(IF(INDEX(geo_grid!$B$2:$JU$231,INT(($N659+40)/0.5)+1,INT(($O659+30)/0.5)+1)="","",INDEX(geo_grid!$B$2:$JU$231,INT(($N659+40)/0.5)+1,INT(($O659+30)/0.5)+1)),"OUTSIDE GRID"))</f>
        <v/>
      </c>
      <c r="Q659" t="str">
        <f t="shared" si="120"/>
        <v/>
      </c>
    </row>
    <row r="660" spans="1:17" x14ac:dyDescent="0.3">
      <c r="A660">
        <f t="shared" si="110"/>
        <v>5</v>
      </c>
      <c r="B660">
        <f t="shared" si="111"/>
        <v>54</v>
      </c>
      <c r="C660" t="str" cm="1">
        <f t="array" ref="C660">IFERROR(INDEX('TRIP MANAGER'!$O$18:$O$25,$A660),"")</f>
        <v/>
      </c>
      <c r="D660" t="str" cm="1">
        <f t="array" ref="D660">IFERROR(INDEX('TRIP MANAGER'!$P$18:$P$25,$A660),"")</f>
        <v/>
      </c>
      <c r="E660" t="str" cm="1">
        <f t="array" ref="E660">IFERROR(INDEX('TRIP MANAGER'!$Q$18:$Q$25,$A660),"")</f>
        <v/>
      </c>
      <c r="F660" t="str" cm="1">
        <f t="array" ref="F660">IFERROR(INDEX('TRIP MANAGER'!$R$18:$R$25,$A660),"")</f>
        <v/>
      </c>
      <c r="G660" t="str" cm="1">
        <f t="array" ref="G660">IFERROR(INDEX('TRIP MANAGER'!$S$18:$S$25,$A660),"")</f>
        <v/>
      </c>
      <c r="H660">
        <f t="shared" si="112"/>
        <v>0.36</v>
      </c>
      <c r="I660" t="str">
        <f t="shared" si="113"/>
        <v/>
      </c>
      <c r="J660" t="str">
        <f t="shared" si="114"/>
        <v/>
      </c>
      <c r="K660" t="str">
        <f t="shared" si="115"/>
        <v/>
      </c>
      <c r="L660" t="str">
        <f t="shared" si="116"/>
        <v/>
      </c>
      <c r="M660" t="str">
        <f t="shared" si="117"/>
        <v/>
      </c>
      <c r="N660" t="str">
        <f t="shared" si="118"/>
        <v/>
      </c>
      <c r="O660" t="str">
        <f t="shared" si="119"/>
        <v/>
      </c>
      <c r="P660" t="str" cm="1">
        <f t="array" ref="P660">IF($N660="","",IFERROR(IF(INDEX(geo_grid!$B$2:$JU$231,INT(($N660+40)/0.5)+1,INT(($O660+30)/0.5)+1)="","",INDEX(geo_grid!$B$2:$JU$231,INT(($N660+40)/0.5)+1,INT(($O660+30)/0.5)+1)),"OUTSIDE GRID"))</f>
        <v/>
      </c>
      <c r="Q660" t="str">
        <f t="shared" si="120"/>
        <v/>
      </c>
    </row>
    <row r="661" spans="1:17" x14ac:dyDescent="0.3">
      <c r="A661">
        <f t="shared" si="110"/>
        <v>5</v>
      </c>
      <c r="B661">
        <f t="shared" si="111"/>
        <v>55</v>
      </c>
      <c r="C661" t="str" cm="1">
        <f t="array" ref="C661">IFERROR(INDEX('TRIP MANAGER'!$O$18:$O$25,$A661),"")</f>
        <v/>
      </c>
      <c r="D661" t="str" cm="1">
        <f t="array" ref="D661">IFERROR(INDEX('TRIP MANAGER'!$P$18:$P$25,$A661),"")</f>
        <v/>
      </c>
      <c r="E661" t="str" cm="1">
        <f t="array" ref="E661">IFERROR(INDEX('TRIP MANAGER'!$Q$18:$Q$25,$A661),"")</f>
        <v/>
      </c>
      <c r="F661" t="str" cm="1">
        <f t="array" ref="F661">IFERROR(INDEX('TRIP MANAGER'!$R$18:$R$25,$A661),"")</f>
        <v/>
      </c>
      <c r="G661" t="str" cm="1">
        <f t="array" ref="G661">IFERROR(INDEX('TRIP MANAGER'!$S$18:$S$25,$A661),"")</f>
        <v/>
      </c>
      <c r="H661">
        <f t="shared" si="112"/>
        <v>0.36666666666666664</v>
      </c>
      <c r="I661" t="str">
        <f t="shared" si="113"/>
        <v/>
      </c>
      <c r="J661" t="str">
        <f t="shared" si="114"/>
        <v/>
      </c>
      <c r="K661" t="str">
        <f t="shared" si="115"/>
        <v/>
      </c>
      <c r="L661" t="str">
        <f t="shared" si="116"/>
        <v/>
      </c>
      <c r="M661" t="str">
        <f t="shared" si="117"/>
        <v/>
      </c>
      <c r="N661" t="str">
        <f t="shared" si="118"/>
        <v/>
      </c>
      <c r="O661" t="str">
        <f t="shared" si="119"/>
        <v/>
      </c>
      <c r="P661" t="str" cm="1">
        <f t="array" ref="P661">IF($N661="","",IFERROR(IF(INDEX(geo_grid!$B$2:$JU$231,INT(($N661+40)/0.5)+1,INT(($O661+30)/0.5)+1)="","",INDEX(geo_grid!$B$2:$JU$231,INT(($N661+40)/0.5)+1,INT(($O661+30)/0.5)+1)),"OUTSIDE GRID"))</f>
        <v/>
      </c>
      <c r="Q661" t="str">
        <f t="shared" si="120"/>
        <v/>
      </c>
    </row>
    <row r="662" spans="1:17" x14ac:dyDescent="0.3">
      <c r="A662">
        <f t="shared" si="110"/>
        <v>5</v>
      </c>
      <c r="B662">
        <f t="shared" si="111"/>
        <v>56</v>
      </c>
      <c r="C662" t="str" cm="1">
        <f t="array" ref="C662">IFERROR(INDEX('TRIP MANAGER'!$O$18:$O$25,$A662),"")</f>
        <v/>
      </c>
      <c r="D662" t="str" cm="1">
        <f t="array" ref="D662">IFERROR(INDEX('TRIP MANAGER'!$P$18:$P$25,$A662),"")</f>
        <v/>
      </c>
      <c r="E662" t="str" cm="1">
        <f t="array" ref="E662">IFERROR(INDEX('TRIP MANAGER'!$Q$18:$Q$25,$A662),"")</f>
        <v/>
      </c>
      <c r="F662" t="str" cm="1">
        <f t="array" ref="F662">IFERROR(INDEX('TRIP MANAGER'!$R$18:$R$25,$A662),"")</f>
        <v/>
      </c>
      <c r="G662" t="str" cm="1">
        <f t="array" ref="G662">IFERROR(INDEX('TRIP MANAGER'!$S$18:$S$25,$A662),"")</f>
        <v/>
      </c>
      <c r="H662">
        <f t="shared" si="112"/>
        <v>0.37333333333333335</v>
      </c>
      <c r="I662" t="str">
        <f t="shared" si="113"/>
        <v/>
      </c>
      <c r="J662" t="str">
        <f t="shared" si="114"/>
        <v/>
      </c>
      <c r="K662" t="str">
        <f t="shared" si="115"/>
        <v/>
      </c>
      <c r="L662" t="str">
        <f t="shared" si="116"/>
        <v/>
      </c>
      <c r="M662" t="str">
        <f t="shared" si="117"/>
        <v/>
      </c>
      <c r="N662" t="str">
        <f t="shared" si="118"/>
        <v/>
      </c>
      <c r="O662" t="str">
        <f t="shared" si="119"/>
        <v/>
      </c>
      <c r="P662" t="str" cm="1">
        <f t="array" ref="P662">IF($N662="","",IFERROR(IF(INDEX(geo_grid!$B$2:$JU$231,INT(($N662+40)/0.5)+1,INT(($O662+30)/0.5)+1)="","",INDEX(geo_grid!$B$2:$JU$231,INT(($N662+40)/0.5)+1,INT(($O662+30)/0.5)+1)),"OUTSIDE GRID"))</f>
        <v/>
      </c>
      <c r="Q662" t="str">
        <f t="shared" si="120"/>
        <v/>
      </c>
    </row>
    <row r="663" spans="1:17" x14ac:dyDescent="0.3">
      <c r="A663">
        <f t="shared" si="110"/>
        <v>5</v>
      </c>
      <c r="B663">
        <f t="shared" si="111"/>
        <v>57</v>
      </c>
      <c r="C663" t="str" cm="1">
        <f t="array" ref="C663">IFERROR(INDEX('TRIP MANAGER'!$O$18:$O$25,$A663),"")</f>
        <v/>
      </c>
      <c r="D663" t="str" cm="1">
        <f t="array" ref="D663">IFERROR(INDEX('TRIP MANAGER'!$P$18:$P$25,$A663),"")</f>
        <v/>
      </c>
      <c r="E663" t="str" cm="1">
        <f t="array" ref="E663">IFERROR(INDEX('TRIP MANAGER'!$Q$18:$Q$25,$A663),"")</f>
        <v/>
      </c>
      <c r="F663" t="str" cm="1">
        <f t="array" ref="F663">IFERROR(INDEX('TRIP MANAGER'!$R$18:$R$25,$A663),"")</f>
        <v/>
      </c>
      <c r="G663" t="str" cm="1">
        <f t="array" ref="G663">IFERROR(INDEX('TRIP MANAGER'!$S$18:$S$25,$A663),"")</f>
        <v/>
      </c>
      <c r="H663">
        <f t="shared" si="112"/>
        <v>0.38</v>
      </c>
      <c r="I663" t="str">
        <f t="shared" si="113"/>
        <v/>
      </c>
      <c r="J663" t="str">
        <f t="shared" si="114"/>
        <v/>
      </c>
      <c r="K663" t="str">
        <f t="shared" si="115"/>
        <v/>
      </c>
      <c r="L663" t="str">
        <f t="shared" si="116"/>
        <v/>
      </c>
      <c r="M663" t="str">
        <f t="shared" si="117"/>
        <v/>
      </c>
      <c r="N663" t="str">
        <f t="shared" si="118"/>
        <v/>
      </c>
      <c r="O663" t="str">
        <f t="shared" si="119"/>
        <v/>
      </c>
      <c r="P663" t="str" cm="1">
        <f t="array" ref="P663">IF($N663="","",IFERROR(IF(INDEX(geo_grid!$B$2:$JU$231,INT(($N663+40)/0.5)+1,INT(($O663+30)/0.5)+1)="","",INDEX(geo_grid!$B$2:$JU$231,INT(($N663+40)/0.5)+1,INT(($O663+30)/0.5)+1)),"OUTSIDE GRID"))</f>
        <v/>
      </c>
      <c r="Q663" t="str">
        <f t="shared" si="120"/>
        <v/>
      </c>
    </row>
    <row r="664" spans="1:17" x14ac:dyDescent="0.3">
      <c r="A664">
        <f t="shared" si="110"/>
        <v>5</v>
      </c>
      <c r="B664">
        <f t="shared" si="111"/>
        <v>58</v>
      </c>
      <c r="C664" t="str" cm="1">
        <f t="array" ref="C664">IFERROR(INDEX('TRIP MANAGER'!$O$18:$O$25,$A664),"")</f>
        <v/>
      </c>
      <c r="D664" t="str" cm="1">
        <f t="array" ref="D664">IFERROR(INDEX('TRIP MANAGER'!$P$18:$P$25,$A664),"")</f>
        <v/>
      </c>
      <c r="E664" t="str" cm="1">
        <f t="array" ref="E664">IFERROR(INDEX('TRIP MANAGER'!$Q$18:$Q$25,$A664),"")</f>
        <v/>
      </c>
      <c r="F664" t="str" cm="1">
        <f t="array" ref="F664">IFERROR(INDEX('TRIP MANAGER'!$R$18:$R$25,$A664),"")</f>
        <v/>
      </c>
      <c r="G664" t="str" cm="1">
        <f t="array" ref="G664">IFERROR(INDEX('TRIP MANAGER'!$S$18:$S$25,$A664),"")</f>
        <v/>
      </c>
      <c r="H664">
        <f t="shared" si="112"/>
        <v>0.38666666666666666</v>
      </c>
      <c r="I664" t="str">
        <f t="shared" si="113"/>
        <v/>
      </c>
      <c r="J664" t="str">
        <f t="shared" si="114"/>
        <v/>
      </c>
      <c r="K664" t="str">
        <f t="shared" si="115"/>
        <v/>
      </c>
      <c r="L664" t="str">
        <f t="shared" si="116"/>
        <v/>
      </c>
      <c r="M664" t="str">
        <f t="shared" si="117"/>
        <v/>
      </c>
      <c r="N664" t="str">
        <f t="shared" si="118"/>
        <v/>
      </c>
      <c r="O664" t="str">
        <f t="shared" si="119"/>
        <v/>
      </c>
      <c r="P664" t="str" cm="1">
        <f t="array" ref="P664">IF($N664="","",IFERROR(IF(INDEX(geo_grid!$B$2:$JU$231,INT(($N664+40)/0.5)+1,INT(($O664+30)/0.5)+1)="","",INDEX(geo_grid!$B$2:$JU$231,INT(($N664+40)/0.5)+1,INT(($O664+30)/0.5)+1)),"OUTSIDE GRID"))</f>
        <v/>
      </c>
      <c r="Q664" t="str">
        <f t="shared" si="120"/>
        <v/>
      </c>
    </row>
    <row r="665" spans="1:17" x14ac:dyDescent="0.3">
      <c r="A665">
        <f t="shared" si="110"/>
        <v>5</v>
      </c>
      <c r="B665">
        <f t="shared" si="111"/>
        <v>59</v>
      </c>
      <c r="C665" t="str" cm="1">
        <f t="array" ref="C665">IFERROR(INDEX('TRIP MANAGER'!$O$18:$O$25,$A665),"")</f>
        <v/>
      </c>
      <c r="D665" t="str" cm="1">
        <f t="array" ref="D665">IFERROR(INDEX('TRIP MANAGER'!$P$18:$P$25,$A665),"")</f>
        <v/>
      </c>
      <c r="E665" t="str" cm="1">
        <f t="array" ref="E665">IFERROR(INDEX('TRIP MANAGER'!$Q$18:$Q$25,$A665),"")</f>
        <v/>
      </c>
      <c r="F665" t="str" cm="1">
        <f t="array" ref="F665">IFERROR(INDEX('TRIP MANAGER'!$R$18:$R$25,$A665),"")</f>
        <v/>
      </c>
      <c r="G665" t="str" cm="1">
        <f t="array" ref="G665">IFERROR(INDEX('TRIP MANAGER'!$S$18:$S$25,$A665),"")</f>
        <v/>
      </c>
      <c r="H665">
        <f t="shared" si="112"/>
        <v>0.39333333333333331</v>
      </c>
      <c r="I665" t="str">
        <f t="shared" si="113"/>
        <v/>
      </c>
      <c r="J665" t="str">
        <f t="shared" si="114"/>
        <v/>
      </c>
      <c r="K665" t="str">
        <f t="shared" si="115"/>
        <v/>
      </c>
      <c r="L665" t="str">
        <f t="shared" si="116"/>
        <v/>
      </c>
      <c r="M665" t="str">
        <f t="shared" si="117"/>
        <v/>
      </c>
      <c r="N665" t="str">
        <f t="shared" si="118"/>
        <v/>
      </c>
      <c r="O665" t="str">
        <f t="shared" si="119"/>
        <v/>
      </c>
      <c r="P665" t="str" cm="1">
        <f t="array" ref="P665">IF($N665="","",IFERROR(IF(INDEX(geo_grid!$B$2:$JU$231,INT(($N665+40)/0.5)+1,INT(($O665+30)/0.5)+1)="","",INDEX(geo_grid!$B$2:$JU$231,INT(($N665+40)/0.5)+1,INT(($O665+30)/0.5)+1)),"OUTSIDE GRID"))</f>
        <v/>
      </c>
      <c r="Q665" t="str">
        <f t="shared" si="120"/>
        <v/>
      </c>
    </row>
    <row r="666" spans="1:17" x14ac:dyDescent="0.3">
      <c r="A666">
        <f t="shared" si="110"/>
        <v>5</v>
      </c>
      <c r="B666">
        <f t="shared" si="111"/>
        <v>60</v>
      </c>
      <c r="C666" t="str" cm="1">
        <f t="array" ref="C666">IFERROR(INDEX('TRIP MANAGER'!$O$18:$O$25,$A666),"")</f>
        <v/>
      </c>
      <c r="D666" t="str" cm="1">
        <f t="array" ref="D666">IFERROR(INDEX('TRIP MANAGER'!$P$18:$P$25,$A666),"")</f>
        <v/>
      </c>
      <c r="E666" t="str" cm="1">
        <f t="array" ref="E666">IFERROR(INDEX('TRIP MANAGER'!$Q$18:$Q$25,$A666),"")</f>
        <v/>
      </c>
      <c r="F666" t="str" cm="1">
        <f t="array" ref="F666">IFERROR(INDEX('TRIP MANAGER'!$R$18:$R$25,$A666),"")</f>
        <v/>
      </c>
      <c r="G666" t="str" cm="1">
        <f t="array" ref="G666">IFERROR(INDEX('TRIP MANAGER'!$S$18:$S$25,$A666),"")</f>
        <v/>
      </c>
      <c r="H666">
        <f t="shared" si="112"/>
        <v>0.4</v>
      </c>
      <c r="I666" t="str">
        <f t="shared" si="113"/>
        <v/>
      </c>
      <c r="J666" t="str">
        <f t="shared" si="114"/>
        <v/>
      </c>
      <c r="K666" t="str">
        <f t="shared" si="115"/>
        <v/>
      </c>
      <c r="L666" t="str">
        <f t="shared" si="116"/>
        <v/>
      </c>
      <c r="M666" t="str">
        <f t="shared" si="117"/>
        <v/>
      </c>
      <c r="N666" t="str">
        <f t="shared" si="118"/>
        <v/>
      </c>
      <c r="O666" t="str">
        <f t="shared" si="119"/>
        <v/>
      </c>
      <c r="P666" t="str" cm="1">
        <f t="array" ref="P666">IF($N666="","",IFERROR(IF(INDEX(geo_grid!$B$2:$JU$231,INT(($N666+40)/0.5)+1,INT(($O666+30)/0.5)+1)="","",INDEX(geo_grid!$B$2:$JU$231,INT(($N666+40)/0.5)+1,INT(($O666+30)/0.5)+1)),"OUTSIDE GRID"))</f>
        <v/>
      </c>
      <c r="Q666" t="str">
        <f t="shared" si="120"/>
        <v/>
      </c>
    </row>
    <row r="667" spans="1:17" x14ac:dyDescent="0.3">
      <c r="A667">
        <f t="shared" si="110"/>
        <v>5</v>
      </c>
      <c r="B667">
        <f t="shared" si="111"/>
        <v>61</v>
      </c>
      <c r="C667" t="str" cm="1">
        <f t="array" ref="C667">IFERROR(INDEX('TRIP MANAGER'!$O$18:$O$25,$A667),"")</f>
        <v/>
      </c>
      <c r="D667" t="str" cm="1">
        <f t="array" ref="D667">IFERROR(INDEX('TRIP MANAGER'!$P$18:$P$25,$A667),"")</f>
        <v/>
      </c>
      <c r="E667" t="str" cm="1">
        <f t="array" ref="E667">IFERROR(INDEX('TRIP MANAGER'!$Q$18:$Q$25,$A667),"")</f>
        <v/>
      </c>
      <c r="F667" t="str" cm="1">
        <f t="array" ref="F667">IFERROR(INDEX('TRIP MANAGER'!$R$18:$R$25,$A667),"")</f>
        <v/>
      </c>
      <c r="G667" t="str" cm="1">
        <f t="array" ref="G667">IFERROR(INDEX('TRIP MANAGER'!$S$18:$S$25,$A667),"")</f>
        <v/>
      </c>
      <c r="H667">
        <f t="shared" si="112"/>
        <v>0.40666666666666668</v>
      </c>
      <c r="I667" t="str">
        <f t="shared" si="113"/>
        <v/>
      </c>
      <c r="J667" t="str">
        <f t="shared" si="114"/>
        <v/>
      </c>
      <c r="K667" t="str">
        <f t="shared" si="115"/>
        <v/>
      </c>
      <c r="L667" t="str">
        <f t="shared" si="116"/>
        <v/>
      </c>
      <c r="M667" t="str">
        <f t="shared" si="117"/>
        <v/>
      </c>
      <c r="N667" t="str">
        <f t="shared" si="118"/>
        <v/>
      </c>
      <c r="O667" t="str">
        <f t="shared" si="119"/>
        <v/>
      </c>
      <c r="P667" t="str" cm="1">
        <f t="array" ref="P667">IF($N667="","",IFERROR(IF(INDEX(geo_grid!$B$2:$JU$231,INT(($N667+40)/0.5)+1,INT(($O667+30)/0.5)+1)="","",INDEX(geo_grid!$B$2:$JU$231,INT(($N667+40)/0.5)+1,INT(($O667+30)/0.5)+1)),"OUTSIDE GRID"))</f>
        <v/>
      </c>
      <c r="Q667" t="str">
        <f t="shared" si="120"/>
        <v/>
      </c>
    </row>
    <row r="668" spans="1:17" x14ac:dyDescent="0.3">
      <c r="A668">
        <f t="shared" si="110"/>
        <v>5</v>
      </c>
      <c r="B668">
        <f t="shared" si="111"/>
        <v>62</v>
      </c>
      <c r="C668" t="str" cm="1">
        <f t="array" ref="C668">IFERROR(INDEX('TRIP MANAGER'!$O$18:$O$25,$A668),"")</f>
        <v/>
      </c>
      <c r="D668" t="str" cm="1">
        <f t="array" ref="D668">IFERROR(INDEX('TRIP MANAGER'!$P$18:$P$25,$A668),"")</f>
        <v/>
      </c>
      <c r="E668" t="str" cm="1">
        <f t="array" ref="E668">IFERROR(INDEX('TRIP MANAGER'!$Q$18:$Q$25,$A668),"")</f>
        <v/>
      </c>
      <c r="F668" t="str" cm="1">
        <f t="array" ref="F668">IFERROR(INDEX('TRIP MANAGER'!$R$18:$R$25,$A668),"")</f>
        <v/>
      </c>
      <c r="G668" t="str" cm="1">
        <f t="array" ref="G668">IFERROR(INDEX('TRIP MANAGER'!$S$18:$S$25,$A668),"")</f>
        <v/>
      </c>
      <c r="H668">
        <f t="shared" si="112"/>
        <v>0.41333333333333333</v>
      </c>
      <c r="I668" t="str">
        <f t="shared" si="113"/>
        <v/>
      </c>
      <c r="J668" t="str">
        <f t="shared" si="114"/>
        <v/>
      </c>
      <c r="K668" t="str">
        <f t="shared" si="115"/>
        <v/>
      </c>
      <c r="L668" t="str">
        <f t="shared" si="116"/>
        <v/>
      </c>
      <c r="M668" t="str">
        <f t="shared" si="117"/>
        <v/>
      </c>
      <c r="N668" t="str">
        <f t="shared" si="118"/>
        <v/>
      </c>
      <c r="O668" t="str">
        <f t="shared" si="119"/>
        <v/>
      </c>
      <c r="P668" t="str" cm="1">
        <f t="array" ref="P668">IF($N668="","",IFERROR(IF(INDEX(geo_grid!$B$2:$JU$231,INT(($N668+40)/0.5)+1,INT(($O668+30)/0.5)+1)="","",INDEX(geo_grid!$B$2:$JU$231,INT(($N668+40)/0.5)+1,INT(($O668+30)/0.5)+1)),"OUTSIDE GRID"))</f>
        <v/>
      </c>
      <c r="Q668" t="str">
        <f t="shared" si="120"/>
        <v/>
      </c>
    </row>
    <row r="669" spans="1:17" x14ac:dyDescent="0.3">
      <c r="A669">
        <f t="shared" si="110"/>
        <v>5</v>
      </c>
      <c r="B669">
        <f t="shared" si="111"/>
        <v>63</v>
      </c>
      <c r="C669" t="str" cm="1">
        <f t="array" ref="C669">IFERROR(INDEX('TRIP MANAGER'!$O$18:$O$25,$A669),"")</f>
        <v/>
      </c>
      <c r="D669" t="str" cm="1">
        <f t="array" ref="D669">IFERROR(INDEX('TRIP MANAGER'!$P$18:$P$25,$A669),"")</f>
        <v/>
      </c>
      <c r="E669" t="str" cm="1">
        <f t="array" ref="E669">IFERROR(INDEX('TRIP MANAGER'!$Q$18:$Q$25,$A669),"")</f>
        <v/>
      </c>
      <c r="F669" t="str" cm="1">
        <f t="array" ref="F669">IFERROR(INDEX('TRIP MANAGER'!$R$18:$R$25,$A669),"")</f>
        <v/>
      </c>
      <c r="G669" t="str" cm="1">
        <f t="array" ref="G669">IFERROR(INDEX('TRIP MANAGER'!$S$18:$S$25,$A669),"")</f>
        <v/>
      </c>
      <c r="H669">
        <f t="shared" si="112"/>
        <v>0.42</v>
      </c>
      <c r="I669" t="str">
        <f t="shared" si="113"/>
        <v/>
      </c>
      <c r="J669" t="str">
        <f t="shared" si="114"/>
        <v/>
      </c>
      <c r="K669" t="str">
        <f t="shared" si="115"/>
        <v/>
      </c>
      <c r="L669" t="str">
        <f t="shared" si="116"/>
        <v/>
      </c>
      <c r="M669" t="str">
        <f t="shared" si="117"/>
        <v/>
      </c>
      <c r="N669" t="str">
        <f t="shared" si="118"/>
        <v/>
      </c>
      <c r="O669" t="str">
        <f t="shared" si="119"/>
        <v/>
      </c>
      <c r="P669" t="str" cm="1">
        <f t="array" ref="P669">IF($N669="","",IFERROR(IF(INDEX(geo_grid!$B$2:$JU$231,INT(($N669+40)/0.5)+1,INT(($O669+30)/0.5)+1)="","",INDEX(geo_grid!$B$2:$JU$231,INT(($N669+40)/0.5)+1,INT(($O669+30)/0.5)+1)),"OUTSIDE GRID"))</f>
        <v/>
      </c>
      <c r="Q669" t="str">
        <f t="shared" si="120"/>
        <v/>
      </c>
    </row>
    <row r="670" spans="1:17" x14ac:dyDescent="0.3">
      <c r="A670">
        <f t="shared" si="110"/>
        <v>5</v>
      </c>
      <c r="B670">
        <f t="shared" si="111"/>
        <v>64</v>
      </c>
      <c r="C670" t="str" cm="1">
        <f t="array" ref="C670">IFERROR(INDEX('TRIP MANAGER'!$O$18:$O$25,$A670),"")</f>
        <v/>
      </c>
      <c r="D670" t="str" cm="1">
        <f t="array" ref="D670">IFERROR(INDEX('TRIP MANAGER'!$P$18:$P$25,$A670),"")</f>
        <v/>
      </c>
      <c r="E670" t="str" cm="1">
        <f t="array" ref="E670">IFERROR(INDEX('TRIP MANAGER'!$Q$18:$Q$25,$A670),"")</f>
        <v/>
      </c>
      <c r="F670" t="str" cm="1">
        <f t="array" ref="F670">IFERROR(INDEX('TRIP MANAGER'!$R$18:$R$25,$A670),"")</f>
        <v/>
      </c>
      <c r="G670" t="str" cm="1">
        <f t="array" ref="G670">IFERROR(INDEX('TRIP MANAGER'!$S$18:$S$25,$A670),"")</f>
        <v/>
      </c>
      <c r="H670">
        <f t="shared" si="112"/>
        <v>0.42666666666666669</v>
      </c>
      <c r="I670" t="str">
        <f t="shared" si="113"/>
        <v/>
      </c>
      <c r="J670" t="str">
        <f t="shared" si="114"/>
        <v/>
      </c>
      <c r="K670" t="str">
        <f t="shared" si="115"/>
        <v/>
      </c>
      <c r="L670" t="str">
        <f t="shared" si="116"/>
        <v/>
      </c>
      <c r="M670" t="str">
        <f t="shared" si="117"/>
        <v/>
      </c>
      <c r="N670" t="str">
        <f t="shared" si="118"/>
        <v/>
      </c>
      <c r="O670" t="str">
        <f t="shared" si="119"/>
        <v/>
      </c>
      <c r="P670" t="str" cm="1">
        <f t="array" ref="P670">IF($N670="","",IFERROR(IF(INDEX(geo_grid!$B$2:$JU$231,INT(($N670+40)/0.5)+1,INT(($O670+30)/0.5)+1)="","",INDEX(geo_grid!$B$2:$JU$231,INT(($N670+40)/0.5)+1,INT(($O670+30)/0.5)+1)),"OUTSIDE GRID"))</f>
        <v/>
      </c>
      <c r="Q670" t="str">
        <f t="shared" si="120"/>
        <v/>
      </c>
    </row>
    <row r="671" spans="1:17" x14ac:dyDescent="0.3">
      <c r="A671">
        <f t="shared" si="110"/>
        <v>5</v>
      </c>
      <c r="B671">
        <f t="shared" si="111"/>
        <v>65</v>
      </c>
      <c r="C671" t="str" cm="1">
        <f t="array" ref="C671">IFERROR(INDEX('TRIP MANAGER'!$O$18:$O$25,$A671),"")</f>
        <v/>
      </c>
      <c r="D671" t="str" cm="1">
        <f t="array" ref="D671">IFERROR(INDEX('TRIP MANAGER'!$P$18:$P$25,$A671),"")</f>
        <v/>
      </c>
      <c r="E671" t="str" cm="1">
        <f t="array" ref="E671">IFERROR(INDEX('TRIP MANAGER'!$Q$18:$Q$25,$A671),"")</f>
        <v/>
      </c>
      <c r="F671" t="str" cm="1">
        <f t="array" ref="F671">IFERROR(INDEX('TRIP MANAGER'!$R$18:$R$25,$A671),"")</f>
        <v/>
      </c>
      <c r="G671" t="str" cm="1">
        <f t="array" ref="G671">IFERROR(INDEX('TRIP MANAGER'!$S$18:$S$25,$A671),"")</f>
        <v/>
      </c>
      <c r="H671">
        <f t="shared" si="112"/>
        <v>0.43333333333333335</v>
      </c>
      <c r="I671" t="str">
        <f t="shared" si="113"/>
        <v/>
      </c>
      <c r="J671" t="str">
        <f t="shared" si="114"/>
        <v/>
      </c>
      <c r="K671" t="str">
        <f t="shared" si="115"/>
        <v/>
      </c>
      <c r="L671" t="str">
        <f t="shared" si="116"/>
        <v/>
      </c>
      <c r="M671" t="str">
        <f t="shared" si="117"/>
        <v/>
      </c>
      <c r="N671" t="str">
        <f t="shared" si="118"/>
        <v/>
      </c>
      <c r="O671" t="str">
        <f t="shared" si="119"/>
        <v/>
      </c>
      <c r="P671" t="str" cm="1">
        <f t="array" ref="P671">IF($N671="","",IFERROR(IF(INDEX(geo_grid!$B$2:$JU$231,INT(($N671+40)/0.5)+1,INT(($O671+30)/0.5)+1)="","",INDEX(geo_grid!$B$2:$JU$231,INT(($N671+40)/0.5)+1,INT(($O671+30)/0.5)+1)),"OUTSIDE GRID"))</f>
        <v/>
      </c>
      <c r="Q671" t="str">
        <f t="shared" si="120"/>
        <v/>
      </c>
    </row>
    <row r="672" spans="1:17" x14ac:dyDescent="0.3">
      <c r="A672">
        <f t="shared" si="110"/>
        <v>5</v>
      </c>
      <c r="B672">
        <f t="shared" si="111"/>
        <v>66</v>
      </c>
      <c r="C672" t="str" cm="1">
        <f t="array" ref="C672">IFERROR(INDEX('TRIP MANAGER'!$O$18:$O$25,$A672),"")</f>
        <v/>
      </c>
      <c r="D672" t="str" cm="1">
        <f t="array" ref="D672">IFERROR(INDEX('TRIP MANAGER'!$P$18:$P$25,$A672),"")</f>
        <v/>
      </c>
      <c r="E672" t="str" cm="1">
        <f t="array" ref="E672">IFERROR(INDEX('TRIP MANAGER'!$Q$18:$Q$25,$A672),"")</f>
        <v/>
      </c>
      <c r="F672" t="str" cm="1">
        <f t="array" ref="F672">IFERROR(INDEX('TRIP MANAGER'!$R$18:$R$25,$A672),"")</f>
        <v/>
      </c>
      <c r="G672" t="str" cm="1">
        <f t="array" ref="G672">IFERROR(INDEX('TRIP MANAGER'!$S$18:$S$25,$A672),"")</f>
        <v/>
      </c>
      <c r="H672">
        <f t="shared" si="112"/>
        <v>0.44</v>
      </c>
      <c r="I672" t="str">
        <f t="shared" si="113"/>
        <v/>
      </c>
      <c r="J672" t="str">
        <f t="shared" si="114"/>
        <v/>
      </c>
      <c r="K672" t="str">
        <f t="shared" si="115"/>
        <v/>
      </c>
      <c r="L672" t="str">
        <f t="shared" si="116"/>
        <v/>
      </c>
      <c r="M672" t="str">
        <f t="shared" si="117"/>
        <v/>
      </c>
      <c r="N672" t="str">
        <f t="shared" si="118"/>
        <v/>
      </c>
      <c r="O672" t="str">
        <f t="shared" si="119"/>
        <v/>
      </c>
      <c r="P672" t="str" cm="1">
        <f t="array" ref="P672">IF($N672="","",IFERROR(IF(INDEX(geo_grid!$B$2:$JU$231,INT(($N672+40)/0.5)+1,INT(($O672+30)/0.5)+1)="","",INDEX(geo_grid!$B$2:$JU$231,INT(($N672+40)/0.5)+1,INT(($O672+30)/0.5)+1)),"OUTSIDE GRID"))</f>
        <v/>
      </c>
      <c r="Q672" t="str">
        <f t="shared" si="120"/>
        <v/>
      </c>
    </row>
    <row r="673" spans="1:17" x14ac:dyDescent="0.3">
      <c r="A673">
        <f t="shared" si="110"/>
        <v>5</v>
      </c>
      <c r="B673">
        <f t="shared" si="111"/>
        <v>67</v>
      </c>
      <c r="C673" t="str" cm="1">
        <f t="array" ref="C673">IFERROR(INDEX('TRIP MANAGER'!$O$18:$O$25,$A673),"")</f>
        <v/>
      </c>
      <c r="D673" t="str" cm="1">
        <f t="array" ref="D673">IFERROR(INDEX('TRIP MANAGER'!$P$18:$P$25,$A673),"")</f>
        <v/>
      </c>
      <c r="E673" t="str" cm="1">
        <f t="array" ref="E673">IFERROR(INDEX('TRIP MANAGER'!$Q$18:$Q$25,$A673),"")</f>
        <v/>
      </c>
      <c r="F673" t="str" cm="1">
        <f t="array" ref="F673">IFERROR(INDEX('TRIP MANAGER'!$R$18:$R$25,$A673),"")</f>
        <v/>
      </c>
      <c r="G673" t="str" cm="1">
        <f t="array" ref="G673">IFERROR(INDEX('TRIP MANAGER'!$S$18:$S$25,$A673),"")</f>
        <v/>
      </c>
      <c r="H673">
        <f t="shared" si="112"/>
        <v>0.44666666666666666</v>
      </c>
      <c r="I673" t="str">
        <f t="shared" si="113"/>
        <v/>
      </c>
      <c r="J673" t="str">
        <f t="shared" si="114"/>
        <v/>
      </c>
      <c r="K673" t="str">
        <f t="shared" si="115"/>
        <v/>
      </c>
      <c r="L673" t="str">
        <f t="shared" si="116"/>
        <v/>
      </c>
      <c r="M673" t="str">
        <f t="shared" si="117"/>
        <v/>
      </c>
      <c r="N673" t="str">
        <f t="shared" si="118"/>
        <v/>
      </c>
      <c r="O673" t="str">
        <f t="shared" si="119"/>
        <v/>
      </c>
      <c r="P673" t="str" cm="1">
        <f t="array" ref="P673">IF($N673="","",IFERROR(IF(INDEX(geo_grid!$B$2:$JU$231,INT(($N673+40)/0.5)+1,INT(($O673+30)/0.5)+1)="","",INDEX(geo_grid!$B$2:$JU$231,INT(($N673+40)/0.5)+1,INT(($O673+30)/0.5)+1)),"OUTSIDE GRID"))</f>
        <v/>
      </c>
      <c r="Q673" t="str">
        <f t="shared" si="120"/>
        <v/>
      </c>
    </row>
    <row r="674" spans="1:17" x14ac:dyDescent="0.3">
      <c r="A674">
        <f t="shared" si="110"/>
        <v>5</v>
      </c>
      <c r="B674">
        <f t="shared" si="111"/>
        <v>68</v>
      </c>
      <c r="C674" t="str" cm="1">
        <f t="array" ref="C674">IFERROR(INDEX('TRIP MANAGER'!$O$18:$O$25,$A674),"")</f>
        <v/>
      </c>
      <c r="D674" t="str" cm="1">
        <f t="array" ref="D674">IFERROR(INDEX('TRIP MANAGER'!$P$18:$P$25,$A674),"")</f>
        <v/>
      </c>
      <c r="E674" t="str" cm="1">
        <f t="array" ref="E674">IFERROR(INDEX('TRIP MANAGER'!$Q$18:$Q$25,$A674),"")</f>
        <v/>
      </c>
      <c r="F674" t="str" cm="1">
        <f t="array" ref="F674">IFERROR(INDEX('TRIP MANAGER'!$R$18:$R$25,$A674),"")</f>
        <v/>
      </c>
      <c r="G674" t="str" cm="1">
        <f t="array" ref="G674">IFERROR(INDEX('TRIP MANAGER'!$S$18:$S$25,$A674),"")</f>
        <v/>
      </c>
      <c r="H674">
        <f t="shared" si="112"/>
        <v>0.45333333333333331</v>
      </c>
      <c r="I674" t="str">
        <f t="shared" si="113"/>
        <v/>
      </c>
      <c r="J674" t="str">
        <f t="shared" si="114"/>
        <v/>
      </c>
      <c r="K674" t="str">
        <f t="shared" si="115"/>
        <v/>
      </c>
      <c r="L674" t="str">
        <f t="shared" si="116"/>
        <v/>
      </c>
      <c r="M674" t="str">
        <f t="shared" si="117"/>
        <v/>
      </c>
      <c r="N674" t="str">
        <f t="shared" si="118"/>
        <v/>
      </c>
      <c r="O674" t="str">
        <f t="shared" si="119"/>
        <v/>
      </c>
      <c r="P674" t="str" cm="1">
        <f t="array" ref="P674">IF($N674="","",IFERROR(IF(INDEX(geo_grid!$B$2:$JU$231,INT(($N674+40)/0.5)+1,INT(($O674+30)/0.5)+1)="","",INDEX(geo_grid!$B$2:$JU$231,INT(($N674+40)/0.5)+1,INT(($O674+30)/0.5)+1)),"OUTSIDE GRID"))</f>
        <v/>
      </c>
      <c r="Q674" t="str">
        <f t="shared" si="120"/>
        <v/>
      </c>
    </row>
    <row r="675" spans="1:17" x14ac:dyDescent="0.3">
      <c r="A675">
        <f t="shared" si="110"/>
        <v>5</v>
      </c>
      <c r="B675">
        <f t="shared" si="111"/>
        <v>69</v>
      </c>
      <c r="C675" t="str" cm="1">
        <f t="array" ref="C675">IFERROR(INDEX('TRIP MANAGER'!$O$18:$O$25,$A675),"")</f>
        <v/>
      </c>
      <c r="D675" t="str" cm="1">
        <f t="array" ref="D675">IFERROR(INDEX('TRIP MANAGER'!$P$18:$P$25,$A675),"")</f>
        <v/>
      </c>
      <c r="E675" t="str" cm="1">
        <f t="array" ref="E675">IFERROR(INDEX('TRIP MANAGER'!$Q$18:$Q$25,$A675),"")</f>
        <v/>
      </c>
      <c r="F675" t="str" cm="1">
        <f t="array" ref="F675">IFERROR(INDEX('TRIP MANAGER'!$R$18:$R$25,$A675),"")</f>
        <v/>
      </c>
      <c r="G675" t="str" cm="1">
        <f t="array" ref="G675">IFERROR(INDEX('TRIP MANAGER'!$S$18:$S$25,$A675),"")</f>
        <v/>
      </c>
      <c r="H675">
        <f t="shared" si="112"/>
        <v>0.46</v>
      </c>
      <c r="I675" t="str">
        <f t="shared" si="113"/>
        <v/>
      </c>
      <c r="J675" t="str">
        <f t="shared" si="114"/>
        <v/>
      </c>
      <c r="K675" t="str">
        <f t="shared" si="115"/>
        <v/>
      </c>
      <c r="L675" t="str">
        <f t="shared" si="116"/>
        <v/>
      </c>
      <c r="M675" t="str">
        <f t="shared" si="117"/>
        <v/>
      </c>
      <c r="N675" t="str">
        <f t="shared" si="118"/>
        <v/>
      </c>
      <c r="O675" t="str">
        <f t="shared" si="119"/>
        <v/>
      </c>
      <c r="P675" t="str" cm="1">
        <f t="array" ref="P675">IF($N675="","",IFERROR(IF(INDEX(geo_grid!$B$2:$JU$231,INT(($N675+40)/0.5)+1,INT(($O675+30)/0.5)+1)="","",INDEX(geo_grid!$B$2:$JU$231,INT(($N675+40)/0.5)+1,INT(($O675+30)/0.5)+1)),"OUTSIDE GRID"))</f>
        <v/>
      </c>
      <c r="Q675" t="str">
        <f t="shared" si="120"/>
        <v/>
      </c>
    </row>
    <row r="676" spans="1:17" x14ac:dyDescent="0.3">
      <c r="A676">
        <f t="shared" si="110"/>
        <v>5</v>
      </c>
      <c r="B676">
        <f t="shared" si="111"/>
        <v>70</v>
      </c>
      <c r="C676" t="str" cm="1">
        <f t="array" ref="C676">IFERROR(INDEX('TRIP MANAGER'!$O$18:$O$25,$A676),"")</f>
        <v/>
      </c>
      <c r="D676" t="str" cm="1">
        <f t="array" ref="D676">IFERROR(INDEX('TRIP MANAGER'!$P$18:$P$25,$A676),"")</f>
        <v/>
      </c>
      <c r="E676" t="str" cm="1">
        <f t="array" ref="E676">IFERROR(INDEX('TRIP MANAGER'!$Q$18:$Q$25,$A676),"")</f>
        <v/>
      </c>
      <c r="F676" t="str" cm="1">
        <f t="array" ref="F676">IFERROR(INDEX('TRIP MANAGER'!$R$18:$R$25,$A676),"")</f>
        <v/>
      </c>
      <c r="G676" t="str" cm="1">
        <f t="array" ref="G676">IFERROR(INDEX('TRIP MANAGER'!$S$18:$S$25,$A676),"")</f>
        <v/>
      </c>
      <c r="H676">
        <f t="shared" si="112"/>
        <v>0.46666666666666667</v>
      </c>
      <c r="I676" t="str">
        <f t="shared" si="113"/>
        <v/>
      </c>
      <c r="J676" t="str">
        <f t="shared" si="114"/>
        <v/>
      </c>
      <c r="K676" t="str">
        <f t="shared" si="115"/>
        <v/>
      </c>
      <c r="L676" t="str">
        <f t="shared" si="116"/>
        <v/>
      </c>
      <c r="M676" t="str">
        <f t="shared" si="117"/>
        <v/>
      </c>
      <c r="N676" t="str">
        <f t="shared" si="118"/>
        <v/>
      </c>
      <c r="O676" t="str">
        <f t="shared" si="119"/>
        <v/>
      </c>
      <c r="P676" t="str" cm="1">
        <f t="array" ref="P676">IF($N676="","",IFERROR(IF(INDEX(geo_grid!$B$2:$JU$231,INT(($N676+40)/0.5)+1,INT(($O676+30)/0.5)+1)="","",INDEX(geo_grid!$B$2:$JU$231,INT(($N676+40)/0.5)+1,INT(($O676+30)/0.5)+1)),"OUTSIDE GRID"))</f>
        <v/>
      </c>
      <c r="Q676" t="str">
        <f t="shared" si="120"/>
        <v/>
      </c>
    </row>
    <row r="677" spans="1:17" x14ac:dyDescent="0.3">
      <c r="A677">
        <f t="shared" si="110"/>
        <v>5</v>
      </c>
      <c r="B677">
        <f t="shared" si="111"/>
        <v>71</v>
      </c>
      <c r="C677" t="str" cm="1">
        <f t="array" ref="C677">IFERROR(INDEX('TRIP MANAGER'!$O$18:$O$25,$A677),"")</f>
        <v/>
      </c>
      <c r="D677" t="str" cm="1">
        <f t="array" ref="D677">IFERROR(INDEX('TRIP MANAGER'!$P$18:$P$25,$A677),"")</f>
        <v/>
      </c>
      <c r="E677" t="str" cm="1">
        <f t="array" ref="E677">IFERROR(INDEX('TRIP MANAGER'!$Q$18:$Q$25,$A677),"")</f>
        <v/>
      </c>
      <c r="F677" t="str" cm="1">
        <f t="array" ref="F677">IFERROR(INDEX('TRIP MANAGER'!$R$18:$R$25,$A677),"")</f>
        <v/>
      </c>
      <c r="G677" t="str" cm="1">
        <f t="array" ref="G677">IFERROR(INDEX('TRIP MANAGER'!$S$18:$S$25,$A677),"")</f>
        <v/>
      </c>
      <c r="H677">
        <f t="shared" si="112"/>
        <v>0.47333333333333333</v>
      </c>
      <c r="I677" t="str">
        <f t="shared" si="113"/>
        <v/>
      </c>
      <c r="J677" t="str">
        <f t="shared" si="114"/>
        <v/>
      </c>
      <c r="K677" t="str">
        <f t="shared" si="115"/>
        <v/>
      </c>
      <c r="L677" t="str">
        <f t="shared" si="116"/>
        <v/>
      </c>
      <c r="M677" t="str">
        <f t="shared" si="117"/>
        <v/>
      </c>
      <c r="N677" t="str">
        <f t="shared" si="118"/>
        <v/>
      </c>
      <c r="O677" t="str">
        <f t="shared" si="119"/>
        <v/>
      </c>
      <c r="P677" t="str" cm="1">
        <f t="array" ref="P677">IF($N677="","",IFERROR(IF(INDEX(geo_grid!$B$2:$JU$231,INT(($N677+40)/0.5)+1,INT(($O677+30)/0.5)+1)="","",INDEX(geo_grid!$B$2:$JU$231,INT(($N677+40)/0.5)+1,INT(($O677+30)/0.5)+1)),"OUTSIDE GRID"))</f>
        <v/>
      </c>
      <c r="Q677" t="str">
        <f t="shared" si="120"/>
        <v/>
      </c>
    </row>
    <row r="678" spans="1:17" x14ac:dyDescent="0.3">
      <c r="A678">
        <f t="shared" si="110"/>
        <v>5</v>
      </c>
      <c r="B678">
        <f t="shared" si="111"/>
        <v>72</v>
      </c>
      <c r="C678" t="str" cm="1">
        <f t="array" ref="C678">IFERROR(INDEX('TRIP MANAGER'!$O$18:$O$25,$A678),"")</f>
        <v/>
      </c>
      <c r="D678" t="str" cm="1">
        <f t="array" ref="D678">IFERROR(INDEX('TRIP MANAGER'!$P$18:$P$25,$A678),"")</f>
        <v/>
      </c>
      <c r="E678" t="str" cm="1">
        <f t="array" ref="E678">IFERROR(INDEX('TRIP MANAGER'!$Q$18:$Q$25,$A678),"")</f>
        <v/>
      </c>
      <c r="F678" t="str" cm="1">
        <f t="array" ref="F678">IFERROR(INDEX('TRIP MANAGER'!$R$18:$R$25,$A678),"")</f>
        <v/>
      </c>
      <c r="G678" t="str" cm="1">
        <f t="array" ref="G678">IFERROR(INDEX('TRIP MANAGER'!$S$18:$S$25,$A678),"")</f>
        <v/>
      </c>
      <c r="H678">
        <f t="shared" si="112"/>
        <v>0.48</v>
      </c>
      <c r="I678" t="str">
        <f t="shared" si="113"/>
        <v/>
      </c>
      <c r="J678" t="str">
        <f t="shared" si="114"/>
        <v/>
      </c>
      <c r="K678" t="str">
        <f t="shared" si="115"/>
        <v/>
      </c>
      <c r="L678" t="str">
        <f t="shared" si="116"/>
        <v/>
      </c>
      <c r="M678" t="str">
        <f t="shared" si="117"/>
        <v/>
      </c>
      <c r="N678" t="str">
        <f t="shared" si="118"/>
        <v/>
      </c>
      <c r="O678" t="str">
        <f t="shared" si="119"/>
        <v/>
      </c>
      <c r="P678" t="str" cm="1">
        <f t="array" ref="P678">IF($N678="","",IFERROR(IF(INDEX(geo_grid!$B$2:$JU$231,INT(($N678+40)/0.5)+1,INT(($O678+30)/0.5)+1)="","",INDEX(geo_grid!$B$2:$JU$231,INT(($N678+40)/0.5)+1,INT(($O678+30)/0.5)+1)),"OUTSIDE GRID"))</f>
        <v/>
      </c>
      <c r="Q678" t="str">
        <f t="shared" si="120"/>
        <v/>
      </c>
    </row>
    <row r="679" spans="1:17" x14ac:dyDescent="0.3">
      <c r="A679">
        <f t="shared" si="110"/>
        <v>5</v>
      </c>
      <c r="B679">
        <f t="shared" si="111"/>
        <v>73</v>
      </c>
      <c r="C679" t="str" cm="1">
        <f t="array" ref="C679">IFERROR(INDEX('TRIP MANAGER'!$O$18:$O$25,$A679),"")</f>
        <v/>
      </c>
      <c r="D679" t="str" cm="1">
        <f t="array" ref="D679">IFERROR(INDEX('TRIP MANAGER'!$P$18:$P$25,$A679),"")</f>
        <v/>
      </c>
      <c r="E679" t="str" cm="1">
        <f t="array" ref="E679">IFERROR(INDEX('TRIP MANAGER'!$Q$18:$Q$25,$A679),"")</f>
        <v/>
      </c>
      <c r="F679" t="str" cm="1">
        <f t="array" ref="F679">IFERROR(INDEX('TRIP MANAGER'!$R$18:$R$25,$A679),"")</f>
        <v/>
      </c>
      <c r="G679" t="str" cm="1">
        <f t="array" ref="G679">IFERROR(INDEX('TRIP MANAGER'!$S$18:$S$25,$A679),"")</f>
        <v/>
      </c>
      <c r="H679">
        <f t="shared" si="112"/>
        <v>0.48666666666666669</v>
      </c>
      <c r="I679" t="str">
        <f t="shared" si="113"/>
        <v/>
      </c>
      <c r="J679" t="str">
        <f t="shared" si="114"/>
        <v/>
      </c>
      <c r="K679" t="str">
        <f t="shared" si="115"/>
        <v/>
      </c>
      <c r="L679" t="str">
        <f t="shared" si="116"/>
        <v/>
      </c>
      <c r="M679" t="str">
        <f t="shared" si="117"/>
        <v/>
      </c>
      <c r="N679" t="str">
        <f t="shared" si="118"/>
        <v/>
      </c>
      <c r="O679" t="str">
        <f t="shared" si="119"/>
        <v/>
      </c>
      <c r="P679" t="str" cm="1">
        <f t="array" ref="P679">IF($N679="","",IFERROR(IF(INDEX(geo_grid!$B$2:$JU$231,INT(($N679+40)/0.5)+1,INT(($O679+30)/0.5)+1)="","",INDEX(geo_grid!$B$2:$JU$231,INT(($N679+40)/0.5)+1,INT(($O679+30)/0.5)+1)),"OUTSIDE GRID"))</f>
        <v/>
      </c>
      <c r="Q679" t="str">
        <f t="shared" si="120"/>
        <v/>
      </c>
    </row>
    <row r="680" spans="1:17" x14ac:dyDescent="0.3">
      <c r="A680">
        <f t="shared" si="110"/>
        <v>5</v>
      </c>
      <c r="B680">
        <f t="shared" si="111"/>
        <v>74</v>
      </c>
      <c r="C680" t="str" cm="1">
        <f t="array" ref="C680">IFERROR(INDEX('TRIP MANAGER'!$O$18:$O$25,$A680),"")</f>
        <v/>
      </c>
      <c r="D680" t="str" cm="1">
        <f t="array" ref="D680">IFERROR(INDEX('TRIP MANAGER'!$P$18:$P$25,$A680),"")</f>
        <v/>
      </c>
      <c r="E680" t="str" cm="1">
        <f t="array" ref="E680">IFERROR(INDEX('TRIP MANAGER'!$Q$18:$Q$25,$A680),"")</f>
        <v/>
      </c>
      <c r="F680" t="str" cm="1">
        <f t="array" ref="F680">IFERROR(INDEX('TRIP MANAGER'!$R$18:$R$25,$A680),"")</f>
        <v/>
      </c>
      <c r="G680" t="str" cm="1">
        <f t="array" ref="G680">IFERROR(INDEX('TRIP MANAGER'!$S$18:$S$25,$A680),"")</f>
        <v/>
      </c>
      <c r="H680">
        <f t="shared" si="112"/>
        <v>0.49333333333333335</v>
      </c>
      <c r="I680" t="str">
        <f t="shared" si="113"/>
        <v/>
      </c>
      <c r="J680" t="str">
        <f t="shared" si="114"/>
        <v/>
      </c>
      <c r="K680" t="str">
        <f t="shared" si="115"/>
        <v/>
      </c>
      <c r="L680" t="str">
        <f t="shared" si="116"/>
        <v/>
      </c>
      <c r="M680" t="str">
        <f t="shared" si="117"/>
        <v/>
      </c>
      <c r="N680" t="str">
        <f t="shared" si="118"/>
        <v/>
      </c>
      <c r="O680" t="str">
        <f t="shared" si="119"/>
        <v/>
      </c>
      <c r="P680" t="str" cm="1">
        <f t="array" ref="P680">IF($N680="","",IFERROR(IF(INDEX(geo_grid!$B$2:$JU$231,INT(($N680+40)/0.5)+1,INT(($O680+30)/0.5)+1)="","",INDEX(geo_grid!$B$2:$JU$231,INT(($N680+40)/0.5)+1,INT(($O680+30)/0.5)+1)),"OUTSIDE GRID"))</f>
        <v/>
      </c>
      <c r="Q680" t="str">
        <f t="shared" si="120"/>
        <v/>
      </c>
    </row>
    <row r="681" spans="1:17" x14ac:dyDescent="0.3">
      <c r="A681">
        <f t="shared" si="110"/>
        <v>5</v>
      </c>
      <c r="B681">
        <f t="shared" si="111"/>
        <v>75</v>
      </c>
      <c r="C681" t="str" cm="1">
        <f t="array" ref="C681">IFERROR(INDEX('TRIP MANAGER'!$O$18:$O$25,$A681),"")</f>
        <v/>
      </c>
      <c r="D681" t="str" cm="1">
        <f t="array" ref="D681">IFERROR(INDEX('TRIP MANAGER'!$P$18:$P$25,$A681),"")</f>
        <v/>
      </c>
      <c r="E681" t="str" cm="1">
        <f t="array" ref="E681">IFERROR(INDEX('TRIP MANAGER'!$Q$18:$Q$25,$A681),"")</f>
        <v/>
      </c>
      <c r="F681" t="str" cm="1">
        <f t="array" ref="F681">IFERROR(INDEX('TRIP MANAGER'!$R$18:$R$25,$A681),"")</f>
        <v/>
      </c>
      <c r="G681" t="str" cm="1">
        <f t="array" ref="G681">IFERROR(INDEX('TRIP MANAGER'!$S$18:$S$25,$A681),"")</f>
        <v/>
      </c>
      <c r="H681">
        <f t="shared" si="112"/>
        <v>0.5</v>
      </c>
      <c r="I681" t="str">
        <f t="shared" si="113"/>
        <v/>
      </c>
      <c r="J681" t="str">
        <f t="shared" si="114"/>
        <v/>
      </c>
      <c r="K681" t="str">
        <f t="shared" si="115"/>
        <v/>
      </c>
      <c r="L681" t="str">
        <f t="shared" si="116"/>
        <v/>
      </c>
      <c r="M681" t="str">
        <f t="shared" si="117"/>
        <v/>
      </c>
      <c r="N681" t="str">
        <f t="shared" si="118"/>
        <v/>
      </c>
      <c r="O681" t="str">
        <f t="shared" si="119"/>
        <v/>
      </c>
      <c r="P681" t="str" cm="1">
        <f t="array" ref="P681">IF($N681="","",IFERROR(IF(INDEX(geo_grid!$B$2:$JU$231,INT(($N681+40)/0.5)+1,INT(($O681+30)/0.5)+1)="","",INDEX(geo_grid!$B$2:$JU$231,INT(($N681+40)/0.5)+1,INT(($O681+30)/0.5)+1)),"OUTSIDE GRID"))</f>
        <v/>
      </c>
      <c r="Q681" t="str">
        <f t="shared" si="120"/>
        <v/>
      </c>
    </row>
    <row r="682" spans="1:17" x14ac:dyDescent="0.3">
      <c r="A682">
        <f t="shared" si="110"/>
        <v>5</v>
      </c>
      <c r="B682">
        <f t="shared" si="111"/>
        <v>76</v>
      </c>
      <c r="C682" t="str" cm="1">
        <f t="array" ref="C682">IFERROR(INDEX('TRIP MANAGER'!$O$18:$O$25,$A682),"")</f>
        <v/>
      </c>
      <c r="D682" t="str" cm="1">
        <f t="array" ref="D682">IFERROR(INDEX('TRIP MANAGER'!$P$18:$P$25,$A682),"")</f>
        <v/>
      </c>
      <c r="E682" t="str" cm="1">
        <f t="array" ref="E682">IFERROR(INDEX('TRIP MANAGER'!$Q$18:$Q$25,$A682),"")</f>
        <v/>
      </c>
      <c r="F682" t="str" cm="1">
        <f t="array" ref="F682">IFERROR(INDEX('TRIP MANAGER'!$R$18:$R$25,$A682),"")</f>
        <v/>
      </c>
      <c r="G682" t="str" cm="1">
        <f t="array" ref="G682">IFERROR(INDEX('TRIP MANAGER'!$S$18:$S$25,$A682),"")</f>
        <v/>
      </c>
      <c r="H682">
        <f t="shared" si="112"/>
        <v>0.50666666666666671</v>
      </c>
      <c r="I682" t="str">
        <f t="shared" si="113"/>
        <v/>
      </c>
      <c r="J682" t="str">
        <f t="shared" si="114"/>
        <v/>
      </c>
      <c r="K682" t="str">
        <f t="shared" si="115"/>
        <v/>
      </c>
      <c r="L682" t="str">
        <f t="shared" si="116"/>
        <v/>
      </c>
      <c r="M682" t="str">
        <f t="shared" si="117"/>
        <v/>
      </c>
      <c r="N682" t="str">
        <f t="shared" si="118"/>
        <v/>
      </c>
      <c r="O682" t="str">
        <f t="shared" si="119"/>
        <v/>
      </c>
      <c r="P682" t="str" cm="1">
        <f t="array" ref="P682">IF($N682="","",IFERROR(IF(INDEX(geo_grid!$B$2:$JU$231,INT(($N682+40)/0.5)+1,INT(($O682+30)/0.5)+1)="","",INDEX(geo_grid!$B$2:$JU$231,INT(($N682+40)/0.5)+1,INT(($O682+30)/0.5)+1)),"OUTSIDE GRID"))</f>
        <v/>
      </c>
      <c r="Q682" t="str">
        <f t="shared" si="120"/>
        <v/>
      </c>
    </row>
    <row r="683" spans="1:17" x14ac:dyDescent="0.3">
      <c r="A683">
        <f t="shared" si="110"/>
        <v>5</v>
      </c>
      <c r="B683">
        <f t="shared" si="111"/>
        <v>77</v>
      </c>
      <c r="C683" t="str" cm="1">
        <f t="array" ref="C683">IFERROR(INDEX('TRIP MANAGER'!$O$18:$O$25,$A683),"")</f>
        <v/>
      </c>
      <c r="D683" t="str" cm="1">
        <f t="array" ref="D683">IFERROR(INDEX('TRIP MANAGER'!$P$18:$P$25,$A683),"")</f>
        <v/>
      </c>
      <c r="E683" t="str" cm="1">
        <f t="array" ref="E683">IFERROR(INDEX('TRIP MANAGER'!$Q$18:$Q$25,$A683),"")</f>
        <v/>
      </c>
      <c r="F683" t="str" cm="1">
        <f t="array" ref="F683">IFERROR(INDEX('TRIP MANAGER'!$R$18:$R$25,$A683),"")</f>
        <v/>
      </c>
      <c r="G683" t="str" cm="1">
        <f t="array" ref="G683">IFERROR(INDEX('TRIP MANAGER'!$S$18:$S$25,$A683),"")</f>
        <v/>
      </c>
      <c r="H683">
        <f t="shared" si="112"/>
        <v>0.51333333333333331</v>
      </c>
      <c r="I683" t="str">
        <f t="shared" si="113"/>
        <v/>
      </c>
      <c r="J683" t="str">
        <f t="shared" si="114"/>
        <v/>
      </c>
      <c r="K683" t="str">
        <f t="shared" si="115"/>
        <v/>
      </c>
      <c r="L683" t="str">
        <f t="shared" si="116"/>
        <v/>
      </c>
      <c r="M683" t="str">
        <f t="shared" si="117"/>
        <v/>
      </c>
      <c r="N683" t="str">
        <f t="shared" si="118"/>
        <v/>
      </c>
      <c r="O683" t="str">
        <f t="shared" si="119"/>
        <v/>
      </c>
      <c r="P683" t="str" cm="1">
        <f t="array" ref="P683">IF($N683="","",IFERROR(IF(INDEX(geo_grid!$B$2:$JU$231,INT(($N683+40)/0.5)+1,INT(($O683+30)/0.5)+1)="","",INDEX(geo_grid!$B$2:$JU$231,INT(($N683+40)/0.5)+1,INT(($O683+30)/0.5)+1)),"OUTSIDE GRID"))</f>
        <v/>
      </c>
      <c r="Q683" t="str">
        <f t="shared" si="120"/>
        <v/>
      </c>
    </row>
    <row r="684" spans="1:17" x14ac:dyDescent="0.3">
      <c r="A684">
        <f t="shared" si="110"/>
        <v>5</v>
      </c>
      <c r="B684">
        <f t="shared" si="111"/>
        <v>78</v>
      </c>
      <c r="C684" t="str" cm="1">
        <f t="array" ref="C684">IFERROR(INDEX('TRIP MANAGER'!$O$18:$O$25,$A684),"")</f>
        <v/>
      </c>
      <c r="D684" t="str" cm="1">
        <f t="array" ref="D684">IFERROR(INDEX('TRIP MANAGER'!$P$18:$P$25,$A684),"")</f>
        <v/>
      </c>
      <c r="E684" t="str" cm="1">
        <f t="array" ref="E684">IFERROR(INDEX('TRIP MANAGER'!$Q$18:$Q$25,$A684),"")</f>
        <v/>
      </c>
      <c r="F684" t="str" cm="1">
        <f t="array" ref="F684">IFERROR(INDEX('TRIP MANAGER'!$R$18:$R$25,$A684),"")</f>
        <v/>
      </c>
      <c r="G684" t="str" cm="1">
        <f t="array" ref="G684">IFERROR(INDEX('TRIP MANAGER'!$S$18:$S$25,$A684),"")</f>
        <v/>
      </c>
      <c r="H684">
        <f t="shared" si="112"/>
        <v>0.52</v>
      </c>
      <c r="I684" t="str">
        <f t="shared" si="113"/>
        <v/>
      </c>
      <c r="J684" t="str">
        <f t="shared" si="114"/>
        <v/>
      </c>
      <c r="K684" t="str">
        <f t="shared" si="115"/>
        <v/>
      </c>
      <c r="L684" t="str">
        <f t="shared" si="116"/>
        <v/>
      </c>
      <c r="M684" t="str">
        <f t="shared" si="117"/>
        <v/>
      </c>
      <c r="N684" t="str">
        <f t="shared" si="118"/>
        <v/>
      </c>
      <c r="O684" t="str">
        <f t="shared" si="119"/>
        <v/>
      </c>
      <c r="P684" t="str" cm="1">
        <f t="array" ref="P684">IF($N684="","",IFERROR(IF(INDEX(geo_grid!$B$2:$JU$231,INT(($N684+40)/0.5)+1,INT(($O684+30)/0.5)+1)="","",INDEX(geo_grid!$B$2:$JU$231,INT(($N684+40)/0.5)+1,INT(($O684+30)/0.5)+1)),"OUTSIDE GRID"))</f>
        <v/>
      </c>
      <c r="Q684" t="str">
        <f t="shared" si="120"/>
        <v/>
      </c>
    </row>
    <row r="685" spans="1:17" x14ac:dyDescent="0.3">
      <c r="A685">
        <f t="shared" si="110"/>
        <v>5</v>
      </c>
      <c r="B685">
        <f t="shared" si="111"/>
        <v>79</v>
      </c>
      <c r="C685" t="str" cm="1">
        <f t="array" ref="C685">IFERROR(INDEX('TRIP MANAGER'!$O$18:$O$25,$A685),"")</f>
        <v/>
      </c>
      <c r="D685" t="str" cm="1">
        <f t="array" ref="D685">IFERROR(INDEX('TRIP MANAGER'!$P$18:$P$25,$A685),"")</f>
        <v/>
      </c>
      <c r="E685" t="str" cm="1">
        <f t="array" ref="E685">IFERROR(INDEX('TRIP MANAGER'!$Q$18:$Q$25,$A685),"")</f>
        <v/>
      </c>
      <c r="F685" t="str" cm="1">
        <f t="array" ref="F685">IFERROR(INDEX('TRIP MANAGER'!$R$18:$R$25,$A685),"")</f>
        <v/>
      </c>
      <c r="G685" t="str" cm="1">
        <f t="array" ref="G685">IFERROR(INDEX('TRIP MANAGER'!$S$18:$S$25,$A685),"")</f>
        <v/>
      </c>
      <c r="H685">
        <f t="shared" si="112"/>
        <v>0.52666666666666662</v>
      </c>
      <c r="I685" t="str">
        <f t="shared" si="113"/>
        <v/>
      </c>
      <c r="J685" t="str">
        <f t="shared" si="114"/>
        <v/>
      </c>
      <c r="K685" t="str">
        <f t="shared" si="115"/>
        <v/>
      </c>
      <c r="L685" t="str">
        <f t="shared" si="116"/>
        <v/>
      </c>
      <c r="M685" t="str">
        <f t="shared" si="117"/>
        <v/>
      </c>
      <c r="N685" t="str">
        <f t="shared" si="118"/>
        <v/>
      </c>
      <c r="O685" t="str">
        <f t="shared" si="119"/>
        <v/>
      </c>
      <c r="P685" t="str" cm="1">
        <f t="array" ref="P685">IF($N685="","",IFERROR(IF(INDEX(geo_grid!$B$2:$JU$231,INT(($N685+40)/0.5)+1,INT(($O685+30)/0.5)+1)="","",INDEX(geo_grid!$B$2:$JU$231,INT(($N685+40)/0.5)+1,INT(($O685+30)/0.5)+1)),"OUTSIDE GRID"))</f>
        <v/>
      </c>
      <c r="Q685" t="str">
        <f t="shared" si="120"/>
        <v/>
      </c>
    </row>
    <row r="686" spans="1:17" x14ac:dyDescent="0.3">
      <c r="A686">
        <f t="shared" si="110"/>
        <v>5</v>
      </c>
      <c r="B686">
        <f t="shared" si="111"/>
        <v>80</v>
      </c>
      <c r="C686" t="str" cm="1">
        <f t="array" ref="C686">IFERROR(INDEX('TRIP MANAGER'!$O$18:$O$25,$A686),"")</f>
        <v/>
      </c>
      <c r="D686" t="str" cm="1">
        <f t="array" ref="D686">IFERROR(INDEX('TRIP MANAGER'!$P$18:$P$25,$A686),"")</f>
        <v/>
      </c>
      <c r="E686" t="str" cm="1">
        <f t="array" ref="E686">IFERROR(INDEX('TRIP MANAGER'!$Q$18:$Q$25,$A686),"")</f>
        <v/>
      </c>
      <c r="F686" t="str" cm="1">
        <f t="array" ref="F686">IFERROR(INDEX('TRIP MANAGER'!$R$18:$R$25,$A686),"")</f>
        <v/>
      </c>
      <c r="G686" t="str" cm="1">
        <f t="array" ref="G686">IFERROR(INDEX('TRIP MANAGER'!$S$18:$S$25,$A686),"")</f>
        <v/>
      </c>
      <c r="H686">
        <f t="shared" si="112"/>
        <v>0.53333333333333333</v>
      </c>
      <c r="I686" t="str">
        <f t="shared" si="113"/>
        <v/>
      </c>
      <c r="J686" t="str">
        <f t="shared" si="114"/>
        <v/>
      </c>
      <c r="K686" t="str">
        <f t="shared" si="115"/>
        <v/>
      </c>
      <c r="L686" t="str">
        <f t="shared" si="116"/>
        <v/>
      </c>
      <c r="M686" t="str">
        <f t="shared" si="117"/>
        <v/>
      </c>
      <c r="N686" t="str">
        <f t="shared" si="118"/>
        <v/>
      </c>
      <c r="O686" t="str">
        <f t="shared" si="119"/>
        <v/>
      </c>
      <c r="P686" t="str" cm="1">
        <f t="array" ref="P686">IF($N686="","",IFERROR(IF(INDEX(geo_grid!$B$2:$JU$231,INT(($N686+40)/0.5)+1,INT(($O686+30)/0.5)+1)="","",INDEX(geo_grid!$B$2:$JU$231,INT(($N686+40)/0.5)+1,INT(($O686+30)/0.5)+1)),"OUTSIDE GRID"))</f>
        <v/>
      </c>
      <c r="Q686" t="str">
        <f t="shared" si="120"/>
        <v/>
      </c>
    </row>
    <row r="687" spans="1:17" x14ac:dyDescent="0.3">
      <c r="A687">
        <f t="shared" si="110"/>
        <v>5</v>
      </c>
      <c r="B687">
        <f t="shared" si="111"/>
        <v>81</v>
      </c>
      <c r="C687" t="str" cm="1">
        <f t="array" ref="C687">IFERROR(INDEX('TRIP MANAGER'!$O$18:$O$25,$A687),"")</f>
        <v/>
      </c>
      <c r="D687" t="str" cm="1">
        <f t="array" ref="D687">IFERROR(INDEX('TRIP MANAGER'!$P$18:$P$25,$A687),"")</f>
        <v/>
      </c>
      <c r="E687" t="str" cm="1">
        <f t="array" ref="E687">IFERROR(INDEX('TRIP MANAGER'!$Q$18:$Q$25,$A687),"")</f>
        <v/>
      </c>
      <c r="F687" t="str" cm="1">
        <f t="array" ref="F687">IFERROR(INDEX('TRIP MANAGER'!$R$18:$R$25,$A687),"")</f>
        <v/>
      </c>
      <c r="G687" t="str" cm="1">
        <f t="array" ref="G687">IFERROR(INDEX('TRIP MANAGER'!$S$18:$S$25,$A687),"")</f>
        <v/>
      </c>
      <c r="H687">
        <f t="shared" si="112"/>
        <v>0.54</v>
      </c>
      <c r="I687" t="str">
        <f t="shared" si="113"/>
        <v/>
      </c>
      <c r="J687" t="str">
        <f t="shared" si="114"/>
        <v/>
      </c>
      <c r="K687" t="str">
        <f t="shared" si="115"/>
        <v/>
      </c>
      <c r="L687" t="str">
        <f t="shared" si="116"/>
        <v/>
      </c>
      <c r="M687" t="str">
        <f t="shared" si="117"/>
        <v/>
      </c>
      <c r="N687" t="str">
        <f t="shared" si="118"/>
        <v/>
      </c>
      <c r="O687" t="str">
        <f t="shared" si="119"/>
        <v/>
      </c>
      <c r="P687" t="str" cm="1">
        <f t="array" ref="P687">IF($N687="","",IFERROR(IF(INDEX(geo_grid!$B$2:$JU$231,INT(($N687+40)/0.5)+1,INT(($O687+30)/0.5)+1)="","",INDEX(geo_grid!$B$2:$JU$231,INT(($N687+40)/0.5)+1,INT(($O687+30)/0.5)+1)),"OUTSIDE GRID"))</f>
        <v/>
      </c>
      <c r="Q687" t="str">
        <f t="shared" si="120"/>
        <v/>
      </c>
    </row>
    <row r="688" spans="1:17" x14ac:dyDescent="0.3">
      <c r="A688">
        <f t="shared" si="110"/>
        <v>5</v>
      </c>
      <c r="B688">
        <f t="shared" si="111"/>
        <v>82</v>
      </c>
      <c r="C688" t="str" cm="1">
        <f t="array" ref="C688">IFERROR(INDEX('TRIP MANAGER'!$O$18:$O$25,$A688),"")</f>
        <v/>
      </c>
      <c r="D688" t="str" cm="1">
        <f t="array" ref="D688">IFERROR(INDEX('TRIP MANAGER'!$P$18:$P$25,$A688),"")</f>
        <v/>
      </c>
      <c r="E688" t="str" cm="1">
        <f t="array" ref="E688">IFERROR(INDEX('TRIP MANAGER'!$Q$18:$Q$25,$A688),"")</f>
        <v/>
      </c>
      <c r="F688" t="str" cm="1">
        <f t="array" ref="F688">IFERROR(INDEX('TRIP MANAGER'!$R$18:$R$25,$A688),"")</f>
        <v/>
      </c>
      <c r="G688" t="str" cm="1">
        <f t="array" ref="G688">IFERROR(INDEX('TRIP MANAGER'!$S$18:$S$25,$A688),"")</f>
        <v/>
      </c>
      <c r="H688">
        <f t="shared" si="112"/>
        <v>0.54666666666666663</v>
      </c>
      <c r="I688" t="str">
        <f t="shared" si="113"/>
        <v/>
      </c>
      <c r="J688" t="str">
        <f t="shared" si="114"/>
        <v/>
      </c>
      <c r="K688" t="str">
        <f t="shared" si="115"/>
        <v/>
      </c>
      <c r="L688" t="str">
        <f t="shared" si="116"/>
        <v/>
      </c>
      <c r="M688" t="str">
        <f t="shared" si="117"/>
        <v/>
      </c>
      <c r="N688" t="str">
        <f t="shared" si="118"/>
        <v/>
      </c>
      <c r="O688" t="str">
        <f t="shared" si="119"/>
        <v/>
      </c>
      <c r="P688" t="str" cm="1">
        <f t="array" ref="P688">IF($N688="","",IFERROR(IF(INDEX(geo_grid!$B$2:$JU$231,INT(($N688+40)/0.5)+1,INT(($O688+30)/0.5)+1)="","",INDEX(geo_grid!$B$2:$JU$231,INT(($N688+40)/0.5)+1,INT(($O688+30)/0.5)+1)),"OUTSIDE GRID"))</f>
        <v/>
      </c>
      <c r="Q688" t="str">
        <f t="shared" si="120"/>
        <v/>
      </c>
    </row>
    <row r="689" spans="1:17" x14ac:dyDescent="0.3">
      <c r="A689">
        <f t="shared" si="110"/>
        <v>5</v>
      </c>
      <c r="B689">
        <f t="shared" si="111"/>
        <v>83</v>
      </c>
      <c r="C689" t="str" cm="1">
        <f t="array" ref="C689">IFERROR(INDEX('TRIP MANAGER'!$O$18:$O$25,$A689),"")</f>
        <v/>
      </c>
      <c r="D689" t="str" cm="1">
        <f t="array" ref="D689">IFERROR(INDEX('TRIP MANAGER'!$P$18:$P$25,$A689),"")</f>
        <v/>
      </c>
      <c r="E689" t="str" cm="1">
        <f t="array" ref="E689">IFERROR(INDEX('TRIP MANAGER'!$Q$18:$Q$25,$A689),"")</f>
        <v/>
      </c>
      <c r="F689" t="str" cm="1">
        <f t="array" ref="F689">IFERROR(INDEX('TRIP MANAGER'!$R$18:$R$25,$A689),"")</f>
        <v/>
      </c>
      <c r="G689" t="str" cm="1">
        <f t="array" ref="G689">IFERROR(INDEX('TRIP MANAGER'!$S$18:$S$25,$A689),"")</f>
        <v/>
      </c>
      <c r="H689">
        <f t="shared" si="112"/>
        <v>0.55333333333333334</v>
      </c>
      <c r="I689" t="str">
        <f t="shared" si="113"/>
        <v/>
      </c>
      <c r="J689" t="str">
        <f t="shared" si="114"/>
        <v/>
      </c>
      <c r="K689" t="str">
        <f t="shared" si="115"/>
        <v/>
      </c>
      <c r="L689" t="str">
        <f t="shared" si="116"/>
        <v/>
      </c>
      <c r="M689" t="str">
        <f t="shared" si="117"/>
        <v/>
      </c>
      <c r="N689" t="str">
        <f t="shared" si="118"/>
        <v/>
      </c>
      <c r="O689" t="str">
        <f t="shared" si="119"/>
        <v/>
      </c>
      <c r="P689" t="str" cm="1">
        <f t="array" ref="P689">IF($N689="","",IFERROR(IF(INDEX(geo_grid!$B$2:$JU$231,INT(($N689+40)/0.5)+1,INT(($O689+30)/0.5)+1)="","",INDEX(geo_grid!$B$2:$JU$231,INT(($N689+40)/0.5)+1,INT(($O689+30)/0.5)+1)),"OUTSIDE GRID"))</f>
        <v/>
      </c>
      <c r="Q689" t="str">
        <f t="shared" si="120"/>
        <v/>
      </c>
    </row>
    <row r="690" spans="1:17" x14ac:dyDescent="0.3">
      <c r="A690">
        <f t="shared" si="110"/>
        <v>5</v>
      </c>
      <c r="B690">
        <f t="shared" si="111"/>
        <v>84</v>
      </c>
      <c r="C690" t="str" cm="1">
        <f t="array" ref="C690">IFERROR(INDEX('TRIP MANAGER'!$O$18:$O$25,$A690),"")</f>
        <v/>
      </c>
      <c r="D690" t="str" cm="1">
        <f t="array" ref="D690">IFERROR(INDEX('TRIP MANAGER'!$P$18:$P$25,$A690),"")</f>
        <v/>
      </c>
      <c r="E690" t="str" cm="1">
        <f t="array" ref="E690">IFERROR(INDEX('TRIP MANAGER'!$Q$18:$Q$25,$A690),"")</f>
        <v/>
      </c>
      <c r="F690" t="str" cm="1">
        <f t="array" ref="F690">IFERROR(INDEX('TRIP MANAGER'!$R$18:$R$25,$A690),"")</f>
        <v/>
      </c>
      <c r="G690" t="str" cm="1">
        <f t="array" ref="G690">IFERROR(INDEX('TRIP MANAGER'!$S$18:$S$25,$A690),"")</f>
        <v/>
      </c>
      <c r="H690">
        <f t="shared" si="112"/>
        <v>0.56000000000000005</v>
      </c>
      <c r="I690" t="str">
        <f t="shared" si="113"/>
        <v/>
      </c>
      <c r="J690" t="str">
        <f t="shared" si="114"/>
        <v/>
      </c>
      <c r="K690" t="str">
        <f t="shared" si="115"/>
        <v/>
      </c>
      <c r="L690" t="str">
        <f t="shared" si="116"/>
        <v/>
      </c>
      <c r="M690" t="str">
        <f t="shared" si="117"/>
        <v/>
      </c>
      <c r="N690" t="str">
        <f t="shared" si="118"/>
        <v/>
      </c>
      <c r="O690" t="str">
        <f t="shared" si="119"/>
        <v/>
      </c>
      <c r="P690" t="str" cm="1">
        <f t="array" ref="P690">IF($N690="","",IFERROR(IF(INDEX(geo_grid!$B$2:$JU$231,INT(($N690+40)/0.5)+1,INT(($O690+30)/0.5)+1)="","",INDEX(geo_grid!$B$2:$JU$231,INT(($N690+40)/0.5)+1,INT(($O690+30)/0.5)+1)),"OUTSIDE GRID"))</f>
        <v/>
      </c>
      <c r="Q690" t="str">
        <f t="shared" si="120"/>
        <v/>
      </c>
    </row>
    <row r="691" spans="1:17" x14ac:dyDescent="0.3">
      <c r="A691">
        <f t="shared" si="110"/>
        <v>5</v>
      </c>
      <c r="B691">
        <f t="shared" si="111"/>
        <v>85</v>
      </c>
      <c r="C691" t="str" cm="1">
        <f t="array" ref="C691">IFERROR(INDEX('TRIP MANAGER'!$O$18:$O$25,$A691),"")</f>
        <v/>
      </c>
      <c r="D691" t="str" cm="1">
        <f t="array" ref="D691">IFERROR(INDEX('TRIP MANAGER'!$P$18:$P$25,$A691),"")</f>
        <v/>
      </c>
      <c r="E691" t="str" cm="1">
        <f t="array" ref="E691">IFERROR(INDEX('TRIP MANAGER'!$Q$18:$Q$25,$A691),"")</f>
        <v/>
      </c>
      <c r="F691" t="str" cm="1">
        <f t="array" ref="F691">IFERROR(INDEX('TRIP MANAGER'!$R$18:$R$25,$A691),"")</f>
        <v/>
      </c>
      <c r="G691" t="str" cm="1">
        <f t="array" ref="G691">IFERROR(INDEX('TRIP MANAGER'!$S$18:$S$25,$A691),"")</f>
        <v/>
      </c>
      <c r="H691">
        <f t="shared" si="112"/>
        <v>0.56666666666666665</v>
      </c>
      <c r="I691" t="str">
        <f t="shared" si="113"/>
        <v/>
      </c>
      <c r="J691" t="str">
        <f t="shared" si="114"/>
        <v/>
      </c>
      <c r="K691" t="str">
        <f t="shared" si="115"/>
        <v/>
      </c>
      <c r="L691" t="str">
        <f t="shared" si="116"/>
        <v/>
      </c>
      <c r="M691" t="str">
        <f t="shared" si="117"/>
        <v/>
      </c>
      <c r="N691" t="str">
        <f t="shared" si="118"/>
        <v/>
      </c>
      <c r="O691" t="str">
        <f t="shared" si="119"/>
        <v/>
      </c>
      <c r="P691" t="str" cm="1">
        <f t="array" ref="P691">IF($N691="","",IFERROR(IF(INDEX(geo_grid!$B$2:$JU$231,INT(($N691+40)/0.5)+1,INT(($O691+30)/0.5)+1)="","",INDEX(geo_grid!$B$2:$JU$231,INT(($N691+40)/0.5)+1,INT(($O691+30)/0.5)+1)),"OUTSIDE GRID"))</f>
        <v/>
      </c>
      <c r="Q691" t="str">
        <f t="shared" si="120"/>
        <v/>
      </c>
    </row>
    <row r="692" spans="1:17" x14ac:dyDescent="0.3">
      <c r="A692">
        <f t="shared" si="110"/>
        <v>5</v>
      </c>
      <c r="B692">
        <f t="shared" si="111"/>
        <v>86</v>
      </c>
      <c r="C692" t="str" cm="1">
        <f t="array" ref="C692">IFERROR(INDEX('TRIP MANAGER'!$O$18:$O$25,$A692),"")</f>
        <v/>
      </c>
      <c r="D692" t="str" cm="1">
        <f t="array" ref="D692">IFERROR(INDEX('TRIP MANAGER'!$P$18:$P$25,$A692),"")</f>
        <v/>
      </c>
      <c r="E692" t="str" cm="1">
        <f t="array" ref="E692">IFERROR(INDEX('TRIP MANAGER'!$Q$18:$Q$25,$A692),"")</f>
        <v/>
      </c>
      <c r="F692" t="str" cm="1">
        <f t="array" ref="F692">IFERROR(INDEX('TRIP MANAGER'!$R$18:$R$25,$A692),"")</f>
        <v/>
      </c>
      <c r="G692" t="str" cm="1">
        <f t="array" ref="G692">IFERROR(INDEX('TRIP MANAGER'!$S$18:$S$25,$A692),"")</f>
        <v/>
      </c>
      <c r="H692">
        <f t="shared" si="112"/>
        <v>0.57333333333333336</v>
      </c>
      <c r="I692" t="str">
        <f t="shared" si="113"/>
        <v/>
      </c>
      <c r="J692" t="str">
        <f t="shared" si="114"/>
        <v/>
      </c>
      <c r="K692" t="str">
        <f t="shared" si="115"/>
        <v/>
      </c>
      <c r="L692" t="str">
        <f t="shared" si="116"/>
        <v/>
      </c>
      <c r="M692" t="str">
        <f t="shared" si="117"/>
        <v/>
      </c>
      <c r="N692" t="str">
        <f t="shared" si="118"/>
        <v/>
      </c>
      <c r="O692" t="str">
        <f t="shared" si="119"/>
        <v/>
      </c>
      <c r="P692" t="str" cm="1">
        <f t="array" ref="P692">IF($N692="","",IFERROR(IF(INDEX(geo_grid!$B$2:$JU$231,INT(($N692+40)/0.5)+1,INT(($O692+30)/0.5)+1)="","",INDEX(geo_grid!$B$2:$JU$231,INT(($N692+40)/0.5)+1,INT(($O692+30)/0.5)+1)),"OUTSIDE GRID"))</f>
        <v/>
      </c>
      <c r="Q692" t="str">
        <f t="shared" si="120"/>
        <v/>
      </c>
    </row>
    <row r="693" spans="1:17" x14ac:dyDescent="0.3">
      <c r="A693">
        <f t="shared" si="110"/>
        <v>5</v>
      </c>
      <c r="B693">
        <f t="shared" si="111"/>
        <v>87</v>
      </c>
      <c r="C693" t="str" cm="1">
        <f t="array" ref="C693">IFERROR(INDEX('TRIP MANAGER'!$O$18:$O$25,$A693),"")</f>
        <v/>
      </c>
      <c r="D693" t="str" cm="1">
        <f t="array" ref="D693">IFERROR(INDEX('TRIP MANAGER'!$P$18:$P$25,$A693),"")</f>
        <v/>
      </c>
      <c r="E693" t="str" cm="1">
        <f t="array" ref="E693">IFERROR(INDEX('TRIP MANAGER'!$Q$18:$Q$25,$A693),"")</f>
        <v/>
      </c>
      <c r="F693" t="str" cm="1">
        <f t="array" ref="F693">IFERROR(INDEX('TRIP MANAGER'!$R$18:$R$25,$A693),"")</f>
        <v/>
      </c>
      <c r="G693" t="str" cm="1">
        <f t="array" ref="G693">IFERROR(INDEX('TRIP MANAGER'!$S$18:$S$25,$A693),"")</f>
        <v/>
      </c>
      <c r="H693">
        <f t="shared" si="112"/>
        <v>0.57999999999999996</v>
      </c>
      <c r="I693" t="str">
        <f t="shared" si="113"/>
        <v/>
      </c>
      <c r="J693" t="str">
        <f t="shared" si="114"/>
        <v/>
      </c>
      <c r="K693" t="str">
        <f t="shared" si="115"/>
        <v/>
      </c>
      <c r="L693" t="str">
        <f t="shared" si="116"/>
        <v/>
      </c>
      <c r="M693" t="str">
        <f t="shared" si="117"/>
        <v/>
      </c>
      <c r="N693" t="str">
        <f t="shared" si="118"/>
        <v/>
      </c>
      <c r="O693" t="str">
        <f t="shared" si="119"/>
        <v/>
      </c>
      <c r="P693" t="str" cm="1">
        <f t="array" ref="P693">IF($N693="","",IFERROR(IF(INDEX(geo_grid!$B$2:$JU$231,INT(($N693+40)/0.5)+1,INT(($O693+30)/0.5)+1)="","",INDEX(geo_grid!$B$2:$JU$231,INT(($N693+40)/0.5)+1,INT(($O693+30)/0.5)+1)),"OUTSIDE GRID"))</f>
        <v/>
      </c>
      <c r="Q693" t="str">
        <f t="shared" si="120"/>
        <v/>
      </c>
    </row>
    <row r="694" spans="1:17" x14ac:dyDescent="0.3">
      <c r="A694">
        <f t="shared" si="110"/>
        <v>5</v>
      </c>
      <c r="B694">
        <f t="shared" si="111"/>
        <v>88</v>
      </c>
      <c r="C694" t="str" cm="1">
        <f t="array" ref="C694">IFERROR(INDEX('TRIP MANAGER'!$O$18:$O$25,$A694),"")</f>
        <v/>
      </c>
      <c r="D694" t="str" cm="1">
        <f t="array" ref="D694">IFERROR(INDEX('TRIP MANAGER'!$P$18:$P$25,$A694),"")</f>
        <v/>
      </c>
      <c r="E694" t="str" cm="1">
        <f t="array" ref="E694">IFERROR(INDEX('TRIP MANAGER'!$Q$18:$Q$25,$A694),"")</f>
        <v/>
      </c>
      <c r="F694" t="str" cm="1">
        <f t="array" ref="F694">IFERROR(INDEX('TRIP MANAGER'!$R$18:$R$25,$A694),"")</f>
        <v/>
      </c>
      <c r="G694" t="str" cm="1">
        <f t="array" ref="G694">IFERROR(INDEX('TRIP MANAGER'!$S$18:$S$25,$A694),"")</f>
        <v/>
      </c>
      <c r="H694">
        <f t="shared" si="112"/>
        <v>0.58666666666666667</v>
      </c>
      <c r="I694" t="str">
        <f t="shared" si="113"/>
        <v/>
      </c>
      <c r="J694" t="str">
        <f t="shared" si="114"/>
        <v/>
      </c>
      <c r="K694" t="str">
        <f t="shared" si="115"/>
        <v/>
      </c>
      <c r="L694" t="str">
        <f t="shared" si="116"/>
        <v/>
      </c>
      <c r="M694" t="str">
        <f t="shared" si="117"/>
        <v/>
      </c>
      <c r="N694" t="str">
        <f t="shared" si="118"/>
        <v/>
      </c>
      <c r="O694" t="str">
        <f t="shared" si="119"/>
        <v/>
      </c>
      <c r="P694" t="str" cm="1">
        <f t="array" ref="P694">IF($N694="","",IFERROR(IF(INDEX(geo_grid!$B$2:$JU$231,INT(($N694+40)/0.5)+1,INT(($O694+30)/0.5)+1)="","",INDEX(geo_grid!$B$2:$JU$231,INT(($N694+40)/0.5)+1,INT(($O694+30)/0.5)+1)),"OUTSIDE GRID"))</f>
        <v/>
      </c>
      <c r="Q694" t="str">
        <f t="shared" si="120"/>
        <v/>
      </c>
    </row>
    <row r="695" spans="1:17" x14ac:dyDescent="0.3">
      <c r="A695">
        <f t="shared" si="110"/>
        <v>5</v>
      </c>
      <c r="B695">
        <f t="shared" si="111"/>
        <v>89</v>
      </c>
      <c r="C695" t="str" cm="1">
        <f t="array" ref="C695">IFERROR(INDEX('TRIP MANAGER'!$O$18:$O$25,$A695),"")</f>
        <v/>
      </c>
      <c r="D695" t="str" cm="1">
        <f t="array" ref="D695">IFERROR(INDEX('TRIP MANAGER'!$P$18:$P$25,$A695),"")</f>
        <v/>
      </c>
      <c r="E695" t="str" cm="1">
        <f t="array" ref="E695">IFERROR(INDEX('TRIP MANAGER'!$Q$18:$Q$25,$A695),"")</f>
        <v/>
      </c>
      <c r="F695" t="str" cm="1">
        <f t="array" ref="F695">IFERROR(INDEX('TRIP MANAGER'!$R$18:$R$25,$A695),"")</f>
        <v/>
      </c>
      <c r="G695" t="str" cm="1">
        <f t="array" ref="G695">IFERROR(INDEX('TRIP MANAGER'!$S$18:$S$25,$A695),"")</f>
        <v/>
      </c>
      <c r="H695">
        <f t="shared" si="112"/>
        <v>0.59333333333333338</v>
      </c>
      <c r="I695" t="str">
        <f t="shared" si="113"/>
        <v/>
      </c>
      <c r="J695" t="str">
        <f t="shared" si="114"/>
        <v/>
      </c>
      <c r="K695" t="str">
        <f t="shared" si="115"/>
        <v/>
      </c>
      <c r="L695" t="str">
        <f t="shared" si="116"/>
        <v/>
      </c>
      <c r="M695" t="str">
        <f t="shared" si="117"/>
        <v/>
      </c>
      <c r="N695" t="str">
        <f t="shared" si="118"/>
        <v/>
      </c>
      <c r="O695" t="str">
        <f t="shared" si="119"/>
        <v/>
      </c>
      <c r="P695" t="str" cm="1">
        <f t="array" ref="P695">IF($N695="","",IFERROR(IF(INDEX(geo_grid!$B$2:$JU$231,INT(($N695+40)/0.5)+1,INT(($O695+30)/0.5)+1)="","",INDEX(geo_grid!$B$2:$JU$231,INT(($N695+40)/0.5)+1,INT(($O695+30)/0.5)+1)),"OUTSIDE GRID"))</f>
        <v/>
      </c>
      <c r="Q695" t="str">
        <f t="shared" si="120"/>
        <v/>
      </c>
    </row>
    <row r="696" spans="1:17" x14ac:dyDescent="0.3">
      <c r="A696">
        <f t="shared" si="110"/>
        <v>5</v>
      </c>
      <c r="B696">
        <f t="shared" si="111"/>
        <v>90</v>
      </c>
      <c r="C696" t="str" cm="1">
        <f t="array" ref="C696">IFERROR(INDEX('TRIP MANAGER'!$O$18:$O$25,$A696),"")</f>
        <v/>
      </c>
      <c r="D696" t="str" cm="1">
        <f t="array" ref="D696">IFERROR(INDEX('TRIP MANAGER'!$P$18:$P$25,$A696),"")</f>
        <v/>
      </c>
      <c r="E696" t="str" cm="1">
        <f t="array" ref="E696">IFERROR(INDEX('TRIP MANAGER'!$Q$18:$Q$25,$A696),"")</f>
        <v/>
      </c>
      <c r="F696" t="str" cm="1">
        <f t="array" ref="F696">IFERROR(INDEX('TRIP MANAGER'!$R$18:$R$25,$A696),"")</f>
        <v/>
      </c>
      <c r="G696" t="str" cm="1">
        <f t="array" ref="G696">IFERROR(INDEX('TRIP MANAGER'!$S$18:$S$25,$A696),"")</f>
        <v/>
      </c>
      <c r="H696">
        <f t="shared" si="112"/>
        <v>0.6</v>
      </c>
      <c r="I696" t="str">
        <f t="shared" si="113"/>
        <v/>
      </c>
      <c r="J696" t="str">
        <f t="shared" si="114"/>
        <v/>
      </c>
      <c r="K696" t="str">
        <f t="shared" si="115"/>
        <v/>
      </c>
      <c r="L696" t="str">
        <f t="shared" si="116"/>
        <v/>
      </c>
      <c r="M696" t="str">
        <f t="shared" si="117"/>
        <v/>
      </c>
      <c r="N696" t="str">
        <f t="shared" si="118"/>
        <v/>
      </c>
      <c r="O696" t="str">
        <f t="shared" si="119"/>
        <v/>
      </c>
      <c r="P696" t="str" cm="1">
        <f t="array" ref="P696">IF($N696="","",IFERROR(IF(INDEX(geo_grid!$B$2:$JU$231,INT(($N696+40)/0.5)+1,INT(($O696+30)/0.5)+1)="","",INDEX(geo_grid!$B$2:$JU$231,INT(($N696+40)/0.5)+1,INT(($O696+30)/0.5)+1)),"OUTSIDE GRID"))</f>
        <v/>
      </c>
      <c r="Q696" t="str">
        <f t="shared" si="120"/>
        <v/>
      </c>
    </row>
    <row r="697" spans="1:17" x14ac:dyDescent="0.3">
      <c r="A697">
        <f t="shared" si="110"/>
        <v>5</v>
      </c>
      <c r="B697">
        <f t="shared" si="111"/>
        <v>91</v>
      </c>
      <c r="C697" t="str" cm="1">
        <f t="array" ref="C697">IFERROR(INDEX('TRIP MANAGER'!$O$18:$O$25,$A697),"")</f>
        <v/>
      </c>
      <c r="D697" t="str" cm="1">
        <f t="array" ref="D697">IFERROR(INDEX('TRIP MANAGER'!$P$18:$P$25,$A697),"")</f>
        <v/>
      </c>
      <c r="E697" t="str" cm="1">
        <f t="array" ref="E697">IFERROR(INDEX('TRIP MANAGER'!$Q$18:$Q$25,$A697),"")</f>
        <v/>
      </c>
      <c r="F697" t="str" cm="1">
        <f t="array" ref="F697">IFERROR(INDEX('TRIP MANAGER'!$R$18:$R$25,$A697),"")</f>
        <v/>
      </c>
      <c r="G697" t="str" cm="1">
        <f t="array" ref="G697">IFERROR(INDEX('TRIP MANAGER'!$S$18:$S$25,$A697),"")</f>
        <v/>
      </c>
      <c r="H697">
        <f t="shared" si="112"/>
        <v>0.60666666666666669</v>
      </c>
      <c r="I697" t="str">
        <f t="shared" si="113"/>
        <v/>
      </c>
      <c r="J697" t="str">
        <f t="shared" si="114"/>
        <v/>
      </c>
      <c r="K697" t="str">
        <f t="shared" si="115"/>
        <v/>
      </c>
      <c r="L697" t="str">
        <f t="shared" si="116"/>
        <v/>
      </c>
      <c r="M697" t="str">
        <f t="shared" si="117"/>
        <v/>
      </c>
      <c r="N697" t="str">
        <f t="shared" si="118"/>
        <v/>
      </c>
      <c r="O697" t="str">
        <f t="shared" si="119"/>
        <v/>
      </c>
      <c r="P697" t="str" cm="1">
        <f t="array" ref="P697">IF($N697="","",IFERROR(IF(INDEX(geo_grid!$B$2:$JU$231,INT(($N697+40)/0.5)+1,INT(($O697+30)/0.5)+1)="","",INDEX(geo_grid!$B$2:$JU$231,INT(($N697+40)/0.5)+1,INT(($O697+30)/0.5)+1)),"OUTSIDE GRID"))</f>
        <v/>
      </c>
      <c r="Q697" t="str">
        <f t="shared" si="120"/>
        <v/>
      </c>
    </row>
    <row r="698" spans="1:17" x14ac:dyDescent="0.3">
      <c r="A698">
        <f t="shared" si="110"/>
        <v>5</v>
      </c>
      <c r="B698">
        <f t="shared" si="111"/>
        <v>92</v>
      </c>
      <c r="C698" t="str" cm="1">
        <f t="array" ref="C698">IFERROR(INDEX('TRIP MANAGER'!$O$18:$O$25,$A698),"")</f>
        <v/>
      </c>
      <c r="D698" t="str" cm="1">
        <f t="array" ref="D698">IFERROR(INDEX('TRIP MANAGER'!$P$18:$P$25,$A698),"")</f>
        <v/>
      </c>
      <c r="E698" t="str" cm="1">
        <f t="array" ref="E698">IFERROR(INDEX('TRIP MANAGER'!$Q$18:$Q$25,$A698),"")</f>
        <v/>
      </c>
      <c r="F698" t="str" cm="1">
        <f t="array" ref="F698">IFERROR(INDEX('TRIP MANAGER'!$R$18:$R$25,$A698),"")</f>
        <v/>
      </c>
      <c r="G698" t="str" cm="1">
        <f t="array" ref="G698">IFERROR(INDEX('TRIP MANAGER'!$S$18:$S$25,$A698),"")</f>
        <v/>
      </c>
      <c r="H698">
        <f t="shared" si="112"/>
        <v>0.61333333333333329</v>
      </c>
      <c r="I698" t="str">
        <f t="shared" si="113"/>
        <v/>
      </c>
      <c r="J698" t="str">
        <f t="shared" si="114"/>
        <v/>
      </c>
      <c r="K698" t="str">
        <f t="shared" si="115"/>
        <v/>
      </c>
      <c r="L698" t="str">
        <f t="shared" si="116"/>
        <v/>
      </c>
      <c r="M698" t="str">
        <f t="shared" si="117"/>
        <v/>
      </c>
      <c r="N698" t="str">
        <f t="shared" si="118"/>
        <v/>
      </c>
      <c r="O698" t="str">
        <f t="shared" si="119"/>
        <v/>
      </c>
      <c r="P698" t="str" cm="1">
        <f t="array" ref="P698">IF($N698="","",IFERROR(IF(INDEX(geo_grid!$B$2:$JU$231,INT(($N698+40)/0.5)+1,INT(($O698+30)/0.5)+1)="","",INDEX(geo_grid!$B$2:$JU$231,INT(($N698+40)/0.5)+1,INT(($O698+30)/0.5)+1)),"OUTSIDE GRID"))</f>
        <v/>
      </c>
      <c r="Q698" t="str">
        <f t="shared" si="120"/>
        <v/>
      </c>
    </row>
    <row r="699" spans="1:17" x14ac:dyDescent="0.3">
      <c r="A699">
        <f t="shared" si="110"/>
        <v>5</v>
      </c>
      <c r="B699">
        <f t="shared" si="111"/>
        <v>93</v>
      </c>
      <c r="C699" t="str" cm="1">
        <f t="array" ref="C699">IFERROR(INDEX('TRIP MANAGER'!$O$18:$O$25,$A699),"")</f>
        <v/>
      </c>
      <c r="D699" t="str" cm="1">
        <f t="array" ref="D699">IFERROR(INDEX('TRIP MANAGER'!$P$18:$P$25,$A699),"")</f>
        <v/>
      </c>
      <c r="E699" t="str" cm="1">
        <f t="array" ref="E699">IFERROR(INDEX('TRIP MANAGER'!$Q$18:$Q$25,$A699),"")</f>
        <v/>
      </c>
      <c r="F699" t="str" cm="1">
        <f t="array" ref="F699">IFERROR(INDEX('TRIP MANAGER'!$R$18:$R$25,$A699),"")</f>
        <v/>
      </c>
      <c r="G699" t="str" cm="1">
        <f t="array" ref="G699">IFERROR(INDEX('TRIP MANAGER'!$S$18:$S$25,$A699),"")</f>
        <v/>
      </c>
      <c r="H699">
        <f t="shared" si="112"/>
        <v>0.62</v>
      </c>
      <c r="I699" t="str">
        <f t="shared" si="113"/>
        <v/>
      </c>
      <c r="J699" t="str">
        <f t="shared" si="114"/>
        <v/>
      </c>
      <c r="K699" t="str">
        <f t="shared" si="115"/>
        <v/>
      </c>
      <c r="L699" t="str">
        <f t="shared" si="116"/>
        <v/>
      </c>
      <c r="M699" t="str">
        <f t="shared" si="117"/>
        <v/>
      </c>
      <c r="N699" t="str">
        <f t="shared" si="118"/>
        <v/>
      </c>
      <c r="O699" t="str">
        <f t="shared" si="119"/>
        <v/>
      </c>
      <c r="P699" t="str" cm="1">
        <f t="array" ref="P699">IF($N699="","",IFERROR(IF(INDEX(geo_grid!$B$2:$JU$231,INT(($N699+40)/0.5)+1,INT(($O699+30)/0.5)+1)="","",INDEX(geo_grid!$B$2:$JU$231,INT(($N699+40)/0.5)+1,INT(($O699+30)/0.5)+1)),"OUTSIDE GRID"))</f>
        <v/>
      </c>
      <c r="Q699" t="str">
        <f t="shared" si="120"/>
        <v/>
      </c>
    </row>
    <row r="700" spans="1:17" x14ac:dyDescent="0.3">
      <c r="A700">
        <f t="shared" si="110"/>
        <v>5</v>
      </c>
      <c r="B700">
        <f t="shared" si="111"/>
        <v>94</v>
      </c>
      <c r="C700" t="str" cm="1">
        <f t="array" ref="C700">IFERROR(INDEX('TRIP MANAGER'!$O$18:$O$25,$A700),"")</f>
        <v/>
      </c>
      <c r="D700" t="str" cm="1">
        <f t="array" ref="D700">IFERROR(INDEX('TRIP MANAGER'!$P$18:$P$25,$A700),"")</f>
        <v/>
      </c>
      <c r="E700" t="str" cm="1">
        <f t="array" ref="E700">IFERROR(INDEX('TRIP MANAGER'!$Q$18:$Q$25,$A700),"")</f>
        <v/>
      </c>
      <c r="F700" t="str" cm="1">
        <f t="array" ref="F700">IFERROR(INDEX('TRIP MANAGER'!$R$18:$R$25,$A700),"")</f>
        <v/>
      </c>
      <c r="G700" t="str" cm="1">
        <f t="array" ref="G700">IFERROR(INDEX('TRIP MANAGER'!$S$18:$S$25,$A700),"")</f>
        <v/>
      </c>
      <c r="H700">
        <f t="shared" si="112"/>
        <v>0.62666666666666671</v>
      </c>
      <c r="I700" t="str">
        <f t="shared" si="113"/>
        <v/>
      </c>
      <c r="J700" t="str">
        <f t="shared" si="114"/>
        <v/>
      </c>
      <c r="K700" t="str">
        <f t="shared" si="115"/>
        <v/>
      </c>
      <c r="L700" t="str">
        <f t="shared" si="116"/>
        <v/>
      </c>
      <c r="M700" t="str">
        <f t="shared" si="117"/>
        <v/>
      </c>
      <c r="N700" t="str">
        <f t="shared" si="118"/>
        <v/>
      </c>
      <c r="O700" t="str">
        <f t="shared" si="119"/>
        <v/>
      </c>
      <c r="P700" t="str" cm="1">
        <f t="array" ref="P700">IF($N700="","",IFERROR(IF(INDEX(geo_grid!$B$2:$JU$231,INT(($N700+40)/0.5)+1,INT(($O700+30)/0.5)+1)="","",INDEX(geo_grid!$B$2:$JU$231,INT(($N700+40)/0.5)+1,INT(($O700+30)/0.5)+1)),"OUTSIDE GRID"))</f>
        <v/>
      </c>
      <c r="Q700" t="str">
        <f t="shared" si="120"/>
        <v/>
      </c>
    </row>
    <row r="701" spans="1:17" x14ac:dyDescent="0.3">
      <c r="A701">
        <f t="shared" si="110"/>
        <v>5</v>
      </c>
      <c r="B701">
        <f t="shared" si="111"/>
        <v>95</v>
      </c>
      <c r="C701" t="str" cm="1">
        <f t="array" ref="C701">IFERROR(INDEX('TRIP MANAGER'!$O$18:$O$25,$A701),"")</f>
        <v/>
      </c>
      <c r="D701" t="str" cm="1">
        <f t="array" ref="D701">IFERROR(INDEX('TRIP MANAGER'!$P$18:$P$25,$A701),"")</f>
        <v/>
      </c>
      <c r="E701" t="str" cm="1">
        <f t="array" ref="E701">IFERROR(INDEX('TRIP MANAGER'!$Q$18:$Q$25,$A701),"")</f>
        <v/>
      </c>
      <c r="F701" t="str" cm="1">
        <f t="array" ref="F701">IFERROR(INDEX('TRIP MANAGER'!$R$18:$R$25,$A701),"")</f>
        <v/>
      </c>
      <c r="G701" t="str" cm="1">
        <f t="array" ref="G701">IFERROR(INDEX('TRIP MANAGER'!$S$18:$S$25,$A701),"")</f>
        <v/>
      </c>
      <c r="H701">
        <f t="shared" si="112"/>
        <v>0.6333333333333333</v>
      </c>
      <c r="I701" t="str">
        <f t="shared" si="113"/>
        <v/>
      </c>
      <c r="J701" t="str">
        <f t="shared" si="114"/>
        <v/>
      </c>
      <c r="K701" t="str">
        <f t="shared" si="115"/>
        <v/>
      </c>
      <c r="L701" t="str">
        <f t="shared" si="116"/>
        <v/>
      </c>
      <c r="M701" t="str">
        <f t="shared" si="117"/>
        <v/>
      </c>
      <c r="N701" t="str">
        <f t="shared" si="118"/>
        <v/>
      </c>
      <c r="O701" t="str">
        <f t="shared" si="119"/>
        <v/>
      </c>
      <c r="P701" t="str" cm="1">
        <f t="array" ref="P701">IF($N701="","",IFERROR(IF(INDEX(geo_grid!$B$2:$JU$231,INT(($N701+40)/0.5)+1,INT(($O701+30)/0.5)+1)="","",INDEX(geo_grid!$B$2:$JU$231,INT(($N701+40)/0.5)+1,INT(($O701+30)/0.5)+1)),"OUTSIDE GRID"))</f>
        <v/>
      </c>
      <c r="Q701" t="str">
        <f t="shared" si="120"/>
        <v/>
      </c>
    </row>
    <row r="702" spans="1:17" x14ac:dyDescent="0.3">
      <c r="A702">
        <f t="shared" si="110"/>
        <v>5</v>
      </c>
      <c r="B702">
        <f t="shared" si="111"/>
        <v>96</v>
      </c>
      <c r="C702" t="str" cm="1">
        <f t="array" ref="C702">IFERROR(INDEX('TRIP MANAGER'!$O$18:$O$25,$A702),"")</f>
        <v/>
      </c>
      <c r="D702" t="str" cm="1">
        <f t="array" ref="D702">IFERROR(INDEX('TRIP MANAGER'!$P$18:$P$25,$A702),"")</f>
        <v/>
      </c>
      <c r="E702" t="str" cm="1">
        <f t="array" ref="E702">IFERROR(INDEX('TRIP MANAGER'!$Q$18:$Q$25,$A702),"")</f>
        <v/>
      </c>
      <c r="F702" t="str" cm="1">
        <f t="array" ref="F702">IFERROR(INDEX('TRIP MANAGER'!$R$18:$R$25,$A702),"")</f>
        <v/>
      </c>
      <c r="G702" t="str" cm="1">
        <f t="array" ref="G702">IFERROR(INDEX('TRIP MANAGER'!$S$18:$S$25,$A702),"")</f>
        <v/>
      </c>
      <c r="H702">
        <f t="shared" si="112"/>
        <v>0.64</v>
      </c>
      <c r="I702" t="str">
        <f t="shared" si="113"/>
        <v/>
      </c>
      <c r="J702" t="str">
        <f t="shared" si="114"/>
        <v/>
      </c>
      <c r="K702" t="str">
        <f t="shared" si="115"/>
        <v/>
      </c>
      <c r="L702" t="str">
        <f t="shared" si="116"/>
        <v/>
      </c>
      <c r="M702" t="str">
        <f t="shared" si="117"/>
        <v/>
      </c>
      <c r="N702" t="str">
        <f t="shared" si="118"/>
        <v/>
      </c>
      <c r="O702" t="str">
        <f t="shared" si="119"/>
        <v/>
      </c>
      <c r="P702" t="str" cm="1">
        <f t="array" ref="P702">IF($N702="","",IFERROR(IF(INDEX(geo_grid!$B$2:$JU$231,INT(($N702+40)/0.5)+1,INT(($O702+30)/0.5)+1)="","",INDEX(geo_grid!$B$2:$JU$231,INT(($N702+40)/0.5)+1,INT(($O702+30)/0.5)+1)),"OUTSIDE GRID"))</f>
        <v/>
      </c>
      <c r="Q702" t="str">
        <f t="shared" si="120"/>
        <v/>
      </c>
    </row>
    <row r="703" spans="1:17" x14ac:dyDescent="0.3">
      <c r="A703">
        <f t="shared" si="110"/>
        <v>5</v>
      </c>
      <c r="B703">
        <f t="shared" si="111"/>
        <v>97</v>
      </c>
      <c r="C703" t="str" cm="1">
        <f t="array" ref="C703">IFERROR(INDEX('TRIP MANAGER'!$O$18:$O$25,$A703),"")</f>
        <v/>
      </c>
      <c r="D703" t="str" cm="1">
        <f t="array" ref="D703">IFERROR(INDEX('TRIP MANAGER'!$P$18:$P$25,$A703),"")</f>
        <v/>
      </c>
      <c r="E703" t="str" cm="1">
        <f t="array" ref="E703">IFERROR(INDEX('TRIP MANAGER'!$Q$18:$Q$25,$A703),"")</f>
        <v/>
      </c>
      <c r="F703" t="str" cm="1">
        <f t="array" ref="F703">IFERROR(INDEX('TRIP MANAGER'!$R$18:$R$25,$A703),"")</f>
        <v/>
      </c>
      <c r="G703" t="str" cm="1">
        <f t="array" ref="G703">IFERROR(INDEX('TRIP MANAGER'!$S$18:$S$25,$A703),"")</f>
        <v/>
      </c>
      <c r="H703">
        <f t="shared" si="112"/>
        <v>0.64666666666666661</v>
      </c>
      <c r="I703" t="str">
        <f t="shared" si="113"/>
        <v/>
      </c>
      <c r="J703" t="str">
        <f t="shared" si="114"/>
        <v/>
      </c>
      <c r="K703" t="str">
        <f t="shared" si="115"/>
        <v/>
      </c>
      <c r="L703" t="str">
        <f t="shared" si="116"/>
        <v/>
      </c>
      <c r="M703" t="str">
        <f t="shared" si="117"/>
        <v/>
      </c>
      <c r="N703" t="str">
        <f t="shared" si="118"/>
        <v/>
      </c>
      <c r="O703" t="str">
        <f t="shared" si="119"/>
        <v/>
      </c>
      <c r="P703" t="str" cm="1">
        <f t="array" ref="P703">IF($N703="","",IFERROR(IF(INDEX(geo_grid!$B$2:$JU$231,INT(($N703+40)/0.5)+1,INT(($O703+30)/0.5)+1)="","",INDEX(geo_grid!$B$2:$JU$231,INT(($N703+40)/0.5)+1,INT(($O703+30)/0.5)+1)),"OUTSIDE GRID"))</f>
        <v/>
      </c>
      <c r="Q703" t="str">
        <f t="shared" si="120"/>
        <v/>
      </c>
    </row>
    <row r="704" spans="1:17" x14ac:dyDescent="0.3">
      <c r="A704">
        <f t="shared" si="110"/>
        <v>5</v>
      </c>
      <c r="B704">
        <f t="shared" si="111"/>
        <v>98</v>
      </c>
      <c r="C704" t="str" cm="1">
        <f t="array" ref="C704">IFERROR(INDEX('TRIP MANAGER'!$O$18:$O$25,$A704),"")</f>
        <v/>
      </c>
      <c r="D704" t="str" cm="1">
        <f t="array" ref="D704">IFERROR(INDEX('TRIP MANAGER'!$P$18:$P$25,$A704),"")</f>
        <v/>
      </c>
      <c r="E704" t="str" cm="1">
        <f t="array" ref="E704">IFERROR(INDEX('TRIP MANAGER'!$Q$18:$Q$25,$A704),"")</f>
        <v/>
      </c>
      <c r="F704" t="str" cm="1">
        <f t="array" ref="F704">IFERROR(INDEX('TRIP MANAGER'!$R$18:$R$25,$A704),"")</f>
        <v/>
      </c>
      <c r="G704" t="str" cm="1">
        <f t="array" ref="G704">IFERROR(INDEX('TRIP MANAGER'!$S$18:$S$25,$A704),"")</f>
        <v/>
      </c>
      <c r="H704">
        <f t="shared" si="112"/>
        <v>0.65333333333333332</v>
      </c>
      <c r="I704" t="str">
        <f t="shared" si="113"/>
        <v/>
      </c>
      <c r="J704" t="str">
        <f t="shared" si="114"/>
        <v/>
      </c>
      <c r="K704" t="str">
        <f t="shared" si="115"/>
        <v/>
      </c>
      <c r="L704" t="str">
        <f t="shared" si="116"/>
        <v/>
      </c>
      <c r="M704" t="str">
        <f t="shared" si="117"/>
        <v/>
      </c>
      <c r="N704" t="str">
        <f t="shared" si="118"/>
        <v/>
      </c>
      <c r="O704" t="str">
        <f t="shared" si="119"/>
        <v/>
      </c>
      <c r="P704" t="str" cm="1">
        <f t="array" ref="P704">IF($N704="","",IFERROR(IF(INDEX(geo_grid!$B$2:$JU$231,INT(($N704+40)/0.5)+1,INT(($O704+30)/0.5)+1)="","",INDEX(geo_grid!$B$2:$JU$231,INT(($N704+40)/0.5)+1,INT(($O704+30)/0.5)+1)),"OUTSIDE GRID"))</f>
        <v/>
      </c>
      <c r="Q704" t="str">
        <f t="shared" si="120"/>
        <v/>
      </c>
    </row>
    <row r="705" spans="1:17" x14ac:dyDescent="0.3">
      <c r="A705">
        <f t="shared" si="110"/>
        <v>5</v>
      </c>
      <c r="B705">
        <f t="shared" si="111"/>
        <v>99</v>
      </c>
      <c r="C705" t="str" cm="1">
        <f t="array" ref="C705">IFERROR(INDEX('TRIP MANAGER'!$O$18:$O$25,$A705),"")</f>
        <v/>
      </c>
      <c r="D705" t="str" cm="1">
        <f t="array" ref="D705">IFERROR(INDEX('TRIP MANAGER'!$P$18:$P$25,$A705),"")</f>
        <v/>
      </c>
      <c r="E705" t="str" cm="1">
        <f t="array" ref="E705">IFERROR(INDEX('TRIP MANAGER'!$Q$18:$Q$25,$A705),"")</f>
        <v/>
      </c>
      <c r="F705" t="str" cm="1">
        <f t="array" ref="F705">IFERROR(INDEX('TRIP MANAGER'!$R$18:$R$25,$A705),"")</f>
        <v/>
      </c>
      <c r="G705" t="str" cm="1">
        <f t="array" ref="G705">IFERROR(INDEX('TRIP MANAGER'!$S$18:$S$25,$A705),"")</f>
        <v/>
      </c>
      <c r="H705">
        <f t="shared" si="112"/>
        <v>0.66</v>
      </c>
      <c r="I705" t="str">
        <f t="shared" si="113"/>
        <v/>
      </c>
      <c r="J705" t="str">
        <f t="shared" si="114"/>
        <v/>
      </c>
      <c r="K705" t="str">
        <f t="shared" si="115"/>
        <v/>
      </c>
      <c r="L705" t="str">
        <f t="shared" si="116"/>
        <v/>
      </c>
      <c r="M705" t="str">
        <f t="shared" si="117"/>
        <v/>
      </c>
      <c r="N705" t="str">
        <f t="shared" si="118"/>
        <v/>
      </c>
      <c r="O705" t="str">
        <f t="shared" si="119"/>
        <v/>
      </c>
      <c r="P705" t="str" cm="1">
        <f t="array" ref="P705">IF($N705="","",IFERROR(IF(INDEX(geo_grid!$B$2:$JU$231,INT(($N705+40)/0.5)+1,INT(($O705+30)/0.5)+1)="","",INDEX(geo_grid!$B$2:$JU$231,INT(($N705+40)/0.5)+1,INT(($O705+30)/0.5)+1)),"OUTSIDE GRID"))</f>
        <v/>
      </c>
      <c r="Q705" t="str">
        <f t="shared" si="120"/>
        <v/>
      </c>
    </row>
    <row r="706" spans="1:17" x14ac:dyDescent="0.3">
      <c r="A706">
        <f t="shared" si="110"/>
        <v>5</v>
      </c>
      <c r="B706">
        <f t="shared" si="111"/>
        <v>100</v>
      </c>
      <c r="C706" t="str" cm="1">
        <f t="array" ref="C706">IFERROR(INDEX('TRIP MANAGER'!$O$18:$O$25,$A706),"")</f>
        <v/>
      </c>
      <c r="D706" t="str" cm="1">
        <f t="array" ref="D706">IFERROR(INDEX('TRIP MANAGER'!$P$18:$P$25,$A706),"")</f>
        <v/>
      </c>
      <c r="E706" t="str" cm="1">
        <f t="array" ref="E706">IFERROR(INDEX('TRIP MANAGER'!$Q$18:$Q$25,$A706),"")</f>
        <v/>
      </c>
      <c r="F706" t="str" cm="1">
        <f t="array" ref="F706">IFERROR(INDEX('TRIP MANAGER'!$R$18:$R$25,$A706),"")</f>
        <v/>
      </c>
      <c r="G706" t="str" cm="1">
        <f t="array" ref="G706">IFERROR(INDEX('TRIP MANAGER'!$S$18:$S$25,$A706),"")</f>
        <v/>
      </c>
      <c r="H706">
        <f t="shared" si="112"/>
        <v>0.66666666666666663</v>
      </c>
      <c r="I706" t="str">
        <f t="shared" si="113"/>
        <v/>
      </c>
      <c r="J706" t="str">
        <f t="shared" si="114"/>
        <v/>
      </c>
      <c r="K706" t="str">
        <f t="shared" si="115"/>
        <v/>
      </c>
      <c r="L706" t="str">
        <f t="shared" si="116"/>
        <v/>
      </c>
      <c r="M706" t="str">
        <f t="shared" si="117"/>
        <v/>
      </c>
      <c r="N706" t="str">
        <f t="shared" si="118"/>
        <v/>
      </c>
      <c r="O706" t="str">
        <f t="shared" si="119"/>
        <v/>
      </c>
      <c r="P706" t="str" cm="1">
        <f t="array" ref="P706">IF($N706="","",IFERROR(IF(INDEX(geo_grid!$B$2:$JU$231,INT(($N706+40)/0.5)+1,INT(($O706+30)/0.5)+1)="","",INDEX(geo_grid!$B$2:$JU$231,INT(($N706+40)/0.5)+1,INT(($O706+30)/0.5)+1)),"OUTSIDE GRID"))</f>
        <v/>
      </c>
      <c r="Q706" t="str">
        <f t="shared" si="120"/>
        <v/>
      </c>
    </row>
    <row r="707" spans="1:17" x14ac:dyDescent="0.3">
      <c r="A707">
        <f t="shared" ref="A707:A770" si="121">INT((ROW()-2)/151)+1</f>
        <v>5</v>
      </c>
      <c r="B707">
        <f t="shared" ref="B707:B770" si="122">MOD(ROW()-2,151)</f>
        <v>101</v>
      </c>
      <c r="C707" t="str" cm="1">
        <f t="array" ref="C707">IFERROR(INDEX('TRIP MANAGER'!$O$18:$O$25,$A707),"")</f>
        <v/>
      </c>
      <c r="D707" t="str" cm="1">
        <f t="array" ref="D707">IFERROR(INDEX('TRIP MANAGER'!$P$18:$P$25,$A707),"")</f>
        <v/>
      </c>
      <c r="E707" t="str" cm="1">
        <f t="array" ref="E707">IFERROR(INDEX('TRIP MANAGER'!$Q$18:$Q$25,$A707),"")</f>
        <v/>
      </c>
      <c r="F707" t="str" cm="1">
        <f t="array" ref="F707">IFERROR(INDEX('TRIP MANAGER'!$R$18:$R$25,$A707),"")</f>
        <v/>
      </c>
      <c r="G707" t="str" cm="1">
        <f t="array" ref="G707">IFERROR(INDEX('TRIP MANAGER'!$S$18:$S$25,$A707),"")</f>
        <v/>
      </c>
      <c r="H707">
        <f t="shared" ref="H707:H770" si="123">$B707/150</f>
        <v>0.67333333333333334</v>
      </c>
      <c r="I707" t="str">
        <f t="shared" ref="I707:I770" si="124">IF(OR($G707="",$G707=0),"",SIN((1-$H707)*$G707)/SIN($G707))</f>
        <v/>
      </c>
      <c r="J707" t="str">
        <f t="shared" ref="J707:J770" si="125">IF($I707="","",SIN($H707*$G707)/SIN($G707))</f>
        <v/>
      </c>
      <c r="K707" t="str">
        <f t="shared" ref="K707:K770" si="126">IF($I707="","",$I707*COS(RADIANS($C707))*COS(RADIANS($D707))+$J707*COS(RADIANS($E707))*COS(RADIANS($F707)))</f>
        <v/>
      </c>
      <c r="L707" t="str">
        <f t="shared" ref="L707:L770" si="127">IF($I707="","",$I707*COS(RADIANS($C707))*SIN(RADIANS($D707))+$J707*COS(RADIANS($E707))*SIN(RADIANS($F707)))</f>
        <v/>
      </c>
      <c r="M707" t="str">
        <f t="shared" ref="M707:M770" si="128">IF($I707="","",$I707*SIN(RADIANS($C707))+$J707*SIN(RADIANS($E707)))</f>
        <v/>
      </c>
      <c r="N707" t="str">
        <f t="shared" ref="N707:N770" si="129">IF($M707="","",DEGREES(ATAN2(SQRT($K707^2+$L707^2),$M707)))</f>
        <v/>
      </c>
      <c r="O707" t="str">
        <f t="shared" ref="O707:O770" si="130">IF($M707="","",DEGREES(ATAN2($K707,$L707)))</f>
        <v/>
      </c>
      <c r="P707" t="str" cm="1">
        <f t="array" ref="P707">IF($N707="","",IFERROR(IF(INDEX(geo_grid!$B$2:$JU$231,INT(($N707+40)/0.5)+1,INT(($O707+30)/0.5)+1)="","",INDEX(geo_grid!$B$2:$JU$231,INT(($N707+40)/0.5)+1,INT(($O707+30)/0.5)+1)),"OUTSIDE GRID"))</f>
        <v/>
      </c>
      <c r="Q707" t="str">
        <f t="shared" ref="Q707:Q770" si="131">IF($P707="","",$A707*1000+$B707)</f>
        <v/>
      </c>
    </row>
    <row r="708" spans="1:17" x14ac:dyDescent="0.3">
      <c r="A708">
        <f t="shared" si="121"/>
        <v>5</v>
      </c>
      <c r="B708">
        <f t="shared" si="122"/>
        <v>102</v>
      </c>
      <c r="C708" t="str" cm="1">
        <f t="array" ref="C708">IFERROR(INDEX('TRIP MANAGER'!$O$18:$O$25,$A708),"")</f>
        <v/>
      </c>
      <c r="D708" t="str" cm="1">
        <f t="array" ref="D708">IFERROR(INDEX('TRIP MANAGER'!$P$18:$P$25,$A708),"")</f>
        <v/>
      </c>
      <c r="E708" t="str" cm="1">
        <f t="array" ref="E708">IFERROR(INDEX('TRIP MANAGER'!$Q$18:$Q$25,$A708),"")</f>
        <v/>
      </c>
      <c r="F708" t="str" cm="1">
        <f t="array" ref="F708">IFERROR(INDEX('TRIP MANAGER'!$R$18:$R$25,$A708),"")</f>
        <v/>
      </c>
      <c r="G708" t="str" cm="1">
        <f t="array" ref="G708">IFERROR(INDEX('TRIP MANAGER'!$S$18:$S$25,$A708),"")</f>
        <v/>
      </c>
      <c r="H708">
        <f t="shared" si="123"/>
        <v>0.68</v>
      </c>
      <c r="I708" t="str">
        <f t="shared" si="124"/>
        <v/>
      </c>
      <c r="J708" t="str">
        <f t="shared" si="125"/>
        <v/>
      </c>
      <c r="K708" t="str">
        <f t="shared" si="126"/>
        <v/>
      </c>
      <c r="L708" t="str">
        <f t="shared" si="127"/>
        <v/>
      </c>
      <c r="M708" t="str">
        <f t="shared" si="128"/>
        <v/>
      </c>
      <c r="N708" t="str">
        <f t="shared" si="129"/>
        <v/>
      </c>
      <c r="O708" t="str">
        <f t="shared" si="130"/>
        <v/>
      </c>
      <c r="P708" t="str" cm="1">
        <f t="array" ref="P708">IF($N708="","",IFERROR(IF(INDEX(geo_grid!$B$2:$JU$231,INT(($N708+40)/0.5)+1,INT(($O708+30)/0.5)+1)="","",INDEX(geo_grid!$B$2:$JU$231,INT(($N708+40)/0.5)+1,INT(($O708+30)/0.5)+1)),"OUTSIDE GRID"))</f>
        <v/>
      </c>
      <c r="Q708" t="str">
        <f t="shared" si="131"/>
        <v/>
      </c>
    </row>
    <row r="709" spans="1:17" x14ac:dyDescent="0.3">
      <c r="A709">
        <f t="shared" si="121"/>
        <v>5</v>
      </c>
      <c r="B709">
        <f t="shared" si="122"/>
        <v>103</v>
      </c>
      <c r="C709" t="str" cm="1">
        <f t="array" ref="C709">IFERROR(INDEX('TRIP MANAGER'!$O$18:$O$25,$A709),"")</f>
        <v/>
      </c>
      <c r="D709" t="str" cm="1">
        <f t="array" ref="D709">IFERROR(INDEX('TRIP MANAGER'!$P$18:$P$25,$A709),"")</f>
        <v/>
      </c>
      <c r="E709" t="str" cm="1">
        <f t="array" ref="E709">IFERROR(INDEX('TRIP MANAGER'!$Q$18:$Q$25,$A709),"")</f>
        <v/>
      </c>
      <c r="F709" t="str" cm="1">
        <f t="array" ref="F709">IFERROR(INDEX('TRIP MANAGER'!$R$18:$R$25,$A709),"")</f>
        <v/>
      </c>
      <c r="G709" t="str" cm="1">
        <f t="array" ref="G709">IFERROR(INDEX('TRIP MANAGER'!$S$18:$S$25,$A709),"")</f>
        <v/>
      </c>
      <c r="H709">
        <f t="shared" si="123"/>
        <v>0.68666666666666665</v>
      </c>
      <c r="I709" t="str">
        <f t="shared" si="124"/>
        <v/>
      </c>
      <c r="J709" t="str">
        <f t="shared" si="125"/>
        <v/>
      </c>
      <c r="K709" t="str">
        <f t="shared" si="126"/>
        <v/>
      </c>
      <c r="L709" t="str">
        <f t="shared" si="127"/>
        <v/>
      </c>
      <c r="M709" t="str">
        <f t="shared" si="128"/>
        <v/>
      </c>
      <c r="N709" t="str">
        <f t="shared" si="129"/>
        <v/>
      </c>
      <c r="O709" t="str">
        <f t="shared" si="130"/>
        <v/>
      </c>
      <c r="P709" t="str" cm="1">
        <f t="array" ref="P709">IF($N709="","",IFERROR(IF(INDEX(geo_grid!$B$2:$JU$231,INT(($N709+40)/0.5)+1,INT(($O709+30)/0.5)+1)="","",INDEX(geo_grid!$B$2:$JU$231,INT(($N709+40)/0.5)+1,INT(($O709+30)/0.5)+1)),"OUTSIDE GRID"))</f>
        <v/>
      </c>
      <c r="Q709" t="str">
        <f t="shared" si="131"/>
        <v/>
      </c>
    </row>
    <row r="710" spans="1:17" x14ac:dyDescent="0.3">
      <c r="A710">
        <f t="shared" si="121"/>
        <v>5</v>
      </c>
      <c r="B710">
        <f t="shared" si="122"/>
        <v>104</v>
      </c>
      <c r="C710" t="str" cm="1">
        <f t="array" ref="C710">IFERROR(INDEX('TRIP MANAGER'!$O$18:$O$25,$A710),"")</f>
        <v/>
      </c>
      <c r="D710" t="str" cm="1">
        <f t="array" ref="D710">IFERROR(INDEX('TRIP MANAGER'!$P$18:$P$25,$A710),"")</f>
        <v/>
      </c>
      <c r="E710" t="str" cm="1">
        <f t="array" ref="E710">IFERROR(INDEX('TRIP MANAGER'!$Q$18:$Q$25,$A710),"")</f>
        <v/>
      </c>
      <c r="F710" t="str" cm="1">
        <f t="array" ref="F710">IFERROR(INDEX('TRIP MANAGER'!$R$18:$R$25,$A710),"")</f>
        <v/>
      </c>
      <c r="G710" t="str" cm="1">
        <f t="array" ref="G710">IFERROR(INDEX('TRIP MANAGER'!$S$18:$S$25,$A710),"")</f>
        <v/>
      </c>
      <c r="H710">
        <f t="shared" si="123"/>
        <v>0.69333333333333336</v>
      </c>
      <c r="I710" t="str">
        <f t="shared" si="124"/>
        <v/>
      </c>
      <c r="J710" t="str">
        <f t="shared" si="125"/>
        <v/>
      </c>
      <c r="K710" t="str">
        <f t="shared" si="126"/>
        <v/>
      </c>
      <c r="L710" t="str">
        <f t="shared" si="127"/>
        <v/>
      </c>
      <c r="M710" t="str">
        <f t="shared" si="128"/>
        <v/>
      </c>
      <c r="N710" t="str">
        <f t="shared" si="129"/>
        <v/>
      </c>
      <c r="O710" t="str">
        <f t="shared" si="130"/>
        <v/>
      </c>
      <c r="P710" t="str" cm="1">
        <f t="array" ref="P710">IF($N710="","",IFERROR(IF(INDEX(geo_grid!$B$2:$JU$231,INT(($N710+40)/0.5)+1,INT(($O710+30)/0.5)+1)="","",INDEX(geo_grid!$B$2:$JU$231,INT(($N710+40)/0.5)+1,INT(($O710+30)/0.5)+1)),"OUTSIDE GRID"))</f>
        <v/>
      </c>
      <c r="Q710" t="str">
        <f t="shared" si="131"/>
        <v/>
      </c>
    </row>
    <row r="711" spans="1:17" x14ac:dyDescent="0.3">
      <c r="A711">
        <f t="shared" si="121"/>
        <v>5</v>
      </c>
      <c r="B711">
        <f t="shared" si="122"/>
        <v>105</v>
      </c>
      <c r="C711" t="str" cm="1">
        <f t="array" ref="C711">IFERROR(INDEX('TRIP MANAGER'!$O$18:$O$25,$A711),"")</f>
        <v/>
      </c>
      <c r="D711" t="str" cm="1">
        <f t="array" ref="D711">IFERROR(INDEX('TRIP MANAGER'!$P$18:$P$25,$A711),"")</f>
        <v/>
      </c>
      <c r="E711" t="str" cm="1">
        <f t="array" ref="E711">IFERROR(INDEX('TRIP MANAGER'!$Q$18:$Q$25,$A711),"")</f>
        <v/>
      </c>
      <c r="F711" t="str" cm="1">
        <f t="array" ref="F711">IFERROR(INDEX('TRIP MANAGER'!$R$18:$R$25,$A711),"")</f>
        <v/>
      </c>
      <c r="G711" t="str" cm="1">
        <f t="array" ref="G711">IFERROR(INDEX('TRIP MANAGER'!$S$18:$S$25,$A711),"")</f>
        <v/>
      </c>
      <c r="H711">
        <f t="shared" si="123"/>
        <v>0.7</v>
      </c>
      <c r="I711" t="str">
        <f t="shared" si="124"/>
        <v/>
      </c>
      <c r="J711" t="str">
        <f t="shared" si="125"/>
        <v/>
      </c>
      <c r="K711" t="str">
        <f t="shared" si="126"/>
        <v/>
      </c>
      <c r="L711" t="str">
        <f t="shared" si="127"/>
        <v/>
      </c>
      <c r="M711" t="str">
        <f t="shared" si="128"/>
        <v/>
      </c>
      <c r="N711" t="str">
        <f t="shared" si="129"/>
        <v/>
      </c>
      <c r="O711" t="str">
        <f t="shared" si="130"/>
        <v/>
      </c>
      <c r="P711" t="str" cm="1">
        <f t="array" ref="P711">IF($N711="","",IFERROR(IF(INDEX(geo_grid!$B$2:$JU$231,INT(($N711+40)/0.5)+1,INT(($O711+30)/0.5)+1)="","",INDEX(geo_grid!$B$2:$JU$231,INT(($N711+40)/0.5)+1,INT(($O711+30)/0.5)+1)),"OUTSIDE GRID"))</f>
        <v/>
      </c>
      <c r="Q711" t="str">
        <f t="shared" si="131"/>
        <v/>
      </c>
    </row>
    <row r="712" spans="1:17" x14ac:dyDescent="0.3">
      <c r="A712">
        <f t="shared" si="121"/>
        <v>5</v>
      </c>
      <c r="B712">
        <f t="shared" si="122"/>
        <v>106</v>
      </c>
      <c r="C712" t="str" cm="1">
        <f t="array" ref="C712">IFERROR(INDEX('TRIP MANAGER'!$O$18:$O$25,$A712),"")</f>
        <v/>
      </c>
      <c r="D712" t="str" cm="1">
        <f t="array" ref="D712">IFERROR(INDEX('TRIP MANAGER'!$P$18:$P$25,$A712),"")</f>
        <v/>
      </c>
      <c r="E712" t="str" cm="1">
        <f t="array" ref="E712">IFERROR(INDEX('TRIP MANAGER'!$Q$18:$Q$25,$A712),"")</f>
        <v/>
      </c>
      <c r="F712" t="str" cm="1">
        <f t="array" ref="F712">IFERROR(INDEX('TRIP MANAGER'!$R$18:$R$25,$A712),"")</f>
        <v/>
      </c>
      <c r="G712" t="str" cm="1">
        <f t="array" ref="G712">IFERROR(INDEX('TRIP MANAGER'!$S$18:$S$25,$A712),"")</f>
        <v/>
      </c>
      <c r="H712">
        <f t="shared" si="123"/>
        <v>0.70666666666666667</v>
      </c>
      <c r="I712" t="str">
        <f t="shared" si="124"/>
        <v/>
      </c>
      <c r="J712" t="str">
        <f t="shared" si="125"/>
        <v/>
      </c>
      <c r="K712" t="str">
        <f t="shared" si="126"/>
        <v/>
      </c>
      <c r="L712" t="str">
        <f t="shared" si="127"/>
        <v/>
      </c>
      <c r="M712" t="str">
        <f t="shared" si="128"/>
        <v/>
      </c>
      <c r="N712" t="str">
        <f t="shared" si="129"/>
        <v/>
      </c>
      <c r="O712" t="str">
        <f t="shared" si="130"/>
        <v/>
      </c>
      <c r="P712" t="str" cm="1">
        <f t="array" ref="P712">IF($N712="","",IFERROR(IF(INDEX(geo_grid!$B$2:$JU$231,INT(($N712+40)/0.5)+1,INT(($O712+30)/0.5)+1)="","",INDEX(geo_grid!$B$2:$JU$231,INT(($N712+40)/0.5)+1,INT(($O712+30)/0.5)+1)),"OUTSIDE GRID"))</f>
        <v/>
      </c>
      <c r="Q712" t="str">
        <f t="shared" si="131"/>
        <v/>
      </c>
    </row>
    <row r="713" spans="1:17" x14ac:dyDescent="0.3">
      <c r="A713">
        <f t="shared" si="121"/>
        <v>5</v>
      </c>
      <c r="B713">
        <f t="shared" si="122"/>
        <v>107</v>
      </c>
      <c r="C713" t="str" cm="1">
        <f t="array" ref="C713">IFERROR(INDEX('TRIP MANAGER'!$O$18:$O$25,$A713),"")</f>
        <v/>
      </c>
      <c r="D713" t="str" cm="1">
        <f t="array" ref="D713">IFERROR(INDEX('TRIP MANAGER'!$P$18:$P$25,$A713),"")</f>
        <v/>
      </c>
      <c r="E713" t="str" cm="1">
        <f t="array" ref="E713">IFERROR(INDEX('TRIP MANAGER'!$Q$18:$Q$25,$A713),"")</f>
        <v/>
      </c>
      <c r="F713" t="str" cm="1">
        <f t="array" ref="F713">IFERROR(INDEX('TRIP MANAGER'!$R$18:$R$25,$A713),"")</f>
        <v/>
      </c>
      <c r="G713" t="str" cm="1">
        <f t="array" ref="G713">IFERROR(INDEX('TRIP MANAGER'!$S$18:$S$25,$A713),"")</f>
        <v/>
      </c>
      <c r="H713">
        <f t="shared" si="123"/>
        <v>0.71333333333333337</v>
      </c>
      <c r="I713" t="str">
        <f t="shared" si="124"/>
        <v/>
      </c>
      <c r="J713" t="str">
        <f t="shared" si="125"/>
        <v/>
      </c>
      <c r="K713" t="str">
        <f t="shared" si="126"/>
        <v/>
      </c>
      <c r="L713" t="str">
        <f t="shared" si="127"/>
        <v/>
      </c>
      <c r="M713" t="str">
        <f t="shared" si="128"/>
        <v/>
      </c>
      <c r="N713" t="str">
        <f t="shared" si="129"/>
        <v/>
      </c>
      <c r="O713" t="str">
        <f t="shared" si="130"/>
        <v/>
      </c>
      <c r="P713" t="str" cm="1">
        <f t="array" ref="P713">IF($N713="","",IFERROR(IF(INDEX(geo_grid!$B$2:$JU$231,INT(($N713+40)/0.5)+1,INT(($O713+30)/0.5)+1)="","",INDEX(geo_grid!$B$2:$JU$231,INT(($N713+40)/0.5)+1,INT(($O713+30)/0.5)+1)),"OUTSIDE GRID"))</f>
        <v/>
      </c>
      <c r="Q713" t="str">
        <f t="shared" si="131"/>
        <v/>
      </c>
    </row>
    <row r="714" spans="1:17" x14ac:dyDescent="0.3">
      <c r="A714">
        <f t="shared" si="121"/>
        <v>5</v>
      </c>
      <c r="B714">
        <f t="shared" si="122"/>
        <v>108</v>
      </c>
      <c r="C714" t="str" cm="1">
        <f t="array" ref="C714">IFERROR(INDEX('TRIP MANAGER'!$O$18:$O$25,$A714),"")</f>
        <v/>
      </c>
      <c r="D714" t="str" cm="1">
        <f t="array" ref="D714">IFERROR(INDEX('TRIP MANAGER'!$P$18:$P$25,$A714),"")</f>
        <v/>
      </c>
      <c r="E714" t="str" cm="1">
        <f t="array" ref="E714">IFERROR(INDEX('TRIP MANAGER'!$Q$18:$Q$25,$A714),"")</f>
        <v/>
      </c>
      <c r="F714" t="str" cm="1">
        <f t="array" ref="F714">IFERROR(INDEX('TRIP MANAGER'!$R$18:$R$25,$A714),"")</f>
        <v/>
      </c>
      <c r="G714" t="str" cm="1">
        <f t="array" ref="G714">IFERROR(INDEX('TRIP MANAGER'!$S$18:$S$25,$A714),"")</f>
        <v/>
      </c>
      <c r="H714">
        <f t="shared" si="123"/>
        <v>0.72</v>
      </c>
      <c r="I714" t="str">
        <f t="shared" si="124"/>
        <v/>
      </c>
      <c r="J714" t="str">
        <f t="shared" si="125"/>
        <v/>
      </c>
      <c r="K714" t="str">
        <f t="shared" si="126"/>
        <v/>
      </c>
      <c r="L714" t="str">
        <f t="shared" si="127"/>
        <v/>
      </c>
      <c r="M714" t="str">
        <f t="shared" si="128"/>
        <v/>
      </c>
      <c r="N714" t="str">
        <f t="shared" si="129"/>
        <v/>
      </c>
      <c r="O714" t="str">
        <f t="shared" si="130"/>
        <v/>
      </c>
      <c r="P714" t="str" cm="1">
        <f t="array" ref="P714">IF($N714="","",IFERROR(IF(INDEX(geo_grid!$B$2:$JU$231,INT(($N714+40)/0.5)+1,INT(($O714+30)/0.5)+1)="","",INDEX(geo_grid!$B$2:$JU$231,INT(($N714+40)/0.5)+1,INT(($O714+30)/0.5)+1)),"OUTSIDE GRID"))</f>
        <v/>
      </c>
      <c r="Q714" t="str">
        <f t="shared" si="131"/>
        <v/>
      </c>
    </row>
    <row r="715" spans="1:17" x14ac:dyDescent="0.3">
      <c r="A715">
        <f t="shared" si="121"/>
        <v>5</v>
      </c>
      <c r="B715">
        <f t="shared" si="122"/>
        <v>109</v>
      </c>
      <c r="C715" t="str" cm="1">
        <f t="array" ref="C715">IFERROR(INDEX('TRIP MANAGER'!$O$18:$O$25,$A715),"")</f>
        <v/>
      </c>
      <c r="D715" t="str" cm="1">
        <f t="array" ref="D715">IFERROR(INDEX('TRIP MANAGER'!$P$18:$P$25,$A715),"")</f>
        <v/>
      </c>
      <c r="E715" t="str" cm="1">
        <f t="array" ref="E715">IFERROR(INDEX('TRIP MANAGER'!$Q$18:$Q$25,$A715),"")</f>
        <v/>
      </c>
      <c r="F715" t="str" cm="1">
        <f t="array" ref="F715">IFERROR(INDEX('TRIP MANAGER'!$R$18:$R$25,$A715),"")</f>
        <v/>
      </c>
      <c r="G715" t="str" cm="1">
        <f t="array" ref="G715">IFERROR(INDEX('TRIP MANAGER'!$S$18:$S$25,$A715),"")</f>
        <v/>
      </c>
      <c r="H715">
        <f t="shared" si="123"/>
        <v>0.72666666666666668</v>
      </c>
      <c r="I715" t="str">
        <f t="shared" si="124"/>
        <v/>
      </c>
      <c r="J715" t="str">
        <f t="shared" si="125"/>
        <v/>
      </c>
      <c r="K715" t="str">
        <f t="shared" si="126"/>
        <v/>
      </c>
      <c r="L715" t="str">
        <f t="shared" si="127"/>
        <v/>
      </c>
      <c r="M715" t="str">
        <f t="shared" si="128"/>
        <v/>
      </c>
      <c r="N715" t="str">
        <f t="shared" si="129"/>
        <v/>
      </c>
      <c r="O715" t="str">
        <f t="shared" si="130"/>
        <v/>
      </c>
      <c r="P715" t="str" cm="1">
        <f t="array" ref="P715">IF($N715="","",IFERROR(IF(INDEX(geo_grid!$B$2:$JU$231,INT(($N715+40)/0.5)+1,INT(($O715+30)/0.5)+1)="","",INDEX(geo_grid!$B$2:$JU$231,INT(($N715+40)/0.5)+1,INT(($O715+30)/0.5)+1)),"OUTSIDE GRID"))</f>
        <v/>
      </c>
      <c r="Q715" t="str">
        <f t="shared" si="131"/>
        <v/>
      </c>
    </row>
    <row r="716" spans="1:17" x14ac:dyDescent="0.3">
      <c r="A716">
        <f t="shared" si="121"/>
        <v>5</v>
      </c>
      <c r="B716">
        <f t="shared" si="122"/>
        <v>110</v>
      </c>
      <c r="C716" t="str" cm="1">
        <f t="array" ref="C716">IFERROR(INDEX('TRIP MANAGER'!$O$18:$O$25,$A716),"")</f>
        <v/>
      </c>
      <c r="D716" t="str" cm="1">
        <f t="array" ref="D716">IFERROR(INDEX('TRIP MANAGER'!$P$18:$P$25,$A716),"")</f>
        <v/>
      </c>
      <c r="E716" t="str" cm="1">
        <f t="array" ref="E716">IFERROR(INDEX('TRIP MANAGER'!$Q$18:$Q$25,$A716),"")</f>
        <v/>
      </c>
      <c r="F716" t="str" cm="1">
        <f t="array" ref="F716">IFERROR(INDEX('TRIP MANAGER'!$R$18:$R$25,$A716),"")</f>
        <v/>
      </c>
      <c r="G716" t="str" cm="1">
        <f t="array" ref="G716">IFERROR(INDEX('TRIP MANAGER'!$S$18:$S$25,$A716),"")</f>
        <v/>
      </c>
      <c r="H716">
        <f t="shared" si="123"/>
        <v>0.73333333333333328</v>
      </c>
      <c r="I716" t="str">
        <f t="shared" si="124"/>
        <v/>
      </c>
      <c r="J716" t="str">
        <f t="shared" si="125"/>
        <v/>
      </c>
      <c r="K716" t="str">
        <f t="shared" si="126"/>
        <v/>
      </c>
      <c r="L716" t="str">
        <f t="shared" si="127"/>
        <v/>
      </c>
      <c r="M716" t="str">
        <f t="shared" si="128"/>
        <v/>
      </c>
      <c r="N716" t="str">
        <f t="shared" si="129"/>
        <v/>
      </c>
      <c r="O716" t="str">
        <f t="shared" si="130"/>
        <v/>
      </c>
      <c r="P716" t="str" cm="1">
        <f t="array" ref="P716">IF($N716="","",IFERROR(IF(INDEX(geo_grid!$B$2:$JU$231,INT(($N716+40)/0.5)+1,INT(($O716+30)/0.5)+1)="","",INDEX(geo_grid!$B$2:$JU$231,INT(($N716+40)/0.5)+1,INT(($O716+30)/0.5)+1)),"OUTSIDE GRID"))</f>
        <v/>
      </c>
      <c r="Q716" t="str">
        <f t="shared" si="131"/>
        <v/>
      </c>
    </row>
    <row r="717" spans="1:17" x14ac:dyDescent="0.3">
      <c r="A717">
        <f t="shared" si="121"/>
        <v>5</v>
      </c>
      <c r="B717">
        <f t="shared" si="122"/>
        <v>111</v>
      </c>
      <c r="C717" t="str" cm="1">
        <f t="array" ref="C717">IFERROR(INDEX('TRIP MANAGER'!$O$18:$O$25,$A717),"")</f>
        <v/>
      </c>
      <c r="D717" t="str" cm="1">
        <f t="array" ref="D717">IFERROR(INDEX('TRIP MANAGER'!$P$18:$P$25,$A717),"")</f>
        <v/>
      </c>
      <c r="E717" t="str" cm="1">
        <f t="array" ref="E717">IFERROR(INDEX('TRIP MANAGER'!$Q$18:$Q$25,$A717),"")</f>
        <v/>
      </c>
      <c r="F717" t="str" cm="1">
        <f t="array" ref="F717">IFERROR(INDEX('TRIP MANAGER'!$R$18:$R$25,$A717),"")</f>
        <v/>
      </c>
      <c r="G717" t="str" cm="1">
        <f t="array" ref="G717">IFERROR(INDEX('TRIP MANAGER'!$S$18:$S$25,$A717),"")</f>
        <v/>
      </c>
      <c r="H717">
        <f t="shared" si="123"/>
        <v>0.74</v>
      </c>
      <c r="I717" t="str">
        <f t="shared" si="124"/>
        <v/>
      </c>
      <c r="J717" t="str">
        <f t="shared" si="125"/>
        <v/>
      </c>
      <c r="K717" t="str">
        <f t="shared" si="126"/>
        <v/>
      </c>
      <c r="L717" t="str">
        <f t="shared" si="127"/>
        <v/>
      </c>
      <c r="M717" t="str">
        <f t="shared" si="128"/>
        <v/>
      </c>
      <c r="N717" t="str">
        <f t="shared" si="129"/>
        <v/>
      </c>
      <c r="O717" t="str">
        <f t="shared" si="130"/>
        <v/>
      </c>
      <c r="P717" t="str" cm="1">
        <f t="array" ref="P717">IF($N717="","",IFERROR(IF(INDEX(geo_grid!$B$2:$JU$231,INT(($N717+40)/0.5)+1,INT(($O717+30)/0.5)+1)="","",INDEX(geo_grid!$B$2:$JU$231,INT(($N717+40)/0.5)+1,INT(($O717+30)/0.5)+1)),"OUTSIDE GRID"))</f>
        <v/>
      </c>
      <c r="Q717" t="str">
        <f t="shared" si="131"/>
        <v/>
      </c>
    </row>
    <row r="718" spans="1:17" x14ac:dyDescent="0.3">
      <c r="A718">
        <f t="shared" si="121"/>
        <v>5</v>
      </c>
      <c r="B718">
        <f t="shared" si="122"/>
        <v>112</v>
      </c>
      <c r="C718" t="str" cm="1">
        <f t="array" ref="C718">IFERROR(INDEX('TRIP MANAGER'!$O$18:$O$25,$A718),"")</f>
        <v/>
      </c>
      <c r="D718" t="str" cm="1">
        <f t="array" ref="D718">IFERROR(INDEX('TRIP MANAGER'!$P$18:$P$25,$A718),"")</f>
        <v/>
      </c>
      <c r="E718" t="str" cm="1">
        <f t="array" ref="E718">IFERROR(INDEX('TRIP MANAGER'!$Q$18:$Q$25,$A718),"")</f>
        <v/>
      </c>
      <c r="F718" t="str" cm="1">
        <f t="array" ref="F718">IFERROR(INDEX('TRIP MANAGER'!$R$18:$R$25,$A718),"")</f>
        <v/>
      </c>
      <c r="G718" t="str" cm="1">
        <f t="array" ref="G718">IFERROR(INDEX('TRIP MANAGER'!$S$18:$S$25,$A718),"")</f>
        <v/>
      </c>
      <c r="H718">
        <f t="shared" si="123"/>
        <v>0.7466666666666667</v>
      </c>
      <c r="I718" t="str">
        <f t="shared" si="124"/>
        <v/>
      </c>
      <c r="J718" t="str">
        <f t="shared" si="125"/>
        <v/>
      </c>
      <c r="K718" t="str">
        <f t="shared" si="126"/>
        <v/>
      </c>
      <c r="L718" t="str">
        <f t="shared" si="127"/>
        <v/>
      </c>
      <c r="M718" t="str">
        <f t="shared" si="128"/>
        <v/>
      </c>
      <c r="N718" t="str">
        <f t="shared" si="129"/>
        <v/>
      </c>
      <c r="O718" t="str">
        <f t="shared" si="130"/>
        <v/>
      </c>
      <c r="P718" t="str" cm="1">
        <f t="array" ref="P718">IF($N718="","",IFERROR(IF(INDEX(geo_grid!$B$2:$JU$231,INT(($N718+40)/0.5)+1,INT(($O718+30)/0.5)+1)="","",INDEX(geo_grid!$B$2:$JU$231,INT(($N718+40)/0.5)+1,INT(($O718+30)/0.5)+1)),"OUTSIDE GRID"))</f>
        <v/>
      </c>
      <c r="Q718" t="str">
        <f t="shared" si="131"/>
        <v/>
      </c>
    </row>
    <row r="719" spans="1:17" x14ac:dyDescent="0.3">
      <c r="A719">
        <f t="shared" si="121"/>
        <v>5</v>
      </c>
      <c r="B719">
        <f t="shared" si="122"/>
        <v>113</v>
      </c>
      <c r="C719" t="str" cm="1">
        <f t="array" ref="C719">IFERROR(INDEX('TRIP MANAGER'!$O$18:$O$25,$A719),"")</f>
        <v/>
      </c>
      <c r="D719" t="str" cm="1">
        <f t="array" ref="D719">IFERROR(INDEX('TRIP MANAGER'!$P$18:$P$25,$A719),"")</f>
        <v/>
      </c>
      <c r="E719" t="str" cm="1">
        <f t="array" ref="E719">IFERROR(INDEX('TRIP MANAGER'!$Q$18:$Q$25,$A719),"")</f>
        <v/>
      </c>
      <c r="F719" t="str" cm="1">
        <f t="array" ref="F719">IFERROR(INDEX('TRIP MANAGER'!$R$18:$R$25,$A719),"")</f>
        <v/>
      </c>
      <c r="G719" t="str" cm="1">
        <f t="array" ref="G719">IFERROR(INDEX('TRIP MANAGER'!$S$18:$S$25,$A719),"")</f>
        <v/>
      </c>
      <c r="H719">
        <f t="shared" si="123"/>
        <v>0.7533333333333333</v>
      </c>
      <c r="I719" t="str">
        <f t="shared" si="124"/>
        <v/>
      </c>
      <c r="J719" t="str">
        <f t="shared" si="125"/>
        <v/>
      </c>
      <c r="K719" t="str">
        <f t="shared" si="126"/>
        <v/>
      </c>
      <c r="L719" t="str">
        <f t="shared" si="127"/>
        <v/>
      </c>
      <c r="M719" t="str">
        <f t="shared" si="128"/>
        <v/>
      </c>
      <c r="N719" t="str">
        <f t="shared" si="129"/>
        <v/>
      </c>
      <c r="O719" t="str">
        <f t="shared" si="130"/>
        <v/>
      </c>
      <c r="P719" t="str" cm="1">
        <f t="array" ref="P719">IF($N719="","",IFERROR(IF(INDEX(geo_grid!$B$2:$JU$231,INT(($N719+40)/0.5)+1,INT(($O719+30)/0.5)+1)="","",INDEX(geo_grid!$B$2:$JU$231,INT(($N719+40)/0.5)+1,INT(($O719+30)/0.5)+1)),"OUTSIDE GRID"))</f>
        <v/>
      </c>
      <c r="Q719" t="str">
        <f t="shared" si="131"/>
        <v/>
      </c>
    </row>
    <row r="720" spans="1:17" x14ac:dyDescent="0.3">
      <c r="A720">
        <f t="shared" si="121"/>
        <v>5</v>
      </c>
      <c r="B720">
        <f t="shared" si="122"/>
        <v>114</v>
      </c>
      <c r="C720" t="str" cm="1">
        <f t="array" ref="C720">IFERROR(INDEX('TRIP MANAGER'!$O$18:$O$25,$A720),"")</f>
        <v/>
      </c>
      <c r="D720" t="str" cm="1">
        <f t="array" ref="D720">IFERROR(INDEX('TRIP MANAGER'!$P$18:$P$25,$A720),"")</f>
        <v/>
      </c>
      <c r="E720" t="str" cm="1">
        <f t="array" ref="E720">IFERROR(INDEX('TRIP MANAGER'!$Q$18:$Q$25,$A720),"")</f>
        <v/>
      </c>
      <c r="F720" t="str" cm="1">
        <f t="array" ref="F720">IFERROR(INDEX('TRIP MANAGER'!$R$18:$R$25,$A720),"")</f>
        <v/>
      </c>
      <c r="G720" t="str" cm="1">
        <f t="array" ref="G720">IFERROR(INDEX('TRIP MANAGER'!$S$18:$S$25,$A720),"")</f>
        <v/>
      </c>
      <c r="H720">
        <f t="shared" si="123"/>
        <v>0.76</v>
      </c>
      <c r="I720" t="str">
        <f t="shared" si="124"/>
        <v/>
      </c>
      <c r="J720" t="str">
        <f t="shared" si="125"/>
        <v/>
      </c>
      <c r="K720" t="str">
        <f t="shared" si="126"/>
        <v/>
      </c>
      <c r="L720" t="str">
        <f t="shared" si="127"/>
        <v/>
      </c>
      <c r="M720" t="str">
        <f t="shared" si="128"/>
        <v/>
      </c>
      <c r="N720" t="str">
        <f t="shared" si="129"/>
        <v/>
      </c>
      <c r="O720" t="str">
        <f t="shared" si="130"/>
        <v/>
      </c>
      <c r="P720" t="str" cm="1">
        <f t="array" ref="P720">IF($N720="","",IFERROR(IF(INDEX(geo_grid!$B$2:$JU$231,INT(($N720+40)/0.5)+1,INT(($O720+30)/0.5)+1)="","",INDEX(geo_grid!$B$2:$JU$231,INT(($N720+40)/0.5)+1,INT(($O720+30)/0.5)+1)),"OUTSIDE GRID"))</f>
        <v/>
      </c>
      <c r="Q720" t="str">
        <f t="shared" si="131"/>
        <v/>
      </c>
    </row>
    <row r="721" spans="1:17" x14ac:dyDescent="0.3">
      <c r="A721">
        <f t="shared" si="121"/>
        <v>5</v>
      </c>
      <c r="B721">
        <f t="shared" si="122"/>
        <v>115</v>
      </c>
      <c r="C721" t="str" cm="1">
        <f t="array" ref="C721">IFERROR(INDEX('TRIP MANAGER'!$O$18:$O$25,$A721),"")</f>
        <v/>
      </c>
      <c r="D721" t="str" cm="1">
        <f t="array" ref="D721">IFERROR(INDEX('TRIP MANAGER'!$P$18:$P$25,$A721),"")</f>
        <v/>
      </c>
      <c r="E721" t="str" cm="1">
        <f t="array" ref="E721">IFERROR(INDEX('TRIP MANAGER'!$Q$18:$Q$25,$A721),"")</f>
        <v/>
      </c>
      <c r="F721" t="str" cm="1">
        <f t="array" ref="F721">IFERROR(INDEX('TRIP MANAGER'!$R$18:$R$25,$A721),"")</f>
        <v/>
      </c>
      <c r="G721" t="str" cm="1">
        <f t="array" ref="G721">IFERROR(INDEX('TRIP MANAGER'!$S$18:$S$25,$A721),"")</f>
        <v/>
      </c>
      <c r="H721">
        <f t="shared" si="123"/>
        <v>0.76666666666666672</v>
      </c>
      <c r="I721" t="str">
        <f t="shared" si="124"/>
        <v/>
      </c>
      <c r="J721" t="str">
        <f t="shared" si="125"/>
        <v/>
      </c>
      <c r="K721" t="str">
        <f t="shared" si="126"/>
        <v/>
      </c>
      <c r="L721" t="str">
        <f t="shared" si="127"/>
        <v/>
      </c>
      <c r="M721" t="str">
        <f t="shared" si="128"/>
        <v/>
      </c>
      <c r="N721" t="str">
        <f t="shared" si="129"/>
        <v/>
      </c>
      <c r="O721" t="str">
        <f t="shared" si="130"/>
        <v/>
      </c>
      <c r="P721" t="str" cm="1">
        <f t="array" ref="P721">IF($N721="","",IFERROR(IF(INDEX(geo_grid!$B$2:$JU$231,INT(($N721+40)/0.5)+1,INT(($O721+30)/0.5)+1)="","",INDEX(geo_grid!$B$2:$JU$231,INT(($N721+40)/0.5)+1,INT(($O721+30)/0.5)+1)),"OUTSIDE GRID"))</f>
        <v/>
      </c>
      <c r="Q721" t="str">
        <f t="shared" si="131"/>
        <v/>
      </c>
    </row>
    <row r="722" spans="1:17" x14ac:dyDescent="0.3">
      <c r="A722">
        <f t="shared" si="121"/>
        <v>5</v>
      </c>
      <c r="B722">
        <f t="shared" si="122"/>
        <v>116</v>
      </c>
      <c r="C722" t="str" cm="1">
        <f t="array" ref="C722">IFERROR(INDEX('TRIP MANAGER'!$O$18:$O$25,$A722),"")</f>
        <v/>
      </c>
      <c r="D722" t="str" cm="1">
        <f t="array" ref="D722">IFERROR(INDEX('TRIP MANAGER'!$P$18:$P$25,$A722),"")</f>
        <v/>
      </c>
      <c r="E722" t="str" cm="1">
        <f t="array" ref="E722">IFERROR(INDEX('TRIP MANAGER'!$Q$18:$Q$25,$A722),"")</f>
        <v/>
      </c>
      <c r="F722" t="str" cm="1">
        <f t="array" ref="F722">IFERROR(INDEX('TRIP MANAGER'!$R$18:$R$25,$A722),"")</f>
        <v/>
      </c>
      <c r="G722" t="str" cm="1">
        <f t="array" ref="G722">IFERROR(INDEX('TRIP MANAGER'!$S$18:$S$25,$A722),"")</f>
        <v/>
      </c>
      <c r="H722">
        <f t="shared" si="123"/>
        <v>0.77333333333333332</v>
      </c>
      <c r="I722" t="str">
        <f t="shared" si="124"/>
        <v/>
      </c>
      <c r="J722" t="str">
        <f t="shared" si="125"/>
        <v/>
      </c>
      <c r="K722" t="str">
        <f t="shared" si="126"/>
        <v/>
      </c>
      <c r="L722" t="str">
        <f t="shared" si="127"/>
        <v/>
      </c>
      <c r="M722" t="str">
        <f t="shared" si="128"/>
        <v/>
      </c>
      <c r="N722" t="str">
        <f t="shared" si="129"/>
        <v/>
      </c>
      <c r="O722" t="str">
        <f t="shared" si="130"/>
        <v/>
      </c>
      <c r="P722" t="str" cm="1">
        <f t="array" ref="P722">IF($N722="","",IFERROR(IF(INDEX(geo_grid!$B$2:$JU$231,INT(($N722+40)/0.5)+1,INT(($O722+30)/0.5)+1)="","",INDEX(geo_grid!$B$2:$JU$231,INT(($N722+40)/0.5)+1,INT(($O722+30)/0.5)+1)),"OUTSIDE GRID"))</f>
        <v/>
      </c>
      <c r="Q722" t="str">
        <f t="shared" si="131"/>
        <v/>
      </c>
    </row>
    <row r="723" spans="1:17" x14ac:dyDescent="0.3">
      <c r="A723">
        <f t="shared" si="121"/>
        <v>5</v>
      </c>
      <c r="B723">
        <f t="shared" si="122"/>
        <v>117</v>
      </c>
      <c r="C723" t="str" cm="1">
        <f t="array" ref="C723">IFERROR(INDEX('TRIP MANAGER'!$O$18:$O$25,$A723),"")</f>
        <v/>
      </c>
      <c r="D723" t="str" cm="1">
        <f t="array" ref="D723">IFERROR(INDEX('TRIP MANAGER'!$P$18:$P$25,$A723),"")</f>
        <v/>
      </c>
      <c r="E723" t="str" cm="1">
        <f t="array" ref="E723">IFERROR(INDEX('TRIP MANAGER'!$Q$18:$Q$25,$A723),"")</f>
        <v/>
      </c>
      <c r="F723" t="str" cm="1">
        <f t="array" ref="F723">IFERROR(INDEX('TRIP MANAGER'!$R$18:$R$25,$A723),"")</f>
        <v/>
      </c>
      <c r="G723" t="str" cm="1">
        <f t="array" ref="G723">IFERROR(INDEX('TRIP MANAGER'!$S$18:$S$25,$A723),"")</f>
        <v/>
      </c>
      <c r="H723">
        <f t="shared" si="123"/>
        <v>0.78</v>
      </c>
      <c r="I723" t="str">
        <f t="shared" si="124"/>
        <v/>
      </c>
      <c r="J723" t="str">
        <f t="shared" si="125"/>
        <v/>
      </c>
      <c r="K723" t="str">
        <f t="shared" si="126"/>
        <v/>
      </c>
      <c r="L723" t="str">
        <f t="shared" si="127"/>
        <v/>
      </c>
      <c r="M723" t="str">
        <f t="shared" si="128"/>
        <v/>
      </c>
      <c r="N723" t="str">
        <f t="shared" si="129"/>
        <v/>
      </c>
      <c r="O723" t="str">
        <f t="shared" si="130"/>
        <v/>
      </c>
      <c r="P723" t="str" cm="1">
        <f t="array" ref="P723">IF($N723="","",IFERROR(IF(INDEX(geo_grid!$B$2:$JU$231,INT(($N723+40)/0.5)+1,INT(($O723+30)/0.5)+1)="","",INDEX(geo_grid!$B$2:$JU$231,INT(($N723+40)/0.5)+1,INT(($O723+30)/0.5)+1)),"OUTSIDE GRID"))</f>
        <v/>
      </c>
      <c r="Q723" t="str">
        <f t="shared" si="131"/>
        <v/>
      </c>
    </row>
    <row r="724" spans="1:17" x14ac:dyDescent="0.3">
      <c r="A724">
        <f t="shared" si="121"/>
        <v>5</v>
      </c>
      <c r="B724">
        <f t="shared" si="122"/>
        <v>118</v>
      </c>
      <c r="C724" t="str" cm="1">
        <f t="array" ref="C724">IFERROR(INDEX('TRIP MANAGER'!$O$18:$O$25,$A724),"")</f>
        <v/>
      </c>
      <c r="D724" t="str" cm="1">
        <f t="array" ref="D724">IFERROR(INDEX('TRIP MANAGER'!$P$18:$P$25,$A724),"")</f>
        <v/>
      </c>
      <c r="E724" t="str" cm="1">
        <f t="array" ref="E724">IFERROR(INDEX('TRIP MANAGER'!$Q$18:$Q$25,$A724),"")</f>
        <v/>
      </c>
      <c r="F724" t="str" cm="1">
        <f t="array" ref="F724">IFERROR(INDEX('TRIP MANAGER'!$R$18:$R$25,$A724),"")</f>
        <v/>
      </c>
      <c r="G724" t="str" cm="1">
        <f t="array" ref="G724">IFERROR(INDEX('TRIP MANAGER'!$S$18:$S$25,$A724),"")</f>
        <v/>
      </c>
      <c r="H724">
        <f t="shared" si="123"/>
        <v>0.78666666666666663</v>
      </c>
      <c r="I724" t="str">
        <f t="shared" si="124"/>
        <v/>
      </c>
      <c r="J724" t="str">
        <f t="shared" si="125"/>
        <v/>
      </c>
      <c r="K724" t="str">
        <f t="shared" si="126"/>
        <v/>
      </c>
      <c r="L724" t="str">
        <f t="shared" si="127"/>
        <v/>
      </c>
      <c r="M724" t="str">
        <f t="shared" si="128"/>
        <v/>
      </c>
      <c r="N724" t="str">
        <f t="shared" si="129"/>
        <v/>
      </c>
      <c r="O724" t="str">
        <f t="shared" si="130"/>
        <v/>
      </c>
      <c r="P724" t="str" cm="1">
        <f t="array" ref="P724">IF($N724="","",IFERROR(IF(INDEX(geo_grid!$B$2:$JU$231,INT(($N724+40)/0.5)+1,INT(($O724+30)/0.5)+1)="","",INDEX(geo_grid!$B$2:$JU$231,INT(($N724+40)/0.5)+1,INT(($O724+30)/0.5)+1)),"OUTSIDE GRID"))</f>
        <v/>
      </c>
      <c r="Q724" t="str">
        <f t="shared" si="131"/>
        <v/>
      </c>
    </row>
    <row r="725" spans="1:17" x14ac:dyDescent="0.3">
      <c r="A725">
        <f t="shared" si="121"/>
        <v>5</v>
      </c>
      <c r="B725">
        <f t="shared" si="122"/>
        <v>119</v>
      </c>
      <c r="C725" t="str" cm="1">
        <f t="array" ref="C725">IFERROR(INDEX('TRIP MANAGER'!$O$18:$O$25,$A725),"")</f>
        <v/>
      </c>
      <c r="D725" t="str" cm="1">
        <f t="array" ref="D725">IFERROR(INDEX('TRIP MANAGER'!$P$18:$P$25,$A725),"")</f>
        <v/>
      </c>
      <c r="E725" t="str" cm="1">
        <f t="array" ref="E725">IFERROR(INDEX('TRIP MANAGER'!$Q$18:$Q$25,$A725),"")</f>
        <v/>
      </c>
      <c r="F725" t="str" cm="1">
        <f t="array" ref="F725">IFERROR(INDEX('TRIP MANAGER'!$R$18:$R$25,$A725),"")</f>
        <v/>
      </c>
      <c r="G725" t="str" cm="1">
        <f t="array" ref="G725">IFERROR(INDEX('TRIP MANAGER'!$S$18:$S$25,$A725),"")</f>
        <v/>
      </c>
      <c r="H725">
        <f t="shared" si="123"/>
        <v>0.79333333333333333</v>
      </c>
      <c r="I725" t="str">
        <f t="shared" si="124"/>
        <v/>
      </c>
      <c r="J725" t="str">
        <f t="shared" si="125"/>
        <v/>
      </c>
      <c r="K725" t="str">
        <f t="shared" si="126"/>
        <v/>
      </c>
      <c r="L725" t="str">
        <f t="shared" si="127"/>
        <v/>
      </c>
      <c r="M725" t="str">
        <f t="shared" si="128"/>
        <v/>
      </c>
      <c r="N725" t="str">
        <f t="shared" si="129"/>
        <v/>
      </c>
      <c r="O725" t="str">
        <f t="shared" si="130"/>
        <v/>
      </c>
      <c r="P725" t="str" cm="1">
        <f t="array" ref="P725">IF($N725="","",IFERROR(IF(INDEX(geo_grid!$B$2:$JU$231,INT(($N725+40)/0.5)+1,INT(($O725+30)/0.5)+1)="","",INDEX(geo_grid!$B$2:$JU$231,INT(($N725+40)/0.5)+1,INT(($O725+30)/0.5)+1)),"OUTSIDE GRID"))</f>
        <v/>
      </c>
      <c r="Q725" t="str">
        <f t="shared" si="131"/>
        <v/>
      </c>
    </row>
    <row r="726" spans="1:17" x14ac:dyDescent="0.3">
      <c r="A726">
        <f t="shared" si="121"/>
        <v>5</v>
      </c>
      <c r="B726">
        <f t="shared" si="122"/>
        <v>120</v>
      </c>
      <c r="C726" t="str" cm="1">
        <f t="array" ref="C726">IFERROR(INDEX('TRIP MANAGER'!$O$18:$O$25,$A726),"")</f>
        <v/>
      </c>
      <c r="D726" t="str" cm="1">
        <f t="array" ref="D726">IFERROR(INDEX('TRIP MANAGER'!$P$18:$P$25,$A726),"")</f>
        <v/>
      </c>
      <c r="E726" t="str" cm="1">
        <f t="array" ref="E726">IFERROR(INDEX('TRIP MANAGER'!$Q$18:$Q$25,$A726),"")</f>
        <v/>
      </c>
      <c r="F726" t="str" cm="1">
        <f t="array" ref="F726">IFERROR(INDEX('TRIP MANAGER'!$R$18:$R$25,$A726),"")</f>
        <v/>
      </c>
      <c r="G726" t="str" cm="1">
        <f t="array" ref="G726">IFERROR(INDEX('TRIP MANAGER'!$S$18:$S$25,$A726),"")</f>
        <v/>
      </c>
      <c r="H726">
        <f t="shared" si="123"/>
        <v>0.8</v>
      </c>
      <c r="I726" t="str">
        <f t="shared" si="124"/>
        <v/>
      </c>
      <c r="J726" t="str">
        <f t="shared" si="125"/>
        <v/>
      </c>
      <c r="K726" t="str">
        <f t="shared" si="126"/>
        <v/>
      </c>
      <c r="L726" t="str">
        <f t="shared" si="127"/>
        <v/>
      </c>
      <c r="M726" t="str">
        <f t="shared" si="128"/>
        <v/>
      </c>
      <c r="N726" t="str">
        <f t="shared" si="129"/>
        <v/>
      </c>
      <c r="O726" t="str">
        <f t="shared" si="130"/>
        <v/>
      </c>
      <c r="P726" t="str" cm="1">
        <f t="array" ref="P726">IF($N726="","",IFERROR(IF(INDEX(geo_grid!$B$2:$JU$231,INT(($N726+40)/0.5)+1,INT(($O726+30)/0.5)+1)="","",INDEX(geo_grid!$B$2:$JU$231,INT(($N726+40)/0.5)+1,INT(($O726+30)/0.5)+1)),"OUTSIDE GRID"))</f>
        <v/>
      </c>
      <c r="Q726" t="str">
        <f t="shared" si="131"/>
        <v/>
      </c>
    </row>
    <row r="727" spans="1:17" x14ac:dyDescent="0.3">
      <c r="A727">
        <f t="shared" si="121"/>
        <v>5</v>
      </c>
      <c r="B727">
        <f t="shared" si="122"/>
        <v>121</v>
      </c>
      <c r="C727" t="str" cm="1">
        <f t="array" ref="C727">IFERROR(INDEX('TRIP MANAGER'!$O$18:$O$25,$A727),"")</f>
        <v/>
      </c>
      <c r="D727" t="str" cm="1">
        <f t="array" ref="D727">IFERROR(INDEX('TRIP MANAGER'!$P$18:$P$25,$A727),"")</f>
        <v/>
      </c>
      <c r="E727" t="str" cm="1">
        <f t="array" ref="E727">IFERROR(INDEX('TRIP MANAGER'!$Q$18:$Q$25,$A727),"")</f>
        <v/>
      </c>
      <c r="F727" t="str" cm="1">
        <f t="array" ref="F727">IFERROR(INDEX('TRIP MANAGER'!$R$18:$R$25,$A727),"")</f>
        <v/>
      </c>
      <c r="G727" t="str" cm="1">
        <f t="array" ref="G727">IFERROR(INDEX('TRIP MANAGER'!$S$18:$S$25,$A727),"")</f>
        <v/>
      </c>
      <c r="H727">
        <f t="shared" si="123"/>
        <v>0.80666666666666664</v>
      </c>
      <c r="I727" t="str">
        <f t="shared" si="124"/>
        <v/>
      </c>
      <c r="J727" t="str">
        <f t="shared" si="125"/>
        <v/>
      </c>
      <c r="K727" t="str">
        <f t="shared" si="126"/>
        <v/>
      </c>
      <c r="L727" t="str">
        <f t="shared" si="127"/>
        <v/>
      </c>
      <c r="M727" t="str">
        <f t="shared" si="128"/>
        <v/>
      </c>
      <c r="N727" t="str">
        <f t="shared" si="129"/>
        <v/>
      </c>
      <c r="O727" t="str">
        <f t="shared" si="130"/>
        <v/>
      </c>
      <c r="P727" t="str" cm="1">
        <f t="array" ref="P727">IF($N727="","",IFERROR(IF(INDEX(geo_grid!$B$2:$JU$231,INT(($N727+40)/0.5)+1,INT(($O727+30)/0.5)+1)="","",INDEX(geo_grid!$B$2:$JU$231,INT(($N727+40)/0.5)+1,INT(($O727+30)/0.5)+1)),"OUTSIDE GRID"))</f>
        <v/>
      </c>
      <c r="Q727" t="str">
        <f t="shared" si="131"/>
        <v/>
      </c>
    </row>
    <row r="728" spans="1:17" x14ac:dyDescent="0.3">
      <c r="A728">
        <f t="shared" si="121"/>
        <v>5</v>
      </c>
      <c r="B728">
        <f t="shared" si="122"/>
        <v>122</v>
      </c>
      <c r="C728" t="str" cm="1">
        <f t="array" ref="C728">IFERROR(INDEX('TRIP MANAGER'!$O$18:$O$25,$A728),"")</f>
        <v/>
      </c>
      <c r="D728" t="str" cm="1">
        <f t="array" ref="D728">IFERROR(INDEX('TRIP MANAGER'!$P$18:$P$25,$A728),"")</f>
        <v/>
      </c>
      <c r="E728" t="str" cm="1">
        <f t="array" ref="E728">IFERROR(INDEX('TRIP MANAGER'!$Q$18:$Q$25,$A728),"")</f>
        <v/>
      </c>
      <c r="F728" t="str" cm="1">
        <f t="array" ref="F728">IFERROR(INDEX('TRIP MANAGER'!$R$18:$R$25,$A728),"")</f>
        <v/>
      </c>
      <c r="G728" t="str" cm="1">
        <f t="array" ref="G728">IFERROR(INDEX('TRIP MANAGER'!$S$18:$S$25,$A728),"")</f>
        <v/>
      </c>
      <c r="H728">
        <f t="shared" si="123"/>
        <v>0.81333333333333335</v>
      </c>
      <c r="I728" t="str">
        <f t="shared" si="124"/>
        <v/>
      </c>
      <c r="J728" t="str">
        <f t="shared" si="125"/>
        <v/>
      </c>
      <c r="K728" t="str">
        <f t="shared" si="126"/>
        <v/>
      </c>
      <c r="L728" t="str">
        <f t="shared" si="127"/>
        <v/>
      </c>
      <c r="M728" t="str">
        <f t="shared" si="128"/>
        <v/>
      </c>
      <c r="N728" t="str">
        <f t="shared" si="129"/>
        <v/>
      </c>
      <c r="O728" t="str">
        <f t="shared" si="130"/>
        <v/>
      </c>
      <c r="P728" t="str" cm="1">
        <f t="array" ref="P728">IF($N728="","",IFERROR(IF(INDEX(geo_grid!$B$2:$JU$231,INT(($N728+40)/0.5)+1,INT(($O728+30)/0.5)+1)="","",INDEX(geo_grid!$B$2:$JU$231,INT(($N728+40)/0.5)+1,INT(($O728+30)/0.5)+1)),"OUTSIDE GRID"))</f>
        <v/>
      </c>
      <c r="Q728" t="str">
        <f t="shared" si="131"/>
        <v/>
      </c>
    </row>
    <row r="729" spans="1:17" x14ac:dyDescent="0.3">
      <c r="A729">
        <f t="shared" si="121"/>
        <v>5</v>
      </c>
      <c r="B729">
        <f t="shared" si="122"/>
        <v>123</v>
      </c>
      <c r="C729" t="str" cm="1">
        <f t="array" ref="C729">IFERROR(INDEX('TRIP MANAGER'!$O$18:$O$25,$A729),"")</f>
        <v/>
      </c>
      <c r="D729" t="str" cm="1">
        <f t="array" ref="D729">IFERROR(INDEX('TRIP MANAGER'!$P$18:$P$25,$A729),"")</f>
        <v/>
      </c>
      <c r="E729" t="str" cm="1">
        <f t="array" ref="E729">IFERROR(INDEX('TRIP MANAGER'!$Q$18:$Q$25,$A729),"")</f>
        <v/>
      </c>
      <c r="F729" t="str" cm="1">
        <f t="array" ref="F729">IFERROR(INDEX('TRIP MANAGER'!$R$18:$R$25,$A729),"")</f>
        <v/>
      </c>
      <c r="G729" t="str" cm="1">
        <f t="array" ref="G729">IFERROR(INDEX('TRIP MANAGER'!$S$18:$S$25,$A729),"")</f>
        <v/>
      </c>
      <c r="H729">
        <f t="shared" si="123"/>
        <v>0.82</v>
      </c>
      <c r="I729" t="str">
        <f t="shared" si="124"/>
        <v/>
      </c>
      <c r="J729" t="str">
        <f t="shared" si="125"/>
        <v/>
      </c>
      <c r="K729" t="str">
        <f t="shared" si="126"/>
        <v/>
      </c>
      <c r="L729" t="str">
        <f t="shared" si="127"/>
        <v/>
      </c>
      <c r="M729" t="str">
        <f t="shared" si="128"/>
        <v/>
      </c>
      <c r="N729" t="str">
        <f t="shared" si="129"/>
        <v/>
      </c>
      <c r="O729" t="str">
        <f t="shared" si="130"/>
        <v/>
      </c>
      <c r="P729" t="str" cm="1">
        <f t="array" ref="P729">IF($N729="","",IFERROR(IF(INDEX(geo_grid!$B$2:$JU$231,INT(($N729+40)/0.5)+1,INT(($O729+30)/0.5)+1)="","",INDEX(geo_grid!$B$2:$JU$231,INT(($N729+40)/0.5)+1,INT(($O729+30)/0.5)+1)),"OUTSIDE GRID"))</f>
        <v/>
      </c>
      <c r="Q729" t="str">
        <f t="shared" si="131"/>
        <v/>
      </c>
    </row>
    <row r="730" spans="1:17" x14ac:dyDescent="0.3">
      <c r="A730">
        <f t="shared" si="121"/>
        <v>5</v>
      </c>
      <c r="B730">
        <f t="shared" si="122"/>
        <v>124</v>
      </c>
      <c r="C730" t="str" cm="1">
        <f t="array" ref="C730">IFERROR(INDEX('TRIP MANAGER'!$O$18:$O$25,$A730),"")</f>
        <v/>
      </c>
      <c r="D730" t="str" cm="1">
        <f t="array" ref="D730">IFERROR(INDEX('TRIP MANAGER'!$P$18:$P$25,$A730),"")</f>
        <v/>
      </c>
      <c r="E730" t="str" cm="1">
        <f t="array" ref="E730">IFERROR(INDEX('TRIP MANAGER'!$Q$18:$Q$25,$A730),"")</f>
        <v/>
      </c>
      <c r="F730" t="str" cm="1">
        <f t="array" ref="F730">IFERROR(INDEX('TRIP MANAGER'!$R$18:$R$25,$A730),"")</f>
        <v/>
      </c>
      <c r="G730" t="str" cm="1">
        <f t="array" ref="G730">IFERROR(INDEX('TRIP MANAGER'!$S$18:$S$25,$A730),"")</f>
        <v/>
      </c>
      <c r="H730">
        <f t="shared" si="123"/>
        <v>0.82666666666666666</v>
      </c>
      <c r="I730" t="str">
        <f t="shared" si="124"/>
        <v/>
      </c>
      <c r="J730" t="str">
        <f t="shared" si="125"/>
        <v/>
      </c>
      <c r="K730" t="str">
        <f t="shared" si="126"/>
        <v/>
      </c>
      <c r="L730" t="str">
        <f t="shared" si="127"/>
        <v/>
      </c>
      <c r="M730" t="str">
        <f t="shared" si="128"/>
        <v/>
      </c>
      <c r="N730" t="str">
        <f t="shared" si="129"/>
        <v/>
      </c>
      <c r="O730" t="str">
        <f t="shared" si="130"/>
        <v/>
      </c>
      <c r="P730" t="str" cm="1">
        <f t="array" ref="P730">IF($N730="","",IFERROR(IF(INDEX(geo_grid!$B$2:$JU$231,INT(($N730+40)/0.5)+1,INT(($O730+30)/0.5)+1)="","",INDEX(geo_grid!$B$2:$JU$231,INT(($N730+40)/0.5)+1,INT(($O730+30)/0.5)+1)),"OUTSIDE GRID"))</f>
        <v/>
      </c>
      <c r="Q730" t="str">
        <f t="shared" si="131"/>
        <v/>
      </c>
    </row>
    <row r="731" spans="1:17" x14ac:dyDescent="0.3">
      <c r="A731">
        <f t="shared" si="121"/>
        <v>5</v>
      </c>
      <c r="B731">
        <f t="shared" si="122"/>
        <v>125</v>
      </c>
      <c r="C731" t="str" cm="1">
        <f t="array" ref="C731">IFERROR(INDEX('TRIP MANAGER'!$O$18:$O$25,$A731),"")</f>
        <v/>
      </c>
      <c r="D731" t="str" cm="1">
        <f t="array" ref="D731">IFERROR(INDEX('TRIP MANAGER'!$P$18:$P$25,$A731),"")</f>
        <v/>
      </c>
      <c r="E731" t="str" cm="1">
        <f t="array" ref="E731">IFERROR(INDEX('TRIP MANAGER'!$Q$18:$Q$25,$A731),"")</f>
        <v/>
      </c>
      <c r="F731" t="str" cm="1">
        <f t="array" ref="F731">IFERROR(INDEX('TRIP MANAGER'!$R$18:$R$25,$A731),"")</f>
        <v/>
      </c>
      <c r="G731" t="str" cm="1">
        <f t="array" ref="G731">IFERROR(INDEX('TRIP MANAGER'!$S$18:$S$25,$A731),"")</f>
        <v/>
      </c>
      <c r="H731">
        <f t="shared" si="123"/>
        <v>0.83333333333333337</v>
      </c>
      <c r="I731" t="str">
        <f t="shared" si="124"/>
        <v/>
      </c>
      <c r="J731" t="str">
        <f t="shared" si="125"/>
        <v/>
      </c>
      <c r="K731" t="str">
        <f t="shared" si="126"/>
        <v/>
      </c>
      <c r="L731" t="str">
        <f t="shared" si="127"/>
        <v/>
      </c>
      <c r="M731" t="str">
        <f t="shared" si="128"/>
        <v/>
      </c>
      <c r="N731" t="str">
        <f t="shared" si="129"/>
        <v/>
      </c>
      <c r="O731" t="str">
        <f t="shared" si="130"/>
        <v/>
      </c>
      <c r="P731" t="str" cm="1">
        <f t="array" ref="P731">IF($N731="","",IFERROR(IF(INDEX(geo_grid!$B$2:$JU$231,INT(($N731+40)/0.5)+1,INT(($O731+30)/0.5)+1)="","",INDEX(geo_grid!$B$2:$JU$231,INT(($N731+40)/0.5)+1,INT(($O731+30)/0.5)+1)),"OUTSIDE GRID"))</f>
        <v/>
      </c>
      <c r="Q731" t="str">
        <f t="shared" si="131"/>
        <v/>
      </c>
    </row>
    <row r="732" spans="1:17" x14ac:dyDescent="0.3">
      <c r="A732">
        <f t="shared" si="121"/>
        <v>5</v>
      </c>
      <c r="B732">
        <f t="shared" si="122"/>
        <v>126</v>
      </c>
      <c r="C732" t="str" cm="1">
        <f t="array" ref="C732">IFERROR(INDEX('TRIP MANAGER'!$O$18:$O$25,$A732),"")</f>
        <v/>
      </c>
      <c r="D732" t="str" cm="1">
        <f t="array" ref="D732">IFERROR(INDEX('TRIP MANAGER'!$P$18:$P$25,$A732),"")</f>
        <v/>
      </c>
      <c r="E732" t="str" cm="1">
        <f t="array" ref="E732">IFERROR(INDEX('TRIP MANAGER'!$Q$18:$Q$25,$A732),"")</f>
        <v/>
      </c>
      <c r="F732" t="str" cm="1">
        <f t="array" ref="F732">IFERROR(INDEX('TRIP MANAGER'!$R$18:$R$25,$A732),"")</f>
        <v/>
      </c>
      <c r="G732" t="str" cm="1">
        <f t="array" ref="G732">IFERROR(INDEX('TRIP MANAGER'!$S$18:$S$25,$A732),"")</f>
        <v/>
      </c>
      <c r="H732">
        <f t="shared" si="123"/>
        <v>0.84</v>
      </c>
      <c r="I732" t="str">
        <f t="shared" si="124"/>
        <v/>
      </c>
      <c r="J732" t="str">
        <f t="shared" si="125"/>
        <v/>
      </c>
      <c r="K732" t="str">
        <f t="shared" si="126"/>
        <v/>
      </c>
      <c r="L732" t="str">
        <f t="shared" si="127"/>
        <v/>
      </c>
      <c r="M732" t="str">
        <f t="shared" si="128"/>
        <v/>
      </c>
      <c r="N732" t="str">
        <f t="shared" si="129"/>
        <v/>
      </c>
      <c r="O732" t="str">
        <f t="shared" si="130"/>
        <v/>
      </c>
      <c r="P732" t="str" cm="1">
        <f t="array" ref="P732">IF($N732="","",IFERROR(IF(INDEX(geo_grid!$B$2:$JU$231,INT(($N732+40)/0.5)+1,INT(($O732+30)/0.5)+1)="","",INDEX(geo_grid!$B$2:$JU$231,INT(($N732+40)/0.5)+1,INT(($O732+30)/0.5)+1)),"OUTSIDE GRID"))</f>
        <v/>
      </c>
      <c r="Q732" t="str">
        <f t="shared" si="131"/>
        <v/>
      </c>
    </row>
    <row r="733" spans="1:17" x14ac:dyDescent="0.3">
      <c r="A733">
        <f t="shared" si="121"/>
        <v>5</v>
      </c>
      <c r="B733">
        <f t="shared" si="122"/>
        <v>127</v>
      </c>
      <c r="C733" t="str" cm="1">
        <f t="array" ref="C733">IFERROR(INDEX('TRIP MANAGER'!$O$18:$O$25,$A733),"")</f>
        <v/>
      </c>
      <c r="D733" t="str" cm="1">
        <f t="array" ref="D733">IFERROR(INDEX('TRIP MANAGER'!$P$18:$P$25,$A733),"")</f>
        <v/>
      </c>
      <c r="E733" t="str" cm="1">
        <f t="array" ref="E733">IFERROR(INDEX('TRIP MANAGER'!$Q$18:$Q$25,$A733),"")</f>
        <v/>
      </c>
      <c r="F733" t="str" cm="1">
        <f t="array" ref="F733">IFERROR(INDEX('TRIP MANAGER'!$R$18:$R$25,$A733),"")</f>
        <v/>
      </c>
      <c r="G733" t="str" cm="1">
        <f t="array" ref="G733">IFERROR(INDEX('TRIP MANAGER'!$S$18:$S$25,$A733),"")</f>
        <v/>
      </c>
      <c r="H733">
        <f t="shared" si="123"/>
        <v>0.84666666666666668</v>
      </c>
      <c r="I733" t="str">
        <f t="shared" si="124"/>
        <v/>
      </c>
      <c r="J733" t="str">
        <f t="shared" si="125"/>
        <v/>
      </c>
      <c r="K733" t="str">
        <f t="shared" si="126"/>
        <v/>
      </c>
      <c r="L733" t="str">
        <f t="shared" si="127"/>
        <v/>
      </c>
      <c r="M733" t="str">
        <f t="shared" si="128"/>
        <v/>
      </c>
      <c r="N733" t="str">
        <f t="shared" si="129"/>
        <v/>
      </c>
      <c r="O733" t="str">
        <f t="shared" si="130"/>
        <v/>
      </c>
      <c r="P733" t="str" cm="1">
        <f t="array" ref="P733">IF($N733="","",IFERROR(IF(INDEX(geo_grid!$B$2:$JU$231,INT(($N733+40)/0.5)+1,INT(($O733+30)/0.5)+1)="","",INDEX(geo_grid!$B$2:$JU$231,INT(($N733+40)/0.5)+1,INT(($O733+30)/0.5)+1)),"OUTSIDE GRID"))</f>
        <v/>
      </c>
      <c r="Q733" t="str">
        <f t="shared" si="131"/>
        <v/>
      </c>
    </row>
    <row r="734" spans="1:17" x14ac:dyDescent="0.3">
      <c r="A734">
        <f t="shared" si="121"/>
        <v>5</v>
      </c>
      <c r="B734">
        <f t="shared" si="122"/>
        <v>128</v>
      </c>
      <c r="C734" t="str" cm="1">
        <f t="array" ref="C734">IFERROR(INDEX('TRIP MANAGER'!$O$18:$O$25,$A734),"")</f>
        <v/>
      </c>
      <c r="D734" t="str" cm="1">
        <f t="array" ref="D734">IFERROR(INDEX('TRIP MANAGER'!$P$18:$P$25,$A734),"")</f>
        <v/>
      </c>
      <c r="E734" t="str" cm="1">
        <f t="array" ref="E734">IFERROR(INDEX('TRIP MANAGER'!$Q$18:$Q$25,$A734),"")</f>
        <v/>
      </c>
      <c r="F734" t="str" cm="1">
        <f t="array" ref="F734">IFERROR(INDEX('TRIP MANAGER'!$R$18:$R$25,$A734),"")</f>
        <v/>
      </c>
      <c r="G734" t="str" cm="1">
        <f t="array" ref="G734">IFERROR(INDEX('TRIP MANAGER'!$S$18:$S$25,$A734),"")</f>
        <v/>
      </c>
      <c r="H734">
        <f t="shared" si="123"/>
        <v>0.85333333333333339</v>
      </c>
      <c r="I734" t="str">
        <f t="shared" si="124"/>
        <v/>
      </c>
      <c r="J734" t="str">
        <f t="shared" si="125"/>
        <v/>
      </c>
      <c r="K734" t="str">
        <f t="shared" si="126"/>
        <v/>
      </c>
      <c r="L734" t="str">
        <f t="shared" si="127"/>
        <v/>
      </c>
      <c r="M734" t="str">
        <f t="shared" si="128"/>
        <v/>
      </c>
      <c r="N734" t="str">
        <f t="shared" si="129"/>
        <v/>
      </c>
      <c r="O734" t="str">
        <f t="shared" si="130"/>
        <v/>
      </c>
      <c r="P734" t="str" cm="1">
        <f t="array" ref="P734">IF($N734="","",IFERROR(IF(INDEX(geo_grid!$B$2:$JU$231,INT(($N734+40)/0.5)+1,INT(($O734+30)/0.5)+1)="","",INDEX(geo_grid!$B$2:$JU$231,INT(($N734+40)/0.5)+1,INT(($O734+30)/0.5)+1)),"OUTSIDE GRID"))</f>
        <v/>
      </c>
      <c r="Q734" t="str">
        <f t="shared" si="131"/>
        <v/>
      </c>
    </row>
    <row r="735" spans="1:17" x14ac:dyDescent="0.3">
      <c r="A735">
        <f t="shared" si="121"/>
        <v>5</v>
      </c>
      <c r="B735">
        <f t="shared" si="122"/>
        <v>129</v>
      </c>
      <c r="C735" t="str" cm="1">
        <f t="array" ref="C735">IFERROR(INDEX('TRIP MANAGER'!$O$18:$O$25,$A735),"")</f>
        <v/>
      </c>
      <c r="D735" t="str" cm="1">
        <f t="array" ref="D735">IFERROR(INDEX('TRIP MANAGER'!$P$18:$P$25,$A735),"")</f>
        <v/>
      </c>
      <c r="E735" t="str" cm="1">
        <f t="array" ref="E735">IFERROR(INDEX('TRIP MANAGER'!$Q$18:$Q$25,$A735),"")</f>
        <v/>
      </c>
      <c r="F735" t="str" cm="1">
        <f t="array" ref="F735">IFERROR(INDEX('TRIP MANAGER'!$R$18:$R$25,$A735),"")</f>
        <v/>
      </c>
      <c r="G735" t="str" cm="1">
        <f t="array" ref="G735">IFERROR(INDEX('TRIP MANAGER'!$S$18:$S$25,$A735),"")</f>
        <v/>
      </c>
      <c r="H735">
        <f t="shared" si="123"/>
        <v>0.86</v>
      </c>
      <c r="I735" t="str">
        <f t="shared" si="124"/>
        <v/>
      </c>
      <c r="J735" t="str">
        <f t="shared" si="125"/>
        <v/>
      </c>
      <c r="K735" t="str">
        <f t="shared" si="126"/>
        <v/>
      </c>
      <c r="L735" t="str">
        <f t="shared" si="127"/>
        <v/>
      </c>
      <c r="M735" t="str">
        <f t="shared" si="128"/>
        <v/>
      </c>
      <c r="N735" t="str">
        <f t="shared" si="129"/>
        <v/>
      </c>
      <c r="O735" t="str">
        <f t="shared" si="130"/>
        <v/>
      </c>
      <c r="P735" t="str" cm="1">
        <f t="array" ref="P735">IF($N735="","",IFERROR(IF(INDEX(geo_grid!$B$2:$JU$231,INT(($N735+40)/0.5)+1,INT(($O735+30)/0.5)+1)="","",INDEX(geo_grid!$B$2:$JU$231,INT(($N735+40)/0.5)+1,INT(($O735+30)/0.5)+1)),"OUTSIDE GRID"))</f>
        <v/>
      </c>
      <c r="Q735" t="str">
        <f t="shared" si="131"/>
        <v/>
      </c>
    </row>
    <row r="736" spans="1:17" x14ac:dyDescent="0.3">
      <c r="A736">
        <f t="shared" si="121"/>
        <v>5</v>
      </c>
      <c r="B736">
        <f t="shared" si="122"/>
        <v>130</v>
      </c>
      <c r="C736" t="str" cm="1">
        <f t="array" ref="C736">IFERROR(INDEX('TRIP MANAGER'!$O$18:$O$25,$A736),"")</f>
        <v/>
      </c>
      <c r="D736" t="str" cm="1">
        <f t="array" ref="D736">IFERROR(INDEX('TRIP MANAGER'!$P$18:$P$25,$A736),"")</f>
        <v/>
      </c>
      <c r="E736" t="str" cm="1">
        <f t="array" ref="E736">IFERROR(INDEX('TRIP MANAGER'!$Q$18:$Q$25,$A736),"")</f>
        <v/>
      </c>
      <c r="F736" t="str" cm="1">
        <f t="array" ref="F736">IFERROR(INDEX('TRIP MANAGER'!$R$18:$R$25,$A736),"")</f>
        <v/>
      </c>
      <c r="G736" t="str" cm="1">
        <f t="array" ref="G736">IFERROR(INDEX('TRIP MANAGER'!$S$18:$S$25,$A736),"")</f>
        <v/>
      </c>
      <c r="H736">
        <f t="shared" si="123"/>
        <v>0.8666666666666667</v>
      </c>
      <c r="I736" t="str">
        <f t="shared" si="124"/>
        <v/>
      </c>
      <c r="J736" t="str">
        <f t="shared" si="125"/>
        <v/>
      </c>
      <c r="K736" t="str">
        <f t="shared" si="126"/>
        <v/>
      </c>
      <c r="L736" t="str">
        <f t="shared" si="127"/>
        <v/>
      </c>
      <c r="M736" t="str">
        <f t="shared" si="128"/>
        <v/>
      </c>
      <c r="N736" t="str">
        <f t="shared" si="129"/>
        <v/>
      </c>
      <c r="O736" t="str">
        <f t="shared" si="130"/>
        <v/>
      </c>
      <c r="P736" t="str" cm="1">
        <f t="array" ref="P736">IF($N736="","",IFERROR(IF(INDEX(geo_grid!$B$2:$JU$231,INT(($N736+40)/0.5)+1,INT(($O736+30)/0.5)+1)="","",INDEX(geo_grid!$B$2:$JU$231,INT(($N736+40)/0.5)+1,INT(($O736+30)/0.5)+1)),"OUTSIDE GRID"))</f>
        <v/>
      </c>
      <c r="Q736" t="str">
        <f t="shared" si="131"/>
        <v/>
      </c>
    </row>
    <row r="737" spans="1:17" x14ac:dyDescent="0.3">
      <c r="A737">
        <f t="shared" si="121"/>
        <v>5</v>
      </c>
      <c r="B737">
        <f t="shared" si="122"/>
        <v>131</v>
      </c>
      <c r="C737" t="str" cm="1">
        <f t="array" ref="C737">IFERROR(INDEX('TRIP MANAGER'!$O$18:$O$25,$A737),"")</f>
        <v/>
      </c>
      <c r="D737" t="str" cm="1">
        <f t="array" ref="D737">IFERROR(INDEX('TRIP MANAGER'!$P$18:$P$25,$A737),"")</f>
        <v/>
      </c>
      <c r="E737" t="str" cm="1">
        <f t="array" ref="E737">IFERROR(INDEX('TRIP MANAGER'!$Q$18:$Q$25,$A737),"")</f>
        <v/>
      </c>
      <c r="F737" t="str" cm="1">
        <f t="array" ref="F737">IFERROR(INDEX('TRIP MANAGER'!$R$18:$R$25,$A737),"")</f>
        <v/>
      </c>
      <c r="G737" t="str" cm="1">
        <f t="array" ref="G737">IFERROR(INDEX('TRIP MANAGER'!$S$18:$S$25,$A737),"")</f>
        <v/>
      </c>
      <c r="H737">
        <f t="shared" si="123"/>
        <v>0.87333333333333329</v>
      </c>
      <c r="I737" t="str">
        <f t="shared" si="124"/>
        <v/>
      </c>
      <c r="J737" t="str">
        <f t="shared" si="125"/>
        <v/>
      </c>
      <c r="K737" t="str">
        <f t="shared" si="126"/>
        <v/>
      </c>
      <c r="L737" t="str">
        <f t="shared" si="127"/>
        <v/>
      </c>
      <c r="M737" t="str">
        <f t="shared" si="128"/>
        <v/>
      </c>
      <c r="N737" t="str">
        <f t="shared" si="129"/>
        <v/>
      </c>
      <c r="O737" t="str">
        <f t="shared" si="130"/>
        <v/>
      </c>
      <c r="P737" t="str" cm="1">
        <f t="array" ref="P737">IF($N737="","",IFERROR(IF(INDEX(geo_grid!$B$2:$JU$231,INT(($N737+40)/0.5)+1,INT(($O737+30)/0.5)+1)="","",INDEX(geo_grid!$B$2:$JU$231,INT(($N737+40)/0.5)+1,INT(($O737+30)/0.5)+1)),"OUTSIDE GRID"))</f>
        <v/>
      </c>
      <c r="Q737" t="str">
        <f t="shared" si="131"/>
        <v/>
      </c>
    </row>
    <row r="738" spans="1:17" x14ac:dyDescent="0.3">
      <c r="A738">
        <f t="shared" si="121"/>
        <v>5</v>
      </c>
      <c r="B738">
        <f t="shared" si="122"/>
        <v>132</v>
      </c>
      <c r="C738" t="str" cm="1">
        <f t="array" ref="C738">IFERROR(INDEX('TRIP MANAGER'!$O$18:$O$25,$A738),"")</f>
        <v/>
      </c>
      <c r="D738" t="str" cm="1">
        <f t="array" ref="D738">IFERROR(INDEX('TRIP MANAGER'!$P$18:$P$25,$A738),"")</f>
        <v/>
      </c>
      <c r="E738" t="str" cm="1">
        <f t="array" ref="E738">IFERROR(INDEX('TRIP MANAGER'!$Q$18:$Q$25,$A738),"")</f>
        <v/>
      </c>
      <c r="F738" t="str" cm="1">
        <f t="array" ref="F738">IFERROR(INDEX('TRIP MANAGER'!$R$18:$R$25,$A738),"")</f>
        <v/>
      </c>
      <c r="G738" t="str" cm="1">
        <f t="array" ref="G738">IFERROR(INDEX('TRIP MANAGER'!$S$18:$S$25,$A738),"")</f>
        <v/>
      </c>
      <c r="H738">
        <f t="shared" si="123"/>
        <v>0.88</v>
      </c>
      <c r="I738" t="str">
        <f t="shared" si="124"/>
        <v/>
      </c>
      <c r="J738" t="str">
        <f t="shared" si="125"/>
        <v/>
      </c>
      <c r="K738" t="str">
        <f t="shared" si="126"/>
        <v/>
      </c>
      <c r="L738" t="str">
        <f t="shared" si="127"/>
        <v/>
      </c>
      <c r="M738" t="str">
        <f t="shared" si="128"/>
        <v/>
      </c>
      <c r="N738" t="str">
        <f t="shared" si="129"/>
        <v/>
      </c>
      <c r="O738" t="str">
        <f t="shared" si="130"/>
        <v/>
      </c>
      <c r="P738" t="str" cm="1">
        <f t="array" ref="P738">IF($N738="","",IFERROR(IF(INDEX(geo_grid!$B$2:$JU$231,INT(($N738+40)/0.5)+1,INT(($O738+30)/0.5)+1)="","",INDEX(geo_grid!$B$2:$JU$231,INT(($N738+40)/0.5)+1,INT(($O738+30)/0.5)+1)),"OUTSIDE GRID"))</f>
        <v/>
      </c>
      <c r="Q738" t="str">
        <f t="shared" si="131"/>
        <v/>
      </c>
    </row>
    <row r="739" spans="1:17" x14ac:dyDescent="0.3">
      <c r="A739">
        <f t="shared" si="121"/>
        <v>5</v>
      </c>
      <c r="B739">
        <f t="shared" si="122"/>
        <v>133</v>
      </c>
      <c r="C739" t="str" cm="1">
        <f t="array" ref="C739">IFERROR(INDEX('TRIP MANAGER'!$O$18:$O$25,$A739),"")</f>
        <v/>
      </c>
      <c r="D739" t="str" cm="1">
        <f t="array" ref="D739">IFERROR(INDEX('TRIP MANAGER'!$P$18:$P$25,$A739),"")</f>
        <v/>
      </c>
      <c r="E739" t="str" cm="1">
        <f t="array" ref="E739">IFERROR(INDEX('TRIP MANAGER'!$Q$18:$Q$25,$A739),"")</f>
        <v/>
      </c>
      <c r="F739" t="str" cm="1">
        <f t="array" ref="F739">IFERROR(INDEX('TRIP MANAGER'!$R$18:$R$25,$A739),"")</f>
        <v/>
      </c>
      <c r="G739" t="str" cm="1">
        <f t="array" ref="G739">IFERROR(INDEX('TRIP MANAGER'!$S$18:$S$25,$A739),"")</f>
        <v/>
      </c>
      <c r="H739">
        <f t="shared" si="123"/>
        <v>0.88666666666666671</v>
      </c>
      <c r="I739" t="str">
        <f t="shared" si="124"/>
        <v/>
      </c>
      <c r="J739" t="str">
        <f t="shared" si="125"/>
        <v/>
      </c>
      <c r="K739" t="str">
        <f t="shared" si="126"/>
        <v/>
      </c>
      <c r="L739" t="str">
        <f t="shared" si="127"/>
        <v/>
      </c>
      <c r="M739" t="str">
        <f t="shared" si="128"/>
        <v/>
      </c>
      <c r="N739" t="str">
        <f t="shared" si="129"/>
        <v/>
      </c>
      <c r="O739" t="str">
        <f t="shared" si="130"/>
        <v/>
      </c>
      <c r="P739" t="str" cm="1">
        <f t="array" ref="P739">IF($N739="","",IFERROR(IF(INDEX(geo_grid!$B$2:$JU$231,INT(($N739+40)/0.5)+1,INT(($O739+30)/0.5)+1)="","",INDEX(geo_grid!$B$2:$JU$231,INT(($N739+40)/0.5)+1,INT(($O739+30)/0.5)+1)),"OUTSIDE GRID"))</f>
        <v/>
      </c>
      <c r="Q739" t="str">
        <f t="shared" si="131"/>
        <v/>
      </c>
    </row>
    <row r="740" spans="1:17" x14ac:dyDescent="0.3">
      <c r="A740">
        <f t="shared" si="121"/>
        <v>5</v>
      </c>
      <c r="B740">
        <f t="shared" si="122"/>
        <v>134</v>
      </c>
      <c r="C740" t="str" cm="1">
        <f t="array" ref="C740">IFERROR(INDEX('TRIP MANAGER'!$O$18:$O$25,$A740),"")</f>
        <v/>
      </c>
      <c r="D740" t="str" cm="1">
        <f t="array" ref="D740">IFERROR(INDEX('TRIP MANAGER'!$P$18:$P$25,$A740),"")</f>
        <v/>
      </c>
      <c r="E740" t="str" cm="1">
        <f t="array" ref="E740">IFERROR(INDEX('TRIP MANAGER'!$Q$18:$Q$25,$A740),"")</f>
        <v/>
      </c>
      <c r="F740" t="str" cm="1">
        <f t="array" ref="F740">IFERROR(INDEX('TRIP MANAGER'!$R$18:$R$25,$A740),"")</f>
        <v/>
      </c>
      <c r="G740" t="str" cm="1">
        <f t="array" ref="G740">IFERROR(INDEX('TRIP MANAGER'!$S$18:$S$25,$A740),"")</f>
        <v/>
      </c>
      <c r="H740">
        <f t="shared" si="123"/>
        <v>0.89333333333333331</v>
      </c>
      <c r="I740" t="str">
        <f t="shared" si="124"/>
        <v/>
      </c>
      <c r="J740" t="str">
        <f t="shared" si="125"/>
        <v/>
      </c>
      <c r="K740" t="str">
        <f t="shared" si="126"/>
        <v/>
      </c>
      <c r="L740" t="str">
        <f t="shared" si="127"/>
        <v/>
      </c>
      <c r="M740" t="str">
        <f t="shared" si="128"/>
        <v/>
      </c>
      <c r="N740" t="str">
        <f t="shared" si="129"/>
        <v/>
      </c>
      <c r="O740" t="str">
        <f t="shared" si="130"/>
        <v/>
      </c>
      <c r="P740" t="str" cm="1">
        <f t="array" ref="P740">IF($N740="","",IFERROR(IF(INDEX(geo_grid!$B$2:$JU$231,INT(($N740+40)/0.5)+1,INT(($O740+30)/0.5)+1)="","",INDEX(geo_grid!$B$2:$JU$231,INT(($N740+40)/0.5)+1,INT(($O740+30)/0.5)+1)),"OUTSIDE GRID"))</f>
        <v/>
      </c>
      <c r="Q740" t="str">
        <f t="shared" si="131"/>
        <v/>
      </c>
    </row>
    <row r="741" spans="1:17" x14ac:dyDescent="0.3">
      <c r="A741">
        <f t="shared" si="121"/>
        <v>5</v>
      </c>
      <c r="B741">
        <f t="shared" si="122"/>
        <v>135</v>
      </c>
      <c r="C741" t="str" cm="1">
        <f t="array" ref="C741">IFERROR(INDEX('TRIP MANAGER'!$O$18:$O$25,$A741),"")</f>
        <v/>
      </c>
      <c r="D741" t="str" cm="1">
        <f t="array" ref="D741">IFERROR(INDEX('TRIP MANAGER'!$P$18:$P$25,$A741),"")</f>
        <v/>
      </c>
      <c r="E741" t="str" cm="1">
        <f t="array" ref="E741">IFERROR(INDEX('TRIP MANAGER'!$Q$18:$Q$25,$A741),"")</f>
        <v/>
      </c>
      <c r="F741" t="str" cm="1">
        <f t="array" ref="F741">IFERROR(INDEX('TRIP MANAGER'!$R$18:$R$25,$A741),"")</f>
        <v/>
      </c>
      <c r="G741" t="str" cm="1">
        <f t="array" ref="G741">IFERROR(INDEX('TRIP MANAGER'!$S$18:$S$25,$A741),"")</f>
        <v/>
      </c>
      <c r="H741">
        <f t="shared" si="123"/>
        <v>0.9</v>
      </c>
      <c r="I741" t="str">
        <f t="shared" si="124"/>
        <v/>
      </c>
      <c r="J741" t="str">
        <f t="shared" si="125"/>
        <v/>
      </c>
      <c r="K741" t="str">
        <f t="shared" si="126"/>
        <v/>
      </c>
      <c r="L741" t="str">
        <f t="shared" si="127"/>
        <v/>
      </c>
      <c r="M741" t="str">
        <f t="shared" si="128"/>
        <v/>
      </c>
      <c r="N741" t="str">
        <f t="shared" si="129"/>
        <v/>
      </c>
      <c r="O741" t="str">
        <f t="shared" si="130"/>
        <v/>
      </c>
      <c r="P741" t="str" cm="1">
        <f t="array" ref="P741">IF($N741="","",IFERROR(IF(INDEX(geo_grid!$B$2:$JU$231,INT(($N741+40)/0.5)+1,INT(($O741+30)/0.5)+1)="","",INDEX(geo_grid!$B$2:$JU$231,INT(($N741+40)/0.5)+1,INT(($O741+30)/0.5)+1)),"OUTSIDE GRID"))</f>
        <v/>
      </c>
      <c r="Q741" t="str">
        <f t="shared" si="131"/>
        <v/>
      </c>
    </row>
    <row r="742" spans="1:17" x14ac:dyDescent="0.3">
      <c r="A742">
        <f t="shared" si="121"/>
        <v>5</v>
      </c>
      <c r="B742">
        <f t="shared" si="122"/>
        <v>136</v>
      </c>
      <c r="C742" t="str" cm="1">
        <f t="array" ref="C742">IFERROR(INDEX('TRIP MANAGER'!$O$18:$O$25,$A742),"")</f>
        <v/>
      </c>
      <c r="D742" t="str" cm="1">
        <f t="array" ref="D742">IFERROR(INDEX('TRIP MANAGER'!$P$18:$P$25,$A742),"")</f>
        <v/>
      </c>
      <c r="E742" t="str" cm="1">
        <f t="array" ref="E742">IFERROR(INDEX('TRIP MANAGER'!$Q$18:$Q$25,$A742),"")</f>
        <v/>
      </c>
      <c r="F742" t="str" cm="1">
        <f t="array" ref="F742">IFERROR(INDEX('TRIP MANAGER'!$R$18:$R$25,$A742),"")</f>
        <v/>
      </c>
      <c r="G742" t="str" cm="1">
        <f t="array" ref="G742">IFERROR(INDEX('TRIP MANAGER'!$S$18:$S$25,$A742),"")</f>
        <v/>
      </c>
      <c r="H742">
        <f t="shared" si="123"/>
        <v>0.90666666666666662</v>
      </c>
      <c r="I742" t="str">
        <f t="shared" si="124"/>
        <v/>
      </c>
      <c r="J742" t="str">
        <f t="shared" si="125"/>
        <v/>
      </c>
      <c r="K742" t="str">
        <f t="shared" si="126"/>
        <v/>
      </c>
      <c r="L742" t="str">
        <f t="shared" si="127"/>
        <v/>
      </c>
      <c r="M742" t="str">
        <f t="shared" si="128"/>
        <v/>
      </c>
      <c r="N742" t="str">
        <f t="shared" si="129"/>
        <v/>
      </c>
      <c r="O742" t="str">
        <f t="shared" si="130"/>
        <v/>
      </c>
      <c r="P742" t="str" cm="1">
        <f t="array" ref="P742">IF($N742="","",IFERROR(IF(INDEX(geo_grid!$B$2:$JU$231,INT(($N742+40)/0.5)+1,INT(($O742+30)/0.5)+1)="","",INDEX(geo_grid!$B$2:$JU$231,INT(($N742+40)/0.5)+1,INT(($O742+30)/0.5)+1)),"OUTSIDE GRID"))</f>
        <v/>
      </c>
      <c r="Q742" t="str">
        <f t="shared" si="131"/>
        <v/>
      </c>
    </row>
    <row r="743" spans="1:17" x14ac:dyDescent="0.3">
      <c r="A743">
        <f t="shared" si="121"/>
        <v>5</v>
      </c>
      <c r="B743">
        <f t="shared" si="122"/>
        <v>137</v>
      </c>
      <c r="C743" t="str" cm="1">
        <f t="array" ref="C743">IFERROR(INDEX('TRIP MANAGER'!$O$18:$O$25,$A743),"")</f>
        <v/>
      </c>
      <c r="D743" t="str" cm="1">
        <f t="array" ref="D743">IFERROR(INDEX('TRIP MANAGER'!$P$18:$P$25,$A743),"")</f>
        <v/>
      </c>
      <c r="E743" t="str" cm="1">
        <f t="array" ref="E743">IFERROR(INDEX('TRIP MANAGER'!$Q$18:$Q$25,$A743),"")</f>
        <v/>
      </c>
      <c r="F743" t="str" cm="1">
        <f t="array" ref="F743">IFERROR(INDEX('TRIP MANAGER'!$R$18:$R$25,$A743),"")</f>
        <v/>
      </c>
      <c r="G743" t="str" cm="1">
        <f t="array" ref="G743">IFERROR(INDEX('TRIP MANAGER'!$S$18:$S$25,$A743),"")</f>
        <v/>
      </c>
      <c r="H743">
        <f t="shared" si="123"/>
        <v>0.91333333333333333</v>
      </c>
      <c r="I743" t="str">
        <f t="shared" si="124"/>
        <v/>
      </c>
      <c r="J743" t="str">
        <f t="shared" si="125"/>
        <v/>
      </c>
      <c r="K743" t="str">
        <f t="shared" si="126"/>
        <v/>
      </c>
      <c r="L743" t="str">
        <f t="shared" si="127"/>
        <v/>
      </c>
      <c r="M743" t="str">
        <f t="shared" si="128"/>
        <v/>
      </c>
      <c r="N743" t="str">
        <f t="shared" si="129"/>
        <v/>
      </c>
      <c r="O743" t="str">
        <f t="shared" si="130"/>
        <v/>
      </c>
      <c r="P743" t="str" cm="1">
        <f t="array" ref="P743">IF($N743="","",IFERROR(IF(INDEX(geo_grid!$B$2:$JU$231,INT(($N743+40)/0.5)+1,INT(($O743+30)/0.5)+1)="","",INDEX(geo_grid!$B$2:$JU$231,INT(($N743+40)/0.5)+1,INT(($O743+30)/0.5)+1)),"OUTSIDE GRID"))</f>
        <v/>
      </c>
      <c r="Q743" t="str">
        <f t="shared" si="131"/>
        <v/>
      </c>
    </row>
    <row r="744" spans="1:17" x14ac:dyDescent="0.3">
      <c r="A744">
        <f t="shared" si="121"/>
        <v>5</v>
      </c>
      <c r="B744">
        <f t="shared" si="122"/>
        <v>138</v>
      </c>
      <c r="C744" t="str" cm="1">
        <f t="array" ref="C744">IFERROR(INDEX('TRIP MANAGER'!$O$18:$O$25,$A744),"")</f>
        <v/>
      </c>
      <c r="D744" t="str" cm="1">
        <f t="array" ref="D744">IFERROR(INDEX('TRIP MANAGER'!$P$18:$P$25,$A744),"")</f>
        <v/>
      </c>
      <c r="E744" t="str" cm="1">
        <f t="array" ref="E744">IFERROR(INDEX('TRIP MANAGER'!$Q$18:$Q$25,$A744),"")</f>
        <v/>
      </c>
      <c r="F744" t="str" cm="1">
        <f t="array" ref="F744">IFERROR(INDEX('TRIP MANAGER'!$R$18:$R$25,$A744),"")</f>
        <v/>
      </c>
      <c r="G744" t="str" cm="1">
        <f t="array" ref="G744">IFERROR(INDEX('TRIP MANAGER'!$S$18:$S$25,$A744),"")</f>
        <v/>
      </c>
      <c r="H744">
        <f t="shared" si="123"/>
        <v>0.92</v>
      </c>
      <c r="I744" t="str">
        <f t="shared" si="124"/>
        <v/>
      </c>
      <c r="J744" t="str">
        <f t="shared" si="125"/>
        <v/>
      </c>
      <c r="K744" t="str">
        <f t="shared" si="126"/>
        <v/>
      </c>
      <c r="L744" t="str">
        <f t="shared" si="127"/>
        <v/>
      </c>
      <c r="M744" t="str">
        <f t="shared" si="128"/>
        <v/>
      </c>
      <c r="N744" t="str">
        <f t="shared" si="129"/>
        <v/>
      </c>
      <c r="O744" t="str">
        <f t="shared" si="130"/>
        <v/>
      </c>
      <c r="P744" t="str" cm="1">
        <f t="array" ref="P744">IF($N744="","",IFERROR(IF(INDEX(geo_grid!$B$2:$JU$231,INT(($N744+40)/0.5)+1,INT(($O744+30)/0.5)+1)="","",INDEX(geo_grid!$B$2:$JU$231,INT(($N744+40)/0.5)+1,INT(($O744+30)/0.5)+1)),"OUTSIDE GRID"))</f>
        <v/>
      </c>
      <c r="Q744" t="str">
        <f t="shared" si="131"/>
        <v/>
      </c>
    </row>
    <row r="745" spans="1:17" x14ac:dyDescent="0.3">
      <c r="A745">
        <f t="shared" si="121"/>
        <v>5</v>
      </c>
      <c r="B745">
        <f t="shared" si="122"/>
        <v>139</v>
      </c>
      <c r="C745" t="str" cm="1">
        <f t="array" ref="C745">IFERROR(INDEX('TRIP MANAGER'!$O$18:$O$25,$A745),"")</f>
        <v/>
      </c>
      <c r="D745" t="str" cm="1">
        <f t="array" ref="D745">IFERROR(INDEX('TRIP MANAGER'!$P$18:$P$25,$A745),"")</f>
        <v/>
      </c>
      <c r="E745" t="str" cm="1">
        <f t="array" ref="E745">IFERROR(INDEX('TRIP MANAGER'!$Q$18:$Q$25,$A745),"")</f>
        <v/>
      </c>
      <c r="F745" t="str" cm="1">
        <f t="array" ref="F745">IFERROR(INDEX('TRIP MANAGER'!$R$18:$R$25,$A745),"")</f>
        <v/>
      </c>
      <c r="G745" t="str" cm="1">
        <f t="array" ref="G745">IFERROR(INDEX('TRIP MANAGER'!$S$18:$S$25,$A745),"")</f>
        <v/>
      </c>
      <c r="H745">
        <f t="shared" si="123"/>
        <v>0.92666666666666664</v>
      </c>
      <c r="I745" t="str">
        <f t="shared" si="124"/>
        <v/>
      </c>
      <c r="J745" t="str">
        <f t="shared" si="125"/>
        <v/>
      </c>
      <c r="K745" t="str">
        <f t="shared" si="126"/>
        <v/>
      </c>
      <c r="L745" t="str">
        <f t="shared" si="127"/>
        <v/>
      </c>
      <c r="M745" t="str">
        <f t="shared" si="128"/>
        <v/>
      </c>
      <c r="N745" t="str">
        <f t="shared" si="129"/>
        <v/>
      </c>
      <c r="O745" t="str">
        <f t="shared" si="130"/>
        <v/>
      </c>
      <c r="P745" t="str" cm="1">
        <f t="array" ref="P745">IF($N745="","",IFERROR(IF(INDEX(geo_grid!$B$2:$JU$231,INT(($N745+40)/0.5)+1,INT(($O745+30)/0.5)+1)="","",INDEX(geo_grid!$B$2:$JU$231,INT(($N745+40)/0.5)+1,INT(($O745+30)/0.5)+1)),"OUTSIDE GRID"))</f>
        <v/>
      </c>
      <c r="Q745" t="str">
        <f t="shared" si="131"/>
        <v/>
      </c>
    </row>
    <row r="746" spans="1:17" x14ac:dyDescent="0.3">
      <c r="A746">
        <f t="shared" si="121"/>
        <v>5</v>
      </c>
      <c r="B746">
        <f t="shared" si="122"/>
        <v>140</v>
      </c>
      <c r="C746" t="str" cm="1">
        <f t="array" ref="C746">IFERROR(INDEX('TRIP MANAGER'!$O$18:$O$25,$A746),"")</f>
        <v/>
      </c>
      <c r="D746" t="str" cm="1">
        <f t="array" ref="D746">IFERROR(INDEX('TRIP MANAGER'!$P$18:$P$25,$A746),"")</f>
        <v/>
      </c>
      <c r="E746" t="str" cm="1">
        <f t="array" ref="E746">IFERROR(INDEX('TRIP MANAGER'!$Q$18:$Q$25,$A746),"")</f>
        <v/>
      </c>
      <c r="F746" t="str" cm="1">
        <f t="array" ref="F746">IFERROR(INDEX('TRIP MANAGER'!$R$18:$R$25,$A746),"")</f>
        <v/>
      </c>
      <c r="G746" t="str" cm="1">
        <f t="array" ref="G746">IFERROR(INDEX('TRIP MANAGER'!$S$18:$S$25,$A746),"")</f>
        <v/>
      </c>
      <c r="H746">
        <f t="shared" si="123"/>
        <v>0.93333333333333335</v>
      </c>
      <c r="I746" t="str">
        <f t="shared" si="124"/>
        <v/>
      </c>
      <c r="J746" t="str">
        <f t="shared" si="125"/>
        <v/>
      </c>
      <c r="K746" t="str">
        <f t="shared" si="126"/>
        <v/>
      </c>
      <c r="L746" t="str">
        <f t="shared" si="127"/>
        <v/>
      </c>
      <c r="M746" t="str">
        <f t="shared" si="128"/>
        <v/>
      </c>
      <c r="N746" t="str">
        <f t="shared" si="129"/>
        <v/>
      </c>
      <c r="O746" t="str">
        <f t="shared" si="130"/>
        <v/>
      </c>
      <c r="P746" t="str" cm="1">
        <f t="array" ref="P746">IF($N746="","",IFERROR(IF(INDEX(geo_grid!$B$2:$JU$231,INT(($N746+40)/0.5)+1,INT(($O746+30)/0.5)+1)="","",INDEX(geo_grid!$B$2:$JU$231,INT(($N746+40)/0.5)+1,INT(($O746+30)/0.5)+1)),"OUTSIDE GRID"))</f>
        <v/>
      </c>
      <c r="Q746" t="str">
        <f t="shared" si="131"/>
        <v/>
      </c>
    </row>
    <row r="747" spans="1:17" x14ac:dyDescent="0.3">
      <c r="A747">
        <f t="shared" si="121"/>
        <v>5</v>
      </c>
      <c r="B747">
        <f t="shared" si="122"/>
        <v>141</v>
      </c>
      <c r="C747" t="str" cm="1">
        <f t="array" ref="C747">IFERROR(INDEX('TRIP MANAGER'!$O$18:$O$25,$A747),"")</f>
        <v/>
      </c>
      <c r="D747" t="str" cm="1">
        <f t="array" ref="D747">IFERROR(INDEX('TRIP MANAGER'!$P$18:$P$25,$A747),"")</f>
        <v/>
      </c>
      <c r="E747" t="str" cm="1">
        <f t="array" ref="E747">IFERROR(INDEX('TRIP MANAGER'!$Q$18:$Q$25,$A747),"")</f>
        <v/>
      </c>
      <c r="F747" t="str" cm="1">
        <f t="array" ref="F747">IFERROR(INDEX('TRIP MANAGER'!$R$18:$R$25,$A747),"")</f>
        <v/>
      </c>
      <c r="G747" t="str" cm="1">
        <f t="array" ref="G747">IFERROR(INDEX('TRIP MANAGER'!$S$18:$S$25,$A747),"")</f>
        <v/>
      </c>
      <c r="H747">
        <f t="shared" si="123"/>
        <v>0.94</v>
      </c>
      <c r="I747" t="str">
        <f t="shared" si="124"/>
        <v/>
      </c>
      <c r="J747" t="str">
        <f t="shared" si="125"/>
        <v/>
      </c>
      <c r="K747" t="str">
        <f t="shared" si="126"/>
        <v/>
      </c>
      <c r="L747" t="str">
        <f t="shared" si="127"/>
        <v/>
      </c>
      <c r="M747" t="str">
        <f t="shared" si="128"/>
        <v/>
      </c>
      <c r="N747" t="str">
        <f t="shared" si="129"/>
        <v/>
      </c>
      <c r="O747" t="str">
        <f t="shared" si="130"/>
        <v/>
      </c>
      <c r="P747" t="str" cm="1">
        <f t="array" ref="P747">IF($N747="","",IFERROR(IF(INDEX(geo_grid!$B$2:$JU$231,INT(($N747+40)/0.5)+1,INT(($O747+30)/0.5)+1)="","",INDEX(geo_grid!$B$2:$JU$231,INT(($N747+40)/0.5)+1,INT(($O747+30)/0.5)+1)),"OUTSIDE GRID"))</f>
        <v/>
      </c>
      <c r="Q747" t="str">
        <f t="shared" si="131"/>
        <v/>
      </c>
    </row>
    <row r="748" spans="1:17" x14ac:dyDescent="0.3">
      <c r="A748">
        <f t="shared" si="121"/>
        <v>5</v>
      </c>
      <c r="B748">
        <f t="shared" si="122"/>
        <v>142</v>
      </c>
      <c r="C748" t="str" cm="1">
        <f t="array" ref="C748">IFERROR(INDEX('TRIP MANAGER'!$O$18:$O$25,$A748),"")</f>
        <v/>
      </c>
      <c r="D748" t="str" cm="1">
        <f t="array" ref="D748">IFERROR(INDEX('TRIP MANAGER'!$P$18:$P$25,$A748),"")</f>
        <v/>
      </c>
      <c r="E748" t="str" cm="1">
        <f t="array" ref="E748">IFERROR(INDEX('TRIP MANAGER'!$Q$18:$Q$25,$A748),"")</f>
        <v/>
      </c>
      <c r="F748" t="str" cm="1">
        <f t="array" ref="F748">IFERROR(INDEX('TRIP MANAGER'!$R$18:$R$25,$A748),"")</f>
        <v/>
      </c>
      <c r="G748" t="str" cm="1">
        <f t="array" ref="G748">IFERROR(INDEX('TRIP MANAGER'!$S$18:$S$25,$A748),"")</f>
        <v/>
      </c>
      <c r="H748">
        <f t="shared" si="123"/>
        <v>0.94666666666666666</v>
      </c>
      <c r="I748" t="str">
        <f t="shared" si="124"/>
        <v/>
      </c>
      <c r="J748" t="str">
        <f t="shared" si="125"/>
        <v/>
      </c>
      <c r="K748" t="str">
        <f t="shared" si="126"/>
        <v/>
      </c>
      <c r="L748" t="str">
        <f t="shared" si="127"/>
        <v/>
      </c>
      <c r="M748" t="str">
        <f t="shared" si="128"/>
        <v/>
      </c>
      <c r="N748" t="str">
        <f t="shared" si="129"/>
        <v/>
      </c>
      <c r="O748" t="str">
        <f t="shared" si="130"/>
        <v/>
      </c>
      <c r="P748" t="str" cm="1">
        <f t="array" ref="P748">IF($N748="","",IFERROR(IF(INDEX(geo_grid!$B$2:$JU$231,INT(($N748+40)/0.5)+1,INT(($O748+30)/0.5)+1)="","",INDEX(geo_grid!$B$2:$JU$231,INT(($N748+40)/0.5)+1,INT(($O748+30)/0.5)+1)),"OUTSIDE GRID"))</f>
        <v/>
      </c>
      <c r="Q748" t="str">
        <f t="shared" si="131"/>
        <v/>
      </c>
    </row>
    <row r="749" spans="1:17" x14ac:dyDescent="0.3">
      <c r="A749">
        <f t="shared" si="121"/>
        <v>5</v>
      </c>
      <c r="B749">
        <f t="shared" si="122"/>
        <v>143</v>
      </c>
      <c r="C749" t="str" cm="1">
        <f t="array" ref="C749">IFERROR(INDEX('TRIP MANAGER'!$O$18:$O$25,$A749),"")</f>
        <v/>
      </c>
      <c r="D749" t="str" cm="1">
        <f t="array" ref="D749">IFERROR(INDEX('TRIP MANAGER'!$P$18:$P$25,$A749),"")</f>
        <v/>
      </c>
      <c r="E749" t="str" cm="1">
        <f t="array" ref="E749">IFERROR(INDEX('TRIP MANAGER'!$Q$18:$Q$25,$A749),"")</f>
        <v/>
      </c>
      <c r="F749" t="str" cm="1">
        <f t="array" ref="F749">IFERROR(INDEX('TRIP MANAGER'!$R$18:$R$25,$A749),"")</f>
        <v/>
      </c>
      <c r="G749" t="str" cm="1">
        <f t="array" ref="G749">IFERROR(INDEX('TRIP MANAGER'!$S$18:$S$25,$A749),"")</f>
        <v/>
      </c>
      <c r="H749">
        <f t="shared" si="123"/>
        <v>0.95333333333333337</v>
      </c>
      <c r="I749" t="str">
        <f t="shared" si="124"/>
        <v/>
      </c>
      <c r="J749" t="str">
        <f t="shared" si="125"/>
        <v/>
      </c>
      <c r="K749" t="str">
        <f t="shared" si="126"/>
        <v/>
      </c>
      <c r="L749" t="str">
        <f t="shared" si="127"/>
        <v/>
      </c>
      <c r="M749" t="str">
        <f t="shared" si="128"/>
        <v/>
      </c>
      <c r="N749" t="str">
        <f t="shared" si="129"/>
        <v/>
      </c>
      <c r="O749" t="str">
        <f t="shared" si="130"/>
        <v/>
      </c>
      <c r="P749" t="str" cm="1">
        <f t="array" ref="P749">IF($N749="","",IFERROR(IF(INDEX(geo_grid!$B$2:$JU$231,INT(($N749+40)/0.5)+1,INT(($O749+30)/0.5)+1)="","",INDEX(geo_grid!$B$2:$JU$231,INT(($N749+40)/0.5)+1,INT(($O749+30)/0.5)+1)),"OUTSIDE GRID"))</f>
        <v/>
      </c>
      <c r="Q749" t="str">
        <f t="shared" si="131"/>
        <v/>
      </c>
    </row>
    <row r="750" spans="1:17" x14ac:dyDescent="0.3">
      <c r="A750">
        <f t="shared" si="121"/>
        <v>5</v>
      </c>
      <c r="B750">
        <f t="shared" si="122"/>
        <v>144</v>
      </c>
      <c r="C750" t="str" cm="1">
        <f t="array" ref="C750">IFERROR(INDEX('TRIP MANAGER'!$O$18:$O$25,$A750),"")</f>
        <v/>
      </c>
      <c r="D750" t="str" cm="1">
        <f t="array" ref="D750">IFERROR(INDEX('TRIP MANAGER'!$P$18:$P$25,$A750),"")</f>
        <v/>
      </c>
      <c r="E750" t="str" cm="1">
        <f t="array" ref="E750">IFERROR(INDEX('TRIP MANAGER'!$Q$18:$Q$25,$A750),"")</f>
        <v/>
      </c>
      <c r="F750" t="str" cm="1">
        <f t="array" ref="F750">IFERROR(INDEX('TRIP MANAGER'!$R$18:$R$25,$A750),"")</f>
        <v/>
      </c>
      <c r="G750" t="str" cm="1">
        <f t="array" ref="G750">IFERROR(INDEX('TRIP MANAGER'!$S$18:$S$25,$A750),"")</f>
        <v/>
      </c>
      <c r="H750">
        <f t="shared" si="123"/>
        <v>0.96</v>
      </c>
      <c r="I750" t="str">
        <f t="shared" si="124"/>
        <v/>
      </c>
      <c r="J750" t="str">
        <f t="shared" si="125"/>
        <v/>
      </c>
      <c r="K750" t="str">
        <f t="shared" si="126"/>
        <v/>
      </c>
      <c r="L750" t="str">
        <f t="shared" si="127"/>
        <v/>
      </c>
      <c r="M750" t="str">
        <f t="shared" si="128"/>
        <v/>
      </c>
      <c r="N750" t="str">
        <f t="shared" si="129"/>
        <v/>
      </c>
      <c r="O750" t="str">
        <f t="shared" si="130"/>
        <v/>
      </c>
      <c r="P750" t="str" cm="1">
        <f t="array" ref="P750">IF($N750="","",IFERROR(IF(INDEX(geo_grid!$B$2:$JU$231,INT(($N750+40)/0.5)+1,INT(($O750+30)/0.5)+1)="","",INDEX(geo_grid!$B$2:$JU$231,INT(($N750+40)/0.5)+1,INT(($O750+30)/0.5)+1)),"OUTSIDE GRID"))</f>
        <v/>
      </c>
      <c r="Q750" t="str">
        <f t="shared" si="131"/>
        <v/>
      </c>
    </row>
    <row r="751" spans="1:17" x14ac:dyDescent="0.3">
      <c r="A751">
        <f t="shared" si="121"/>
        <v>5</v>
      </c>
      <c r="B751">
        <f t="shared" si="122"/>
        <v>145</v>
      </c>
      <c r="C751" t="str" cm="1">
        <f t="array" ref="C751">IFERROR(INDEX('TRIP MANAGER'!$O$18:$O$25,$A751),"")</f>
        <v/>
      </c>
      <c r="D751" t="str" cm="1">
        <f t="array" ref="D751">IFERROR(INDEX('TRIP MANAGER'!$P$18:$P$25,$A751),"")</f>
        <v/>
      </c>
      <c r="E751" t="str" cm="1">
        <f t="array" ref="E751">IFERROR(INDEX('TRIP MANAGER'!$Q$18:$Q$25,$A751),"")</f>
        <v/>
      </c>
      <c r="F751" t="str" cm="1">
        <f t="array" ref="F751">IFERROR(INDEX('TRIP MANAGER'!$R$18:$R$25,$A751),"")</f>
        <v/>
      </c>
      <c r="G751" t="str" cm="1">
        <f t="array" ref="G751">IFERROR(INDEX('TRIP MANAGER'!$S$18:$S$25,$A751),"")</f>
        <v/>
      </c>
      <c r="H751">
        <f t="shared" si="123"/>
        <v>0.96666666666666667</v>
      </c>
      <c r="I751" t="str">
        <f t="shared" si="124"/>
        <v/>
      </c>
      <c r="J751" t="str">
        <f t="shared" si="125"/>
        <v/>
      </c>
      <c r="K751" t="str">
        <f t="shared" si="126"/>
        <v/>
      </c>
      <c r="L751" t="str">
        <f t="shared" si="127"/>
        <v/>
      </c>
      <c r="M751" t="str">
        <f t="shared" si="128"/>
        <v/>
      </c>
      <c r="N751" t="str">
        <f t="shared" si="129"/>
        <v/>
      </c>
      <c r="O751" t="str">
        <f t="shared" si="130"/>
        <v/>
      </c>
      <c r="P751" t="str" cm="1">
        <f t="array" ref="P751">IF($N751="","",IFERROR(IF(INDEX(geo_grid!$B$2:$JU$231,INT(($N751+40)/0.5)+1,INT(($O751+30)/0.5)+1)="","",INDEX(geo_grid!$B$2:$JU$231,INT(($N751+40)/0.5)+1,INT(($O751+30)/0.5)+1)),"OUTSIDE GRID"))</f>
        <v/>
      </c>
      <c r="Q751" t="str">
        <f t="shared" si="131"/>
        <v/>
      </c>
    </row>
    <row r="752" spans="1:17" x14ac:dyDescent="0.3">
      <c r="A752">
        <f t="shared" si="121"/>
        <v>5</v>
      </c>
      <c r="B752">
        <f t="shared" si="122"/>
        <v>146</v>
      </c>
      <c r="C752" t="str" cm="1">
        <f t="array" ref="C752">IFERROR(INDEX('TRIP MANAGER'!$O$18:$O$25,$A752),"")</f>
        <v/>
      </c>
      <c r="D752" t="str" cm="1">
        <f t="array" ref="D752">IFERROR(INDEX('TRIP MANAGER'!$P$18:$P$25,$A752),"")</f>
        <v/>
      </c>
      <c r="E752" t="str" cm="1">
        <f t="array" ref="E752">IFERROR(INDEX('TRIP MANAGER'!$Q$18:$Q$25,$A752),"")</f>
        <v/>
      </c>
      <c r="F752" t="str" cm="1">
        <f t="array" ref="F752">IFERROR(INDEX('TRIP MANAGER'!$R$18:$R$25,$A752),"")</f>
        <v/>
      </c>
      <c r="G752" t="str" cm="1">
        <f t="array" ref="G752">IFERROR(INDEX('TRIP MANAGER'!$S$18:$S$25,$A752),"")</f>
        <v/>
      </c>
      <c r="H752">
        <f t="shared" si="123"/>
        <v>0.97333333333333338</v>
      </c>
      <c r="I752" t="str">
        <f t="shared" si="124"/>
        <v/>
      </c>
      <c r="J752" t="str">
        <f t="shared" si="125"/>
        <v/>
      </c>
      <c r="K752" t="str">
        <f t="shared" si="126"/>
        <v/>
      </c>
      <c r="L752" t="str">
        <f t="shared" si="127"/>
        <v/>
      </c>
      <c r="M752" t="str">
        <f t="shared" si="128"/>
        <v/>
      </c>
      <c r="N752" t="str">
        <f t="shared" si="129"/>
        <v/>
      </c>
      <c r="O752" t="str">
        <f t="shared" si="130"/>
        <v/>
      </c>
      <c r="P752" t="str" cm="1">
        <f t="array" ref="P752">IF($N752="","",IFERROR(IF(INDEX(geo_grid!$B$2:$JU$231,INT(($N752+40)/0.5)+1,INT(($O752+30)/0.5)+1)="","",INDEX(geo_grid!$B$2:$JU$231,INT(($N752+40)/0.5)+1,INT(($O752+30)/0.5)+1)),"OUTSIDE GRID"))</f>
        <v/>
      </c>
      <c r="Q752" t="str">
        <f t="shared" si="131"/>
        <v/>
      </c>
    </row>
    <row r="753" spans="1:17" x14ac:dyDescent="0.3">
      <c r="A753">
        <f t="shared" si="121"/>
        <v>5</v>
      </c>
      <c r="B753">
        <f t="shared" si="122"/>
        <v>147</v>
      </c>
      <c r="C753" t="str" cm="1">
        <f t="array" ref="C753">IFERROR(INDEX('TRIP MANAGER'!$O$18:$O$25,$A753),"")</f>
        <v/>
      </c>
      <c r="D753" t="str" cm="1">
        <f t="array" ref="D753">IFERROR(INDEX('TRIP MANAGER'!$P$18:$P$25,$A753),"")</f>
        <v/>
      </c>
      <c r="E753" t="str" cm="1">
        <f t="array" ref="E753">IFERROR(INDEX('TRIP MANAGER'!$Q$18:$Q$25,$A753),"")</f>
        <v/>
      </c>
      <c r="F753" t="str" cm="1">
        <f t="array" ref="F753">IFERROR(INDEX('TRIP MANAGER'!$R$18:$R$25,$A753),"")</f>
        <v/>
      </c>
      <c r="G753" t="str" cm="1">
        <f t="array" ref="G753">IFERROR(INDEX('TRIP MANAGER'!$S$18:$S$25,$A753),"")</f>
        <v/>
      </c>
      <c r="H753">
        <f t="shared" si="123"/>
        <v>0.98</v>
      </c>
      <c r="I753" t="str">
        <f t="shared" si="124"/>
        <v/>
      </c>
      <c r="J753" t="str">
        <f t="shared" si="125"/>
        <v/>
      </c>
      <c r="K753" t="str">
        <f t="shared" si="126"/>
        <v/>
      </c>
      <c r="L753" t="str">
        <f t="shared" si="127"/>
        <v/>
      </c>
      <c r="M753" t="str">
        <f t="shared" si="128"/>
        <v/>
      </c>
      <c r="N753" t="str">
        <f t="shared" si="129"/>
        <v/>
      </c>
      <c r="O753" t="str">
        <f t="shared" si="130"/>
        <v/>
      </c>
      <c r="P753" t="str" cm="1">
        <f t="array" ref="P753">IF($N753="","",IFERROR(IF(INDEX(geo_grid!$B$2:$JU$231,INT(($N753+40)/0.5)+1,INT(($O753+30)/0.5)+1)="","",INDEX(geo_grid!$B$2:$JU$231,INT(($N753+40)/0.5)+1,INT(($O753+30)/0.5)+1)),"OUTSIDE GRID"))</f>
        <v/>
      </c>
      <c r="Q753" t="str">
        <f t="shared" si="131"/>
        <v/>
      </c>
    </row>
    <row r="754" spans="1:17" x14ac:dyDescent="0.3">
      <c r="A754">
        <f t="shared" si="121"/>
        <v>5</v>
      </c>
      <c r="B754">
        <f t="shared" si="122"/>
        <v>148</v>
      </c>
      <c r="C754" t="str" cm="1">
        <f t="array" ref="C754">IFERROR(INDEX('TRIP MANAGER'!$O$18:$O$25,$A754),"")</f>
        <v/>
      </c>
      <c r="D754" t="str" cm="1">
        <f t="array" ref="D754">IFERROR(INDEX('TRIP MANAGER'!$P$18:$P$25,$A754),"")</f>
        <v/>
      </c>
      <c r="E754" t="str" cm="1">
        <f t="array" ref="E754">IFERROR(INDEX('TRIP MANAGER'!$Q$18:$Q$25,$A754),"")</f>
        <v/>
      </c>
      <c r="F754" t="str" cm="1">
        <f t="array" ref="F754">IFERROR(INDEX('TRIP MANAGER'!$R$18:$R$25,$A754),"")</f>
        <v/>
      </c>
      <c r="G754" t="str" cm="1">
        <f t="array" ref="G754">IFERROR(INDEX('TRIP MANAGER'!$S$18:$S$25,$A754),"")</f>
        <v/>
      </c>
      <c r="H754">
        <f t="shared" si="123"/>
        <v>0.98666666666666669</v>
      </c>
      <c r="I754" t="str">
        <f t="shared" si="124"/>
        <v/>
      </c>
      <c r="J754" t="str">
        <f t="shared" si="125"/>
        <v/>
      </c>
      <c r="K754" t="str">
        <f t="shared" si="126"/>
        <v/>
      </c>
      <c r="L754" t="str">
        <f t="shared" si="127"/>
        <v/>
      </c>
      <c r="M754" t="str">
        <f t="shared" si="128"/>
        <v/>
      </c>
      <c r="N754" t="str">
        <f t="shared" si="129"/>
        <v/>
      </c>
      <c r="O754" t="str">
        <f t="shared" si="130"/>
        <v/>
      </c>
      <c r="P754" t="str" cm="1">
        <f t="array" ref="P754">IF($N754="","",IFERROR(IF(INDEX(geo_grid!$B$2:$JU$231,INT(($N754+40)/0.5)+1,INT(($O754+30)/0.5)+1)="","",INDEX(geo_grid!$B$2:$JU$231,INT(($N754+40)/0.5)+1,INT(($O754+30)/0.5)+1)),"OUTSIDE GRID"))</f>
        <v/>
      </c>
      <c r="Q754" t="str">
        <f t="shared" si="131"/>
        <v/>
      </c>
    </row>
    <row r="755" spans="1:17" x14ac:dyDescent="0.3">
      <c r="A755">
        <f t="shared" si="121"/>
        <v>5</v>
      </c>
      <c r="B755">
        <f t="shared" si="122"/>
        <v>149</v>
      </c>
      <c r="C755" t="str" cm="1">
        <f t="array" ref="C755">IFERROR(INDEX('TRIP MANAGER'!$O$18:$O$25,$A755),"")</f>
        <v/>
      </c>
      <c r="D755" t="str" cm="1">
        <f t="array" ref="D755">IFERROR(INDEX('TRIP MANAGER'!$P$18:$P$25,$A755),"")</f>
        <v/>
      </c>
      <c r="E755" t="str" cm="1">
        <f t="array" ref="E755">IFERROR(INDEX('TRIP MANAGER'!$Q$18:$Q$25,$A755),"")</f>
        <v/>
      </c>
      <c r="F755" t="str" cm="1">
        <f t="array" ref="F755">IFERROR(INDEX('TRIP MANAGER'!$R$18:$R$25,$A755),"")</f>
        <v/>
      </c>
      <c r="G755" t="str" cm="1">
        <f t="array" ref="G755">IFERROR(INDEX('TRIP MANAGER'!$S$18:$S$25,$A755),"")</f>
        <v/>
      </c>
      <c r="H755">
        <f t="shared" si="123"/>
        <v>0.99333333333333329</v>
      </c>
      <c r="I755" t="str">
        <f t="shared" si="124"/>
        <v/>
      </c>
      <c r="J755" t="str">
        <f t="shared" si="125"/>
        <v/>
      </c>
      <c r="K755" t="str">
        <f t="shared" si="126"/>
        <v/>
      </c>
      <c r="L755" t="str">
        <f t="shared" si="127"/>
        <v/>
      </c>
      <c r="M755" t="str">
        <f t="shared" si="128"/>
        <v/>
      </c>
      <c r="N755" t="str">
        <f t="shared" si="129"/>
        <v/>
      </c>
      <c r="O755" t="str">
        <f t="shared" si="130"/>
        <v/>
      </c>
      <c r="P755" t="str" cm="1">
        <f t="array" ref="P755">IF($N755="","",IFERROR(IF(INDEX(geo_grid!$B$2:$JU$231,INT(($N755+40)/0.5)+1,INT(($O755+30)/0.5)+1)="","",INDEX(geo_grid!$B$2:$JU$231,INT(($N755+40)/0.5)+1,INT(($O755+30)/0.5)+1)),"OUTSIDE GRID"))</f>
        <v/>
      </c>
      <c r="Q755" t="str">
        <f t="shared" si="131"/>
        <v/>
      </c>
    </row>
    <row r="756" spans="1:17" x14ac:dyDescent="0.3">
      <c r="A756">
        <f t="shared" si="121"/>
        <v>5</v>
      </c>
      <c r="B756">
        <f t="shared" si="122"/>
        <v>150</v>
      </c>
      <c r="C756" t="str" cm="1">
        <f t="array" ref="C756">IFERROR(INDEX('TRIP MANAGER'!$O$18:$O$25,$A756),"")</f>
        <v/>
      </c>
      <c r="D756" t="str" cm="1">
        <f t="array" ref="D756">IFERROR(INDEX('TRIP MANAGER'!$P$18:$P$25,$A756),"")</f>
        <v/>
      </c>
      <c r="E756" t="str" cm="1">
        <f t="array" ref="E756">IFERROR(INDEX('TRIP MANAGER'!$Q$18:$Q$25,$A756),"")</f>
        <v/>
      </c>
      <c r="F756" t="str" cm="1">
        <f t="array" ref="F756">IFERROR(INDEX('TRIP MANAGER'!$R$18:$R$25,$A756),"")</f>
        <v/>
      </c>
      <c r="G756" t="str" cm="1">
        <f t="array" ref="G756">IFERROR(INDEX('TRIP MANAGER'!$S$18:$S$25,$A756),"")</f>
        <v/>
      </c>
      <c r="H756">
        <f t="shared" si="123"/>
        <v>1</v>
      </c>
      <c r="I756" t="str">
        <f t="shared" si="124"/>
        <v/>
      </c>
      <c r="J756" t="str">
        <f t="shared" si="125"/>
        <v/>
      </c>
      <c r="K756" t="str">
        <f t="shared" si="126"/>
        <v/>
      </c>
      <c r="L756" t="str">
        <f t="shared" si="127"/>
        <v/>
      </c>
      <c r="M756" t="str">
        <f t="shared" si="128"/>
        <v/>
      </c>
      <c r="N756" t="str">
        <f t="shared" si="129"/>
        <v/>
      </c>
      <c r="O756" t="str">
        <f t="shared" si="130"/>
        <v/>
      </c>
      <c r="P756" t="str" cm="1">
        <f t="array" ref="P756">IF($N756="","",IFERROR(IF(INDEX(geo_grid!$B$2:$JU$231,INT(($N756+40)/0.5)+1,INT(($O756+30)/0.5)+1)="","",INDEX(geo_grid!$B$2:$JU$231,INT(($N756+40)/0.5)+1,INT(($O756+30)/0.5)+1)),"OUTSIDE GRID"))</f>
        <v/>
      </c>
      <c r="Q756" t="str">
        <f t="shared" si="131"/>
        <v/>
      </c>
    </row>
    <row r="757" spans="1:17" x14ac:dyDescent="0.3">
      <c r="A757">
        <f t="shared" si="121"/>
        <v>6</v>
      </c>
      <c r="B757">
        <f t="shared" si="122"/>
        <v>0</v>
      </c>
      <c r="C757" t="str" cm="1">
        <f t="array" ref="C757">IFERROR(INDEX('TRIP MANAGER'!$O$18:$O$25,$A757),"")</f>
        <v/>
      </c>
      <c r="D757" t="str" cm="1">
        <f t="array" ref="D757">IFERROR(INDEX('TRIP MANAGER'!$P$18:$P$25,$A757),"")</f>
        <v/>
      </c>
      <c r="E757" t="str" cm="1">
        <f t="array" ref="E757">IFERROR(INDEX('TRIP MANAGER'!$Q$18:$Q$25,$A757),"")</f>
        <v/>
      </c>
      <c r="F757" t="str" cm="1">
        <f t="array" ref="F757">IFERROR(INDEX('TRIP MANAGER'!$R$18:$R$25,$A757),"")</f>
        <v/>
      </c>
      <c r="G757" t="str" cm="1">
        <f t="array" ref="G757">IFERROR(INDEX('TRIP MANAGER'!$S$18:$S$25,$A757),"")</f>
        <v/>
      </c>
      <c r="H757">
        <f t="shared" si="123"/>
        <v>0</v>
      </c>
      <c r="I757" t="str">
        <f t="shared" si="124"/>
        <v/>
      </c>
      <c r="J757" t="str">
        <f t="shared" si="125"/>
        <v/>
      </c>
      <c r="K757" t="str">
        <f t="shared" si="126"/>
        <v/>
      </c>
      <c r="L757" t="str">
        <f t="shared" si="127"/>
        <v/>
      </c>
      <c r="M757" t="str">
        <f t="shared" si="128"/>
        <v/>
      </c>
      <c r="N757" t="str">
        <f t="shared" si="129"/>
        <v/>
      </c>
      <c r="O757" t="str">
        <f t="shared" si="130"/>
        <v/>
      </c>
      <c r="P757" t="str" cm="1">
        <f t="array" ref="P757">IF($N757="","",IFERROR(IF(INDEX(geo_grid!$B$2:$JU$231,INT(($N757+40)/0.5)+1,INT(($O757+30)/0.5)+1)="","",INDEX(geo_grid!$B$2:$JU$231,INT(($N757+40)/0.5)+1,INT(($O757+30)/0.5)+1)),"OUTSIDE GRID"))</f>
        <v/>
      </c>
      <c r="Q757" t="str">
        <f t="shared" si="131"/>
        <v/>
      </c>
    </row>
    <row r="758" spans="1:17" x14ac:dyDescent="0.3">
      <c r="A758">
        <f t="shared" si="121"/>
        <v>6</v>
      </c>
      <c r="B758">
        <f t="shared" si="122"/>
        <v>1</v>
      </c>
      <c r="C758" t="str" cm="1">
        <f t="array" ref="C758">IFERROR(INDEX('TRIP MANAGER'!$O$18:$O$25,$A758),"")</f>
        <v/>
      </c>
      <c r="D758" t="str" cm="1">
        <f t="array" ref="D758">IFERROR(INDEX('TRIP MANAGER'!$P$18:$P$25,$A758),"")</f>
        <v/>
      </c>
      <c r="E758" t="str" cm="1">
        <f t="array" ref="E758">IFERROR(INDEX('TRIP MANAGER'!$Q$18:$Q$25,$A758),"")</f>
        <v/>
      </c>
      <c r="F758" t="str" cm="1">
        <f t="array" ref="F758">IFERROR(INDEX('TRIP MANAGER'!$R$18:$R$25,$A758),"")</f>
        <v/>
      </c>
      <c r="G758" t="str" cm="1">
        <f t="array" ref="G758">IFERROR(INDEX('TRIP MANAGER'!$S$18:$S$25,$A758),"")</f>
        <v/>
      </c>
      <c r="H758">
        <f t="shared" si="123"/>
        <v>6.6666666666666671E-3</v>
      </c>
      <c r="I758" t="str">
        <f t="shared" si="124"/>
        <v/>
      </c>
      <c r="J758" t="str">
        <f t="shared" si="125"/>
        <v/>
      </c>
      <c r="K758" t="str">
        <f t="shared" si="126"/>
        <v/>
      </c>
      <c r="L758" t="str">
        <f t="shared" si="127"/>
        <v/>
      </c>
      <c r="M758" t="str">
        <f t="shared" si="128"/>
        <v/>
      </c>
      <c r="N758" t="str">
        <f t="shared" si="129"/>
        <v/>
      </c>
      <c r="O758" t="str">
        <f t="shared" si="130"/>
        <v/>
      </c>
      <c r="P758" t="str" cm="1">
        <f t="array" ref="P758">IF($N758="","",IFERROR(IF(INDEX(geo_grid!$B$2:$JU$231,INT(($N758+40)/0.5)+1,INT(($O758+30)/0.5)+1)="","",INDEX(geo_grid!$B$2:$JU$231,INT(($N758+40)/0.5)+1,INT(($O758+30)/0.5)+1)),"OUTSIDE GRID"))</f>
        <v/>
      </c>
      <c r="Q758" t="str">
        <f t="shared" si="131"/>
        <v/>
      </c>
    </row>
    <row r="759" spans="1:17" x14ac:dyDescent="0.3">
      <c r="A759">
        <f t="shared" si="121"/>
        <v>6</v>
      </c>
      <c r="B759">
        <f t="shared" si="122"/>
        <v>2</v>
      </c>
      <c r="C759" t="str" cm="1">
        <f t="array" ref="C759">IFERROR(INDEX('TRIP MANAGER'!$O$18:$O$25,$A759),"")</f>
        <v/>
      </c>
      <c r="D759" t="str" cm="1">
        <f t="array" ref="D759">IFERROR(INDEX('TRIP MANAGER'!$P$18:$P$25,$A759),"")</f>
        <v/>
      </c>
      <c r="E759" t="str" cm="1">
        <f t="array" ref="E759">IFERROR(INDEX('TRIP MANAGER'!$Q$18:$Q$25,$A759),"")</f>
        <v/>
      </c>
      <c r="F759" t="str" cm="1">
        <f t="array" ref="F759">IFERROR(INDEX('TRIP MANAGER'!$R$18:$R$25,$A759),"")</f>
        <v/>
      </c>
      <c r="G759" t="str" cm="1">
        <f t="array" ref="G759">IFERROR(INDEX('TRIP MANAGER'!$S$18:$S$25,$A759),"")</f>
        <v/>
      </c>
      <c r="H759">
        <f t="shared" si="123"/>
        <v>1.3333333333333334E-2</v>
      </c>
      <c r="I759" t="str">
        <f t="shared" si="124"/>
        <v/>
      </c>
      <c r="J759" t="str">
        <f t="shared" si="125"/>
        <v/>
      </c>
      <c r="K759" t="str">
        <f t="shared" si="126"/>
        <v/>
      </c>
      <c r="L759" t="str">
        <f t="shared" si="127"/>
        <v/>
      </c>
      <c r="M759" t="str">
        <f t="shared" si="128"/>
        <v/>
      </c>
      <c r="N759" t="str">
        <f t="shared" si="129"/>
        <v/>
      </c>
      <c r="O759" t="str">
        <f t="shared" si="130"/>
        <v/>
      </c>
      <c r="P759" t="str" cm="1">
        <f t="array" ref="P759">IF($N759="","",IFERROR(IF(INDEX(geo_grid!$B$2:$JU$231,INT(($N759+40)/0.5)+1,INT(($O759+30)/0.5)+1)="","",INDEX(geo_grid!$B$2:$JU$231,INT(($N759+40)/0.5)+1,INT(($O759+30)/0.5)+1)),"OUTSIDE GRID"))</f>
        <v/>
      </c>
      <c r="Q759" t="str">
        <f t="shared" si="131"/>
        <v/>
      </c>
    </row>
    <row r="760" spans="1:17" x14ac:dyDescent="0.3">
      <c r="A760">
        <f t="shared" si="121"/>
        <v>6</v>
      </c>
      <c r="B760">
        <f t="shared" si="122"/>
        <v>3</v>
      </c>
      <c r="C760" t="str" cm="1">
        <f t="array" ref="C760">IFERROR(INDEX('TRIP MANAGER'!$O$18:$O$25,$A760),"")</f>
        <v/>
      </c>
      <c r="D760" t="str" cm="1">
        <f t="array" ref="D760">IFERROR(INDEX('TRIP MANAGER'!$P$18:$P$25,$A760),"")</f>
        <v/>
      </c>
      <c r="E760" t="str" cm="1">
        <f t="array" ref="E760">IFERROR(INDEX('TRIP MANAGER'!$Q$18:$Q$25,$A760),"")</f>
        <v/>
      </c>
      <c r="F760" t="str" cm="1">
        <f t="array" ref="F760">IFERROR(INDEX('TRIP MANAGER'!$R$18:$R$25,$A760),"")</f>
        <v/>
      </c>
      <c r="G760" t="str" cm="1">
        <f t="array" ref="G760">IFERROR(INDEX('TRIP MANAGER'!$S$18:$S$25,$A760),"")</f>
        <v/>
      </c>
      <c r="H760">
        <f t="shared" si="123"/>
        <v>0.02</v>
      </c>
      <c r="I760" t="str">
        <f t="shared" si="124"/>
        <v/>
      </c>
      <c r="J760" t="str">
        <f t="shared" si="125"/>
        <v/>
      </c>
      <c r="K760" t="str">
        <f t="shared" si="126"/>
        <v/>
      </c>
      <c r="L760" t="str">
        <f t="shared" si="127"/>
        <v/>
      </c>
      <c r="M760" t="str">
        <f t="shared" si="128"/>
        <v/>
      </c>
      <c r="N760" t="str">
        <f t="shared" si="129"/>
        <v/>
      </c>
      <c r="O760" t="str">
        <f t="shared" si="130"/>
        <v/>
      </c>
      <c r="P760" t="str" cm="1">
        <f t="array" ref="P760">IF($N760="","",IFERROR(IF(INDEX(geo_grid!$B$2:$JU$231,INT(($N760+40)/0.5)+1,INT(($O760+30)/0.5)+1)="","",INDEX(geo_grid!$B$2:$JU$231,INT(($N760+40)/0.5)+1,INT(($O760+30)/0.5)+1)),"OUTSIDE GRID"))</f>
        <v/>
      </c>
      <c r="Q760" t="str">
        <f t="shared" si="131"/>
        <v/>
      </c>
    </row>
    <row r="761" spans="1:17" x14ac:dyDescent="0.3">
      <c r="A761">
        <f t="shared" si="121"/>
        <v>6</v>
      </c>
      <c r="B761">
        <f t="shared" si="122"/>
        <v>4</v>
      </c>
      <c r="C761" t="str" cm="1">
        <f t="array" ref="C761">IFERROR(INDEX('TRIP MANAGER'!$O$18:$O$25,$A761),"")</f>
        <v/>
      </c>
      <c r="D761" t="str" cm="1">
        <f t="array" ref="D761">IFERROR(INDEX('TRIP MANAGER'!$P$18:$P$25,$A761),"")</f>
        <v/>
      </c>
      <c r="E761" t="str" cm="1">
        <f t="array" ref="E761">IFERROR(INDEX('TRIP MANAGER'!$Q$18:$Q$25,$A761),"")</f>
        <v/>
      </c>
      <c r="F761" t="str" cm="1">
        <f t="array" ref="F761">IFERROR(INDEX('TRIP MANAGER'!$R$18:$R$25,$A761),"")</f>
        <v/>
      </c>
      <c r="G761" t="str" cm="1">
        <f t="array" ref="G761">IFERROR(INDEX('TRIP MANAGER'!$S$18:$S$25,$A761),"")</f>
        <v/>
      </c>
      <c r="H761">
        <f t="shared" si="123"/>
        <v>2.6666666666666668E-2</v>
      </c>
      <c r="I761" t="str">
        <f t="shared" si="124"/>
        <v/>
      </c>
      <c r="J761" t="str">
        <f t="shared" si="125"/>
        <v/>
      </c>
      <c r="K761" t="str">
        <f t="shared" si="126"/>
        <v/>
      </c>
      <c r="L761" t="str">
        <f t="shared" si="127"/>
        <v/>
      </c>
      <c r="M761" t="str">
        <f t="shared" si="128"/>
        <v/>
      </c>
      <c r="N761" t="str">
        <f t="shared" si="129"/>
        <v/>
      </c>
      <c r="O761" t="str">
        <f t="shared" si="130"/>
        <v/>
      </c>
      <c r="P761" t="str" cm="1">
        <f t="array" ref="P761">IF($N761="","",IFERROR(IF(INDEX(geo_grid!$B$2:$JU$231,INT(($N761+40)/0.5)+1,INT(($O761+30)/0.5)+1)="","",INDEX(geo_grid!$B$2:$JU$231,INT(($N761+40)/0.5)+1,INT(($O761+30)/0.5)+1)),"OUTSIDE GRID"))</f>
        <v/>
      </c>
      <c r="Q761" t="str">
        <f t="shared" si="131"/>
        <v/>
      </c>
    </row>
    <row r="762" spans="1:17" x14ac:dyDescent="0.3">
      <c r="A762">
        <f t="shared" si="121"/>
        <v>6</v>
      </c>
      <c r="B762">
        <f t="shared" si="122"/>
        <v>5</v>
      </c>
      <c r="C762" t="str" cm="1">
        <f t="array" ref="C762">IFERROR(INDEX('TRIP MANAGER'!$O$18:$O$25,$A762),"")</f>
        <v/>
      </c>
      <c r="D762" t="str" cm="1">
        <f t="array" ref="D762">IFERROR(INDEX('TRIP MANAGER'!$P$18:$P$25,$A762),"")</f>
        <v/>
      </c>
      <c r="E762" t="str" cm="1">
        <f t="array" ref="E762">IFERROR(INDEX('TRIP MANAGER'!$Q$18:$Q$25,$A762),"")</f>
        <v/>
      </c>
      <c r="F762" t="str" cm="1">
        <f t="array" ref="F762">IFERROR(INDEX('TRIP MANAGER'!$R$18:$R$25,$A762),"")</f>
        <v/>
      </c>
      <c r="G762" t="str" cm="1">
        <f t="array" ref="G762">IFERROR(INDEX('TRIP MANAGER'!$S$18:$S$25,$A762),"")</f>
        <v/>
      </c>
      <c r="H762">
        <f t="shared" si="123"/>
        <v>3.3333333333333333E-2</v>
      </c>
      <c r="I762" t="str">
        <f t="shared" si="124"/>
        <v/>
      </c>
      <c r="J762" t="str">
        <f t="shared" si="125"/>
        <v/>
      </c>
      <c r="K762" t="str">
        <f t="shared" si="126"/>
        <v/>
      </c>
      <c r="L762" t="str">
        <f t="shared" si="127"/>
        <v/>
      </c>
      <c r="M762" t="str">
        <f t="shared" si="128"/>
        <v/>
      </c>
      <c r="N762" t="str">
        <f t="shared" si="129"/>
        <v/>
      </c>
      <c r="O762" t="str">
        <f t="shared" si="130"/>
        <v/>
      </c>
      <c r="P762" t="str" cm="1">
        <f t="array" ref="P762">IF($N762="","",IFERROR(IF(INDEX(geo_grid!$B$2:$JU$231,INT(($N762+40)/0.5)+1,INT(($O762+30)/0.5)+1)="","",INDEX(geo_grid!$B$2:$JU$231,INT(($N762+40)/0.5)+1,INT(($O762+30)/0.5)+1)),"OUTSIDE GRID"))</f>
        <v/>
      </c>
      <c r="Q762" t="str">
        <f t="shared" si="131"/>
        <v/>
      </c>
    </row>
    <row r="763" spans="1:17" x14ac:dyDescent="0.3">
      <c r="A763">
        <f t="shared" si="121"/>
        <v>6</v>
      </c>
      <c r="B763">
        <f t="shared" si="122"/>
        <v>6</v>
      </c>
      <c r="C763" t="str" cm="1">
        <f t="array" ref="C763">IFERROR(INDEX('TRIP MANAGER'!$O$18:$O$25,$A763),"")</f>
        <v/>
      </c>
      <c r="D763" t="str" cm="1">
        <f t="array" ref="D763">IFERROR(INDEX('TRIP MANAGER'!$P$18:$P$25,$A763),"")</f>
        <v/>
      </c>
      <c r="E763" t="str" cm="1">
        <f t="array" ref="E763">IFERROR(INDEX('TRIP MANAGER'!$Q$18:$Q$25,$A763),"")</f>
        <v/>
      </c>
      <c r="F763" t="str" cm="1">
        <f t="array" ref="F763">IFERROR(INDEX('TRIP MANAGER'!$R$18:$R$25,$A763),"")</f>
        <v/>
      </c>
      <c r="G763" t="str" cm="1">
        <f t="array" ref="G763">IFERROR(INDEX('TRIP MANAGER'!$S$18:$S$25,$A763),"")</f>
        <v/>
      </c>
      <c r="H763">
        <f t="shared" si="123"/>
        <v>0.04</v>
      </c>
      <c r="I763" t="str">
        <f t="shared" si="124"/>
        <v/>
      </c>
      <c r="J763" t="str">
        <f t="shared" si="125"/>
        <v/>
      </c>
      <c r="K763" t="str">
        <f t="shared" si="126"/>
        <v/>
      </c>
      <c r="L763" t="str">
        <f t="shared" si="127"/>
        <v/>
      </c>
      <c r="M763" t="str">
        <f t="shared" si="128"/>
        <v/>
      </c>
      <c r="N763" t="str">
        <f t="shared" si="129"/>
        <v/>
      </c>
      <c r="O763" t="str">
        <f t="shared" si="130"/>
        <v/>
      </c>
      <c r="P763" t="str" cm="1">
        <f t="array" ref="P763">IF($N763="","",IFERROR(IF(INDEX(geo_grid!$B$2:$JU$231,INT(($N763+40)/0.5)+1,INT(($O763+30)/0.5)+1)="","",INDEX(geo_grid!$B$2:$JU$231,INT(($N763+40)/0.5)+1,INT(($O763+30)/0.5)+1)),"OUTSIDE GRID"))</f>
        <v/>
      </c>
      <c r="Q763" t="str">
        <f t="shared" si="131"/>
        <v/>
      </c>
    </row>
    <row r="764" spans="1:17" x14ac:dyDescent="0.3">
      <c r="A764">
        <f t="shared" si="121"/>
        <v>6</v>
      </c>
      <c r="B764">
        <f t="shared" si="122"/>
        <v>7</v>
      </c>
      <c r="C764" t="str" cm="1">
        <f t="array" ref="C764">IFERROR(INDEX('TRIP MANAGER'!$O$18:$O$25,$A764),"")</f>
        <v/>
      </c>
      <c r="D764" t="str" cm="1">
        <f t="array" ref="D764">IFERROR(INDEX('TRIP MANAGER'!$P$18:$P$25,$A764),"")</f>
        <v/>
      </c>
      <c r="E764" t="str" cm="1">
        <f t="array" ref="E764">IFERROR(INDEX('TRIP MANAGER'!$Q$18:$Q$25,$A764),"")</f>
        <v/>
      </c>
      <c r="F764" t="str" cm="1">
        <f t="array" ref="F764">IFERROR(INDEX('TRIP MANAGER'!$R$18:$R$25,$A764),"")</f>
        <v/>
      </c>
      <c r="G764" t="str" cm="1">
        <f t="array" ref="G764">IFERROR(INDEX('TRIP MANAGER'!$S$18:$S$25,$A764),"")</f>
        <v/>
      </c>
      <c r="H764">
        <f t="shared" si="123"/>
        <v>4.6666666666666669E-2</v>
      </c>
      <c r="I764" t="str">
        <f t="shared" si="124"/>
        <v/>
      </c>
      <c r="J764" t="str">
        <f t="shared" si="125"/>
        <v/>
      </c>
      <c r="K764" t="str">
        <f t="shared" si="126"/>
        <v/>
      </c>
      <c r="L764" t="str">
        <f t="shared" si="127"/>
        <v/>
      </c>
      <c r="M764" t="str">
        <f t="shared" si="128"/>
        <v/>
      </c>
      <c r="N764" t="str">
        <f t="shared" si="129"/>
        <v/>
      </c>
      <c r="O764" t="str">
        <f t="shared" si="130"/>
        <v/>
      </c>
      <c r="P764" t="str" cm="1">
        <f t="array" ref="P764">IF($N764="","",IFERROR(IF(INDEX(geo_grid!$B$2:$JU$231,INT(($N764+40)/0.5)+1,INT(($O764+30)/0.5)+1)="","",INDEX(geo_grid!$B$2:$JU$231,INT(($N764+40)/0.5)+1,INT(($O764+30)/0.5)+1)),"OUTSIDE GRID"))</f>
        <v/>
      </c>
      <c r="Q764" t="str">
        <f t="shared" si="131"/>
        <v/>
      </c>
    </row>
    <row r="765" spans="1:17" x14ac:dyDescent="0.3">
      <c r="A765">
        <f t="shared" si="121"/>
        <v>6</v>
      </c>
      <c r="B765">
        <f t="shared" si="122"/>
        <v>8</v>
      </c>
      <c r="C765" t="str" cm="1">
        <f t="array" ref="C765">IFERROR(INDEX('TRIP MANAGER'!$O$18:$O$25,$A765),"")</f>
        <v/>
      </c>
      <c r="D765" t="str" cm="1">
        <f t="array" ref="D765">IFERROR(INDEX('TRIP MANAGER'!$P$18:$P$25,$A765),"")</f>
        <v/>
      </c>
      <c r="E765" t="str" cm="1">
        <f t="array" ref="E765">IFERROR(INDEX('TRIP MANAGER'!$Q$18:$Q$25,$A765),"")</f>
        <v/>
      </c>
      <c r="F765" t="str" cm="1">
        <f t="array" ref="F765">IFERROR(INDEX('TRIP MANAGER'!$R$18:$R$25,$A765),"")</f>
        <v/>
      </c>
      <c r="G765" t="str" cm="1">
        <f t="array" ref="G765">IFERROR(INDEX('TRIP MANAGER'!$S$18:$S$25,$A765),"")</f>
        <v/>
      </c>
      <c r="H765">
        <f t="shared" si="123"/>
        <v>5.3333333333333337E-2</v>
      </c>
      <c r="I765" t="str">
        <f t="shared" si="124"/>
        <v/>
      </c>
      <c r="J765" t="str">
        <f t="shared" si="125"/>
        <v/>
      </c>
      <c r="K765" t="str">
        <f t="shared" si="126"/>
        <v/>
      </c>
      <c r="L765" t="str">
        <f t="shared" si="127"/>
        <v/>
      </c>
      <c r="M765" t="str">
        <f t="shared" si="128"/>
        <v/>
      </c>
      <c r="N765" t="str">
        <f t="shared" si="129"/>
        <v/>
      </c>
      <c r="O765" t="str">
        <f t="shared" si="130"/>
        <v/>
      </c>
      <c r="P765" t="str" cm="1">
        <f t="array" ref="P765">IF($N765="","",IFERROR(IF(INDEX(geo_grid!$B$2:$JU$231,INT(($N765+40)/0.5)+1,INT(($O765+30)/0.5)+1)="","",INDEX(geo_grid!$B$2:$JU$231,INT(($N765+40)/0.5)+1,INT(($O765+30)/0.5)+1)),"OUTSIDE GRID"))</f>
        <v/>
      </c>
      <c r="Q765" t="str">
        <f t="shared" si="131"/>
        <v/>
      </c>
    </row>
    <row r="766" spans="1:17" x14ac:dyDescent="0.3">
      <c r="A766">
        <f t="shared" si="121"/>
        <v>6</v>
      </c>
      <c r="B766">
        <f t="shared" si="122"/>
        <v>9</v>
      </c>
      <c r="C766" t="str" cm="1">
        <f t="array" ref="C766">IFERROR(INDEX('TRIP MANAGER'!$O$18:$O$25,$A766),"")</f>
        <v/>
      </c>
      <c r="D766" t="str" cm="1">
        <f t="array" ref="D766">IFERROR(INDEX('TRIP MANAGER'!$P$18:$P$25,$A766),"")</f>
        <v/>
      </c>
      <c r="E766" t="str" cm="1">
        <f t="array" ref="E766">IFERROR(INDEX('TRIP MANAGER'!$Q$18:$Q$25,$A766),"")</f>
        <v/>
      </c>
      <c r="F766" t="str" cm="1">
        <f t="array" ref="F766">IFERROR(INDEX('TRIP MANAGER'!$R$18:$R$25,$A766),"")</f>
        <v/>
      </c>
      <c r="G766" t="str" cm="1">
        <f t="array" ref="G766">IFERROR(INDEX('TRIP MANAGER'!$S$18:$S$25,$A766),"")</f>
        <v/>
      </c>
      <c r="H766">
        <f t="shared" si="123"/>
        <v>0.06</v>
      </c>
      <c r="I766" t="str">
        <f t="shared" si="124"/>
        <v/>
      </c>
      <c r="J766" t="str">
        <f t="shared" si="125"/>
        <v/>
      </c>
      <c r="K766" t="str">
        <f t="shared" si="126"/>
        <v/>
      </c>
      <c r="L766" t="str">
        <f t="shared" si="127"/>
        <v/>
      </c>
      <c r="M766" t="str">
        <f t="shared" si="128"/>
        <v/>
      </c>
      <c r="N766" t="str">
        <f t="shared" si="129"/>
        <v/>
      </c>
      <c r="O766" t="str">
        <f t="shared" si="130"/>
        <v/>
      </c>
      <c r="P766" t="str" cm="1">
        <f t="array" ref="P766">IF($N766="","",IFERROR(IF(INDEX(geo_grid!$B$2:$JU$231,INT(($N766+40)/0.5)+1,INT(($O766+30)/0.5)+1)="","",INDEX(geo_grid!$B$2:$JU$231,INT(($N766+40)/0.5)+1,INT(($O766+30)/0.5)+1)),"OUTSIDE GRID"))</f>
        <v/>
      </c>
      <c r="Q766" t="str">
        <f t="shared" si="131"/>
        <v/>
      </c>
    </row>
    <row r="767" spans="1:17" x14ac:dyDescent="0.3">
      <c r="A767">
        <f t="shared" si="121"/>
        <v>6</v>
      </c>
      <c r="B767">
        <f t="shared" si="122"/>
        <v>10</v>
      </c>
      <c r="C767" t="str" cm="1">
        <f t="array" ref="C767">IFERROR(INDEX('TRIP MANAGER'!$O$18:$O$25,$A767),"")</f>
        <v/>
      </c>
      <c r="D767" t="str" cm="1">
        <f t="array" ref="D767">IFERROR(INDEX('TRIP MANAGER'!$P$18:$P$25,$A767),"")</f>
        <v/>
      </c>
      <c r="E767" t="str" cm="1">
        <f t="array" ref="E767">IFERROR(INDEX('TRIP MANAGER'!$Q$18:$Q$25,$A767),"")</f>
        <v/>
      </c>
      <c r="F767" t="str" cm="1">
        <f t="array" ref="F767">IFERROR(INDEX('TRIP MANAGER'!$R$18:$R$25,$A767),"")</f>
        <v/>
      </c>
      <c r="G767" t="str" cm="1">
        <f t="array" ref="G767">IFERROR(INDEX('TRIP MANAGER'!$S$18:$S$25,$A767),"")</f>
        <v/>
      </c>
      <c r="H767">
        <f t="shared" si="123"/>
        <v>6.6666666666666666E-2</v>
      </c>
      <c r="I767" t="str">
        <f t="shared" si="124"/>
        <v/>
      </c>
      <c r="J767" t="str">
        <f t="shared" si="125"/>
        <v/>
      </c>
      <c r="K767" t="str">
        <f t="shared" si="126"/>
        <v/>
      </c>
      <c r="L767" t="str">
        <f t="shared" si="127"/>
        <v/>
      </c>
      <c r="M767" t="str">
        <f t="shared" si="128"/>
        <v/>
      </c>
      <c r="N767" t="str">
        <f t="shared" si="129"/>
        <v/>
      </c>
      <c r="O767" t="str">
        <f t="shared" si="130"/>
        <v/>
      </c>
      <c r="P767" t="str" cm="1">
        <f t="array" ref="P767">IF($N767="","",IFERROR(IF(INDEX(geo_grid!$B$2:$JU$231,INT(($N767+40)/0.5)+1,INT(($O767+30)/0.5)+1)="","",INDEX(geo_grid!$B$2:$JU$231,INT(($N767+40)/0.5)+1,INT(($O767+30)/0.5)+1)),"OUTSIDE GRID"))</f>
        <v/>
      </c>
      <c r="Q767" t="str">
        <f t="shared" si="131"/>
        <v/>
      </c>
    </row>
    <row r="768" spans="1:17" x14ac:dyDescent="0.3">
      <c r="A768">
        <f t="shared" si="121"/>
        <v>6</v>
      </c>
      <c r="B768">
        <f t="shared" si="122"/>
        <v>11</v>
      </c>
      <c r="C768" t="str" cm="1">
        <f t="array" ref="C768">IFERROR(INDEX('TRIP MANAGER'!$O$18:$O$25,$A768),"")</f>
        <v/>
      </c>
      <c r="D768" t="str" cm="1">
        <f t="array" ref="D768">IFERROR(INDEX('TRIP MANAGER'!$P$18:$P$25,$A768),"")</f>
        <v/>
      </c>
      <c r="E768" t="str" cm="1">
        <f t="array" ref="E768">IFERROR(INDEX('TRIP MANAGER'!$Q$18:$Q$25,$A768),"")</f>
        <v/>
      </c>
      <c r="F768" t="str" cm="1">
        <f t="array" ref="F768">IFERROR(INDEX('TRIP MANAGER'!$R$18:$R$25,$A768),"")</f>
        <v/>
      </c>
      <c r="G768" t="str" cm="1">
        <f t="array" ref="G768">IFERROR(INDEX('TRIP MANAGER'!$S$18:$S$25,$A768),"")</f>
        <v/>
      </c>
      <c r="H768">
        <f t="shared" si="123"/>
        <v>7.3333333333333334E-2</v>
      </c>
      <c r="I768" t="str">
        <f t="shared" si="124"/>
        <v/>
      </c>
      <c r="J768" t="str">
        <f t="shared" si="125"/>
        <v/>
      </c>
      <c r="K768" t="str">
        <f t="shared" si="126"/>
        <v/>
      </c>
      <c r="L768" t="str">
        <f t="shared" si="127"/>
        <v/>
      </c>
      <c r="M768" t="str">
        <f t="shared" si="128"/>
        <v/>
      </c>
      <c r="N768" t="str">
        <f t="shared" si="129"/>
        <v/>
      </c>
      <c r="O768" t="str">
        <f t="shared" si="130"/>
        <v/>
      </c>
      <c r="P768" t="str" cm="1">
        <f t="array" ref="P768">IF($N768="","",IFERROR(IF(INDEX(geo_grid!$B$2:$JU$231,INT(($N768+40)/0.5)+1,INT(($O768+30)/0.5)+1)="","",INDEX(geo_grid!$B$2:$JU$231,INT(($N768+40)/0.5)+1,INT(($O768+30)/0.5)+1)),"OUTSIDE GRID"))</f>
        <v/>
      </c>
      <c r="Q768" t="str">
        <f t="shared" si="131"/>
        <v/>
      </c>
    </row>
    <row r="769" spans="1:17" x14ac:dyDescent="0.3">
      <c r="A769">
        <f t="shared" si="121"/>
        <v>6</v>
      </c>
      <c r="B769">
        <f t="shared" si="122"/>
        <v>12</v>
      </c>
      <c r="C769" t="str" cm="1">
        <f t="array" ref="C769">IFERROR(INDEX('TRIP MANAGER'!$O$18:$O$25,$A769),"")</f>
        <v/>
      </c>
      <c r="D769" t="str" cm="1">
        <f t="array" ref="D769">IFERROR(INDEX('TRIP MANAGER'!$P$18:$P$25,$A769),"")</f>
        <v/>
      </c>
      <c r="E769" t="str" cm="1">
        <f t="array" ref="E769">IFERROR(INDEX('TRIP MANAGER'!$Q$18:$Q$25,$A769),"")</f>
        <v/>
      </c>
      <c r="F769" t="str" cm="1">
        <f t="array" ref="F769">IFERROR(INDEX('TRIP MANAGER'!$R$18:$R$25,$A769),"")</f>
        <v/>
      </c>
      <c r="G769" t="str" cm="1">
        <f t="array" ref="G769">IFERROR(INDEX('TRIP MANAGER'!$S$18:$S$25,$A769),"")</f>
        <v/>
      </c>
      <c r="H769">
        <f t="shared" si="123"/>
        <v>0.08</v>
      </c>
      <c r="I769" t="str">
        <f t="shared" si="124"/>
        <v/>
      </c>
      <c r="J769" t="str">
        <f t="shared" si="125"/>
        <v/>
      </c>
      <c r="K769" t="str">
        <f t="shared" si="126"/>
        <v/>
      </c>
      <c r="L769" t="str">
        <f t="shared" si="127"/>
        <v/>
      </c>
      <c r="M769" t="str">
        <f t="shared" si="128"/>
        <v/>
      </c>
      <c r="N769" t="str">
        <f t="shared" si="129"/>
        <v/>
      </c>
      <c r="O769" t="str">
        <f t="shared" si="130"/>
        <v/>
      </c>
      <c r="P769" t="str" cm="1">
        <f t="array" ref="P769">IF($N769="","",IFERROR(IF(INDEX(geo_grid!$B$2:$JU$231,INT(($N769+40)/0.5)+1,INT(($O769+30)/0.5)+1)="","",INDEX(geo_grid!$B$2:$JU$231,INT(($N769+40)/0.5)+1,INT(($O769+30)/0.5)+1)),"OUTSIDE GRID"))</f>
        <v/>
      </c>
      <c r="Q769" t="str">
        <f t="shared" si="131"/>
        <v/>
      </c>
    </row>
    <row r="770" spans="1:17" x14ac:dyDescent="0.3">
      <c r="A770">
        <f t="shared" si="121"/>
        <v>6</v>
      </c>
      <c r="B770">
        <f t="shared" si="122"/>
        <v>13</v>
      </c>
      <c r="C770" t="str" cm="1">
        <f t="array" ref="C770">IFERROR(INDEX('TRIP MANAGER'!$O$18:$O$25,$A770),"")</f>
        <v/>
      </c>
      <c r="D770" t="str" cm="1">
        <f t="array" ref="D770">IFERROR(INDEX('TRIP MANAGER'!$P$18:$P$25,$A770),"")</f>
        <v/>
      </c>
      <c r="E770" t="str" cm="1">
        <f t="array" ref="E770">IFERROR(INDEX('TRIP MANAGER'!$Q$18:$Q$25,$A770),"")</f>
        <v/>
      </c>
      <c r="F770" t="str" cm="1">
        <f t="array" ref="F770">IFERROR(INDEX('TRIP MANAGER'!$R$18:$R$25,$A770),"")</f>
        <v/>
      </c>
      <c r="G770" t="str" cm="1">
        <f t="array" ref="G770">IFERROR(INDEX('TRIP MANAGER'!$S$18:$S$25,$A770),"")</f>
        <v/>
      </c>
      <c r="H770">
        <f t="shared" si="123"/>
        <v>8.666666666666667E-2</v>
      </c>
      <c r="I770" t="str">
        <f t="shared" si="124"/>
        <v/>
      </c>
      <c r="J770" t="str">
        <f t="shared" si="125"/>
        <v/>
      </c>
      <c r="K770" t="str">
        <f t="shared" si="126"/>
        <v/>
      </c>
      <c r="L770" t="str">
        <f t="shared" si="127"/>
        <v/>
      </c>
      <c r="M770" t="str">
        <f t="shared" si="128"/>
        <v/>
      </c>
      <c r="N770" t="str">
        <f t="shared" si="129"/>
        <v/>
      </c>
      <c r="O770" t="str">
        <f t="shared" si="130"/>
        <v/>
      </c>
      <c r="P770" t="str" cm="1">
        <f t="array" ref="P770">IF($N770="","",IFERROR(IF(INDEX(geo_grid!$B$2:$JU$231,INT(($N770+40)/0.5)+1,INT(($O770+30)/0.5)+1)="","",INDEX(geo_grid!$B$2:$JU$231,INT(($N770+40)/0.5)+1,INT(($O770+30)/0.5)+1)),"OUTSIDE GRID"))</f>
        <v/>
      </c>
      <c r="Q770" t="str">
        <f t="shared" si="131"/>
        <v/>
      </c>
    </row>
    <row r="771" spans="1:17" x14ac:dyDescent="0.3">
      <c r="A771">
        <f t="shared" ref="A771:A834" si="132">INT((ROW()-2)/151)+1</f>
        <v>6</v>
      </c>
      <c r="B771">
        <f t="shared" ref="B771:B834" si="133">MOD(ROW()-2,151)</f>
        <v>14</v>
      </c>
      <c r="C771" t="str" cm="1">
        <f t="array" ref="C771">IFERROR(INDEX('TRIP MANAGER'!$O$18:$O$25,$A771),"")</f>
        <v/>
      </c>
      <c r="D771" t="str" cm="1">
        <f t="array" ref="D771">IFERROR(INDEX('TRIP MANAGER'!$P$18:$P$25,$A771),"")</f>
        <v/>
      </c>
      <c r="E771" t="str" cm="1">
        <f t="array" ref="E771">IFERROR(INDEX('TRIP MANAGER'!$Q$18:$Q$25,$A771),"")</f>
        <v/>
      </c>
      <c r="F771" t="str" cm="1">
        <f t="array" ref="F771">IFERROR(INDEX('TRIP MANAGER'!$R$18:$R$25,$A771),"")</f>
        <v/>
      </c>
      <c r="G771" t="str" cm="1">
        <f t="array" ref="G771">IFERROR(INDEX('TRIP MANAGER'!$S$18:$S$25,$A771),"")</f>
        <v/>
      </c>
      <c r="H771">
        <f t="shared" ref="H771:H834" si="134">$B771/150</f>
        <v>9.3333333333333338E-2</v>
      </c>
      <c r="I771" t="str">
        <f t="shared" ref="I771:I834" si="135">IF(OR($G771="",$G771=0),"",SIN((1-$H771)*$G771)/SIN($G771))</f>
        <v/>
      </c>
      <c r="J771" t="str">
        <f t="shared" ref="J771:J834" si="136">IF($I771="","",SIN($H771*$G771)/SIN($G771))</f>
        <v/>
      </c>
      <c r="K771" t="str">
        <f t="shared" ref="K771:K834" si="137">IF($I771="","",$I771*COS(RADIANS($C771))*COS(RADIANS($D771))+$J771*COS(RADIANS($E771))*COS(RADIANS($F771)))</f>
        <v/>
      </c>
      <c r="L771" t="str">
        <f t="shared" ref="L771:L834" si="138">IF($I771="","",$I771*COS(RADIANS($C771))*SIN(RADIANS($D771))+$J771*COS(RADIANS($E771))*SIN(RADIANS($F771)))</f>
        <v/>
      </c>
      <c r="M771" t="str">
        <f t="shared" ref="M771:M834" si="139">IF($I771="","",$I771*SIN(RADIANS($C771))+$J771*SIN(RADIANS($E771)))</f>
        <v/>
      </c>
      <c r="N771" t="str">
        <f t="shared" ref="N771:N834" si="140">IF($M771="","",DEGREES(ATAN2(SQRT($K771^2+$L771^2),$M771)))</f>
        <v/>
      </c>
      <c r="O771" t="str">
        <f t="shared" ref="O771:O834" si="141">IF($M771="","",DEGREES(ATAN2($K771,$L771)))</f>
        <v/>
      </c>
      <c r="P771" t="str" cm="1">
        <f t="array" ref="P771">IF($N771="","",IFERROR(IF(INDEX(geo_grid!$B$2:$JU$231,INT(($N771+40)/0.5)+1,INT(($O771+30)/0.5)+1)="","",INDEX(geo_grid!$B$2:$JU$231,INT(($N771+40)/0.5)+1,INT(($O771+30)/0.5)+1)),"OUTSIDE GRID"))</f>
        <v/>
      </c>
      <c r="Q771" t="str">
        <f t="shared" ref="Q771:Q834" si="142">IF($P771="","",$A771*1000+$B771)</f>
        <v/>
      </c>
    </row>
    <row r="772" spans="1:17" x14ac:dyDescent="0.3">
      <c r="A772">
        <f t="shared" si="132"/>
        <v>6</v>
      </c>
      <c r="B772">
        <f t="shared" si="133"/>
        <v>15</v>
      </c>
      <c r="C772" t="str" cm="1">
        <f t="array" ref="C772">IFERROR(INDEX('TRIP MANAGER'!$O$18:$O$25,$A772),"")</f>
        <v/>
      </c>
      <c r="D772" t="str" cm="1">
        <f t="array" ref="D772">IFERROR(INDEX('TRIP MANAGER'!$P$18:$P$25,$A772),"")</f>
        <v/>
      </c>
      <c r="E772" t="str" cm="1">
        <f t="array" ref="E772">IFERROR(INDEX('TRIP MANAGER'!$Q$18:$Q$25,$A772),"")</f>
        <v/>
      </c>
      <c r="F772" t="str" cm="1">
        <f t="array" ref="F772">IFERROR(INDEX('TRIP MANAGER'!$R$18:$R$25,$A772),"")</f>
        <v/>
      </c>
      <c r="G772" t="str" cm="1">
        <f t="array" ref="G772">IFERROR(INDEX('TRIP MANAGER'!$S$18:$S$25,$A772),"")</f>
        <v/>
      </c>
      <c r="H772">
        <f t="shared" si="134"/>
        <v>0.1</v>
      </c>
      <c r="I772" t="str">
        <f t="shared" si="135"/>
        <v/>
      </c>
      <c r="J772" t="str">
        <f t="shared" si="136"/>
        <v/>
      </c>
      <c r="K772" t="str">
        <f t="shared" si="137"/>
        <v/>
      </c>
      <c r="L772" t="str">
        <f t="shared" si="138"/>
        <v/>
      </c>
      <c r="M772" t="str">
        <f t="shared" si="139"/>
        <v/>
      </c>
      <c r="N772" t="str">
        <f t="shared" si="140"/>
        <v/>
      </c>
      <c r="O772" t="str">
        <f t="shared" si="141"/>
        <v/>
      </c>
      <c r="P772" t="str" cm="1">
        <f t="array" ref="P772">IF($N772="","",IFERROR(IF(INDEX(geo_grid!$B$2:$JU$231,INT(($N772+40)/0.5)+1,INT(($O772+30)/0.5)+1)="","",INDEX(geo_grid!$B$2:$JU$231,INT(($N772+40)/0.5)+1,INT(($O772+30)/0.5)+1)),"OUTSIDE GRID"))</f>
        <v/>
      </c>
      <c r="Q772" t="str">
        <f t="shared" si="142"/>
        <v/>
      </c>
    </row>
    <row r="773" spans="1:17" x14ac:dyDescent="0.3">
      <c r="A773">
        <f t="shared" si="132"/>
        <v>6</v>
      </c>
      <c r="B773">
        <f t="shared" si="133"/>
        <v>16</v>
      </c>
      <c r="C773" t="str" cm="1">
        <f t="array" ref="C773">IFERROR(INDEX('TRIP MANAGER'!$O$18:$O$25,$A773),"")</f>
        <v/>
      </c>
      <c r="D773" t="str" cm="1">
        <f t="array" ref="D773">IFERROR(INDEX('TRIP MANAGER'!$P$18:$P$25,$A773),"")</f>
        <v/>
      </c>
      <c r="E773" t="str" cm="1">
        <f t="array" ref="E773">IFERROR(INDEX('TRIP MANAGER'!$Q$18:$Q$25,$A773),"")</f>
        <v/>
      </c>
      <c r="F773" t="str" cm="1">
        <f t="array" ref="F773">IFERROR(INDEX('TRIP MANAGER'!$R$18:$R$25,$A773),"")</f>
        <v/>
      </c>
      <c r="G773" t="str" cm="1">
        <f t="array" ref="G773">IFERROR(INDEX('TRIP MANAGER'!$S$18:$S$25,$A773),"")</f>
        <v/>
      </c>
      <c r="H773">
        <f t="shared" si="134"/>
        <v>0.10666666666666667</v>
      </c>
      <c r="I773" t="str">
        <f t="shared" si="135"/>
        <v/>
      </c>
      <c r="J773" t="str">
        <f t="shared" si="136"/>
        <v/>
      </c>
      <c r="K773" t="str">
        <f t="shared" si="137"/>
        <v/>
      </c>
      <c r="L773" t="str">
        <f t="shared" si="138"/>
        <v/>
      </c>
      <c r="M773" t="str">
        <f t="shared" si="139"/>
        <v/>
      </c>
      <c r="N773" t="str">
        <f t="shared" si="140"/>
        <v/>
      </c>
      <c r="O773" t="str">
        <f t="shared" si="141"/>
        <v/>
      </c>
      <c r="P773" t="str" cm="1">
        <f t="array" ref="P773">IF($N773="","",IFERROR(IF(INDEX(geo_grid!$B$2:$JU$231,INT(($N773+40)/0.5)+1,INT(($O773+30)/0.5)+1)="","",INDEX(geo_grid!$B$2:$JU$231,INT(($N773+40)/0.5)+1,INT(($O773+30)/0.5)+1)),"OUTSIDE GRID"))</f>
        <v/>
      </c>
      <c r="Q773" t="str">
        <f t="shared" si="142"/>
        <v/>
      </c>
    </row>
    <row r="774" spans="1:17" x14ac:dyDescent="0.3">
      <c r="A774">
        <f t="shared" si="132"/>
        <v>6</v>
      </c>
      <c r="B774">
        <f t="shared" si="133"/>
        <v>17</v>
      </c>
      <c r="C774" t="str" cm="1">
        <f t="array" ref="C774">IFERROR(INDEX('TRIP MANAGER'!$O$18:$O$25,$A774),"")</f>
        <v/>
      </c>
      <c r="D774" t="str" cm="1">
        <f t="array" ref="D774">IFERROR(INDEX('TRIP MANAGER'!$P$18:$P$25,$A774),"")</f>
        <v/>
      </c>
      <c r="E774" t="str" cm="1">
        <f t="array" ref="E774">IFERROR(INDEX('TRIP MANAGER'!$Q$18:$Q$25,$A774),"")</f>
        <v/>
      </c>
      <c r="F774" t="str" cm="1">
        <f t="array" ref="F774">IFERROR(INDEX('TRIP MANAGER'!$R$18:$R$25,$A774),"")</f>
        <v/>
      </c>
      <c r="G774" t="str" cm="1">
        <f t="array" ref="G774">IFERROR(INDEX('TRIP MANAGER'!$S$18:$S$25,$A774),"")</f>
        <v/>
      </c>
      <c r="H774">
        <f t="shared" si="134"/>
        <v>0.11333333333333333</v>
      </c>
      <c r="I774" t="str">
        <f t="shared" si="135"/>
        <v/>
      </c>
      <c r="J774" t="str">
        <f t="shared" si="136"/>
        <v/>
      </c>
      <c r="K774" t="str">
        <f t="shared" si="137"/>
        <v/>
      </c>
      <c r="L774" t="str">
        <f t="shared" si="138"/>
        <v/>
      </c>
      <c r="M774" t="str">
        <f t="shared" si="139"/>
        <v/>
      </c>
      <c r="N774" t="str">
        <f t="shared" si="140"/>
        <v/>
      </c>
      <c r="O774" t="str">
        <f t="shared" si="141"/>
        <v/>
      </c>
      <c r="P774" t="str" cm="1">
        <f t="array" ref="P774">IF($N774="","",IFERROR(IF(INDEX(geo_grid!$B$2:$JU$231,INT(($N774+40)/0.5)+1,INT(($O774+30)/0.5)+1)="","",INDEX(geo_grid!$B$2:$JU$231,INT(($N774+40)/0.5)+1,INT(($O774+30)/0.5)+1)),"OUTSIDE GRID"))</f>
        <v/>
      </c>
      <c r="Q774" t="str">
        <f t="shared" si="142"/>
        <v/>
      </c>
    </row>
    <row r="775" spans="1:17" x14ac:dyDescent="0.3">
      <c r="A775">
        <f t="shared" si="132"/>
        <v>6</v>
      </c>
      <c r="B775">
        <f t="shared" si="133"/>
        <v>18</v>
      </c>
      <c r="C775" t="str" cm="1">
        <f t="array" ref="C775">IFERROR(INDEX('TRIP MANAGER'!$O$18:$O$25,$A775),"")</f>
        <v/>
      </c>
      <c r="D775" t="str" cm="1">
        <f t="array" ref="D775">IFERROR(INDEX('TRIP MANAGER'!$P$18:$P$25,$A775),"")</f>
        <v/>
      </c>
      <c r="E775" t="str" cm="1">
        <f t="array" ref="E775">IFERROR(INDEX('TRIP MANAGER'!$Q$18:$Q$25,$A775),"")</f>
        <v/>
      </c>
      <c r="F775" t="str" cm="1">
        <f t="array" ref="F775">IFERROR(INDEX('TRIP MANAGER'!$R$18:$R$25,$A775),"")</f>
        <v/>
      </c>
      <c r="G775" t="str" cm="1">
        <f t="array" ref="G775">IFERROR(INDEX('TRIP MANAGER'!$S$18:$S$25,$A775),"")</f>
        <v/>
      </c>
      <c r="H775">
        <f t="shared" si="134"/>
        <v>0.12</v>
      </c>
      <c r="I775" t="str">
        <f t="shared" si="135"/>
        <v/>
      </c>
      <c r="J775" t="str">
        <f t="shared" si="136"/>
        <v/>
      </c>
      <c r="K775" t="str">
        <f t="shared" si="137"/>
        <v/>
      </c>
      <c r="L775" t="str">
        <f t="shared" si="138"/>
        <v/>
      </c>
      <c r="M775" t="str">
        <f t="shared" si="139"/>
        <v/>
      </c>
      <c r="N775" t="str">
        <f t="shared" si="140"/>
        <v/>
      </c>
      <c r="O775" t="str">
        <f t="shared" si="141"/>
        <v/>
      </c>
      <c r="P775" t="str" cm="1">
        <f t="array" ref="P775">IF($N775="","",IFERROR(IF(INDEX(geo_grid!$B$2:$JU$231,INT(($N775+40)/0.5)+1,INT(($O775+30)/0.5)+1)="","",INDEX(geo_grid!$B$2:$JU$231,INT(($N775+40)/0.5)+1,INT(($O775+30)/0.5)+1)),"OUTSIDE GRID"))</f>
        <v/>
      </c>
      <c r="Q775" t="str">
        <f t="shared" si="142"/>
        <v/>
      </c>
    </row>
    <row r="776" spans="1:17" x14ac:dyDescent="0.3">
      <c r="A776">
        <f t="shared" si="132"/>
        <v>6</v>
      </c>
      <c r="B776">
        <f t="shared" si="133"/>
        <v>19</v>
      </c>
      <c r="C776" t="str" cm="1">
        <f t="array" ref="C776">IFERROR(INDEX('TRIP MANAGER'!$O$18:$O$25,$A776),"")</f>
        <v/>
      </c>
      <c r="D776" t="str" cm="1">
        <f t="array" ref="D776">IFERROR(INDEX('TRIP MANAGER'!$P$18:$P$25,$A776),"")</f>
        <v/>
      </c>
      <c r="E776" t="str" cm="1">
        <f t="array" ref="E776">IFERROR(INDEX('TRIP MANAGER'!$Q$18:$Q$25,$A776),"")</f>
        <v/>
      </c>
      <c r="F776" t="str" cm="1">
        <f t="array" ref="F776">IFERROR(INDEX('TRIP MANAGER'!$R$18:$R$25,$A776),"")</f>
        <v/>
      </c>
      <c r="G776" t="str" cm="1">
        <f t="array" ref="G776">IFERROR(INDEX('TRIP MANAGER'!$S$18:$S$25,$A776),"")</f>
        <v/>
      </c>
      <c r="H776">
        <f t="shared" si="134"/>
        <v>0.12666666666666668</v>
      </c>
      <c r="I776" t="str">
        <f t="shared" si="135"/>
        <v/>
      </c>
      <c r="J776" t="str">
        <f t="shared" si="136"/>
        <v/>
      </c>
      <c r="K776" t="str">
        <f t="shared" si="137"/>
        <v/>
      </c>
      <c r="L776" t="str">
        <f t="shared" si="138"/>
        <v/>
      </c>
      <c r="M776" t="str">
        <f t="shared" si="139"/>
        <v/>
      </c>
      <c r="N776" t="str">
        <f t="shared" si="140"/>
        <v/>
      </c>
      <c r="O776" t="str">
        <f t="shared" si="141"/>
        <v/>
      </c>
      <c r="P776" t="str" cm="1">
        <f t="array" ref="P776">IF($N776="","",IFERROR(IF(INDEX(geo_grid!$B$2:$JU$231,INT(($N776+40)/0.5)+1,INT(($O776+30)/0.5)+1)="","",INDEX(geo_grid!$B$2:$JU$231,INT(($N776+40)/0.5)+1,INT(($O776+30)/0.5)+1)),"OUTSIDE GRID"))</f>
        <v/>
      </c>
      <c r="Q776" t="str">
        <f t="shared" si="142"/>
        <v/>
      </c>
    </row>
    <row r="777" spans="1:17" x14ac:dyDescent="0.3">
      <c r="A777">
        <f t="shared" si="132"/>
        <v>6</v>
      </c>
      <c r="B777">
        <f t="shared" si="133"/>
        <v>20</v>
      </c>
      <c r="C777" t="str" cm="1">
        <f t="array" ref="C777">IFERROR(INDEX('TRIP MANAGER'!$O$18:$O$25,$A777),"")</f>
        <v/>
      </c>
      <c r="D777" t="str" cm="1">
        <f t="array" ref="D777">IFERROR(INDEX('TRIP MANAGER'!$P$18:$P$25,$A777),"")</f>
        <v/>
      </c>
      <c r="E777" t="str" cm="1">
        <f t="array" ref="E777">IFERROR(INDEX('TRIP MANAGER'!$Q$18:$Q$25,$A777),"")</f>
        <v/>
      </c>
      <c r="F777" t="str" cm="1">
        <f t="array" ref="F777">IFERROR(INDEX('TRIP MANAGER'!$R$18:$R$25,$A777),"")</f>
        <v/>
      </c>
      <c r="G777" t="str" cm="1">
        <f t="array" ref="G777">IFERROR(INDEX('TRIP MANAGER'!$S$18:$S$25,$A777),"")</f>
        <v/>
      </c>
      <c r="H777">
        <f t="shared" si="134"/>
        <v>0.13333333333333333</v>
      </c>
      <c r="I777" t="str">
        <f t="shared" si="135"/>
        <v/>
      </c>
      <c r="J777" t="str">
        <f t="shared" si="136"/>
        <v/>
      </c>
      <c r="K777" t="str">
        <f t="shared" si="137"/>
        <v/>
      </c>
      <c r="L777" t="str">
        <f t="shared" si="138"/>
        <v/>
      </c>
      <c r="M777" t="str">
        <f t="shared" si="139"/>
        <v/>
      </c>
      <c r="N777" t="str">
        <f t="shared" si="140"/>
        <v/>
      </c>
      <c r="O777" t="str">
        <f t="shared" si="141"/>
        <v/>
      </c>
      <c r="P777" t="str" cm="1">
        <f t="array" ref="P777">IF($N777="","",IFERROR(IF(INDEX(geo_grid!$B$2:$JU$231,INT(($N777+40)/0.5)+1,INT(($O777+30)/0.5)+1)="","",INDEX(geo_grid!$B$2:$JU$231,INT(($N777+40)/0.5)+1,INT(($O777+30)/0.5)+1)),"OUTSIDE GRID"))</f>
        <v/>
      </c>
      <c r="Q777" t="str">
        <f t="shared" si="142"/>
        <v/>
      </c>
    </row>
    <row r="778" spans="1:17" x14ac:dyDescent="0.3">
      <c r="A778">
        <f t="shared" si="132"/>
        <v>6</v>
      </c>
      <c r="B778">
        <f t="shared" si="133"/>
        <v>21</v>
      </c>
      <c r="C778" t="str" cm="1">
        <f t="array" ref="C778">IFERROR(INDEX('TRIP MANAGER'!$O$18:$O$25,$A778),"")</f>
        <v/>
      </c>
      <c r="D778" t="str" cm="1">
        <f t="array" ref="D778">IFERROR(INDEX('TRIP MANAGER'!$P$18:$P$25,$A778),"")</f>
        <v/>
      </c>
      <c r="E778" t="str" cm="1">
        <f t="array" ref="E778">IFERROR(INDEX('TRIP MANAGER'!$Q$18:$Q$25,$A778),"")</f>
        <v/>
      </c>
      <c r="F778" t="str" cm="1">
        <f t="array" ref="F778">IFERROR(INDEX('TRIP MANAGER'!$R$18:$R$25,$A778),"")</f>
        <v/>
      </c>
      <c r="G778" t="str" cm="1">
        <f t="array" ref="G778">IFERROR(INDEX('TRIP MANAGER'!$S$18:$S$25,$A778),"")</f>
        <v/>
      </c>
      <c r="H778">
        <f t="shared" si="134"/>
        <v>0.14000000000000001</v>
      </c>
      <c r="I778" t="str">
        <f t="shared" si="135"/>
        <v/>
      </c>
      <c r="J778" t="str">
        <f t="shared" si="136"/>
        <v/>
      </c>
      <c r="K778" t="str">
        <f t="shared" si="137"/>
        <v/>
      </c>
      <c r="L778" t="str">
        <f t="shared" si="138"/>
        <v/>
      </c>
      <c r="M778" t="str">
        <f t="shared" si="139"/>
        <v/>
      </c>
      <c r="N778" t="str">
        <f t="shared" si="140"/>
        <v/>
      </c>
      <c r="O778" t="str">
        <f t="shared" si="141"/>
        <v/>
      </c>
      <c r="P778" t="str" cm="1">
        <f t="array" ref="P778">IF($N778="","",IFERROR(IF(INDEX(geo_grid!$B$2:$JU$231,INT(($N778+40)/0.5)+1,INT(($O778+30)/0.5)+1)="","",INDEX(geo_grid!$B$2:$JU$231,INT(($N778+40)/0.5)+1,INT(($O778+30)/0.5)+1)),"OUTSIDE GRID"))</f>
        <v/>
      </c>
      <c r="Q778" t="str">
        <f t="shared" si="142"/>
        <v/>
      </c>
    </row>
    <row r="779" spans="1:17" x14ac:dyDescent="0.3">
      <c r="A779">
        <f t="shared" si="132"/>
        <v>6</v>
      </c>
      <c r="B779">
        <f t="shared" si="133"/>
        <v>22</v>
      </c>
      <c r="C779" t="str" cm="1">
        <f t="array" ref="C779">IFERROR(INDEX('TRIP MANAGER'!$O$18:$O$25,$A779),"")</f>
        <v/>
      </c>
      <c r="D779" t="str" cm="1">
        <f t="array" ref="D779">IFERROR(INDEX('TRIP MANAGER'!$P$18:$P$25,$A779),"")</f>
        <v/>
      </c>
      <c r="E779" t="str" cm="1">
        <f t="array" ref="E779">IFERROR(INDEX('TRIP MANAGER'!$Q$18:$Q$25,$A779),"")</f>
        <v/>
      </c>
      <c r="F779" t="str" cm="1">
        <f t="array" ref="F779">IFERROR(INDEX('TRIP MANAGER'!$R$18:$R$25,$A779),"")</f>
        <v/>
      </c>
      <c r="G779" t="str" cm="1">
        <f t="array" ref="G779">IFERROR(INDEX('TRIP MANAGER'!$S$18:$S$25,$A779),"")</f>
        <v/>
      </c>
      <c r="H779">
        <f t="shared" si="134"/>
        <v>0.14666666666666667</v>
      </c>
      <c r="I779" t="str">
        <f t="shared" si="135"/>
        <v/>
      </c>
      <c r="J779" t="str">
        <f t="shared" si="136"/>
        <v/>
      </c>
      <c r="K779" t="str">
        <f t="shared" si="137"/>
        <v/>
      </c>
      <c r="L779" t="str">
        <f t="shared" si="138"/>
        <v/>
      </c>
      <c r="M779" t="str">
        <f t="shared" si="139"/>
        <v/>
      </c>
      <c r="N779" t="str">
        <f t="shared" si="140"/>
        <v/>
      </c>
      <c r="O779" t="str">
        <f t="shared" si="141"/>
        <v/>
      </c>
      <c r="P779" t="str" cm="1">
        <f t="array" ref="P779">IF($N779="","",IFERROR(IF(INDEX(geo_grid!$B$2:$JU$231,INT(($N779+40)/0.5)+1,INT(($O779+30)/0.5)+1)="","",INDEX(geo_grid!$B$2:$JU$231,INT(($N779+40)/0.5)+1,INT(($O779+30)/0.5)+1)),"OUTSIDE GRID"))</f>
        <v/>
      </c>
      <c r="Q779" t="str">
        <f t="shared" si="142"/>
        <v/>
      </c>
    </row>
    <row r="780" spans="1:17" x14ac:dyDescent="0.3">
      <c r="A780">
        <f t="shared" si="132"/>
        <v>6</v>
      </c>
      <c r="B780">
        <f t="shared" si="133"/>
        <v>23</v>
      </c>
      <c r="C780" t="str" cm="1">
        <f t="array" ref="C780">IFERROR(INDEX('TRIP MANAGER'!$O$18:$O$25,$A780),"")</f>
        <v/>
      </c>
      <c r="D780" t="str" cm="1">
        <f t="array" ref="D780">IFERROR(INDEX('TRIP MANAGER'!$P$18:$P$25,$A780),"")</f>
        <v/>
      </c>
      <c r="E780" t="str" cm="1">
        <f t="array" ref="E780">IFERROR(INDEX('TRIP MANAGER'!$Q$18:$Q$25,$A780),"")</f>
        <v/>
      </c>
      <c r="F780" t="str" cm="1">
        <f t="array" ref="F780">IFERROR(INDEX('TRIP MANAGER'!$R$18:$R$25,$A780),"")</f>
        <v/>
      </c>
      <c r="G780" t="str" cm="1">
        <f t="array" ref="G780">IFERROR(INDEX('TRIP MANAGER'!$S$18:$S$25,$A780),"")</f>
        <v/>
      </c>
      <c r="H780">
        <f t="shared" si="134"/>
        <v>0.15333333333333332</v>
      </c>
      <c r="I780" t="str">
        <f t="shared" si="135"/>
        <v/>
      </c>
      <c r="J780" t="str">
        <f t="shared" si="136"/>
        <v/>
      </c>
      <c r="K780" t="str">
        <f t="shared" si="137"/>
        <v/>
      </c>
      <c r="L780" t="str">
        <f t="shared" si="138"/>
        <v/>
      </c>
      <c r="M780" t="str">
        <f t="shared" si="139"/>
        <v/>
      </c>
      <c r="N780" t="str">
        <f t="shared" si="140"/>
        <v/>
      </c>
      <c r="O780" t="str">
        <f t="shared" si="141"/>
        <v/>
      </c>
      <c r="P780" t="str" cm="1">
        <f t="array" ref="P780">IF($N780="","",IFERROR(IF(INDEX(geo_grid!$B$2:$JU$231,INT(($N780+40)/0.5)+1,INT(($O780+30)/0.5)+1)="","",INDEX(geo_grid!$B$2:$JU$231,INT(($N780+40)/0.5)+1,INT(($O780+30)/0.5)+1)),"OUTSIDE GRID"))</f>
        <v/>
      </c>
      <c r="Q780" t="str">
        <f t="shared" si="142"/>
        <v/>
      </c>
    </row>
    <row r="781" spans="1:17" x14ac:dyDescent="0.3">
      <c r="A781">
        <f t="shared" si="132"/>
        <v>6</v>
      </c>
      <c r="B781">
        <f t="shared" si="133"/>
        <v>24</v>
      </c>
      <c r="C781" t="str" cm="1">
        <f t="array" ref="C781">IFERROR(INDEX('TRIP MANAGER'!$O$18:$O$25,$A781),"")</f>
        <v/>
      </c>
      <c r="D781" t="str" cm="1">
        <f t="array" ref="D781">IFERROR(INDEX('TRIP MANAGER'!$P$18:$P$25,$A781),"")</f>
        <v/>
      </c>
      <c r="E781" t="str" cm="1">
        <f t="array" ref="E781">IFERROR(INDEX('TRIP MANAGER'!$Q$18:$Q$25,$A781),"")</f>
        <v/>
      </c>
      <c r="F781" t="str" cm="1">
        <f t="array" ref="F781">IFERROR(INDEX('TRIP MANAGER'!$R$18:$R$25,$A781),"")</f>
        <v/>
      </c>
      <c r="G781" t="str" cm="1">
        <f t="array" ref="G781">IFERROR(INDEX('TRIP MANAGER'!$S$18:$S$25,$A781),"")</f>
        <v/>
      </c>
      <c r="H781">
        <f t="shared" si="134"/>
        <v>0.16</v>
      </c>
      <c r="I781" t="str">
        <f t="shared" si="135"/>
        <v/>
      </c>
      <c r="J781" t="str">
        <f t="shared" si="136"/>
        <v/>
      </c>
      <c r="K781" t="str">
        <f t="shared" si="137"/>
        <v/>
      </c>
      <c r="L781" t="str">
        <f t="shared" si="138"/>
        <v/>
      </c>
      <c r="M781" t="str">
        <f t="shared" si="139"/>
        <v/>
      </c>
      <c r="N781" t="str">
        <f t="shared" si="140"/>
        <v/>
      </c>
      <c r="O781" t="str">
        <f t="shared" si="141"/>
        <v/>
      </c>
      <c r="P781" t="str" cm="1">
        <f t="array" ref="P781">IF($N781="","",IFERROR(IF(INDEX(geo_grid!$B$2:$JU$231,INT(($N781+40)/0.5)+1,INT(($O781+30)/0.5)+1)="","",INDEX(geo_grid!$B$2:$JU$231,INT(($N781+40)/0.5)+1,INT(($O781+30)/0.5)+1)),"OUTSIDE GRID"))</f>
        <v/>
      </c>
      <c r="Q781" t="str">
        <f t="shared" si="142"/>
        <v/>
      </c>
    </row>
    <row r="782" spans="1:17" x14ac:dyDescent="0.3">
      <c r="A782">
        <f t="shared" si="132"/>
        <v>6</v>
      </c>
      <c r="B782">
        <f t="shared" si="133"/>
        <v>25</v>
      </c>
      <c r="C782" t="str" cm="1">
        <f t="array" ref="C782">IFERROR(INDEX('TRIP MANAGER'!$O$18:$O$25,$A782),"")</f>
        <v/>
      </c>
      <c r="D782" t="str" cm="1">
        <f t="array" ref="D782">IFERROR(INDEX('TRIP MANAGER'!$P$18:$P$25,$A782),"")</f>
        <v/>
      </c>
      <c r="E782" t="str" cm="1">
        <f t="array" ref="E782">IFERROR(INDEX('TRIP MANAGER'!$Q$18:$Q$25,$A782),"")</f>
        <v/>
      </c>
      <c r="F782" t="str" cm="1">
        <f t="array" ref="F782">IFERROR(INDEX('TRIP MANAGER'!$R$18:$R$25,$A782),"")</f>
        <v/>
      </c>
      <c r="G782" t="str" cm="1">
        <f t="array" ref="G782">IFERROR(INDEX('TRIP MANAGER'!$S$18:$S$25,$A782),"")</f>
        <v/>
      </c>
      <c r="H782">
        <f t="shared" si="134"/>
        <v>0.16666666666666666</v>
      </c>
      <c r="I782" t="str">
        <f t="shared" si="135"/>
        <v/>
      </c>
      <c r="J782" t="str">
        <f t="shared" si="136"/>
        <v/>
      </c>
      <c r="K782" t="str">
        <f t="shared" si="137"/>
        <v/>
      </c>
      <c r="L782" t="str">
        <f t="shared" si="138"/>
        <v/>
      </c>
      <c r="M782" t="str">
        <f t="shared" si="139"/>
        <v/>
      </c>
      <c r="N782" t="str">
        <f t="shared" si="140"/>
        <v/>
      </c>
      <c r="O782" t="str">
        <f t="shared" si="141"/>
        <v/>
      </c>
      <c r="P782" t="str" cm="1">
        <f t="array" ref="P782">IF($N782="","",IFERROR(IF(INDEX(geo_grid!$B$2:$JU$231,INT(($N782+40)/0.5)+1,INT(($O782+30)/0.5)+1)="","",INDEX(geo_grid!$B$2:$JU$231,INT(($N782+40)/0.5)+1,INT(($O782+30)/0.5)+1)),"OUTSIDE GRID"))</f>
        <v/>
      </c>
      <c r="Q782" t="str">
        <f t="shared" si="142"/>
        <v/>
      </c>
    </row>
    <row r="783" spans="1:17" x14ac:dyDescent="0.3">
      <c r="A783">
        <f t="shared" si="132"/>
        <v>6</v>
      </c>
      <c r="B783">
        <f t="shared" si="133"/>
        <v>26</v>
      </c>
      <c r="C783" t="str" cm="1">
        <f t="array" ref="C783">IFERROR(INDEX('TRIP MANAGER'!$O$18:$O$25,$A783),"")</f>
        <v/>
      </c>
      <c r="D783" t="str" cm="1">
        <f t="array" ref="D783">IFERROR(INDEX('TRIP MANAGER'!$P$18:$P$25,$A783),"")</f>
        <v/>
      </c>
      <c r="E783" t="str" cm="1">
        <f t="array" ref="E783">IFERROR(INDEX('TRIP MANAGER'!$Q$18:$Q$25,$A783),"")</f>
        <v/>
      </c>
      <c r="F783" t="str" cm="1">
        <f t="array" ref="F783">IFERROR(INDEX('TRIP MANAGER'!$R$18:$R$25,$A783),"")</f>
        <v/>
      </c>
      <c r="G783" t="str" cm="1">
        <f t="array" ref="G783">IFERROR(INDEX('TRIP MANAGER'!$S$18:$S$25,$A783),"")</f>
        <v/>
      </c>
      <c r="H783">
        <f t="shared" si="134"/>
        <v>0.17333333333333334</v>
      </c>
      <c r="I783" t="str">
        <f t="shared" si="135"/>
        <v/>
      </c>
      <c r="J783" t="str">
        <f t="shared" si="136"/>
        <v/>
      </c>
      <c r="K783" t="str">
        <f t="shared" si="137"/>
        <v/>
      </c>
      <c r="L783" t="str">
        <f t="shared" si="138"/>
        <v/>
      </c>
      <c r="M783" t="str">
        <f t="shared" si="139"/>
        <v/>
      </c>
      <c r="N783" t="str">
        <f t="shared" si="140"/>
        <v/>
      </c>
      <c r="O783" t="str">
        <f t="shared" si="141"/>
        <v/>
      </c>
      <c r="P783" t="str" cm="1">
        <f t="array" ref="P783">IF($N783="","",IFERROR(IF(INDEX(geo_grid!$B$2:$JU$231,INT(($N783+40)/0.5)+1,INT(($O783+30)/0.5)+1)="","",INDEX(geo_grid!$B$2:$JU$231,INT(($N783+40)/0.5)+1,INT(($O783+30)/0.5)+1)),"OUTSIDE GRID"))</f>
        <v/>
      </c>
      <c r="Q783" t="str">
        <f t="shared" si="142"/>
        <v/>
      </c>
    </row>
    <row r="784" spans="1:17" x14ac:dyDescent="0.3">
      <c r="A784">
        <f t="shared" si="132"/>
        <v>6</v>
      </c>
      <c r="B784">
        <f t="shared" si="133"/>
        <v>27</v>
      </c>
      <c r="C784" t="str" cm="1">
        <f t="array" ref="C784">IFERROR(INDEX('TRIP MANAGER'!$O$18:$O$25,$A784),"")</f>
        <v/>
      </c>
      <c r="D784" t="str" cm="1">
        <f t="array" ref="D784">IFERROR(INDEX('TRIP MANAGER'!$P$18:$P$25,$A784),"")</f>
        <v/>
      </c>
      <c r="E784" t="str" cm="1">
        <f t="array" ref="E784">IFERROR(INDEX('TRIP MANAGER'!$Q$18:$Q$25,$A784),"")</f>
        <v/>
      </c>
      <c r="F784" t="str" cm="1">
        <f t="array" ref="F784">IFERROR(INDEX('TRIP MANAGER'!$R$18:$R$25,$A784),"")</f>
        <v/>
      </c>
      <c r="G784" t="str" cm="1">
        <f t="array" ref="G784">IFERROR(INDEX('TRIP MANAGER'!$S$18:$S$25,$A784),"")</f>
        <v/>
      </c>
      <c r="H784">
        <f t="shared" si="134"/>
        <v>0.18</v>
      </c>
      <c r="I784" t="str">
        <f t="shared" si="135"/>
        <v/>
      </c>
      <c r="J784" t="str">
        <f t="shared" si="136"/>
        <v/>
      </c>
      <c r="K784" t="str">
        <f t="shared" si="137"/>
        <v/>
      </c>
      <c r="L784" t="str">
        <f t="shared" si="138"/>
        <v/>
      </c>
      <c r="M784" t="str">
        <f t="shared" si="139"/>
        <v/>
      </c>
      <c r="N784" t="str">
        <f t="shared" si="140"/>
        <v/>
      </c>
      <c r="O784" t="str">
        <f t="shared" si="141"/>
        <v/>
      </c>
      <c r="P784" t="str" cm="1">
        <f t="array" ref="P784">IF($N784="","",IFERROR(IF(INDEX(geo_grid!$B$2:$JU$231,INT(($N784+40)/0.5)+1,INT(($O784+30)/0.5)+1)="","",INDEX(geo_grid!$B$2:$JU$231,INT(($N784+40)/0.5)+1,INT(($O784+30)/0.5)+1)),"OUTSIDE GRID"))</f>
        <v/>
      </c>
      <c r="Q784" t="str">
        <f t="shared" si="142"/>
        <v/>
      </c>
    </row>
    <row r="785" spans="1:17" x14ac:dyDescent="0.3">
      <c r="A785">
        <f t="shared" si="132"/>
        <v>6</v>
      </c>
      <c r="B785">
        <f t="shared" si="133"/>
        <v>28</v>
      </c>
      <c r="C785" t="str" cm="1">
        <f t="array" ref="C785">IFERROR(INDEX('TRIP MANAGER'!$O$18:$O$25,$A785),"")</f>
        <v/>
      </c>
      <c r="D785" t="str" cm="1">
        <f t="array" ref="D785">IFERROR(INDEX('TRIP MANAGER'!$P$18:$P$25,$A785),"")</f>
        <v/>
      </c>
      <c r="E785" t="str" cm="1">
        <f t="array" ref="E785">IFERROR(INDEX('TRIP MANAGER'!$Q$18:$Q$25,$A785),"")</f>
        <v/>
      </c>
      <c r="F785" t="str" cm="1">
        <f t="array" ref="F785">IFERROR(INDEX('TRIP MANAGER'!$R$18:$R$25,$A785),"")</f>
        <v/>
      </c>
      <c r="G785" t="str" cm="1">
        <f t="array" ref="G785">IFERROR(INDEX('TRIP MANAGER'!$S$18:$S$25,$A785),"")</f>
        <v/>
      </c>
      <c r="H785">
        <f t="shared" si="134"/>
        <v>0.18666666666666668</v>
      </c>
      <c r="I785" t="str">
        <f t="shared" si="135"/>
        <v/>
      </c>
      <c r="J785" t="str">
        <f t="shared" si="136"/>
        <v/>
      </c>
      <c r="K785" t="str">
        <f t="shared" si="137"/>
        <v/>
      </c>
      <c r="L785" t="str">
        <f t="shared" si="138"/>
        <v/>
      </c>
      <c r="M785" t="str">
        <f t="shared" si="139"/>
        <v/>
      </c>
      <c r="N785" t="str">
        <f t="shared" si="140"/>
        <v/>
      </c>
      <c r="O785" t="str">
        <f t="shared" si="141"/>
        <v/>
      </c>
      <c r="P785" t="str" cm="1">
        <f t="array" ref="P785">IF($N785="","",IFERROR(IF(INDEX(geo_grid!$B$2:$JU$231,INT(($N785+40)/0.5)+1,INT(($O785+30)/0.5)+1)="","",INDEX(geo_grid!$B$2:$JU$231,INT(($N785+40)/0.5)+1,INT(($O785+30)/0.5)+1)),"OUTSIDE GRID"))</f>
        <v/>
      </c>
      <c r="Q785" t="str">
        <f t="shared" si="142"/>
        <v/>
      </c>
    </row>
    <row r="786" spans="1:17" x14ac:dyDescent="0.3">
      <c r="A786">
        <f t="shared" si="132"/>
        <v>6</v>
      </c>
      <c r="B786">
        <f t="shared" si="133"/>
        <v>29</v>
      </c>
      <c r="C786" t="str" cm="1">
        <f t="array" ref="C786">IFERROR(INDEX('TRIP MANAGER'!$O$18:$O$25,$A786),"")</f>
        <v/>
      </c>
      <c r="D786" t="str" cm="1">
        <f t="array" ref="D786">IFERROR(INDEX('TRIP MANAGER'!$P$18:$P$25,$A786),"")</f>
        <v/>
      </c>
      <c r="E786" t="str" cm="1">
        <f t="array" ref="E786">IFERROR(INDEX('TRIP MANAGER'!$Q$18:$Q$25,$A786),"")</f>
        <v/>
      </c>
      <c r="F786" t="str" cm="1">
        <f t="array" ref="F786">IFERROR(INDEX('TRIP MANAGER'!$R$18:$R$25,$A786),"")</f>
        <v/>
      </c>
      <c r="G786" t="str" cm="1">
        <f t="array" ref="G786">IFERROR(INDEX('TRIP MANAGER'!$S$18:$S$25,$A786),"")</f>
        <v/>
      </c>
      <c r="H786">
        <f t="shared" si="134"/>
        <v>0.19333333333333333</v>
      </c>
      <c r="I786" t="str">
        <f t="shared" si="135"/>
        <v/>
      </c>
      <c r="J786" t="str">
        <f t="shared" si="136"/>
        <v/>
      </c>
      <c r="K786" t="str">
        <f t="shared" si="137"/>
        <v/>
      </c>
      <c r="L786" t="str">
        <f t="shared" si="138"/>
        <v/>
      </c>
      <c r="M786" t="str">
        <f t="shared" si="139"/>
        <v/>
      </c>
      <c r="N786" t="str">
        <f t="shared" si="140"/>
        <v/>
      </c>
      <c r="O786" t="str">
        <f t="shared" si="141"/>
        <v/>
      </c>
      <c r="P786" t="str" cm="1">
        <f t="array" ref="P786">IF($N786="","",IFERROR(IF(INDEX(geo_grid!$B$2:$JU$231,INT(($N786+40)/0.5)+1,INT(($O786+30)/0.5)+1)="","",INDEX(geo_grid!$B$2:$JU$231,INT(($N786+40)/0.5)+1,INT(($O786+30)/0.5)+1)),"OUTSIDE GRID"))</f>
        <v/>
      </c>
      <c r="Q786" t="str">
        <f t="shared" si="142"/>
        <v/>
      </c>
    </row>
    <row r="787" spans="1:17" x14ac:dyDescent="0.3">
      <c r="A787">
        <f t="shared" si="132"/>
        <v>6</v>
      </c>
      <c r="B787">
        <f t="shared" si="133"/>
        <v>30</v>
      </c>
      <c r="C787" t="str" cm="1">
        <f t="array" ref="C787">IFERROR(INDEX('TRIP MANAGER'!$O$18:$O$25,$A787),"")</f>
        <v/>
      </c>
      <c r="D787" t="str" cm="1">
        <f t="array" ref="D787">IFERROR(INDEX('TRIP MANAGER'!$P$18:$P$25,$A787),"")</f>
        <v/>
      </c>
      <c r="E787" t="str" cm="1">
        <f t="array" ref="E787">IFERROR(INDEX('TRIP MANAGER'!$Q$18:$Q$25,$A787),"")</f>
        <v/>
      </c>
      <c r="F787" t="str" cm="1">
        <f t="array" ref="F787">IFERROR(INDEX('TRIP MANAGER'!$R$18:$R$25,$A787),"")</f>
        <v/>
      </c>
      <c r="G787" t="str" cm="1">
        <f t="array" ref="G787">IFERROR(INDEX('TRIP MANAGER'!$S$18:$S$25,$A787),"")</f>
        <v/>
      </c>
      <c r="H787">
        <f t="shared" si="134"/>
        <v>0.2</v>
      </c>
      <c r="I787" t="str">
        <f t="shared" si="135"/>
        <v/>
      </c>
      <c r="J787" t="str">
        <f t="shared" si="136"/>
        <v/>
      </c>
      <c r="K787" t="str">
        <f t="shared" si="137"/>
        <v/>
      </c>
      <c r="L787" t="str">
        <f t="shared" si="138"/>
        <v/>
      </c>
      <c r="M787" t="str">
        <f t="shared" si="139"/>
        <v/>
      </c>
      <c r="N787" t="str">
        <f t="shared" si="140"/>
        <v/>
      </c>
      <c r="O787" t="str">
        <f t="shared" si="141"/>
        <v/>
      </c>
      <c r="P787" t="str" cm="1">
        <f t="array" ref="P787">IF($N787="","",IFERROR(IF(INDEX(geo_grid!$B$2:$JU$231,INT(($N787+40)/0.5)+1,INT(($O787+30)/0.5)+1)="","",INDEX(geo_grid!$B$2:$JU$231,INT(($N787+40)/0.5)+1,INT(($O787+30)/0.5)+1)),"OUTSIDE GRID"))</f>
        <v/>
      </c>
      <c r="Q787" t="str">
        <f t="shared" si="142"/>
        <v/>
      </c>
    </row>
    <row r="788" spans="1:17" x14ac:dyDescent="0.3">
      <c r="A788">
        <f t="shared" si="132"/>
        <v>6</v>
      </c>
      <c r="B788">
        <f t="shared" si="133"/>
        <v>31</v>
      </c>
      <c r="C788" t="str" cm="1">
        <f t="array" ref="C788">IFERROR(INDEX('TRIP MANAGER'!$O$18:$O$25,$A788),"")</f>
        <v/>
      </c>
      <c r="D788" t="str" cm="1">
        <f t="array" ref="D788">IFERROR(INDEX('TRIP MANAGER'!$P$18:$P$25,$A788),"")</f>
        <v/>
      </c>
      <c r="E788" t="str" cm="1">
        <f t="array" ref="E788">IFERROR(INDEX('TRIP MANAGER'!$Q$18:$Q$25,$A788),"")</f>
        <v/>
      </c>
      <c r="F788" t="str" cm="1">
        <f t="array" ref="F788">IFERROR(INDEX('TRIP MANAGER'!$R$18:$R$25,$A788),"")</f>
        <v/>
      </c>
      <c r="G788" t="str" cm="1">
        <f t="array" ref="G788">IFERROR(INDEX('TRIP MANAGER'!$S$18:$S$25,$A788),"")</f>
        <v/>
      </c>
      <c r="H788">
        <f t="shared" si="134"/>
        <v>0.20666666666666667</v>
      </c>
      <c r="I788" t="str">
        <f t="shared" si="135"/>
        <v/>
      </c>
      <c r="J788" t="str">
        <f t="shared" si="136"/>
        <v/>
      </c>
      <c r="K788" t="str">
        <f t="shared" si="137"/>
        <v/>
      </c>
      <c r="L788" t="str">
        <f t="shared" si="138"/>
        <v/>
      </c>
      <c r="M788" t="str">
        <f t="shared" si="139"/>
        <v/>
      </c>
      <c r="N788" t="str">
        <f t="shared" si="140"/>
        <v/>
      </c>
      <c r="O788" t="str">
        <f t="shared" si="141"/>
        <v/>
      </c>
      <c r="P788" t="str" cm="1">
        <f t="array" ref="P788">IF($N788="","",IFERROR(IF(INDEX(geo_grid!$B$2:$JU$231,INT(($N788+40)/0.5)+1,INT(($O788+30)/0.5)+1)="","",INDEX(geo_grid!$B$2:$JU$231,INT(($N788+40)/0.5)+1,INT(($O788+30)/0.5)+1)),"OUTSIDE GRID"))</f>
        <v/>
      </c>
      <c r="Q788" t="str">
        <f t="shared" si="142"/>
        <v/>
      </c>
    </row>
    <row r="789" spans="1:17" x14ac:dyDescent="0.3">
      <c r="A789">
        <f t="shared" si="132"/>
        <v>6</v>
      </c>
      <c r="B789">
        <f t="shared" si="133"/>
        <v>32</v>
      </c>
      <c r="C789" t="str" cm="1">
        <f t="array" ref="C789">IFERROR(INDEX('TRIP MANAGER'!$O$18:$O$25,$A789),"")</f>
        <v/>
      </c>
      <c r="D789" t="str" cm="1">
        <f t="array" ref="D789">IFERROR(INDEX('TRIP MANAGER'!$P$18:$P$25,$A789),"")</f>
        <v/>
      </c>
      <c r="E789" t="str" cm="1">
        <f t="array" ref="E789">IFERROR(INDEX('TRIP MANAGER'!$Q$18:$Q$25,$A789),"")</f>
        <v/>
      </c>
      <c r="F789" t="str" cm="1">
        <f t="array" ref="F789">IFERROR(INDEX('TRIP MANAGER'!$R$18:$R$25,$A789),"")</f>
        <v/>
      </c>
      <c r="G789" t="str" cm="1">
        <f t="array" ref="G789">IFERROR(INDEX('TRIP MANAGER'!$S$18:$S$25,$A789),"")</f>
        <v/>
      </c>
      <c r="H789">
        <f t="shared" si="134"/>
        <v>0.21333333333333335</v>
      </c>
      <c r="I789" t="str">
        <f t="shared" si="135"/>
        <v/>
      </c>
      <c r="J789" t="str">
        <f t="shared" si="136"/>
        <v/>
      </c>
      <c r="K789" t="str">
        <f t="shared" si="137"/>
        <v/>
      </c>
      <c r="L789" t="str">
        <f t="shared" si="138"/>
        <v/>
      </c>
      <c r="M789" t="str">
        <f t="shared" si="139"/>
        <v/>
      </c>
      <c r="N789" t="str">
        <f t="shared" si="140"/>
        <v/>
      </c>
      <c r="O789" t="str">
        <f t="shared" si="141"/>
        <v/>
      </c>
      <c r="P789" t="str" cm="1">
        <f t="array" ref="P789">IF($N789="","",IFERROR(IF(INDEX(geo_grid!$B$2:$JU$231,INT(($N789+40)/0.5)+1,INT(($O789+30)/0.5)+1)="","",INDEX(geo_grid!$B$2:$JU$231,INT(($N789+40)/0.5)+1,INT(($O789+30)/0.5)+1)),"OUTSIDE GRID"))</f>
        <v/>
      </c>
      <c r="Q789" t="str">
        <f t="shared" si="142"/>
        <v/>
      </c>
    </row>
    <row r="790" spans="1:17" x14ac:dyDescent="0.3">
      <c r="A790">
        <f t="shared" si="132"/>
        <v>6</v>
      </c>
      <c r="B790">
        <f t="shared" si="133"/>
        <v>33</v>
      </c>
      <c r="C790" t="str" cm="1">
        <f t="array" ref="C790">IFERROR(INDEX('TRIP MANAGER'!$O$18:$O$25,$A790),"")</f>
        <v/>
      </c>
      <c r="D790" t="str" cm="1">
        <f t="array" ref="D790">IFERROR(INDEX('TRIP MANAGER'!$P$18:$P$25,$A790),"")</f>
        <v/>
      </c>
      <c r="E790" t="str" cm="1">
        <f t="array" ref="E790">IFERROR(INDEX('TRIP MANAGER'!$Q$18:$Q$25,$A790),"")</f>
        <v/>
      </c>
      <c r="F790" t="str" cm="1">
        <f t="array" ref="F790">IFERROR(INDEX('TRIP MANAGER'!$R$18:$R$25,$A790),"")</f>
        <v/>
      </c>
      <c r="G790" t="str" cm="1">
        <f t="array" ref="G790">IFERROR(INDEX('TRIP MANAGER'!$S$18:$S$25,$A790),"")</f>
        <v/>
      </c>
      <c r="H790">
        <f t="shared" si="134"/>
        <v>0.22</v>
      </c>
      <c r="I790" t="str">
        <f t="shared" si="135"/>
        <v/>
      </c>
      <c r="J790" t="str">
        <f t="shared" si="136"/>
        <v/>
      </c>
      <c r="K790" t="str">
        <f t="shared" si="137"/>
        <v/>
      </c>
      <c r="L790" t="str">
        <f t="shared" si="138"/>
        <v/>
      </c>
      <c r="M790" t="str">
        <f t="shared" si="139"/>
        <v/>
      </c>
      <c r="N790" t="str">
        <f t="shared" si="140"/>
        <v/>
      </c>
      <c r="O790" t="str">
        <f t="shared" si="141"/>
        <v/>
      </c>
      <c r="P790" t="str" cm="1">
        <f t="array" ref="P790">IF($N790="","",IFERROR(IF(INDEX(geo_grid!$B$2:$JU$231,INT(($N790+40)/0.5)+1,INT(($O790+30)/0.5)+1)="","",INDEX(geo_grid!$B$2:$JU$231,INT(($N790+40)/0.5)+1,INT(($O790+30)/0.5)+1)),"OUTSIDE GRID"))</f>
        <v/>
      </c>
      <c r="Q790" t="str">
        <f t="shared" si="142"/>
        <v/>
      </c>
    </row>
    <row r="791" spans="1:17" x14ac:dyDescent="0.3">
      <c r="A791">
        <f t="shared" si="132"/>
        <v>6</v>
      </c>
      <c r="B791">
        <f t="shared" si="133"/>
        <v>34</v>
      </c>
      <c r="C791" t="str" cm="1">
        <f t="array" ref="C791">IFERROR(INDEX('TRIP MANAGER'!$O$18:$O$25,$A791),"")</f>
        <v/>
      </c>
      <c r="D791" t="str" cm="1">
        <f t="array" ref="D791">IFERROR(INDEX('TRIP MANAGER'!$P$18:$P$25,$A791),"")</f>
        <v/>
      </c>
      <c r="E791" t="str" cm="1">
        <f t="array" ref="E791">IFERROR(INDEX('TRIP MANAGER'!$Q$18:$Q$25,$A791),"")</f>
        <v/>
      </c>
      <c r="F791" t="str" cm="1">
        <f t="array" ref="F791">IFERROR(INDEX('TRIP MANAGER'!$R$18:$R$25,$A791),"")</f>
        <v/>
      </c>
      <c r="G791" t="str" cm="1">
        <f t="array" ref="G791">IFERROR(INDEX('TRIP MANAGER'!$S$18:$S$25,$A791),"")</f>
        <v/>
      </c>
      <c r="H791">
        <f t="shared" si="134"/>
        <v>0.22666666666666666</v>
      </c>
      <c r="I791" t="str">
        <f t="shared" si="135"/>
        <v/>
      </c>
      <c r="J791" t="str">
        <f t="shared" si="136"/>
        <v/>
      </c>
      <c r="K791" t="str">
        <f t="shared" si="137"/>
        <v/>
      </c>
      <c r="L791" t="str">
        <f t="shared" si="138"/>
        <v/>
      </c>
      <c r="M791" t="str">
        <f t="shared" si="139"/>
        <v/>
      </c>
      <c r="N791" t="str">
        <f t="shared" si="140"/>
        <v/>
      </c>
      <c r="O791" t="str">
        <f t="shared" si="141"/>
        <v/>
      </c>
      <c r="P791" t="str" cm="1">
        <f t="array" ref="P791">IF($N791="","",IFERROR(IF(INDEX(geo_grid!$B$2:$JU$231,INT(($N791+40)/0.5)+1,INT(($O791+30)/0.5)+1)="","",INDEX(geo_grid!$B$2:$JU$231,INT(($N791+40)/0.5)+1,INT(($O791+30)/0.5)+1)),"OUTSIDE GRID"))</f>
        <v/>
      </c>
      <c r="Q791" t="str">
        <f t="shared" si="142"/>
        <v/>
      </c>
    </row>
    <row r="792" spans="1:17" x14ac:dyDescent="0.3">
      <c r="A792">
        <f t="shared" si="132"/>
        <v>6</v>
      </c>
      <c r="B792">
        <f t="shared" si="133"/>
        <v>35</v>
      </c>
      <c r="C792" t="str" cm="1">
        <f t="array" ref="C792">IFERROR(INDEX('TRIP MANAGER'!$O$18:$O$25,$A792),"")</f>
        <v/>
      </c>
      <c r="D792" t="str" cm="1">
        <f t="array" ref="D792">IFERROR(INDEX('TRIP MANAGER'!$P$18:$P$25,$A792),"")</f>
        <v/>
      </c>
      <c r="E792" t="str" cm="1">
        <f t="array" ref="E792">IFERROR(INDEX('TRIP MANAGER'!$Q$18:$Q$25,$A792),"")</f>
        <v/>
      </c>
      <c r="F792" t="str" cm="1">
        <f t="array" ref="F792">IFERROR(INDEX('TRIP MANAGER'!$R$18:$R$25,$A792),"")</f>
        <v/>
      </c>
      <c r="G792" t="str" cm="1">
        <f t="array" ref="G792">IFERROR(INDEX('TRIP MANAGER'!$S$18:$S$25,$A792),"")</f>
        <v/>
      </c>
      <c r="H792">
        <f t="shared" si="134"/>
        <v>0.23333333333333334</v>
      </c>
      <c r="I792" t="str">
        <f t="shared" si="135"/>
        <v/>
      </c>
      <c r="J792" t="str">
        <f t="shared" si="136"/>
        <v/>
      </c>
      <c r="K792" t="str">
        <f t="shared" si="137"/>
        <v/>
      </c>
      <c r="L792" t="str">
        <f t="shared" si="138"/>
        <v/>
      </c>
      <c r="M792" t="str">
        <f t="shared" si="139"/>
        <v/>
      </c>
      <c r="N792" t="str">
        <f t="shared" si="140"/>
        <v/>
      </c>
      <c r="O792" t="str">
        <f t="shared" si="141"/>
        <v/>
      </c>
      <c r="P792" t="str" cm="1">
        <f t="array" ref="P792">IF($N792="","",IFERROR(IF(INDEX(geo_grid!$B$2:$JU$231,INT(($N792+40)/0.5)+1,INT(($O792+30)/0.5)+1)="","",INDEX(geo_grid!$B$2:$JU$231,INT(($N792+40)/0.5)+1,INT(($O792+30)/0.5)+1)),"OUTSIDE GRID"))</f>
        <v/>
      </c>
      <c r="Q792" t="str">
        <f t="shared" si="142"/>
        <v/>
      </c>
    </row>
    <row r="793" spans="1:17" x14ac:dyDescent="0.3">
      <c r="A793">
        <f t="shared" si="132"/>
        <v>6</v>
      </c>
      <c r="B793">
        <f t="shared" si="133"/>
        <v>36</v>
      </c>
      <c r="C793" t="str" cm="1">
        <f t="array" ref="C793">IFERROR(INDEX('TRIP MANAGER'!$O$18:$O$25,$A793),"")</f>
        <v/>
      </c>
      <c r="D793" t="str" cm="1">
        <f t="array" ref="D793">IFERROR(INDEX('TRIP MANAGER'!$P$18:$P$25,$A793),"")</f>
        <v/>
      </c>
      <c r="E793" t="str" cm="1">
        <f t="array" ref="E793">IFERROR(INDEX('TRIP MANAGER'!$Q$18:$Q$25,$A793),"")</f>
        <v/>
      </c>
      <c r="F793" t="str" cm="1">
        <f t="array" ref="F793">IFERROR(INDEX('TRIP MANAGER'!$R$18:$R$25,$A793),"")</f>
        <v/>
      </c>
      <c r="G793" t="str" cm="1">
        <f t="array" ref="G793">IFERROR(INDEX('TRIP MANAGER'!$S$18:$S$25,$A793),"")</f>
        <v/>
      </c>
      <c r="H793">
        <f t="shared" si="134"/>
        <v>0.24</v>
      </c>
      <c r="I793" t="str">
        <f t="shared" si="135"/>
        <v/>
      </c>
      <c r="J793" t="str">
        <f t="shared" si="136"/>
        <v/>
      </c>
      <c r="K793" t="str">
        <f t="shared" si="137"/>
        <v/>
      </c>
      <c r="L793" t="str">
        <f t="shared" si="138"/>
        <v/>
      </c>
      <c r="M793" t="str">
        <f t="shared" si="139"/>
        <v/>
      </c>
      <c r="N793" t="str">
        <f t="shared" si="140"/>
        <v/>
      </c>
      <c r="O793" t="str">
        <f t="shared" si="141"/>
        <v/>
      </c>
      <c r="P793" t="str" cm="1">
        <f t="array" ref="P793">IF($N793="","",IFERROR(IF(INDEX(geo_grid!$B$2:$JU$231,INT(($N793+40)/0.5)+1,INT(($O793+30)/0.5)+1)="","",INDEX(geo_grid!$B$2:$JU$231,INT(($N793+40)/0.5)+1,INT(($O793+30)/0.5)+1)),"OUTSIDE GRID"))</f>
        <v/>
      </c>
      <c r="Q793" t="str">
        <f t="shared" si="142"/>
        <v/>
      </c>
    </row>
    <row r="794" spans="1:17" x14ac:dyDescent="0.3">
      <c r="A794">
        <f t="shared" si="132"/>
        <v>6</v>
      </c>
      <c r="B794">
        <f t="shared" si="133"/>
        <v>37</v>
      </c>
      <c r="C794" t="str" cm="1">
        <f t="array" ref="C794">IFERROR(INDEX('TRIP MANAGER'!$O$18:$O$25,$A794),"")</f>
        <v/>
      </c>
      <c r="D794" t="str" cm="1">
        <f t="array" ref="D794">IFERROR(INDEX('TRIP MANAGER'!$P$18:$P$25,$A794),"")</f>
        <v/>
      </c>
      <c r="E794" t="str" cm="1">
        <f t="array" ref="E794">IFERROR(INDEX('TRIP MANAGER'!$Q$18:$Q$25,$A794),"")</f>
        <v/>
      </c>
      <c r="F794" t="str" cm="1">
        <f t="array" ref="F794">IFERROR(INDEX('TRIP MANAGER'!$R$18:$R$25,$A794),"")</f>
        <v/>
      </c>
      <c r="G794" t="str" cm="1">
        <f t="array" ref="G794">IFERROR(INDEX('TRIP MANAGER'!$S$18:$S$25,$A794),"")</f>
        <v/>
      </c>
      <c r="H794">
        <f t="shared" si="134"/>
        <v>0.24666666666666667</v>
      </c>
      <c r="I794" t="str">
        <f t="shared" si="135"/>
        <v/>
      </c>
      <c r="J794" t="str">
        <f t="shared" si="136"/>
        <v/>
      </c>
      <c r="K794" t="str">
        <f t="shared" si="137"/>
        <v/>
      </c>
      <c r="L794" t="str">
        <f t="shared" si="138"/>
        <v/>
      </c>
      <c r="M794" t="str">
        <f t="shared" si="139"/>
        <v/>
      </c>
      <c r="N794" t="str">
        <f t="shared" si="140"/>
        <v/>
      </c>
      <c r="O794" t="str">
        <f t="shared" si="141"/>
        <v/>
      </c>
      <c r="P794" t="str" cm="1">
        <f t="array" ref="P794">IF($N794="","",IFERROR(IF(INDEX(geo_grid!$B$2:$JU$231,INT(($N794+40)/0.5)+1,INT(($O794+30)/0.5)+1)="","",INDEX(geo_grid!$B$2:$JU$231,INT(($N794+40)/0.5)+1,INT(($O794+30)/0.5)+1)),"OUTSIDE GRID"))</f>
        <v/>
      </c>
      <c r="Q794" t="str">
        <f t="shared" si="142"/>
        <v/>
      </c>
    </row>
    <row r="795" spans="1:17" x14ac:dyDescent="0.3">
      <c r="A795">
        <f t="shared" si="132"/>
        <v>6</v>
      </c>
      <c r="B795">
        <f t="shared" si="133"/>
        <v>38</v>
      </c>
      <c r="C795" t="str" cm="1">
        <f t="array" ref="C795">IFERROR(INDEX('TRIP MANAGER'!$O$18:$O$25,$A795),"")</f>
        <v/>
      </c>
      <c r="D795" t="str" cm="1">
        <f t="array" ref="D795">IFERROR(INDEX('TRIP MANAGER'!$P$18:$P$25,$A795),"")</f>
        <v/>
      </c>
      <c r="E795" t="str" cm="1">
        <f t="array" ref="E795">IFERROR(INDEX('TRIP MANAGER'!$Q$18:$Q$25,$A795),"")</f>
        <v/>
      </c>
      <c r="F795" t="str" cm="1">
        <f t="array" ref="F795">IFERROR(INDEX('TRIP MANAGER'!$R$18:$R$25,$A795),"")</f>
        <v/>
      </c>
      <c r="G795" t="str" cm="1">
        <f t="array" ref="G795">IFERROR(INDEX('TRIP MANAGER'!$S$18:$S$25,$A795),"")</f>
        <v/>
      </c>
      <c r="H795">
        <f t="shared" si="134"/>
        <v>0.25333333333333335</v>
      </c>
      <c r="I795" t="str">
        <f t="shared" si="135"/>
        <v/>
      </c>
      <c r="J795" t="str">
        <f t="shared" si="136"/>
        <v/>
      </c>
      <c r="K795" t="str">
        <f t="shared" si="137"/>
        <v/>
      </c>
      <c r="L795" t="str">
        <f t="shared" si="138"/>
        <v/>
      </c>
      <c r="M795" t="str">
        <f t="shared" si="139"/>
        <v/>
      </c>
      <c r="N795" t="str">
        <f t="shared" si="140"/>
        <v/>
      </c>
      <c r="O795" t="str">
        <f t="shared" si="141"/>
        <v/>
      </c>
      <c r="P795" t="str" cm="1">
        <f t="array" ref="P795">IF($N795="","",IFERROR(IF(INDEX(geo_grid!$B$2:$JU$231,INT(($N795+40)/0.5)+1,INT(($O795+30)/0.5)+1)="","",INDEX(geo_grid!$B$2:$JU$231,INT(($N795+40)/0.5)+1,INT(($O795+30)/0.5)+1)),"OUTSIDE GRID"))</f>
        <v/>
      </c>
      <c r="Q795" t="str">
        <f t="shared" si="142"/>
        <v/>
      </c>
    </row>
    <row r="796" spans="1:17" x14ac:dyDescent="0.3">
      <c r="A796">
        <f t="shared" si="132"/>
        <v>6</v>
      </c>
      <c r="B796">
        <f t="shared" si="133"/>
        <v>39</v>
      </c>
      <c r="C796" t="str" cm="1">
        <f t="array" ref="C796">IFERROR(INDEX('TRIP MANAGER'!$O$18:$O$25,$A796),"")</f>
        <v/>
      </c>
      <c r="D796" t="str" cm="1">
        <f t="array" ref="D796">IFERROR(INDEX('TRIP MANAGER'!$P$18:$P$25,$A796),"")</f>
        <v/>
      </c>
      <c r="E796" t="str" cm="1">
        <f t="array" ref="E796">IFERROR(INDEX('TRIP MANAGER'!$Q$18:$Q$25,$A796),"")</f>
        <v/>
      </c>
      <c r="F796" t="str" cm="1">
        <f t="array" ref="F796">IFERROR(INDEX('TRIP MANAGER'!$R$18:$R$25,$A796),"")</f>
        <v/>
      </c>
      <c r="G796" t="str" cm="1">
        <f t="array" ref="G796">IFERROR(INDEX('TRIP MANAGER'!$S$18:$S$25,$A796),"")</f>
        <v/>
      </c>
      <c r="H796">
        <f t="shared" si="134"/>
        <v>0.26</v>
      </c>
      <c r="I796" t="str">
        <f t="shared" si="135"/>
        <v/>
      </c>
      <c r="J796" t="str">
        <f t="shared" si="136"/>
        <v/>
      </c>
      <c r="K796" t="str">
        <f t="shared" si="137"/>
        <v/>
      </c>
      <c r="L796" t="str">
        <f t="shared" si="138"/>
        <v/>
      </c>
      <c r="M796" t="str">
        <f t="shared" si="139"/>
        <v/>
      </c>
      <c r="N796" t="str">
        <f t="shared" si="140"/>
        <v/>
      </c>
      <c r="O796" t="str">
        <f t="shared" si="141"/>
        <v/>
      </c>
      <c r="P796" t="str" cm="1">
        <f t="array" ref="P796">IF($N796="","",IFERROR(IF(INDEX(geo_grid!$B$2:$JU$231,INT(($N796+40)/0.5)+1,INT(($O796+30)/0.5)+1)="","",INDEX(geo_grid!$B$2:$JU$231,INT(($N796+40)/0.5)+1,INT(($O796+30)/0.5)+1)),"OUTSIDE GRID"))</f>
        <v/>
      </c>
      <c r="Q796" t="str">
        <f t="shared" si="142"/>
        <v/>
      </c>
    </row>
    <row r="797" spans="1:17" x14ac:dyDescent="0.3">
      <c r="A797">
        <f t="shared" si="132"/>
        <v>6</v>
      </c>
      <c r="B797">
        <f t="shared" si="133"/>
        <v>40</v>
      </c>
      <c r="C797" t="str" cm="1">
        <f t="array" ref="C797">IFERROR(INDEX('TRIP MANAGER'!$O$18:$O$25,$A797),"")</f>
        <v/>
      </c>
      <c r="D797" t="str" cm="1">
        <f t="array" ref="D797">IFERROR(INDEX('TRIP MANAGER'!$P$18:$P$25,$A797),"")</f>
        <v/>
      </c>
      <c r="E797" t="str" cm="1">
        <f t="array" ref="E797">IFERROR(INDEX('TRIP MANAGER'!$Q$18:$Q$25,$A797),"")</f>
        <v/>
      </c>
      <c r="F797" t="str" cm="1">
        <f t="array" ref="F797">IFERROR(INDEX('TRIP MANAGER'!$R$18:$R$25,$A797),"")</f>
        <v/>
      </c>
      <c r="G797" t="str" cm="1">
        <f t="array" ref="G797">IFERROR(INDEX('TRIP MANAGER'!$S$18:$S$25,$A797),"")</f>
        <v/>
      </c>
      <c r="H797">
        <f t="shared" si="134"/>
        <v>0.26666666666666666</v>
      </c>
      <c r="I797" t="str">
        <f t="shared" si="135"/>
        <v/>
      </c>
      <c r="J797" t="str">
        <f t="shared" si="136"/>
        <v/>
      </c>
      <c r="K797" t="str">
        <f t="shared" si="137"/>
        <v/>
      </c>
      <c r="L797" t="str">
        <f t="shared" si="138"/>
        <v/>
      </c>
      <c r="M797" t="str">
        <f t="shared" si="139"/>
        <v/>
      </c>
      <c r="N797" t="str">
        <f t="shared" si="140"/>
        <v/>
      </c>
      <c r="O797" t="str">
        <f t="shared" si="141"/>
        <v/>
      </c>
      <c r="P797" t="str" cm="1">
        <f t="array" ref="P797">IF($N797="","",IFERROR(IF(INDEX(geo_grid!$B$2:$JU$231,INT(($N797+40)/0.5)+1,INT(($O797+30)/0.5)+1)="","",INDEX(geo_grid!$B$2:$JU$231,INT(($N797+40)/0.5)+1,INT(($O797+30)/0.5)+1)),"OUTSIDE GRID"))</f>
        <v/>
      </c>
      <c r="Q797" t="str">
        <f t="shared" si="142"/>
        <v/>
      </c>
    </row>
    <row r="798" spans="1:17" x14ac:dyDescent="0.3">
      <c r="A798">
        <f t="shared" si="132"/>
        <v>6</v>
      </c>
      <c r="B798">
        <f t="shared" si="133"/>
        <v>41</v>
      </c>
      <c r="C798" t="str" cm="1">
        <f t="array" ref="C798">IFERROR(INDEX('TRIP MANAGER'!$O$18:$O$25,$A798),"")</f>
        <v/>
      </c>
      <c r="D798" t="str" cm="1">
        <f t="array" ref="D798">IFERROR(INDEX('TRIP MANAGER'!$P$18:$P$25,$A798),"")</f>
        <v/>
      </c>
      <c r="E798" t="str" cm="1">
        <f t="array" ref="E798">IFERROR(INDEX('TRIP MANAGER'!$Q$18:$Q$25,$A798),"")</f>
        <v/>
      </c>
      <c r="F798" t="str" cm="1">
        <f t="array" ref="F798">IFERROR(INDEX('TRIP MANAGER'!$R$18:$R$25,$A798),"")</f>
        <v/>
      </c>
      <c r="G798" t="str" cm="1">
        <f t="array" ref="G798">IFERROR(INDEX('TRIP MANAGER'!$S$18:$S$25,$A798),"")</f>
        <v/>
      </c>
      <c r="H798">
        <f t="shared" si="134"/>
        <v>0.27333333333333332</v>
      </c>
      <c r="I798" t="str">
        <f t="shared" si="135"/>
        <v/>
      </c>
      <c r="J798" t="str">
        <f t="shared" si="136"/>
        <v/>
      </c>
      <c r="K798" t="str">
        <f t="shared" si="137"/>
        <v/>
      </c>
      <c r="L798" t="str">
        <f t="shared" si="138"/>
        <v/>
      </c>
      <c r="M798" t="str">
        <f t="shared" si="139"/>
        <v/>
      </c>
      <c r="N798" t="str">
        <f t="shared" si="140"/>
        <v/>
      </c>
      <c r="O798" t="str">
        <f t="shared" si="141"/>
        <v/>
      </c>
      <c r="P798" t="str" cm="1">
        <f t="array" ref="P798">IF($N798="","",IFERROR(IF(INDEX(geo_grid!$B$2:$JU$231,INT(($N798+40)/0.5)+1,INT(($O798+30)/0.5)+1)="","",INDEX(geo_grid!$B$2:$JU$231,INT(($N798+40)/0.5)+1,INT(($O798+30)/0.5)+1)),"OUTSIDE GRID"))</f>
        <v/>
      </c>
      <c r="Q798" t="str">
        <f t="shared" si="142"/>
        <v/>
      </c>
    </row>
    <row r="799" spans="1:17" x14ac:dyDescent="0.3">
      <c r="A799">
        <f t="shared" si="132"/>
        <v>6</v>
      </c>
      <c r="B799">
        <f t="shared" si="133"/>
        <v>42</v>
      </c>
      <c r="C799" t="str" cm="1">
        <f t="array" ref="C799">IFERROR(INDEX('TRIP MANAGER'!$O$18:$O$25,$A799),"")</f>
        <v/>
      </c>
      <c r="D799" t="str" cm="1">
        <f t="array" ref="D799">IFERROR(INDEX('TRIP MANAGER'!$P$18:$P$25,$A799),"")</f>
        <v/>
      </c>
      <c r="E799" t="str" cm="1">
        <f t="array" ref="E799">IFERROR(INDEX('TRIP MANAGER'!$Q$18:$Q$25,$A799),"")</f>
        <v/>
      </c>
      <c r="F799" t="str" cm="1">
        <f t="array" ref="F799">IFERROR(INDEX('TRIP MANAGER'!$R$18:$R$25,$A799),"")</f>
        <v/>
      </c>
      <c r="G799" t="str" cm="1">
        <f t="array" ref="G799">IFERROR(INDEX('TRIP MANAGER'!$S$18:$S$25,$A799),"")</f>
        <v/>
      </c>
      <c r="H799">
        <f t="shared" si="134"/>
        <v>0.28000000000000003</v>
      </c>
      <c r="I799" t="str">
        <f t="shared" si="135"/>
        <v/>
      </c>
      <c r="J799" t="str">
        <f t="shared" si="136"/>
        <v/>
      </c>
      <c r="K799" t="str">
        <f t="shared" si="137"/>
        <v/>
      </c>
      <c r="L799" t="str">
        <f t="shared" si="138"/>
        <v/>
      </c>
      <c r="M799" t="str">
        <f t="shared" si="139"/>
        <v/>
      </c>
      <c r="N799" t="str">
        <f t="shared" si="140"/>
        <v/>
      </c>
      <c r="O799" t="str">
        <f t="shared" si="141"/>
        <v/>
      </c>
      <c r="P799" t="str" cm="1">
        <f t="array" ref="P799">IF($N799="","",IFERROR(IF(INDEX(geo_grid!$B$2:$JU$231,INT(($N799+40)/0.5)+1,INT(($O799+30)/0.5)+1)="","",INDEX(geo_grid!$B$2:$JU$231,INT(($N799+40)/0.5)+1,INT(($O799+30)/0.5)+1)),"OUTSIDE GRID"))</f>
        <v/>
      </c>
      <c r="Q799" t="str">
        <f t="shared" si="142"/>
        <v/>
      </c>
    </row>
    <row r="800" spans="1:17" x14ac:dyDescent="0.3">
      <c r="A800">
        <f t="shared" si="132"/>
        <v>6</v>
      </c>
      <c r="B800">
        <f t="shared" si="133"/>
        <v>43</v>
      </c>
      <c r="C800" t="str" cm="1">
        <f t="array" ref="C800">IFERROR(INDEX('TRIP MANAGER'!$O$18:$O$25,$A800),"")</f>
        <v/>
      </c>
      <c r="D800" t="str" cm="1">
        <f t="array" ref="D800">IFERROR(INDEX('TRIP MANAGER'!$P$18:$P$25,$A800),"")</f>
        <v/>
      </c>
      <c r="E800" t="str" cm="1">
        <f t="array" ref="E800">IFERROR(INDEX('TRIP MANAGER'!$Q$18:$Q$25,$A800),"")</f>
        <v/>
      </c>
      <c r="F800" t="str" cm="1">
        <f t="array" ref="F800">IFERROR(INDEX('TRIP MANAGER'!$R$18:$R$25,$A800),"")</f>
        <v/>
      </c>
      <c r="G800" t="str" cm="1">
        <f t="array" ref="G800">IFERROR(INDEX('TRIP MANAGER'!$S$18:$S$25,$A800),"")</f>
        <v/>
      </c>
      <c r="H800">
        <f t="shared" si="134"/>
        <v>0.28666666666666668</v>
      </c>
      <c r="I800" t="str">
        <f t="shared" si="135"/>
        <v/>
      </c>
      <c r="J800" t="str">
        <f t="shared" si="136"/>
        <v/>
      </c>
      <c r="K800" t="str">
        <f t="shared" si="137"/>
        <v/>
      </c>
      <c r="L800" t="str">
        <f t="shared" si="138"/>
        <v/>
      </c>
      <c r="M800" t="str">
        <f t="shared" si="139"/>
        <v/>
      </c>
      <c r="N800" t="str">
        <f t="shared" si="140"/>
        <v/>
      </c>
      <c r="O800" t="str">
        <f t="shared" si="141"/>
        <v/>
      </c>
      <c r="P800" t="str" cm="1">
        <f t="array" ref="P800">IF($N800="","",IFERROR(IF(INDEX(geo_grid!$B$2:$JU$231,INT(($N800+40)/0.5)+1,INT(($O800+30)/0.5)+1)="","",INDEX(geo_grid!$B$2:$JU$231,INT(($N800+40)/0.5)+1,INT(($O800+30)/0.5)+1)),"OUTSIDE GRID"))</f>
        <v/>
      </c>
      <c r="Q800" t="str">
        <f t="shared" si="142"/>
        <v/>
      </c>
    </row>
    <row r="801" spans="1:17" x14ac:dyDescent="0.3">
      <c r="A801">
        <f t="shared" si="132"/>
        <v>6</v>
      </c>
      <c r="B801">
        <f t="shared" si="133"/>
        <v>44</v>
      </c>
      <c r="C801" t="str" cm="1">
        <f t="array" ref="C801">IFERROR(INDEX('TRIP MANAGER'!$O$18:$O$25,$A801),"")</f>
        <v/>
      </c>
      <c r="D801" t="str" cm="1">
        <f t="array" ref="D801">IFERROR(INDEX('TRIP MANAGER'!$P$18:$P$25,$A801),"")</f>
        <v/>
      </c>
      <c r="E801" t="str" cm="1">
        <f t="array" ref="E801">IFERROR(INDEX('TRIP MANAGER'!$Q$18:$Q$25,$A801),"")</f>
        <v/>
      </c>
      <c r="F801" t="str" cm="1">
        <f t="array" ref="F801">IFERROR(INDEX('TRIP MANAGER'!$R$18:$R$25,$A801),"")</f>
        <v/>
      </c>
      <c r="G801" t="str" cm="1">
        <f t="array" ref="G801">IFERROR(INDEX('TRIP MANAGER'!$S$18:$S$25,$A801),"")</f>
        <v/>
      </c>
      <c r="H801">
        <f t="shared" si="134"/>
        <v>0.29333333333333333</v>
      </c>
      <c r="I801" t="str">
        <f t="shared" si="135"/>
        <v/>
      </c>
      <c r="J801" t="str">
        <f t="shared" si="136"/>
        <v/>
      </c>
      <c r="K801" t="str">
        <f t="shared" si="137"/>
        <v/>
      </c>
      <c r="L801" t="str">
        <f t="shared" si="138"/>
        <v/>
      </c>
      <c r="M801" t="str">
        <f t="shared" si="139"/>
        <v/>
      </c>
      <c r="N801" t="str">
        <f t="shared" si="140"/>
        <v/>
      </c>
      <c r="O801" t="str">
        <f t="shared" si="141"/>
        <v/>
      </c>
      <c r="P801" t="str" cm="1">
        <f t="array" ref="P801">IF($N801="","",IFERROR(IF(INDEX(geo_grid!$B$2:$JU$231,INT(($N801+40)/0.5)+1,INT(($O801+30)/0.5)+1)="","",INDEX(geo_grid!$B$2:$JU$231,INT(($N801+40)/0.5)+1,INT(($O801+30)/0.5)+1)),"OUTSIDE GRID"))</f>
        <v/>
      </c>
      <c r="Q801" t="str">
        <f t="shared" si="142"/>
        <v/>
      </c>
    </row>
    <row r="802" spans="1:17" x14ac:dyDescent="0.3">
      <c r="A802">
        <f t="shared" si="132"/>
        <v>6</v>
      </c>
      <c r="B802">
        <f t="shared" si="133"/>
        <v>45</v>
      </c>
      <c r="C802" t="str" cm="1">
        <f t="array" ref="C802">IFERROR(INDEX('TRIP MANAGER'!$O$18:$O$25,$A802),"")</f>
        <v/>
      </c>
      <c r="D802" t="str" cm="1">
        <f t="array" ref="D802">IFERROR(INDEX('TRIP MANAGER'!$P$18:$P$25,$A802),"")</f>
        <v/>
      </c>
      <c r="E802" t="str" cm="1">
        <f t="array" ref="E802">IFERROR(INDEX('TRIP MANAGER'!$Q$18:$Q$25,$A802),"")</f>
        <v/>
      </c>
      <c r="F802" t="str" cm="1">
        <f t="array" ref="F802">IFERROR(INDEX('TRIP MANAGER'!$R$18:$R$25,$A802),"")</f>
        <v/>
      </c>
      <c r="G802" t="str" cm="1">
        <f t="array" ref="G802">IFERROR(INDEX('TRIP MANAGER'!$S$18:$S$25,$A802),"")</f>
        <v/>
      </c>
      <c r="H802">
        <f t="shared" si="134"/>
        <v>0.3</v>
      </c>
      <c r="I802" t="str">
        <f t="shared" si="135"/>
        <v/>
      </c>
      <c r="J802" t="str">
        <f t="shared" si="136"/>
        <v/>
      </c>
      <c r="K802" t="str">
        <f t="shared" si="137"/>
        <v/>
      </c>
      <c r="L802" t="str">
        <f t="shared" si="138"/>
        <v/>
      </c>
      <c r="M802" t="str">
        <f t="shared" si="139"/>
        <v/>
      </c>
      <c r="N802" t="str">
        <f t="shared" si="140"/>
        <v/>
      </c>
      <c r="O802" t="str">
        <f t="shared" si="141"/>
        <v/>
      </c>
      <c r="P802" t="str" cm="1">
        <f t="array" ref="P802">IF($N802="","",IFERROR(IF(INDEX(geo_grid!$B$2:$JU$231,INT(($N802+40)/0.5)+1,INT(($O802+30)/0.5)+1)="","",INDEX(geo_grid!$B$2:$JU$231,INT(($N802+40)/0.5)+1,INT(($O802+30)/0.5)+1)),"OUTSIDE GRID"))</f>
        <v/>
      </c>
      <c r="Q802" t="str">
        <f t="shared" si="142"/>
        <v/>
      </c>
    </row>
    <row r="803" spans="1:17" x14ac:dyDescent="0.3">
      <c r="A803">
        <f t="shared" si="132"/>
        <v>6</v>
      </c>
      <c r="B803">
        <f t="shared" si="133"/>
        <v>46</v>
      </c>
      <c r="C803" t="str" cm="1">
        <f t="array" ref="C803">IFERROR(INDEX('TRIP MANAGER'!$O$18:$O$25,$A803),"")</f>
        <v/>
      </c>
      <c r="D803" t="str" cm="1">
        <f t="array" ref="D803">IFERROR(INDEX('TRIP MANAGER'!$P$18:$P$25,$A803),"")</f>
        <v/>
      </c>
      <c r="E803" t="str" cm="1">
        <f t="array" ref="E803">IFERROR(INDEX('TRIP MANAGER'!$Q$18:$Q$25,$A803),"")</f>
        <v/>
      </c>
      <c r="F803" t="str" cm="1">
        <f t="array" ref="F803">IFERROR(INDEX('TRIP MANAGER'!$R$18:$R$25,$A803),"")</f>
        <v/>
      </c>
      <c r="G803" t="str" cm="1">
        <f t="array" ref="G803">IFERROR(INDEX('TRIP MANAGER'!$S$18:$S$25,$A803),"")</f>
        <v/>
      </c>
      <c r="H803">
        <f t="shared" si="134"/>
        <v>0.30666666666666664</v>
      </c>
      <c r="I803" t="str">
        <f t="shared" si="135"/>
        <v/>
      </c>
      <c r="J803" t="str">
        <f t="shared" si="136"/>
        <v/>
      </c>
      <c r="K803" t="str">
        <f t="shared" si="137"/>
        <v/>
      </c>
      <c r="L803" t="str">
        <f t="shared" si="138"/>
        <v/>
      </c>
      <c r="M803" t="str">
        <f t="shared" si="139"/>
        <v/>
      </c>
      <c r="N803" t="str">
        <f t="shared" si="140"/>
        <v/>
      </c>
      <c r="O803" t="str">
        <f t="shared" si="141"/>
        <v/>
      </c>
      <c r="P803" t="str" cm="1">
        <f t="array" ref="P803">IF($N803="","",IFERROR(IF(INDEX(geo_grid!$B$2:$JU$231,INT(($N803+40)/0.5)+1,INT(($O803+30)/0.5)+1)="","",INDEX(geo_grid!$B$2:$JU$231,INT(($N803+40)/0.5)+1,INT(($O803+30)/0.5)+1)),"OUTSIDE GRID"))</f>
        <v/>
      </c>
      <c r="Q803" t="str">
        <f t="shared" si="142"/>
        <v/>
      </c>
    </row>
    <row r="804" spans="1:17" x14ac:dyDescent="0.3">
      <c r="A804">
        <f t="shared" si="132"/>
        <v>6</v>
      </c>
      <c r="B804">
        <f t="shared" si="133"/>
        <v>47</v>
      </c>
      <c r="C804" t="str" cm="1">
        <f t="array" ref="C804">IFERROR(INDEX('TRIP MANAGER'!$O$18:$O$25,$A804),"")</f>
        <v/>
      </c>
      <c r="D804" t="str" cm="1">
        <f t="array" ref="D804">IFERROR(INDEX('TRIP MANAGER'!$P$18:$P$25,$A804),"")</f>
        <v/>
      </c>
      <c r="E804" t="str" cm="1">
        <f t="array" ref="E804">IFERROR(INDEX('TRIP MANAGER'!$Q$18:$Q$25,$A804),"")</f>
        <v/>
      </c>
      <c r="F804" t="str" cm="1">
        <f t="array" ref="F804">IFERROR(INDEX('TRIP MANAGER'!$R$18:$R$25,$A804),"")</f>
        <v/>
      </c>
      <c r="G804" t="str" cm="1">
        <f t="array" ref="G804">IFERROR(INDEX('TRIP MANAGER'!$S$18:$S$25,$A804),"")</f>
        <v/>
      </c>
      <c r="H804">
        <f t="shared" si="134"/>
        <v>0.31333333333333335</v>
      </c>
      <c r="I804" t="str">
        <f t="shared" si="135"/>
        <v/>
      </c>
      <c r="J804" t="str">
        <f t="shared" si="136"/>
        <v/>
      </c>
      <c r="K804" t="str">
        <f t="shared" si="137"/>
        <v/>
      </c>
      <c r="L804" t="str">
        <f t="shared" si="138"/>
        <v/>
      </c>
      <c r="M804" t="str">
        <f t="shared" si="139"/>
        <v/>
      </c>
      <c r="N804" t="str">
        <f t="shared" si="140"/>
        <v/>
      </c>
      <c r="O804" t="str">
        <f t="shared" si="141"/>
        <v/>
      </c>
      <c r="P804" t="str" cm="1">
        <f t="array" ref="P804">IF($N804="","",IFERROR(IF(INDEX(geo_grid!$B$2:$JU$231,INT(($N804+40)/0.5)+1,INT(($O804+30)/0.5)+1)="","",INDEX(geo_grid!$B$2:$JU$231,INT(($N804+40)/0.5)+1,INT(($O804+30)/0.5)+1)),"OUTSIDE GRID"))</f>
        <v/>
      </c>
      <c r="Q804" t="str">
        <f t="shared" si="142"/>
        <v/>
      </c>
    </row>
    <row r="805" spans="1:17" x14ac:dyDescent="0.3">
      <c r="A805">
        <f t="shared" si="132"/>
        <v>6</v>
      </c>
      <c r="B805">
        <f t="shared" si="133"/>
        <v>48</v>
      </c>
      <c r="C805" t="str" cm="1">
        <f t="array" ref="C805">IFERROR(INDEX('TRIP MANAGER'!$O$18:$O$25,$A805),"")</f>
        <v/>
      </c>
      <c r="D805" t="str" cm="1">
        <f t="array" ref="D805">IFERROR(INDEX('TRIP MANAGER'!$P$18:$P$25,$A805),"")</f>
        <v/>
      </c>
      <c r="E805" t="str" cm="1">
        <f t="array" ref="E805">IFERROR(INDEX('TRIP MANAGER'!$Q$18:$Q$25,$A805),"")</f>
        <v/>
      </c>
      <c r="F805" t="str" cm="1">
        <f t="array" ref="F805">IFERROR(INDEX('TRIP MANAGER'!$R$18:$R$25,$A805),"")</f>
        <v/>
      </c>
      <c r="G805" t="str" cm="1">
        <f t="array" ref="G805">IFERROR(INDEX('TRIP MANAGER'!$S$18:$S$25,$A805),"")</f>
        <v/>
      </c>
      <c r="H805">
        <f t="shared" si="134"/>
        <v>0.32</v>
      </c>
      <c r="I805" t="str">
        <f t="shared" si="135"/>
        <v/>
      </c>
      <c r="J805" t="str">
        <f t="shared" si="136"/>
        <v/>
      </c>
      <c r="K805" t="str">
        <f t="shared" si="137"/>
        <v/>
      </c>
      <c r="L805" t="str">
        <f t="shared" si="138"/>
        <v/>
      </c>
      <c r="M805" t="str">
        <f t="shared" si="139"/>
        <v/>
      </c>
      <c r="N805" t="str">
        <f t="shared" si="140"/>
        <v/>
      </c>
      <c r="O805" t="str">
        <f t="shared" si="141"/>
        <v/>
      </c>
      <c r="P805" t="str" cm="1">
        <f t="array" ref="P805">IF($N805="","",IFERROR(IF(INDEX(geo_grid!$B$2:$JU$231,INT(($N805+40)/0.5)+1,INT(($O805+30)/0.5)+1)="","",INDEX(geo_grid!$B$2:$JU$231,INT(($N805+40)/0.5)+1,INT(($O805+30)/0.5)+1)),"OUTSIDE GRID"))</f>
        <v/>
      </c>
      <c r="Q805" t="str">
        <f t="shared" si="142"/>
        <v/>
      </c>
    </row>
    <row r="806" spans="1:17" x14ac:dyDescent="0.3">
      <c r="A806">
        <f t="shared" si="132"/>
        <v>6</v>
      </c>
      <c r="B806">
        <f t="shared" si="133"/>
        <v>49</v>
      </c>
      <c r="C806" t="str" cm="1">
        <f t="array" ref="C806">IFERROR(INDEX('TRIP MANAGER'!$O$18:$O$25,$A806),"")</f>
        <v/>
      </c>
      <c r="D806" t="str" cm="1">
        <f t="array" ref="D806">IFERROR(INDEX('TRIP MANAGER'!$P$18:$P$25,$A806),"")</f>
        <v/>
      </c>
      <c r="E806" t="str" cm="1">
        <f t="array" ref="E806">IFERROR(INDEX('TRIP MANAGER'!$Q$18:$Q$25,$A806),"")</f>
        <v/>
      </c>
      <c r="F806" t="str" cm="1">
        <f t="array" ref="F806">IFERROR(INDEX('TRIP MANAGER'!$R$18:$R$25,$A806),"")</f>
        <v/>
      </c>
      <c r="G806" t="str" cm="1">
        <f t="array" ref="G806">IFERROR(INDEX('TRIP MANAGER'!$S$18:$S$25,$A806),"")</f>
        <v/>
      </c>
      <c r="H806">
        <f t="shared" si="134"/>
        <v>0.32666666666666666</v>
      </c>
      <c r="I806" t="str">
        <f t="shared" si="135"/>
        <v/>
      </c>
      <c r="J806" t="str">
        <f t="shared" si="136"/>
        <v/>
      </c>
      <c r="K806" t="str">
        <f t="shared" si="137"/>
        <v/>
      </c>
      <c r="L806" t="str">
        <f t="shared" si="138"/>
        <v/>
      </c>
      <c r="M806" t="str">
        <f t="shared" si="139"/>
        <v/>
      </c>
      <c r="N806" t="str">
        <f t="shared" si="140"/>
        <v/>
      </c>
      <c r="O806" t="str">
        <f t="shared" si="141"/>
        <v/>
      </c>
      <c r="P806" t="str" cm="1">
        <f t="array" ref="P806">IF($N806="","",IFERROR(IF(INDEX(geo_grid!$B$2:$JU$231,INT(($N806+40)/0.5)+1,INT(($O806+30)/0.5)+1)="","",INDEX(geo_grid!$B$2:$JU$231,INT(($N806+40)/0.5)+1,INT(($O806+30)/0.5)+1)),"OUTSIDE GRID"))</f>
        <v/>
      </c>
      <c r="Q806" t="str">
        <f t="shared" si="142"/>
        <v/>
      </c>
    </row>
    <row r="807" spans="1:17" x14ac:dyDescent="0.3">
      <c r="A807">
        <f t="shared" si="132"/>
        <v>6</v>
      </c>
      <c r="B807">
        <f t="shared" si="133"/>
        <v>50</v>
      </c>
      <c r="C807" t="str" cm="1">
        <f t="array" ref="C807">IFERROR(INDEX('TRIP MANAGER'!$O$18:$O$25,$A807),"")</f>
        <v/>
      </c>
      <c r="D807" t="str" cm="1">
        <f t="array" ref="D807">IFERROR(INDEX('TRIP MANAGER'!$P$18:$P$25,$A807),"")</f>
        <v/>
      </c>
      <c r="E807" t="str" cm="1">
        <f t="array" ref="E807">IFERROR(INDEX('TRIP MANAGER'!$Q$18:$Q$25,$A807),"")</f>
        <v/>
      </c>
      <c r="F807" t="str" cm="1">
        <f t="array" ref="F807">IFERROR(INDEX('TRIP MANAGER'!$R$18:$R$25,$A807),"")</f>
        <v/>
      </c>
      <c r="G807" t="str" cm="1">
        <f t="array" ref="G807">IFERROR(INDEX('TRIP MANAGER'!$S$18:$S$25,$A807),"")</f>
        <v/>
      </c>
      <c r="H807">
        <f t="shared" si="134"/>
        <v>0.33333333333333331</v>
      </c>
      <c r="I807" t="str">
        <f t="shared" si="135"/>
        <v/>
      </c>
      <c r="J807" t="str">
        <f t="shared" si="136"/>
        <v/>
      </c>
      <c r="K807" t="str">
        <f t="shared" si="137"/>
        <v/>
      </c>
      <c r="L807" t="str">
        <f t="shared" si="138"/>
        <v/>
      </c>
      <c r="M807" t="str">
        <f t="shared" si="139"/>
        <v/>
      </c>
      <c r="N807" t="str">
        <f t="shared" si="140"/>
        <v/>
      </c>
      <c r="O807" t="str">
        <f t="shared" si="141"/>
        <v/>
      </c>
      <c r="P807" t="str" cm="1">
        <f t="array" ref="P807">IF($N807="","",IFERROR(IF(INDEX(geo_grid!$B$2:$JU$231,INT(($N807+40)/0.5)+1,INT(($O807+30)/0.5)+1)="","",INDEX(geo_grid!$B$2:$JU$231,INT(($N807+40)/0.5)+1,INT(($O807+30)/0.5)+1)),"OUTSIDE GRID"))</f>
        <v/>
      </c>
      <c r="Q807" t="str">
        <f t="shared" si="142"/>
        <v/>
      </c>
    </row>
    <row r="808" spans="1:17" x14ac:dyDescent="0.3">
      <c r="A808">
        <f t="shared" si="132"/>
        <v>6</v>
      </c>
      <c r="B808">
        <f t="shared" si="133"/>
        <v>51</v>
      </c>
      <c r="C808" t="str" cm="1">
        <f t="array" ref="C808">IFERROR(INDEX('TRIP MANAGER'!$O$18:$O$25,$A808),"")</f>
        <v/>
      </c>
      <c r="D808" t="str" cm="1">
        <f t="array" ref="D808">IFERROR(INDEX('TRIP MANAGER'!$P$18:$P$25,$A808),"")</f>
        <v/>
      </c>
      <c r="E808" t="str" cm="1">
        <f t="array" ref="E808">IFERROR(INDEX('TRIP MANAGER'!$Q$18:$Q$25,$A808),"")</f>
        <v/>
      </c>
      <c r="F808" t="str" cm="1">
        <f t="array" ref="F808">IFERROR(INDEX('TRIP MANAGER'!$R$18:$R$25,$A808),"")</f>
        <v/>
      </c>
      <c r="G808" t="str" cm="1">
        <f t="array" ref="G808">IFERROR(INDEX('TRIP MANAGER'!$S$18:$S$25,$A808),"")</f>
        <v/>
      </c>
      <c r="H808">
        <f t="shared" si="134"/>
        <v>0.34</v>
      </c>
      <c r="I808" t="str">
        <f t="shared" si="135"/>
        <v/>
      </c>
      <c r="J808" t="str">
        <f t="shared" si="136"/>
        <v/>
      </c>
      <c r="K808" t="str">
        <f t="shared" si="137"/>
        <v/>
      </c>
      <c r="L808" t="str">
        <f t="shared" si="138"/>
        <v/>
      </c>
      <c r="M808" t="str">
        <f t="shared" si="139"/>
        <v/>
      </c>
      <c r="N808" t="str">
        <f t="shared" si="140"/>
        <v/>
      </c>
      <c r="O808" t="str">
        <f t="shared" si="141"/>
        <v/>
      </c>
      <c r="P808" t="str" cm="1">
        <f t="array" ref="P808">IF($N808="","",IFERROR(IF(INDEX(geo_grid!$B$2:$JU$231,INT(($N808+40)/0.5)+1,INT(($O808+30)/0.5)+1)="","",INDEX(geo_grid!$B$2:$JU$231,INT(($N808+40)/0.5)+1,INT(($O808+30)/0.5)+1)),"OUTSIDE GRID"))</f>
        <v/>
      </c>
      <c r="Q808" t="str">
        <f t="shared" si="142"/>
        <v/>
      </c>
    </row>
    <row r="809" spans="1:17" x14ac:dyDescent="0.3">
      <c r="A809">
        <f t="shared" si="132"/>
        <v>6</v>
      </c>
      <c r="B809">
        <f t="shared" si="133"/>
        <v>52</v>
      </c>
      <c r="C809" t="str" cm="1">
        <f t="array" ref="C809">IFERROR(INDEX('TRIP MANAGER'!$O$18:$O$25,$A809),"")</f>
        <v/>
      </c>
      <c r="D809" t="str" cm="1">
        <f t="array" ref="D809">IFERROR(INDEX('TRIP MANAGER'!$P$18:$P$25,$A809),"")</f>
        <v/>
      </c>
      <c r="E809" t="str" cm="1">
        <f t="array" ref="E809">IFERROR(INDEX('TRIP MANAGER'!$Q$18:$Q$25,$A809),"")</f>
        <v/>
      </c>
      <c r="F809" t="str" cm="1">
        <f t="array" ref="F809">IFERROR(INDEX('TRIP MANAGER'!$R$18:$R$25,$A809),"")</f>
        <v/>
      </c>
      <c r="G809" t="str" cm="1">
        <f t="array" ref="G809">IFERROR(INDEX('TRIP MANAGER'!$S$18:$S$25,$A809),"")</f>
        <v/>
      </c>
      <c r="H809">
        <f t="shared" si="134"/>
        <v>0.34666666666666668</v>
      </c>
      <c r="I809" t="str">
        <f t="shared" si="135"/>
        <v/>
      </c>
      <c r="J809" t="str">
        <f t="shared" si="136"/>
        <v/>
      </c>
      <c r="K809" t="str">
        <f t="shared" si="137"/>
        <v/>
      </c>
      <c r="L809" t="str">
        <f t="shared" si="138"/>
        <v/>
      </c>
      <c r="M809" t="str">
        <f t="shared" si="139"/>
        <v/>
      </c>
      <c r="N809" t="str">
        <f t="shared" si="140"/>
        <v/>
      </c>
      <c r="O809" t="str">
        <f t="shared" si="141"/>
        <v/>
      </c>
      <c r="P809" t="str" cm="1">
        <f t="array" ref="P809">IF($N809="","",IFERROR(IF(INDEX(geo_grid!$B$2:$JU$231,INT(($N809+40)/0.5)+1,INT(($O809+30)/0.5)+1)="","",INDEX(geo_grid!$B$2:$JU$231,INT(($N809+40)/0.5)+1,INT(($O809+30)/0.5)+1)),"OUTSIDE GRID"))</f>
        <v/>
      </c>
      <c r="Q809" t="str">
        <f t="shared" si="142"/>
        <v/>
      </c>
    </row>
    <row r="810" spans="1:17" x14ac:dyDescent="0.3">
      <c r="A810">
        <f t="shared" si="132"/>
        <v>6</v>
      </c>
      <c r="B810">
        <f t="shared" si="133"/>
        <v>53</v>
      </c>
      <c r="C810" t="str" cm="1">
        <f t="array" ref="C810">IFERROR(INDEX('TRIP MANAGER'!$O$18:$O$25,$A810),"")</f>
        <v/>
      </c>
      <c r="D810" t="str" cm="1">
        <f t="array" ref="D810">IFERROR(INDEX('TRIP MANAGER'!$P$18:$P$25,$A810),"")</f>
        <v/>
      </c>
      <c r="E810" t="str" cm="1">
        <f t="array" ref="E810">IFERROR(INDEX('TRIP MANAGER'!$Q$18:$Q$25,$A810),"")</f>
        <v/>
      </c>
      <c r="F810" t="str" cm="1">
        <f t="array" ref="F810">IFERROR(INDEX('TRIP MANAGER'!$R$18:$R$25,$A810),"")</f>
        <v/>
      </c>
      <c r="G810" t="str" cm="1">
        <f t="array" ref="G810">IFERROR(INDEX('TRIP MANAGER'!$S$18:$S$25,$A810),"")</f>
        <v/>
      </c>
      <c r="H810">
        <f t="shared" si="134"/>
        <v>0.35333333333333333</v>
      </c>
      <c r="I810" t="str">
        <f t="shared" si="135"/>
        <v/>
      </c>
      <c r="J810" t="str">
        <f t="shared" si="136"/>
        <v/>
      </c>
      <c r="K810" t="str">
        <f t="shared" si="137"/>
        <v/>
      </c>
      <c r="L810" t="str">
        <f t="shared" si="138"/>
        <v/>
      </c>
      <c r="M810" t="str">
        <f t="shared" si="139"/>
        <v/>
      </c>
      <c r="N810" t="str">
        <f t="shared" si="140"/>
        <v/>
      </c>
      <c r="O810" t="str">
        <f t="shared" si="141"/>
        <v/>
      </c>
      <c r="P810" t="str" cm="1">
        <f t="array" ref="P810">IF($N810="","",IFERROR(IF(INDEX(geo_grid!$B$2:$JU$231,INT(($N810+40)/0.5)+1,INT(($O810+30)/0.5)+1)="","",INDEX(geo_grid!$B$2:$JU$231,INT(($N810+40)/0.5)+1,INT(($O810+30)/0.5)+1)),"OUTSIDE GRID"))</f>
        <v/>
      </c>
      <c r="Q810" t="str">
        <f t="shared" si="142"/>
        <v/>
      </c>
    </row>
    <row r="811" spans="1:17" x14ac:dyDescent="0.3">
      <c r="A811">
        <f t="shared" si="132"/>
        <v>6</v>
      </c>
      <c r="B811">
        <f t="shared" si="133"/>
        <v>54</v>
      </c>
      <c r="C811" t="str" cm="1">
        <f t="array" ref="C811">IFERROR(INDEX('TRIP MANAGER'!$O$18:$O$25,$A811),"")</f>
        <v/>
      </c>
      <c r="D811" t="str" cm="1">
        <f t="array" ref="D811">IFERROR(INDEX('TRIP MANAGER'!$P$18:$P$25,$A811),"")</f>
        <v/>
      </c>
      <c r="E811" t="str" cm="1">
        <f t="array" ref="E811">IFERROR(INDEX('TRIP MANAGER'!$Q$18:$Q$25,$A811),"")</f>
        <v/>
      </c>
      <c r="F811" t="str" cm="1">
        <f t="array" ref="F811">IFERROR(INDEX('TRIP MANAGER'!$R$18:$R$25,$A811),"")</f>
        <v/>
      </c>
      <c r="G811" t="str" cm="1">
        <f t="array" ref="G811">IFERROR(INDEX('TRIP MANAGER'!$S$18:$S$25,$A811),"")</f>
        <v/>
      </c>
      <c r="H811">
        <f t="shared" si="134"/>
        <v>0.36</v>
      </c>
      <c r="I811" t="str">
        <f t="shared" si="135"/>
        <v/>
      </c>
      <c r="J811" t="str">
        <f t="shared" si="136"/>
        <v/>
      </c>
      <c r="K811" t="str">
        <f t="shared" si="137"/>
        <v/>
      </c>
      <c r="L811" t="str">
        <f t="shared" si="138"/>
        <v/>
      </c>
      <c r="M811" t="str">
        <f t="shared" si="139"/>
        <v/>
      </c>
      <c r="N811" t="str">
        <f t="shared" si="140"/>
        <v/>
      </c>
      <c r="O811" t="str">
        <f t="shared" si="141"/>
        <v/>
      </c>
      <c r="P811" t="str" cm="1">
        <f t="array" ref="P811">IF($N811="","",IFERROR(IF(INDEX(geo_grid!$B$2:$JU$231,INT(($N811+40)/0.5)+1,INT(($O811+30)/0.5)+1)="","",INDEX(geo_grid!$B$2:$JU$231,INT(($N811+40)/0.5)+1,INT(($O811+30)/0.5)+1)),"OUTSIDE GRID"))</f>
        <v/>
      </c>
      <c r="Q811" t="str">
        <f t="shared" si="142"/>
        <v/>
      </c>
    </row>
    <row r="812" spans="1:17" x14ac:dyDescent="0.3">
      <c r="A812">
        <f t="shared" si="132"/>
        <v>6</v>
      </c>
      <c r="B812">
        <f t="shared" si="133"/>
        <v>55</v>
      </c>
      <c r="C812" t="str" cm="1">
        <f t="array" ref="C812">IFERROR(INDEX('TRIP MANAGER'!$O$18:$O$25,$A812),"")</f>
        <v/>
      </c>
      <c r="D812" t="str" cm="1">
        <f t="array" ref="D812">IFERROR(INDEX('TRIP MANAGER'!$P$18:$P$25,$A812),"")</f>
        <v/>
      </c>
      <c r="E812" t="str" cm="1">
        <f t="array" ref="E812">IFERROR(INDEX('TRIP MANAGER'!$Q$18:$Q$25,$A812),"")</f>
        <v/>
      </c>
      <c r="F812" t="str" cm="1">
        <f t="array" ref="F812">IFERROR(INDEX('TRIP MANAGER'!$R$18:$R$25,$A812),"")</f>
        <v/>
      </c>
      <c r="G812" t="str" cm="1">
        <f t="array" ref="G812">IFERROR(INDEX('TRIP MANAGER'!$S$18:$S$25,$A812),"")</f>
        <v/>
      </c>
      <c r="H812">
        <f t="shared" si="134"/>
        <v>0.36666666666666664</v>
      </c>
      <c r="I812" t="str">
        <f t="shared" si="135"/>
        <v/>
      </c>
      <c r="J812" t="str">
        <f t="shared" si="136"/>
        <v/>
      </c>
      <c r="K812" t="str">
        <f t="shared" si="137"/>
        <v/>
      </c>
      <c r="L812" t="str">
        <f t="shared" si="138"/>
        <v/>
      </c>
      <c r="M812" t="str">
        <f t="shared" si="139"/>
        <v/>
      </c>
      <c r="N812" t="str">
        <f t="shared" si="140"/>
        <v/>
      </c>
      <c r="O812" t="str">
        <f t="shared" si="141"/>
        <v/>
      </c>
      <c r="P812" t="str" cm="1">
        <f t="array" ref="P812">IF($N812="","",IFERROR(IF(INDEX(geo_grid!$B$2:$JU$231,INT(($N812+40)/0.5)+1,INT(($O812+30)/0.5)+1)="","",INDEX(geo_grid!$B$2:$JU$231,INT(($N812+40)/0.5)+1,INT(($O812+30)/0.5)+1)),"OUTSIDE GRID"))</f>
        <v/>
      </c>
      <c r="Q812" t="str">
        <f t="shared" si="142"/>
        <v/>
      </c>
    </row>
    <row r="813" spans="1:17" x14ac:dyDescent="0.3">
      <c r="A813">
        <f t="shared" si="132"/>
        <v>6</v>
      </c>
      <c r="B813">
        <f t="shared" si="133"/>
        <v>56</v>
      </c>
      <c r="C813" t="str" cm="1">
        <f t="array" ref="C813">IFERROR(INDEX('TRIP MANAGER'!$O$18:$O$25,$A813),"")</f>
        <v/>
      </c>
      <c r="D813" t="str" cm="1">
        <f t="array" ref="D813">IFERROR(INDEX('TRIP MANAGER'!$P$18:$P$25,$A813),"")</f>
        <v/>
      </c>
      <c r="E813" t="str" cm="1">
        <f t="array" ref="E813">IFERROR(INDEX('TRIP MANAGER'!$Q$18:$Q$25,$A813),"")</f>
        <v/>
      </c>
      <c r="F813" t="str" cm="1">
        <f t="array" ref="F813">IFERROR(INDEX('TRIP MANAGER'!$R$18:$R$25,$A813),"")</f>
        <v/>
      </c>
      <c r="G813" t="str" cm="1">
        <f t="array" ref="G813">IFERROR(INDEX('TRIP MANAGER'!$S$18:$S$25,$A813),"")</f>
        <v/>
      </c>
      <c r="H813">
        <f t="shared" si="134"/>
        <v>0.37333333333333335</v>
      </c>
      <c r="I813" t="str">
        <f t="shared" si="135"/>
        <v/>
      </c>
      <c r="J813" t="str">
        <f t="shared" si="136"/>
        <v/>
      </c>
      <c r="K813" t="str">
        <f t="shared" si="137"/>
        <v/>
      </c>
      <c r="L813" t="str">
        <f t="shared" si="138"/>
        <v/>
      </c>
      <c r="M813" t="str">
        <f t="shared" si="139"/>
        <v/>
      </c>
      <c r="N813" t="str">
        <f t="shared" si="140"/>
        <v/>
      </c>
      <c r="O813" t="str">
        <f t="shared" si="141"/>
        <v/>
      </c>
      <c r="P813" t="str" cm="1">
        <f t="array" ref="P813">IF($N813="","",IFERROR(IF(INDEX(geo_grid!$B$2:$JU$231,INT(($N813+40)/0.5)+1,INT(($O813+30)/0.5)+1)="","",INDEX(geo_grid!$B$2:$JU$231,INT(($N813+40)/0.5)+1,INT(($O813+30)/0.5)+1)),"OUTSIDE GRID"))</f>
        <v/>
      </c>
      <c r="Q813" t="str">
        <f t="shared" si="142"/>
        <v/>
      </c>
    </row>
    <row r="814" spans="1:17" x14ac:dyDescent="0.3">
      <c r="A814">
        <f t="shared" si="132"/>
        <v>6</v>
      </c>
      <c r="B814">
        <f t="shared" si="133"/>
        <v>57</v>
      </c>
      <c r="C814" t="str" cm="1">
        <f t="array" ref="C814">IFERROR(INDEX('TRIP MANAGER'!$O$18:$O$25,$A814),"")</f>
        <v/>
      </c>
      <c r="D814" t="str" cm="1">
        <f t="array" ref="D814">IFERROR(INDEX('TRIP MANAGER'!$P$18:$P$25,$A814),"")</f>
        <v/>
      </c>
      <c r="E814" t="str" cm="1">
        <f t="array" ref="E814">IFERROR(INDEX('TRIP MANAGER'!$Q$18:$Q$25,$A814),"")</f>
        <v/>
      </c>
      <c r="F814" t="str" cm="1">
        <f t="array" ref="F814">IFERROR(INDEX('TRIP MANAGER'!$R$18:$R$25,$A814),"")</f>
        <v/>
      </c>
      <c r="G814" t="str" cm="1">
        <f t="array" ref="G814">IFERROR(INDEX('TRIP MANAGER'!$S$18:$S$25,$A814),"")</f>
        <v/>
      </c>
      <c r="H814">
        <f t="shared" si="134"/>
        <v>0.38</v>
      </c>
      <c r="I814" t="str">
        <f t="shared" si="135"/>
        <v/>
      </c>
      <c r="J814" t="str">
        <f t="shared" si="136"/>
        <v/>
      </c>
      <c r="K814" t="str">
        <f t="shared" si="137"/>
        <v/>
      </c>
      <c r="L814" t="str">
        <f t="shared" si="138"/>
        <v/>
      </c>
      <c r="M814" t="str">
        <f t="shared" si="139"/>
        <v/>
      </c>
      <c r="N814" t="str">
        <f t="shared" si="140"/>
        <v/>
      </c>
      <c r="O814" t="str">
        <f t="shared" si="141"/>
        <v/>
      </c>
      <c r="P814" t="str" cm="1">
        <f t="array" ref="P814">IF($N814="","",IFERROR(IF(INDEX(geo_grid!$B$2:$JU$231,INT(($N814+40)/0.5)+1,INT(($O814+30)/0.5)+1)="","",INDEX(geo_grid!$B$2:$JU$231,INT(($N814+40)/0.5)+1,INT(($O814+30)/0.5)+1)),"OUTSIDE GRID"))</f>
        <v/>
      </c>
      <c r="Q814" t="str">
        <f t="shared" si="142"/>
        <v/>
      </c>
    </row>
    <row r="815" spans="1:17" x14ac:dyDescent="0.3">
      <c r="A815">
        <f t="shared" si="132"/>
        <v>6</v>
      </c>
      <c r="B815">
        <f t="shared" si="133"/>
        <v>58</v>
      </c>
      <c r="C815" t="str" cm="1">
        <f t="array" ref="C815">IFERROR(INDEX('TRIP MANAGER'!$O$18:$O$25,$A815),"")</f>
        <v/>
      </c>
      <c r="D815" t="str" cm="1">
        <f t="array" ref="D815">IFERROR(INDEX('TRIP MANAGER'!$P$18:$P$25,$A815),"")</f>
        <v/>
      </c>
      <c r="E815" t="str" cm="1">
        <f t="array" ref="E815">IFERROR(INDEX('TRIP MANAGER'!$Q$18:$Q$25,$A815),"")</f>
        <v/>
      </c>
      <c r="F815" t="str" cm="1">
        <f t="array" ref="F815">IFERROR(INDEX('TRIP MANAGER'!$R$18:$R$25,$A815),"")</f>
        <v/>
      </c>
      <c r="G815" t="str" cm="1">
        <f t="array" ref="G815">IFERROR(INDEX('TRIP MANAGER'!$S$18:$S$25,$A815),"")</f>
        <v/>
      </c>
      <c r="H815">
        <f t="shared" si="134"/>
        <v>0.38666666666666666</v>
      </c>
      <c r="I815" t="str">
        <f t="shared" si="135"/>
        <v/>
      </c>
      <c r="J815" t="str">
        <f t="shared" si="136"/>
        <v/>
      </c>
      <c r="K815" t="str">
        <f t="shared" si="137"/>
        <v/>
      </c>
      <c r="L815" t="str">
        <f t="shared" si="138"/>
        <v/>
      </c>
      <c r="M815" t="str">
        <f t="shared" si="139"/>
        <v/>
      </c>
      <c r="N815" t="str">
        <f t="shared" si="140"/>
        <v/>
      </c>
      <c r="O815" t="str">
        <f t="shared" si="141"/>
        <v/>
      </c>
      <c r="P815" t="str" cm="1">
        <f t="array" ref="P815">IF($N815="","",IFERROR(IF(INDEX(geo_grid!$B$2:$JU$231,INT(($N815+40)/0.5)+1,INT(($O815+30)/0.5)+1)="","",INDEX(geo_grid!$B$2:$JU$231,INT(($N815+40)/0.5)+1,INT(($O815+30)/0.5)+1)),"OUTSIDE GRID"))</f>
        <v/>
      </c>
      <c r="Q815" t="str">
        <f t="shared" si="142"/>
        <v/>
      </c>
    </row>
    <row r="816" spans="1:17" x14ac:dyDescent="0.3">
      <c r="A816">
        <f t="shared" si="132"/>
        <v>6</v>
      </c>
      <c r="B816">
        <f t="shared" si="133"/>
        <v>59</v>
      </c>
      <c r="C816" t="str" cm="1">
        <f t="array" ref="C816">IFERROR(INDEX('TRIP MANAGER'!$O$18:$O$25,$A816),"")</f>
        <v/>
      </c>
      <c r="D816" t="str" cm="1">
        <f t="array" ref="D816">IFERROR(INDEX('TRIP MANAGER'!$P$18:$P$25,$A816),"")</f>
        <v/>
      </c>
      <c r="E816" t="str" cm="1">
        <f t="array" ref="E816">IFERROR(INDEX('TRIP MANAGER'!$Q$18:$Q$25,$A816),"")</f>
        <v/>
      </c>
      <c r="F816" t="str" cm="1">
        <f t="array" ref="F816">IFERROR(INDEX('TRIP MANAGER'!$R$18:$R$25,$A816),"")</f>
        <v/>
      </c>
      <c r="G816" t="str" cm="1">
        <f t="array" ref="G816">IFERROR(INDEX('TRIP MANAGER'!$S$18:$S$25,$A816),"")</f>
        <v/>
      </c>
      <c r="H816">
        <f t="shared" si="134"/>
        <v>0.39333333333333331</v>
      </c>
      <c r="I816" t="str">
        <f t="shared" si="135"/>
        <v/>
      </c>
      <c r="J816" t="str">
        <f t="shared" si="136"/>
        <v/>
      </c>
      <c r="K816" t="str">
        <f t="shared" si="137"/>
        <v/>
      </c>
      <c r="L816" t="str">
        <f t="shared" si="138"/>
        <v/>
      </c>
      <c r="M816" t="str">
        <f t="shared" si="139"/>
        <v/>
      </c>
      <c r="N816" t="str">
        <f t="shared" si="140"/>
        <v/>
      </c>
      <c r="O816" t="str">
        <f t="shared" si="141"/>
        <v/>
      </c>
      <c r="P816" t="str" cm="1">
        <f t="array" ref="P816">IF($N816="","",IFERROR(IF(INDEX(geo_grid!$B$2:$JU$231,INT(($N816+40)/0.5)+1,INT(($O816+30)/0.5)+1)="","",INDEX(geo_grid!$B$2:$JU$231,INT(($N816+40)/0.5)+1,INT(($O816+30)/0.5)+1)),"OUTSIDE GRID"))</f>
        <v/>
      </c>
      <c r="Q816" t="str">
        <f t="shared" si="142"/>
        <v/>
      </c>
    </row>
    <row r="817" spans="1:17" x14ac:dyDescent="0.3">
      <c r="A817">
        <f t="shared" si="132"/>
        <v>6</v>
      </c>
      <c r="B817">
        <f t="shared" si="133"/>
        <v>60</v>
      </c>
      <c r="C817" t="str" cm="1">
        <f t="array" ref="C817">IFERROR(INDEX('TRIP MANAGER'!$O$18:$O$25,$A817),"")</f>
        <v/>
      </c>
      <c r="D817" t="str" cm="1">
        <f t="array" ref="D817">IFERROR(INDEX('TRIP MANAGER'!$P$18:$P$25,$A817),"")</f>
        <v/>
      </c>
      <c r="E817" t="str" cm="1">
        <f t="array" ref="E817">IFERROR(INDEX('TRIP MANAGER'!$Q$18:$Q$25,$A817),"")</f>
        <v/>
      </c>
      <c r="F817" t="str" cm="1">
        <f t="array" ref="F817">IFERROR(INDEX('TRIP MANAGER'!$R$18:$R$25,$A817),"")</f>
        <v/>
      </c>
      <c r="G817" t="str" cm="1">
        <f t="array" ref="G817">IFERROR(INDEX('TRIP MANAGER'!$S$18:$S$25,$A817),"")</f>
        <v/>
      </c>
      <c r="H817">
        <f t="shared" si="134"/>
        <v>0.4</v>
      </c>
      <c r="I817" t="str">
        <f t="shared" si="135"/>
        <v/>
      </c>
      <c r="J817" t="str">
        <f t="shared" si="136"/>
        <v/>
      </c>
      <c r="K817" t="str">
        <f t="shared" si="137"/>
        <v/>
      </c>
      <c r="L817" t="str">
        <f t="shared" si="138"/>
        <v/>
      </c>
      <c r="M817" t="str">
        <f t="shared" si="139"/>
        <v/>
      </c>
      <c r="N817" t="str">
        <f t="shared" si="140"/>
        <v/>
      </c>
      <c r="O817" t="str">
        <f t="shared" si="141"/>
        <v/>
      </c>
      <c r="P817" t="str" cm="1">
        <f t="array" ref="P817">IF($N817="","",IFERROR(IF(INDEX(geo_grid!$B$2:$JU$231,INT(($N817+40)/0.5)+1,INT(($O817+30)/0.5)+1)="","",INDEX(geo_grid!$B$2:$JU$231,INT(($N817+40)/0.5)+1,INT(($O817+30)/0.5)+1)),"OUTSIDE GRID"))</f>
        <v/>
      </c>
      <c r="Q817" t="str">
        <f t="shared" si="142"/>
        <v/>
      </c>
    </row>
    <row r="818" spans="1:17" x14ac:dyDescent="0.3">
      <c r="A818">
        <f t="shared" si="132"/>
        <v>6</v>
      </c>
      <c r="B818">
        <f t="shared" si="133"/>
        <v>61</v>
      </c>
      <c r="C818" t="str" cm="1">
        <f t="array" ref="C818">IFERROR(INDEX('TRIP MANAGER'!$O$18:$O$25,$A818),"")</f>
        <v/>
      </c>
      <c r="D818" t="str" cm="1">
        <f t="array" ref="D818">IFERROR(INDEX('TRIP MANAGER'!$P$18:$P$25,$A818),"")</f>
        <v/>
      </c>
      <c r="E818" t="str" cm="1">
        <f t="array" ref="E818">IFERROR(INDEX('TRIP MANAGER'!$Q$18:$Q$25,$A818),"")</f>
        <v/>
      </c>
      <c r="F818" t="str" cm="1">
        <f t="array" ref="F818">IFERROR(INDEX('TRIP MANAGER'!$R$18:$R$25,$A818),"")</f>
        <v/>
      </c>
      <c r="G818" t="str" cm="1">
        <f t="array" ref="G818">IFERROR(INDEX('TRIP MANAGER'!$S$18:$S$25,$A818),"")</f>
        <v/>
      </c>
      <c r="H818">
        <f t="shared" si="134"/>
        <v>0.40666666666666668</v>
      </c>
      <c r="I818" t="str">
        <f t="shared" si="135"/>
        <v/>
      </c>
      <c r="J818" t="str">
        <f t="shared" si="136"/>
        <v/>
      </c>
      <c r="K818" t="str">
        <f t="shared" si="137"/>
        <v/>
      </c>
      <c r="L818" t="str">
        <f t="shared" si="138"/>
        <v/>
      </c>
      <c r="M818" t="str">
        <f t="shared" si="139"/>
        <v/>
      </c>
      <c r="N818" t="str">
        <f t="shared" si="140"/>
        <v/>
      </c>
      <c r="O818" t="str">
        <f t="shared" si="141"/>
        <v/>
      </c>
      <c r="P818" t="str" cm="1">
        <f t="array" ref="P818">IF($N818="","",IFERROR(IF(INDEX(geo_grid!$B$2:$JU$231,INT(($N818+40)/0.5)+1,INT(($O818+30)/0.5)+1)="","",INDEX(geo_grid!$B$2:$JU$231,INT(($N818+40)/0.5)+1,INT(($O818+30)/0.5)+1)),"OUTSIDE GRID"))</f>
        <v/>
      </c>
      <c r="Q818" t="str">
        <f t="shared" si="142"/>
        <v/>
      </c>
    </row>
    <row r="819" spans="1:17" x14ac:dyDescent="0.3">
      <c r="A819">
        <f t="shared" si="132"/>
        <v>6</v>
      </c>
      <c r="B819">
        <f t="shared" si="133"/>
        <v>62</v>
      </c>
      <c r="C819" t="str" cm="1">
        <f t="array" ref="C819">IFERROR(INDEX('TRIP MANAGER'!$O$18:$O$25,$A819),"")</f>
        <v/>
      </c>
      <c r="D819" t="str" cm="1">
        <f t="array" ref="D819">IFERROR(INDEX('TRIP MANAGER'!$P$18:$P$25,$A819),"")</f>
        <v/>
      </c>
      <c r="E819" t="str" cm="1">
        <f t="array" ref="E819">IFERROR(INDEX('TRIP MANAGER'!$Q$18:$Q$25,$A819),"")</f>
        <v/>
      </c>
      <c r="F819" t="str" cm="1">
        <f t="array" ref="F819">IFERROR(INDEX('TRIP MANAGER'!$R$18:$R$25,$A819),"")</f>
        <v/>
      </c>
      <c r="G819" t="str" cm="1">
        <f t="array" ref="G819">IFERROR(INDEX('TRIP MANAGER'!$S$18:$S$25,$A819),"")</f>
        <v/>
      </c>
      <c r="H819">
        <f t="shared" si="134"/>
        <v>0.41333333333333333</v>
      </c>
      <c r="I819" t="str">
        <f t="shared" si="135"/>
        <v/>
      </c>
      <c r="J819" t="str">
        <f t="shared" si="136"/>
        <v/>
      </c>
      <c r="K819" t="str">
        <f t="shared" si="137"/>
        <v/>
      </c>
      <c r="L819" t="str">
        <f t="shared" si="138"/>
        <v/>
      </c>
      <c r="M819" t="str">
        <f t="shared" si="139"/>
        <v/>
      </c>
      <c r="N819" t="str">
        <f t="shared" si="140"/>
        <v/>
      </c>
      <c r="O819" t="str">
        <f t="shared" si="141"/>
        <v/>
      </c>
      <c r="P819" t="str" cm="1">
        <f t="array" ref="P819">IF($N819="","",IFERROR(IF(INDEX(geo_grid!$B$2:$JU$231,INT(($N819+40)/0.5)+1,INT(($O819+30)/0.5)+1)="","",INDEX(geo_grid!$B$2:$JU$231,INT(($N819+40)/0.5)+1,INT(($O819+30)/0.5)+1)),"OUTSIDE GRID"))</f>
        <v/>
      </c>
      <c r="Q819" t="str">
        <f t="shared" si="142"/>
        <v/>
      </c>
    </row>
    <row r="820" spans="1:17" x14ac:dyDescent="0.3">
      <c r="A820">
        <f t="shared" si="132"/>
        <v>6</v>
      </c>
      <c r="B820">
        <f t="shared" si="133"/>
        <v>63</v>
      </c>
      <c r="C820" t="str" cm="1">
        <f t="array" ref="C820">IFERROR(INDEX('TRIP MANAGER'!$O$18:$O$25,$A820),"")</f>
        <v/>
      </c>
      <c r="D820" t="str" cm="1">
        <f t="array" ref="D820">IFERROR(INDEX('TRIP MANAGER'!$P$18:$P$25,$A820),"")</f>
        <v/>
      </c>
      <c r="E820" t="str" cm="1">
        <f t="array" ref="E820">IFERROR(INDEX('TRIP MANAGER'!$Q$18:$Q$25,$A820),"")</f>
        <v/>
      </c>
      <c r="F820" t="str" cm="1">
        <f t="array" ref="F820">IFERROR(INDEX('TRIP MANAGER'!$R$18:$R$25,$A820),"")</f>
        <v/>
      </c>
      <c r="G820" t="str" cm="1">
        <f t="array" ref="G820">IFERROR(INDEX('TRIP MANAGER'!$S$18:$S$25,$A820),"")</f>
        <v/>
      </c>
      <c r="H820">
        <f t="shared" si="134"/>
        <v>0.42</v>
      </c>
      <c r="I820" t="str">
        <f t="shared" si="135"/>
        <v/>
      </c>
      <c r="J820" t="str">
        <f t="shared" si="136"/>
        <v/>
      </c>
      <c r="K820" t="str">
        <f t="shared" si="137"/>
        <v/>
      </c>
      <c r="L820" t="str">
        <f t="shared" si="138"/>
        <v/>
      </c>
      <c r="M820" t="str">
        <f t="shared" si="139"/>
        <v/>
      </c>
      <c r="N820" t="str">
        <f t="shared" si="140"/>
        <v/>
      </c>
      <c r="O820" t="str">
        <f t="shared" si="141"/>
        <v/>
      </c>
      <c r="P820" t="str" cm="1">
        <f t="array" ref="P820">IF($N820="","",IFERROR(IF(INDEX(geo_grid!$B$2:$JU$231,INT(($N820+40)/0.5)+1,INT(($O820+30)/0.5)+1)="","",INDEX(geo_grid!$B$2:$JU$231,INT(($N820+40)/0.5)+1,INT(($O820+30)/0.5)+1)),"OUTSIDE GRID"))</f>
        <v/>
      </c>
      <c r="Q820" t="str">
        <f t="shared" si="142"/>
        <v/>
      </c>
    </row>
    <row r="821" spans="1:17" x14ac:dyDescent="0.3">
      <c r="A821">
        <f t="shared" si="132"/>
        <v>6</v>
      </c>
      <c r="B821">
        <f t="shared" si="133"/>
        <v>64</v>
      </c>
      <c r="C821" t="str" cm="1">
        <f t="array" ref="C821">IFERROR(INDEX('TRIP MANAGER'!$O$18:$O$25,$A821),"")</f>
        <v/>
      </c>
      <c r="D821" t="str" cm="1">
        <f t="array" ref="D821">IFERROR(INDEX('TRIP MANAGER'!$P$18:$P$25,$A821),"")</f>
        <v/>
      </c>
      <c r="E821" t="str" cm="1">
        <f t="array" ref="E821">IFERROR(INDEX('TRIP MANAGER'!$Q$18:$Q$25,$A821),"")</f>
        <v/>
      </c>
      <c r="F821" t="str" cm="1">
        <f t="array" ref="F821">IFERROR(INDEX('TRIP MANAGER'!$R$18:$R$25,$A821),"")</f>
        <v/>
      </c>
      <c r="G821" t="str" cm="1">
        <f t="array" ref="G821">IFERROR(INDEX('TRIP MANAGER'!$S$18:$S$25,$A821),"")</f>
        <v/>
      </c>
      <c r="H821">
        <f t="shared" si="134"/>
        <v>0.42666666666666669</v>
      </c>
      <c r="I821" t="str">
        <f t="shared" si="135"/>
        <v/>
      </c>
      <c r="J821" t="str">
        <f t="shared" si="136"/>
        <v/>
      </c>
      <c r="K821" t="str">
        <f t="shared" si="137"/>
        <v/>
      </c>
      <c r="L821" t="str">
        <f t="shared" si="138"/>
        <v/>
      </c>
      <c r="M821" t="str">
        <f t="shared" si="139"/>
        <v/>
      </c>
      <c r="N821" t="str">
        <f t="shared" si="140"/>
        <v/>
      </c>
      <c r="O821" t="str">
        <f t="shared" si="141"/>
        <v/>
      </c>
      <c r="P821" t="str" cm="1">
        <f t="array" ref="P821">IF($N821="","",IFERROR(IF(INDEX(geo_grid!$B$2:$JU$231,INT(($N821+40)/0.5)+1,INT(($O821+30)/0.5)+1)="","",INDEX(geo_grid!$B$2:$JU$231,INT(($N821+40)/0.5)+1,INT(($O821+30)/0.5)+1)),"OUTSIDE GRID"))</f>
        <v/>
      </c>
      <c r="Q821" t="str">
        <f t="shared" si="142"/>
        <v/>
      </c>
    </row>
    <row r="822" spans="1:17" x14ac:dyDescent="0.3">
      <c r="A822">
        <f t="shared" si="132"/>
        <v>6</v>
      </c>
      <c r="B822">
        <f t="shared" si="133"/>
        <v>65</v>
      </c>
      <c r="C822" t="str" cm="1">
        <f t="array" ref="C822">IFERROR(INDEX('TRIP MANAGER'!$O$18:$O$25,$A822),"")</f>
        <v/>
      </c>
      <c r="D822" t="str" cm="1">
        <f t="array" ref="D822">IFERROR(INDEX('TRIP MANAGER'!$P$18:$P$25,$A822),"")</f>
        <v/>
      </c>
      <c r="E822" t="str" cm="1">
        <f t="array" ref="E822">IFERROR(INDEX('TRIP MANAGER'!$Q$18:$Q$25,$A822),"")</f>
        <v/>
      </c>
      <c r="F822" t="str" cm="1">
        <f t="array" ref="F822">IFERROR(INDEX('TRIP MANAGER'!$R$18:$R$25,$A822),"")</f>
        <v/>
      </c>
      <c r="G822" t="str" cm="1">
        <f t="array" ref="G822">IFERROR(INDEX('TRIP MANAGER'!$S$18:$S$25,$A822),"")</f>
        <v/>
      </c>
      <c r="H822">
        <f t="shared" si="134"/>
        <v>0.43333333333333335</v>
      </c>
      <c r="I822" t="str">
        <f t="shared" si="135"/>
        <v/>
      </c>
      <c r="J822" t="str">
        <f t="shared" si="136"/>
        <v/>
      </c>
      <c r="K822" t="str">
        <f t="shared" si="137"/>
        <v/>
      </c>
      <c r="L822" t="str">
        <f t="shared" si="138"/>
        <v/>
      </c>
      <c r="M822" t="str">
        <f t="shared" si="139"/>
        <v/>
      </c>
      <c r="N822" t="str">
        <f t="shared" si="140"/>
        <v/>
      </c>
      <c r="O822" t="str">
        <f t="shared" si="141"/>
        <v/>
      </c>
      <c r="P822" t="str" cm="1">
        <f t="array" ref="P822">IF($N822="","",IFERROR(IF(INDEX(geo_grid!$B$2:$JU$231,INT(($N822+40)/0.5)+1,INT(($O822+30)/0.5)+1)="","",INDEX(geo_grid!$B$2:$JU$231,INT(($N822+40)/0.5)+1,INT(($O822+30)/0.5)+1)),"OUTSIDE GRID"))</f>
        <v/>
      </c>
      <c r="Q822" t="str">
        <f t="shared" si="142"/>
        <v/>
      </c>
    </row>
    <row r="823" spans="1:17" x14ac:dyDescent="0.3">
      <c r="A823">
        <f t="shared" si="132"/>
        <v>6</v>
      </c>
      <c r="B823">
        <f t="shared" si="133"/>
        <v>66</v>
      </c>
      <c r="C823" t="str" cm="1">
        <f t="array" ref="C823">IFERROR(INDEX('TRIP MANAGER'!$O$18:$O$25,$A823),"")</f>
        <v/>
      </c>
      <c r="D823" t="str" cm="1">
        <f t="array" ref="D823">IFERROR(INDEX('TRIP MANAGER'!$P$18:$P$25,$A823),"")</f>
        <v/>
      </c>
      <c r="E823" t="str" cm="1">
        <f t="array" ref="E823">IFERROR(INDEX('TRIP MANAGER'!$Q$18:$Q$25,$A823),"")</f>
        <v/>
      </c>
      <c r="F823" t="str" cm="1">
        <f t="array" ref="F823">IFERROR(INDEX('TRIP MANAGER'!$R$18:$R$25,$A823),"")</f>
        <v/>
      </c>
      <c r="G823" t="str" cm="1">
        <f t="array" ref="G823">IFERROR(INDEX('TRIP MANAGER'!$S$18:$S$25,$A823),"")</f>
        <v/>
      </c>
      <c r="H823">
        <f t="shared" si="134"/>
        <v>0.44</v>
      </c>
      <c r="I823" t="str">
        <f t="shared" si="135"/>
        <v/>
      </c>
      <c r="J823" t="str">
        <f t="shared" si="136"/>
        <v/>
      </c>
      <c r="K823" t="str">
        <f t="shared" si="137"/>
        <v/>
      </c>
      <c r="L823" t="str">
        <f t="shared" si="138"/>
        <v/>
      </c>
      <c r="M823" t="str">
        <f t="shared" si="139"/>
        <v/>
      </c>
      <c r="N823" t="str">
        <f t="shared" si="140"/>
        <v/>
      </c>
      <c r="O823" t="str">
        <f t="shared" si="141"/>
        <v/>
      </c>
      <c r="P823" t="str" cm="1">
        <f t="array" ref="P823">IF($N823="","",IFERROR(IF(INDEX(geo_grid!$B$2:$JU$231,INT(($N823+40)/0.5)+1,INT(($O823+30)/0.5)+1)="","",INDEX(geo_grid!$B$2:$JU$231,INT(($N823+40)/0.5)+1,INT(($O823+30)/0.5)+1)),"OUTSIDE GRID"))</f>
        <v/>
      </c>
      <c r="Q823" t="str">
        <f t="shared" si="142"/>
        <v/>
      </c>
    </row>
    <row r="824" spans="1:17" x14ac:dyDescent="0.3">
      <c r="A824">
        <f t="shared" si="132"/>
        <v>6</v>
      </c>
      <c r="B824">
        <f t="shared" si="133"/>
        <v>67</v>
      </c>
      <c r="C824" t="str" cm="1">
        <f t="array" ref="C824">IFERROR(INDEX('TRIP MANAGER'!$O$18:$O$25,$A824),"")</f>
        <v/>
      </c>
      <c r="D824" t="str" cm="1">
        <f t="array" ref="D824">IFERROR(INDEX('TRIP MANAGER'!$P$18:$P$25,$A824),"")</f>
        <v/>
      </c>
      <c r="E824" t="str" cm="1">
        <f t="array" ref="E824">IFERROR(INDEX('TRIP MANAGER'!$Q$18:$Q$25,$A824),"")</f>
        <v/>
      </c>
      <c r="F824" t="str" cm="1">
        <f t="array" ref="F824">IFERROR(INDEX('TRIP MANAGER'!$R$18:$R$25,$A824),"")</f>
        <v/>
      </c>
      <c r="G824" t="str" cm="1">
        <f t="array" ref="G824">IFERROR(INDEX('TRIP MANAGER'!$S$18:$S$25,$A824),"")</f>
        <v/>
      </c>
      <c r="H824">
        <f t="shared" si="134"/>
        <v>0.44666666666666666</v>
      </c>
      <c r="I824" t="str">
        <f t="shared" si="135"/>
        <v/>
      </c>
      <c r="J824" t="str">
        <f t="shared" si="136"/>
        <v/>
      </c>
      <c r="K824" t="str">
        <f t="shared" si="137"/>
        <v/>
      </c>
      <c r="L824" t="str">
        <f t="shared" si="138"/>
        <v/>
      </c>
      <c r="M824" t="str">
        <f t="shared" si="139"/>
        <v/>
      </c>
      <c r="N824" t="str">
        <f t="shared" si="140"/>
        <v/>
      </c>
      <c r="O824" t="str">
        <f t="shared" si="141"/>
        <v/>
      </c>
      <c r="P824" t="str" cm="1">
        <f t="array" ref="P824">IF($N824="","",IFERROR(IF(INDEX(geo_grid!$B$2:$JU$231,INT(($N824+40)/0.5)+1,INT(($O824+30)/0.5)+1)="","",INDEX(geo_grid!$B$2:$JU$231,INT(($N824+40)/0.5)+1,INT(($O824+30)/0.5)+1)),"OUTSIDE GRID"))</f>
        <v/>
      </c>
      <c r="Q824" t="str">
        <f t="shared" si="142"/>
        <v/>
      </c>
    </row>
    <row r="825" spans="1:17" x14ac:dyDescent="0.3">
      <c r="A825">
        <f t="shared" si="132"/>
        <v>6</v>
      </c>
      <c r="B825">
        <f t="shared" si="133"/>
        <v>68</v>
      </c>
      <c r="C825" t="str" cm="1">
        <f t="array" ref="C825">IFERROR(INDEX('TRIP MANAGER'!$O$18:$O$25,$A825),"")</f>
        <v/>
      </c>
      <c r="D825" t="str" cm="1">
        <f t="array" ref="D825">IFERROR(INDEX('TRIP MANAGER'!$P$18:$P$25,$A825),"")</f>
        <v/>
      </c>
      <c r="E825" t="str" cm="1">
        <f t="array" ref="E825">IFERROR(INDEX('TRIP MANAGER'!$Q$18:$Q$25,$A825),"")</f>
        <v/>
      </c>
      <c r="F825" t="str" cm="1">
        <f t="array" ref="F825">IFERROR(INDEX('TRIP MANAGER'!$R$18:$R$25,$A825),"")</f>
        <v/>
      </c>
      <c r="G825" t="str" cm="1">
        <f t="array" ref="G825">IFERROR(INDEX('TRIP MANAGER'!$S$18:$S$25,$A825),"")</f>
        <v/>
      </c>
      <c r="H825">
        <f t="shared" si="134"/>
        <v>0.45333333333333331</v>
      </c>
      <c r="I825" t="str">
        <f t="shared" si="135"/>
        <v/>
      </c>
      <c r="J825" t="str">
        <f t="shared" si="136"/>
        <v/>
      </c>
      <c r="K825" t="str">
        <f t="shared" si="137"/>
        <v/>
      </c>
      <c r="L825" t="str">
        <f t="shared" si="138"/>
        <v/>
      </c>
      <c r="M825" t="str">
        <f t="shared" si="139"/>
        <v/>
      </c>
      <c r="N825" t="str">
        <f t="shared" si="140"/>
        <v/>
      </c>
      <c r="O825" t="str">
        <f t="shared" si="141"/>
        <v/>
      </c>
      <c r="P825" t="str" cm="1">
        <f t="array" ref="P825">IF($N825="","",IFERROR(IF(INDEX(geo_grid!$B$2:$JU$231,INT(($N825+40)/0.5)+1,INT(($O825+30)/0.5)+1)="","",INDEX(geo_grid!$B$2:$JU$231,INT(($N825+40)/0.5)+1,INT(($O825+30)/0.5)+1)),"OUTSIDE GRID"))</f>
        <v/>
      </c>
      <c r="Q825" t="str">
        <f t="shared" si="142"/>
        <v/>
      </c>
    </row>
    <row r="826" spans="1:17" x14ac:dyDescent="0.3">
      <c r="A826">
        <f t="shared" si="132"/>
        <v>6</v>
      </c>
      <c r="B826">
        <f t="shared" si="133"/>
        <v>69</v>
      </c>
      <c r="C826" t="str" cm="1">
        <f t="array" ref="C826">IFERROR(INDEX('TRIP MANAGER'!$O$18:$O$25,$A826),"")</f>
        <v/>
      </c>
      <c r="D826" t="str" cm="1">
        <f t="array" ref="D826">IFERROR(INDEX('TRIP MANAGER'!$P$18:$P$25,$A826),"")</f>
        <v/>
      </c>
      <c r="E826" t="str" cm="1">
        <f t="array" ref="E826">IFERROR(INDEX('TRIP MANAGER'!$Q$18:$Q$25,$A826),"")</f>
        <v/>
      </c>
      <c r="F826" t="str" cm="1">
        <f t="array" ref="F826">IFERROR(INDEX('TRIP MANAGER'!$R$18:$R$25,$A826),"")</f>
        <v/>
      </c>
      <c r="G826" t="str" cm="1">
        <f t="array" ref="G826">IFERROR(INDEX('TRIP MANAGER'!$S$18:$S$25,$A826),"")</f>
        <v/>
      </c>
      <c r="H826">
        <f t="shared" si="134"/>
        <v>0.46</v>
      </c>
      <c r="I826" t="str">
        <f t="shared" si="135"/>
        <v/>
      </c>
      <c r="J826" t="str">
        <f t="shared" si="136"/>
        <v/>
      </c>
      <c r="K826" t="str">
        <f t="shared" si="137"/>
        <v/>
      </c>
      <c r="L826" t="str">
        <f t="shared" si="138"/>
        <v/>
      </c>
      <c r="M826" t="str">
        <f t="shared" si="139"/>
        <v/>
      </c>
      <c r="N826" t="str">
        <f t="shared" si="140"/>
        <v/>
      </c>
      <c r="O826" t="str">
        <f t="shared" si="141"/>
        <v/>
      </c>
      <c r="P826" t="str" cm="1">
        <f t="array" ref="P826">IF($N826="","",IFERROR(IF(INDEX(geo_grid!$B$2:$JU$231,INT(($N826+40)/0.5)+1,INT(($O826+30)/0.5)+1)="","",INDEX(geo_grid!$B$2:$JU$231,INT(($N826+40)/0.5)+1,INT(($O826+30)/0.5)+1)),"OUTSIDE GRID"))</f>
        <v/>
      </c>
      <c r="Q826" t="str">
        <f t="shared" si="142"/>
        <v/>
      </c>
    </row>
    <row r="827" spans="1:17" x14ac:dyDescent="0.3">
      <c r="A827">
        <f t="shared" si="132"/>
        <v>6</v>
      </c>
      <c r="B827">
        <f t="shared" si="133"/>
        <v>70</v>
      </c>
      <c r="C827" t="str" cm="1">
        <f t="array" ref="C827">IFERROR(INDEX('TRIP MANAGER'!$O$18:$O$25,$A827),"")</f>
        <v/>
      </c>
      <c r="D827" t="str" cm="1">
        <f t="array" ref="D827">IFERROR(INDEX('TRIP MANAGER'!$P$18:$P$25,$A827),"")</f>
        <v/>
      </c>
      <c r="E827" t="str" cm="1">
        <f t="array" ref="E827">IFERROR(INDEX('TRIP MANAGER'!$Q$18:$Q$25,$A827),"")</f>
        <v/>
      </c>
      <c r="F827" t="str" cm="1">
        <f t="array" ref="F827">IFERROR(INDEX('TRIP MANAGER'!$R$18:$R$25,$A827),"")</f>
        <v/>
      </c>
      <c r="G827" t="str" cm="1">
        <f t="array" ref="G827">IFERROR(INDEX('TRIP MANAGER'!$S$18:$S$25,$A827),"")</f>
        <v/>
      </c>
      <c r="H827">
        <f t="shared" si="134"/>
        <v>0.46666666666666667</v>
      </c>
      <c r="I827" t="str">
        <f t="shared" si="135"/>
        <v/>
      </c>
      <c r="J827" t="str">
        <f t="shared" si="136"/>
        <v/>
      </c>
      <c r="K827" t="str">
        <f t="shared" si="137"/>
        <v/>
      </c>
      <c r="L827" t="str">
        <f t="shared" si="138"/>
        <v/>
      </c>
      <c r="M827" t="str">
        <f t="shared" si="139"/>
        <v/>
      </c>
      <c r="N827" t="str">
        <f t="shared" si="140"/>
        <v/>
      </c>
      <c r="O827" t="str">
        <f t="shared" si="141"/>
        <v/>
      </c>
      <c r="P827" t="str" cm="1">
        <f t="array" ref="P827">IF($N827="","",IFERROR(IF(INDEX(geo_grid!$B$2:$JU$231,INT(($N827+40)/0.5)+1,INT(($O827+30)/0.5)+1)="","",INDEX(geo_grid!$B$2:$JU$231,INT(($N827+40)/0.5)+1,INT(($O827+30)/0.5)+1)),"OUTSIDE GRID"))</f>
        <v/>
      </c>
      <c r="Q827" t="str">
        <f t="shared" si="142"/>
        <v/>
      </c>
    </row>
    <row r="828" spans="1:17" x14ac:dyDescent="0.3">
      <c r="A828">
        <f t="shared" si="132"/>
        <v>6</v>
      </c>
      <c r="B828">
        <f t="shared" si="133"/>
        <v>71</v>
      </c>
      <c r="C828" t="str" cm="1">
        <f t="array" ref="C828">IFERROR(INDEX('TRIP MANAGER'!$O$18:$O$25,$A828),"")</f>
        <v/>
      </c>
      <c r="D828" t="str" cm="1">
        <f t="array" ref="D828">IFERROR(INDEX('TRIP MANAGER'!$P$18:$P$25,$A828),"")</f>
        <v/>
      </c>
      <c r="E828" t="str" cm="1">
        <f t="array" ref="E828">IFERROR(INDEX('TRIP MANAGER'!$Q$18:$Q$25,$A828),"")</f>
        <v/>
      </c>
      <c r="F828" t="str" cm="1">
        <f t="array" ref="F828">IFERROR(INDEX('TRIP MANAGER'!$R$18:$R$25,$A828),"")</f>
        <v/>
      </c>
      <c r="G828" t="str" cm="1">
        <f t="array" ref="G828">IFERROR(INDEX('TRIP MANAGER'!$S$18:$S$25,$A828),"")</f>
        <v/>
      </c>
      <c r="H828">
        <f t="shared" si="134"/>
        <v>0.47333333333333333</v>
      </c>
      <c r="I828" t="str">
        <f t="shared" si="135"/>
        <v/>
      </c>
      <c r="J828" t="str">
        <f t="shared" si="136"/>
        <v/>
      </c>
      <c r="K828" t="str">
        <f t="shared" si="137"/>
        <v/>
      </c>
      <c r="L828" t="str">
        <f t="shared" si="138"/>
        <v/>
      </c>
      <c r="M828" t="str">
        <f t="shared" si="139"/>
        <v/>
      </c>
      <c r="N828" t="str">
        <f t="shared" si="140"/>
        <v/>
      </c>
      <c r="O828" t="str">
        <f t="shared" si="141"/>
        <v/>
      </c>
      <c r="P828" t="str" cm="1">
        <f t="array" ref="P828">IF($N828="","",IFERROR(IF(INDEX(geo_grid!$B$2:$JU$231,INT(($N828+40)/0.5)+1,INT(($O828+30)/0.5)+1)="","",INDEX(geo_grid!$B$2:$JU$231,INT(($N828+40)/0.5)+1,INT(($O828+30)/0.5)+1)),"OUTSIDE GRID"))</f>
        <v/>
      </c>
      <c r="Q828" t="str">
        <f t="shared" si="142"/>
        <v/>
      </c>
    </row>
    <row r="829" spans="1:17" x14ac:dyDescent="0.3">
      <c r="A829">
        <f t="shared" si="132"/>
        <v>6</v>
      </c>
      <c r="B829">
        <f t="shared" si="133"/>
        <v>72</v>
      </c>
      <c r="C829" t="str" cm="1">
        <f t="array" ref="C829">IFERROR(INDEX('TRIP MANAGER'!$O$18:$O$25,$A829),"")</f>
        <v/>
      </c>
      <c r="D829" t="str" cm="1">
        <f t="array" ref="D829">IFERROR(INDEX('TRIP MANAGER'!$P$18:$P$25,$A829),"")</f>
        <v/>
      </c>
      <c r="E829" t="str" cm="1">
        <f t="array" ref="E829">IFERROR(INDEX('TRIP MANAGER'!$Q$18:$Q$25,$A829),"")</f>
        <v/>
      </c>
      <c r="F829" t="str" cm="1">
        <f t="array" ref="F829">IFERROR(INDEX('TRIP MANAGER'!$R$18:$R$25,$A829),"")</f>
        <v/>
      </c>
      <c r="G829" t="str" cm="1">
        <f t="array" ref="G829">IFERROR(INDEX('TRIP MANAGER'!$S$18:$S$25,$A829),"")</f>
        <v/>
      </c>
      <c r="H829">
        <f t="shared" si="134"/>
        <v>0.48</v>
      </c>
      <c r="I829" t="str">
        <f t="shared" si="135"/>
        <v/>
      </c>
      <c r="J829" t="str">
        <f t="shared" si="136"/>
        <v/>
      </c>
      <c r="K829" t="str">
        <f t="shared" si="137"/>
        <v/>
      </c>
      <c r="L829" t="str">
        <f t="shared" si="138"/>
        <v/>
      </c>
      <c r="M829" t="str">
        <f t="shared" si="139"/>
        <v/>
      </c>
      <c r="N829" t="str">
        <f t="shared" si="140"/>
        <v/>
      </c>
      <c r="O829" t="str">
        <f t="shared" si="141"/>
        <v/>
      </c>
      <c r="P829" t="str" cm="1">
        <f t="array" ref="P829">IF($N829="","",IFERROR(IF(INDEX(geo_grid!$B$2:$JU$231,INT(($N829+40)/0.5)+1,INT(($O829+30)/0.5)+1)="","",INDEX(geo_grid!$B$2:$JU$231,INT(($N829+40)/0.5)+1,INT(($O829+30)/0.5)+1)),"OUTSIDE GRID"))</f>
        <v/>
      </c>
      <c r="Q829" t="str">
        <f t="shared" si="142"/>
        <v/>
      </c>
    </row>
    <row r="830" spans="1:17" x14ac:dyDescent="0.3">
      <c r="A830">
        <f t="shared" si="132"/>
        <v>6</v>
      </c>
      <c r="B830">
        <f t="shared" si="133"/>
        <v>73</v>
      </c>
      <c r="C830" t="str" cm="1">
        <f t="array" ref="C830">IFERROR(INDEX('TRIP MANAGER'!$O$18:$O$25,$A830),"")</f>
        <v/>
      </c>
      <c r="D830" t="str" cm="1">
        <f t="array" ref="D830">IFERROR(INDEX('TRIP MANAGER'!$P$18:$P$25,$A830),"")</f>
        <v/>
      </c>
      <c r="E830" t="str" cm="1">
        <f t="array" ref="E830">IFERROR(INDEX('TRIP MANAGER'!$Q$18:$Q$25,$A830),"")</f>
        <v/>
      </c>
      <c r="F830" t="str" cm="1">
        <f t="array" ref="F830">IFERROR(INDEX('TRIP MANAGER'!$R$18:$R$25,$A830),"")</f>
        <v/>
      </c>
      <c r="G830" t="str" cm="1">
        <f t="array" ref="G830">IFERROR(INDEX('TRIP MANAGER'!$S$18:$S$25,$A830),"")</f>
        <v/>
      </c>
      <c r="H830">
        <f t="shared" si="134"/>
        <v>0.48666666666666669</v>
      </c>
      <c r="I830" t="str">
        <f t="shared" si="135"/>
        <v/>
      </c>
      <c r="J830" t="str">
        <f t="shared" si="136"/>
        <v/>
      </c>
      <c r="K830" t="str">
        <f t="shared" si="137"/>
        <v/>
      </c>
      <c r="L830" t="str">
        <f t="shared" si="138"/>
        <v/>
      </c>
      <c r="M830" t="str">
        <f t="shared" si="139"/>
        <v/>
      </c>
      <c r="N830" t="str">
        <f t="shared" si="140"/>
        <v/>
      </c>
      <c r="O830" t="str">
        <f t="shared" si="141"/>
        <v/>
      </c>
      <c r="P830" t="str" cm="1">
        <f t="array" ref="P830">IF($N830="","",IFERROR(IF(INDEX(geo_grid!$B$2:$JU$231,INT(($N830+40)/0.5)+1,INT(($O830+30)/0.5)+1)="","",INDEX(geo_grid!$B$2:$JU$231,INT(($N830+40)/0.5)+1,INT(($O830+30)/0.5)+1)),"OUTSIDE GRID"))</f>
        <v/>
      </c>
      <c r="Q830" t="str">
        <f t="shared" si="142"/>
        <v/>
      </c>
    </row>
    <row r="831" spans="1:17" x14ac:dyDescent="0.3">
      <c r="A831">
        <f t="shared" si="132"/>
        <v>6</v>
      </c>
      <c r="B831">
        <f t="shared" si="133"/>
        <v>74</v>
      </c>
      <c r="C831" t="str" cm="1">
        <f t="array" ref="C831">IFERROR(INDEX('TRIP MANAGER'!$O$18:$O$25,$A831),"")</f>
        <v/>
      </c>
      <c r="D831" t="str" cm="1">
        <f t="array" ref="D831">IFERROR(INDEX('TRIP MANAGER'!$P$18:$P$25,$A831),"")</f>
        <v/>
      </c>
      <c r="E831" t="str" cm="1">
        <f t="array" ref="E831">IFERROR(INDEX('TRIP MANAGER'!$Q$18:$Q$25,$A831),"")</f>
        <v/>
      </c>
      <c r="F831" t="str" cm="1">
        <f t="array" ref="F831">IFERROR(INDEX('TRIP MANAGER'!$R$18:$R$25,$A831),"")</f>
        <v/>
      </c>
      <c r="G831" t="str" cm="1">
        <f t="array" ref="G831">IFERROR(INDEX('TRIP MANAGER'!$S$18:$S$25,$A831),"")</f>
        <v/>
      </c>
      <c r="H831">
        <f t="shared" si="134"/>
        <v>0.49333333333333335</v>
      </c>
      <c r="I831" t="str">
        <f t="shared" si="135"/>
        <v/>
      </c>
      <c r="J831" t="str">
        <f t="shared" si="136"/>
        <v/>
      </c>
      <c r="K831" t="str">
        <f t="shared" si="137"/>
        <v/>
      </c>
      <c r="L831" t="str">
        <f t="shared" si="138"/>
        <v/>
      </c>
      <c r="M831" t="str">
        <f t="shared" si="139"/>
        <v/>
      </c>
      <c r="N831" t="str">
        <f t="shared" si="140"/>
        <v/>
      </c>
      <c r="O831" t="str">
        <f t="shared" si="141"/>
        <v/>
      </c>
      <c r="P831" t="str" cm="1">
        <f t="array" ref="P831">IF($N831="","",IFERROR(IF(INDEX(geo_grid!$B$2:$JU$231,INT(($N831+40)/0.5)+1,INT(($O831+30)/0.5)+1)="","",INDEX(geo_grid!$B$2:$JU$231,INT(($N831+40)/0.5)+1,INT(($O831+30)/0.5)+1)),"OUTSIDE GRID"))</f>
        <v/>
      </c>
      <c r="Q831" t="str">
        <f t="shared" si="142"/>
        <v/>
      </c>
    </row>
    <row r="832" spans="1:17" x14ac:dyDescent="0.3">
      <c r="A832">
        <f t="shared" si="132"/>
        <v>6</v>
      </c>
      <c r="B832">
        <f t="shared" si="133"/>
        <v>75</v>
      </c>
      <c r="C832" t="str" cm="1">
        <f t="array" ref="C832">IFERROR(INDEX('TRIP MANAGER'!$O$18:$O$25,$A832),"")</f>
        <v/>
      </c>
      <c r="D832" t="str" cm="1">
        <f t="array" ref="D832">IFERROR(INDEX('TRIP MANAGER'!$P$18:$P$25,$A832),"")</f>
        <v/>
      </c>
      <c r="E832" t="str" cm="1">
        <f t="array" ref="E832">IFERROR(INDEX('TRIP MANAGER'!$Q$18:$Q$25,$A832),"")</f>
        <v/>
      </c>
      <c r="F832" t="str" cm="1">
        <f t="array" ref="F832">IFERROR(INDEX('TRIP MANAGER'!$R$18:$R$25,$A832),"")</f>
        <v/>
      </c>
      <c r="G832" t="str" cm="1">
        <f t="array" ref="G832">IFERROR(INDEX('TRIP MANAGER'!$S$18:$S$25,$A832),"")</f>
        <v/>
      </c>
      <c r="H832">
        <f t="shared" si="134"/>
        <v>0.5</v>
      </c>
      <c r="I832" t="str">
        <f t="shared" si="135"/>
        <v/>
      </c>
      <c r="J832" t="str">
        <f t="shared" si="136"/>
        <v/>
      </c>
      <c r="K832" t="str">
        <f t="shared" si="137"/>
        <v/>
      </c>
      <c r="L832" t="str">
        <f t="shared" si="138"/>
        <v/>
      </c>
      <c r="M832" t="str">
        <f t="shared" si="139"/>
        <v/>
      </c>
      <c r="N832" t="str">
        <f t="shared" si="140"/>
        <v/>
      </c>
      <c r="O832" t="str">
        <f t="shared" si="141"/>
        <v/>
      </c>
      <c r="P832" t="str" cm="1">
        <f t="array" ref="P832">IF($N832="","",IFERROR(IF(INDEX(geo_grid!$B$2:$JU$231,INT(($N832+40)/0.5)+1,INT(($O832+30)/0.5)+1)="","",INDEX(geo_grid!$B$2:$JU$231,INT(($N832+40)/0.5)+1,INT(($O832+30)/0.5)+1)),"OUTSIDE GRID"))</f>
        <v/>
      </c>
      <c r="Q832" t="str">
        <f t="shared" si="142"/>
        <v/>
      </c>
    </row>
    <row r="833" spans="1:17" x14ac:dyDescent="0.3">
      <c r="A833">
        <f t="shared" si="132"/>
        <v>6</v>
      </c>
      <c r="B833">
        <f t="shared" si="133"/>
        <v>76</v>
      </c>
      <c r="C833" t="str" cm="1">
        <f t="array" ref="C833">IFERROR(INDEX('TRIP MANAGER'!$O$18:$O$25,$A833),"")</f>
        <v/>
      </c>
      <c r="D833" t="str" cm="1">
        <f t="array" ref="D833">IFERROR(INDEX('TRIP MANAGER'!$P$18:$P$25,$A833),"")</f>
        <v/>
      </c>
      <c r="E833" t="str" cm="1">
        <f t="array" ref="E833">IFERROR(INDEX('TRIP MANAGER'!$Q$18:$Q$25,$A833),"")</f>
        <v/>
      </c>
      <c r="F833" t="str" cm="1">
        <f t="array" ref="F833">IFERROR(INDEX('TRIP MANAGER'!$R$18:$R$25,$A833),"")</f>
        <v/>
      </c>
      <c r="G833" t="str" cm="1">
        <f t="array" ref="G833">IFERROR(INDEX('TRIP MANAGER'!$S$18:$S$25,$A833),"")</f>
        <v/>
      </c>
      <c r="H833">
        <f t="shared" si="134"/>
        <v>0.50666666666666671</v>
      </c>
      <c r="I833" t="str">
        <f t="shared" si="135"/>
        <v/>
      </c>
      <c r="J833" t="str">
        <f t="shared" si="136"/>
        <v/>
      </c>
      <c r="K833" t="str">
        <f t="shared" si="137"/>
        <v/>
      </c>
      <c r="L833" t="str">
        <f t="shared" si="138"/>
        <v/>
      </c>
      <c r="M833" t="str">
        <f t="shared" si="139"/>
        <v/>
      </c>
      <c r="N833" t="str">
        <f t="shared" si="140"/>
        <v/>
      </c>
      <c r="O833" t="str">
        <f t="shared" si="141"/>
        <v/>
      </c>
      <c r="P833" t="str" cm="1">
        <f t="array" ref="P833">IF($N833="","",IFERROR(IF(INDEX(geo_grid!$B$2:$JU$231,INT(($N833+40)/0.5)+1,INT(($O833+30)/0.5)+1)="","",INDEX(geo_grid!$B$2:$JU$231,INT(($N833+40)/0.5)+1,INT(($O833+30)/0.5)+1)),"OUTSIDE GRID"))</f>
        <v/>
      </c>
      <c r="Q833" t="str">
        <f t="shared" si="142"/>
        <v/>
      </c>
    </row>
    <row r="834" spans="1:17" x14ac:dyDescent="0.3">
      <c r="A834">
        <f t="shared" si="132"/>
        <v>6</v>
      </c>
      <c r="B834">
        <f t="shared" si="133"/>
        <v>77</v>
      </c>
      <c r="C834" t="str" cm="1">
        <f t="array" ref="C834">IFERROR(INDEX('TRIP MANAGER'!$O$18:$O$25,$A834),"")</f>
        <v/>
      </c>
      <c r="D834" t="str" cm="1">
        <f t="array" ref="D834">IFERROR(INDEX('TRIP MANAGER'!$P$18:$P$25,$A834),"")</f>
        <v/>
      </c>
      <c r="E834" t="str" cm="1">
        <f t="array" ref="E834">IFERROR(INDEX('TRIP MANAGER'!$Q$18:$Q$25,$A834),"")</f>
        <v/>
      </c>
      <c r="F834" t="str" cm="1">
        <f t="array" ref="F834">IFERROR(INDEX('TRIP MANAGER'!$R$18:$R$25,$A834),"")</f>
        <v/>
      </c>
      <c r="G834" t="str" cm="1">
        <f t="array" ref="G834">IFERROR(INDEX('TRIP MANAGER'!$S$18:$S$25,$A834),"")</f>
        <v/>
      </c>
      <c r="H834">
        <f t="shared" si="134"/>
        <v>0.51333333333333331</v>
      </c>
      <c r="I834" t="str">
        <f t="shared" si="135"/>
        <v/>
      </c>
      <c r="J834" t="str">
        <f t="shared" si="136"/>
        <v/>
      </c>
      <c r="K834" t="str">
        <f t="shared" si="137"/>
        <v/>
      </c>
      <c r="L834" t="str">
        <f t="shared" si="138"/>
        <v/>
      </c>
      <c r="M834" t="str">
        <f t="shared" si="139"/>
        <v/>
      </c>
      <c r="N834" t="str">
        <f t="shared" si="140"/>
        <v/>
      </c>
      <c r="O834" t="str">
        <f t="shared" si="141"/>
        <v/>
      </c>
      <c r="P834" t="str" cm="1">
        <f t="array" ref="P834">IF($N834="","",IFERROR(IF(INDEX(geo_grid!$B$2:$JU$231,INT(($N834+40)/0.5)+1,INT(($O834+30)/0.5)+1)="","",INDEX(geo_grid!$B$2:$JU$231,INT(($N834+40)/0.5)+1,INT(($O834+30)/0.5)+1)),"OUTSIDE GRID"))</f>
        <v/>
      </c>
      <c r="Q834" t="str">
        <f t="shared" si="142"/>
        <v/>
      </c>
    </row>
    <row r="835" spans="1:17" x14ac:dyDescent="0.3">
      <c r="A835">
        <f t="shared" ref="A835:A898" si="143">INT((ROW()-2)/151)+1</f>
        <v>6</v>
      </c>
      <c r="B835">
        <f t="shared" ref="B835:B898" si="144">MOD(ROW()-2,151)</f>
        <v>78</v>
      </c>
      <c r="C835" t="str" cm="1">
        <f t="array" ref="C835">IFERROR(INDEX('TRIP MANAGER'!$O$18:$O$25,$A835),"")</f>
        <v/>
      </c>
      <c r="D835" t="str" cm="1">
        <f t="array" ref="D835">IFERROR(INDEX('TRIP MANAGER'!$P$18:$P$25,$A835),"")</f>
        <v/>
      </c>
      <c r="E835" t="str" cm="1">
        <f t="array" ref="E835">IFERROR(INDEX('TRIP MANAGER'!$Q$18:$Q$25,$A835),"")</f>
        <v/>
      </c>
      <c r="F835" t="str" cm="1">
        <f t="array" ref="F835">IFERROR(INDEX('TRIP MANAGER'!$R$18:$R$25,$A835),"")</f>
        <v/>
      </c>
      <c r="G835" t="str" cm="1">
        <f t="array" ref="G835">IFERROR(INDEX('TRIP MANAGER'!$S$18:$S$25,$A835),"")</f>
        <v/>
      </c>
      <c r="H835">
        <f t="shared" ref="H835:H898" si="145">$B835/150</f>
        <v>0.52</v>
      </c>
      <c r="I835" t="str">
        <f t="shared" ref="I835:I898" si="146">IF(OR($G835="",$G835=0),"",SIN((1-$H835)*$G835)/SIN($G835))</f>
        <v/>
      </c>
      <c r="J835" t="str">
        <f t="shared" ref="J835:J898" si="147">IF($I835="","",SIN($H835*$G835)/SIN($G835))</f>
        <v/>
      </c>
      <c r="K835" t="str">
        <f t="shared" ref="K835:K898" si="148">IF($I835="","",$I835*COS(RADIANS($C835))*COS(RADIANS($D835))+$J835*COS(RADIANS($E835))*COS(RADIANS($F835)))</f>
        <v/>
      </c>
      <c r="L835" t="str">
        <f t="shared" ref="L835:L898" si="149">IF($I835="","",$I835*COS(RADIANS($C835))*SIN(RADIANS($D835))+$J835*COS(RADIANS($E835))*SIN(RADIANS($F835)))</f>
        <v/>
      </c>
      <c r="M835" t="str">
        <f t="shared" ref="M835:M898" si="150">IF($I835="","",$I835*SIN(RADIANS($C835))+$J835*SIN(RADIANS($E835)))</f>
        <v/>
      </c>
      <c r="N835" t="str">
        <f t="shared" ref="N835:N898" si="151">IF($M835="","",DEGREES(ATAN2(SQRT($K835^2+$L835^2),$M835)))</f>
        <v/>
      </c>
      <c r="O835" t="str">
        <f t="shared" ref="O835:O898" si="152">IF($M835="","",DEGREES(ATAN2($K835,$L835)))</f>
        <v/>
      </c>
      <c r="P835" t="str" cm="1">
        <f t="array" ref="P835">IF($N835="","",IFERROR(IF(INDEX(geo_grid!$B$2:$JU$231,INT(($N835+40)/0.5)+1,INT(($O835+30)/0.5)+1)="","",INDEX(geo_grid!$B$2:$JU$231,INT(($N835+40)/0.5)+1,INT(($O835+30)/0.5)+1)),"OUTSIDE GRID"))</f>
        <v/>
      </c>
      <c r="Q835" t="str">
        <f t="shared" ref="Q835:Q898" si="153">IF($P835="","",$A835*1000+$B835)</f>
        <v/>
      </c>
    </row>
    <row r="836" spans="1:17" x14ac:dyDescent="0.3">
      <c r="A836">
        <f t="shared" si="143"/>
        <v>6</v>
      </c>
      <c r="B836">
        <f t="shared" si="144"/>
        <v>79</v>
      </c>
      <c r="C836" t="str" cm="1">
        <f t="array" ref="C836">IFERROR(INDEX('TRIP MANAGER'!$O$18:$O$25,$A836),"")</f>
        <v/>
      </c>
      <c r="D836" t="str" cm="1">
        <f t="array" ref="D836">IFERROR(INDEX('TRIP MANAGER'!$P$18:$P$25,$A836),"")</f>
        <v/>
      </c>
      <c r="E836" t="str" cm="1">
        <f t="array" ref="E836">IFERROR(INDEX('TRIP MANAGER'!$Q$18:$Q$25,$A836),"")</f>
        <v/>
      </c>
      <c r="F836" t="str" cm="1">
        <f t="array" ref="F836">IFERROR(INDEX('TRIP MANAGER'!$R$18:$R$25,$A836),"")</f>
        <v/>
      </c>
      <c r="G836" t="str" cm="1">
        <f t="array" ref="G836">IFERROR(INDEX('TRIP MANAGER'!$S$18:$S$25,$A836),"")</f>
        <v/>
      </c>
      <c r="H836">
        <f t="shared" si="145"/>
        <v>0.52666666666666662</v>
      </c>
      <c r="I836" t="str">
        <f t="shared" si="146"/>
        <v/>
      </c>
      <c r="J836" t="str">
        <f t="shared" si="147"/>
        <v/>
      </c>
      <c r="K836" t="str">
        <f t="shared" si="148"/>
        <v/>
      </c>
      <c r="L836" t="str">
        <f t="shared" si="149"/>
        <v/>
      </c>
      <c r="M836" t="str">
        <f t="shared" si="150"/>
        <v/>
      </c>
      <c r="N836" t="str">
        <f t="shared" si="151"/>
        <v/>
      </c>
      <c r="O836" t="str">
        <f t="shared" si="152"/>
        <v/>
      </c>
      <c r="P836" t="str" cm="1">
        <f t="array" ref="P836">IF($N836="","",IFERROR(IF(INDEX(geo_grid!$B$2:$JU$231,INT(($N836+40)/0.5)+1,INT(($O836+30)/0.5)+1)="","",INDEX(geo_grid!$B$2:$JU$231,INT(($N836+40)/0.5)+1,INT(($O836+30)/0.5)+1)),"OUTSIDE GRID"))</f>
        <v/>
      </c>
      <c r="Q836" t="str">
        <f t="shared" si="153"/>
        <v/>
      </c>
    </row>
    <row r="837" spans="1:17" x14ac:dyDescent="0.3">
      <c r="A837">
        <f t="shared" si="143"/>
        <v>6</v>
      </c>
      <c r="B837">
        <f t="shared" si="144"/>
        <v>80</v>
      </c>
      <c r="C837" t="str" cm="1">
        <f t="array" ref="C837">IFERROR(INDEX('TRIP MANAGER'!$O$18:$O$25,$A837),"")</f>
        <v/>
      </c>
      <c r="D837" t="str" cm="1">
        <f t="array" ref="D837">IFERROR(INDEX('TRIP MANAGER'!$P$18:$P$25,$A837),"")</f>
        <v/>
      </c>
      <c r="E837" t="str" cm="1">
        <f t="array" ref="E837">IFERROR(INDEX('TRIP MANAGER'!$Q$18:$Q$25,$A837),"")</f>
        <v/>
      </c>
      <c r="F837" t="str" cm="1">
        <f t="array" ref="F837">IFERROR(INDEX('TRIP MANAGER'!$R$18:$R$25,$A837),"")</f>
        <v/>
      </c>
      <c r="G837" t="str" cm="1">
        <f t="array" ref="G837">IFERROR(INDEX('TRIP MANAGER'!$S$18:$S$25,$A837),"")</f>
        <v/>
      </c>
      <c r="H837">
        <f t="shared" si="145"/>
        <v>0.53333333333333333</v>
      </c>
      <c r="I837" t="str">
        <f t="shared" si="146"/>
        <v/>
      </c>
      <c r="J837" t="str">
        <f t="shared" si="147"/>
        <v/>
      </c>
      <c r="K837" t="str">
        <f t="shared" si="148"/>
        <v/>
      </c>
      <c r="L837" t="str">
        <f t="shared" si="149"/>
        <v/>
      </c>
      <c r="M837" t="str">
        <f t="shared" si="150"/>
        <v/>
      </c>
      <c r="N837" t="str">
        <f t="shared" si="151"/>
        <v/>
      </c>
      <c r="O837" t="str">
        <f t="shared" si="152"/>
        <v/>
      </c>
      <c r="P837" t="str" cm="1">
        <f t="array" ref="P837">IF($N837="","",IFERROR(IF(INDEX(geo_grid!$B$2:$JU$231,INT(($N837+40)/0.5)+1,INT(($O837+30)/0.5)+1)="","",INDEX(geo_grid!$B$2:$JU$231,INT(($N837+40)/0.5)+1,INT(($O837+30)/0.5)+1)),"OUTSIDE GRID"))</f>
        <v/>
      </c>
      <c r="Q837" t="str">
        <f t="shared" si="153"/>
        <v/>
      </c>
    </row>
    <row r="838" spans="1:17" x14ac:dyDescent="0.3">
      <c r="A838">
        <f t="shared" si="143"/>
        <v>6</v>
      </c>
      <c r="B838">
        <f t="shared" si="144"/>
        <v>81</v>
      </c>
      <c r="C838" t="str" cm="1">
        <f t="array" ref="C838">IFERROR(INDEX('TRIP MANAGER'!$O$18:$O$25,$A838),"")</f>
        <v/>
      </c>
      <c r="D838" t="str" cm="1">
        <f t="array" ref="D838">IFERROR(INDEX('TRIP MANAGER'!$P$18:$P$25,$A838),"")</f>
        <v/>
      </c>
      <c r="E838" t="str" cm="1">
        <f t="array" ref="E838">IFERROR(INDEX('TRIP MANAGER'!$Q$18:$Q$25,$A838),"")</f>
        <v/>
      </c>
      <c r="F838" t="str" cm="1">
        <f t="array" ref="F838">IFERROR(INDEX('TRIP MANAGER'!$R$18:$R$25,$A838),"")</f>
        <v/>
      </c>
      <c r="G838" t="str" cm="1">
        <f t="array" ref="G838">IFERROR(INDEX('TRIP MANAGER'!$S$18:$S$25,$A838),"")</f>
        <v/>
      </c>
      <c r="H838">
        <f t="shared" si="145"/>
        <v>0.54</v>
      </c>
      <c r="I838" t="str">
        <f t="shared" si="146"/>
        <v/>
      </c>
      <c r="J838" t="str">
        <f t="shared" si="147"/>
        <v/>
      </c>
      <c r="K838" t="str">
        <f t="shared" si="148"/>
        <v/>
      </c>
      <c r="L838" t="str">
        <f t="shared" si="149"/>
        <v/>
      </c>
      <c r="M838" t="str">
        <f t="shared" si="150"/>
        <v/>
      </c>
      <c r="N838" t="str">
        <f t="shared" si="151"/>
        <v/>
      </c>
      <c r="O838" t="str">
        <f t="shared" si="152"/>
        <v/>
      </c>
      <c r="P838" t="str" cm="1">
        <f t="array" ref="P838">IF($N838="","",IFERROR(IF(INDEX(geo_grid!$B$2:$JU$231,INT(($N838+40)/0.5)+1,INT(($O838+30)/0.5)+1)="","",INDEX(geo_grid!$B$2:$JU$231,INT(($N838+40)/0.5)+1,INT(($O838+30)/0.5)+1)),"OUTSIDE GRID"))</f>
        <v/>
      </c>
      <c r="Q838" t="str">
        <f t="shared" si="153"/>
        <v/>
      </c>
    </row>
    <row r="839" spans="1:17" x14ac:dyDescent="0.3">
      <c r="A839">
        <f t="shared" si="143"/>
        <v>6</v>
      </c>
      <c r="B839">
        <f t="shared" si="144"/>
        <v>82</v>
      </c>
      <c r="C839" t="str" cm="1">
        <f t="array" ref="C839">IFERROR(INDEX('TRIP MANAGER'!$O$18:$O$25,$A839),"")</f>
        <v/>
      </c>
      <c r="D839" t="str" cm="1">
        <f t="array" ref="D839">IFERROR(INDEX('TRIP MANAGER'!$P$18:$P$25,$A839),"")</f>
        <v/>
      </c>
      <c r="E839" t="str" cm="1">
        <f t="array" ref="E839">IFERROR(INDEX('TRIP MANAGER'!$Q$18:$Q$25,$A839),"")</f>
        <v/>
      </c>
      <c r="F839" t="str" cm="1">
        <f t="array" ref="F839">IFERROR(INDEX('TRIP MANAGER'!$R$18:$R$25,$A839),"")</f>
        <v/>
      </c>
      <c r="G839" t="str" cm="1">
        <f t="array" ref="G839">IFERROR(INDEX('TRIP MANAGER'!$S$18:$S$25,$A839),"")</f>
        <v/>
      </c>
      <c r="H839">
        <f t="shared" si="145"/>
        <v>0.54666666666666663</v>
      </c>
      <c r="I839" t="str">
        <f t="shared" si="146"/>
        <v/>
      </c>
      <c r="J839" t="str">
        <f t="shared" si="147"/>
        <v/>
      </c>
      <c r="K839" t="str">
        <f t="shared" si="148"/>
        <v/>
      </c>
      <c r="L839" t="str">
        <f t="shared" si="149"/>
        <v/>
      </c>
      <c r="M839" t="str">
        <f t="shared" si="150"/>
        <v/>
      </c>
      <c r="N839" t="str">
        <f t="shared" si="151"/>
        <v/>
      </c>
      <c r="O839" t="str">
        <f t="shared" si="152"/>
        <v/>
      </c>
      <c r="P839" t="str" cm="1">
        <f t="array" ref="P839">IF($N839="","",IFERROR(IF(INDEX(geo_grid!$B$2:$JU$231,INT(($N839+40)/0.5)+1,INT(($O839+30)/0.5)+1)="","",INDEX(geo_grid!$B$2:$JU$231,INT(($N839+40)/0.5)+1,INT(($O839+30)/0.5)+1)),"OUTSIDE GRID"))</f>
        <v/>
      </c>
      <c r="Q839" t="str">
        <f t="shared" si="153"/>
        <v/>
      </c>
    </row>
    <row r="840" spans="1:17" x14ac:dyDescent="0.3">
      <c r="A840">
        <f t="shared" si="143"/>
        <v>6</v>
      </c>
      <c r="B840">
        <f t="shared" si="144"/>
        <v>83</v>
      </c>
      <c r="C840" t="str" cm="1">
        <f t="array" ref="C840">IFERROR(INDEX('TRIP MANAGER'!$O$18:$O$25,$A840),"")</f>
        <v/>
      </c>
      <c r="D840" t="str" cm="1">
        <f t="array" ref="D840">IFERROR(INDEX('TRIP MANAGER'!$P$18:$P$25,$A840),"")</f>
        <v/>
      </c>
      <c r="E840" t="str" cm="1">
        <f t="array" ref="E840">IFERROR(INDEX('TRIP MANAGER'!$Q$18:$Q$25,$A840),"")</f>
        <v/>
      </c>
      <c r="F840" t="str" cm="1">
        <f t="array" ref="F840">IFERROR(INDEX('TRIP MANAGER'!$R$18:$R$25,$A840),"")</f>
        <v/>
      </c>
      <c r="G840" t="str" cm="1">
        <f t="array" ref="G840">IFERROR(INDEX('TRIP MANAGER'!$S$18:$S$25,$A840),"")</f>
        <v/>
      </c>
      <c r="H840">
        <f t="shared" si="145"/>
        <v>0.55333333333333334</v>
      </c>
      <c r="I840" t="str">
        <f t="shared" si="146"/>
        <v/>
      </c>
      <c r="J840" t="str">
        <f t="shared" si="147"/>
        <v/>
      </c>
      <c r="K840" t="str">
        <f t="shared" si="148"/>
        <v/>
      </c>
      <c r="L840" t="str">
        <f t="shared" si="149"/>
        <v/>
      </c>
      <c r="M840" t="str">
        <f t="shared" si="150"/>
        <v/>
      </c>
      <c r="N840" t="str">
        <f t="shared" si="151"/>
        <v/>
      </c>
      <c r="O840" t="str">
        <f t="shared" si="152"/>
        <v/>
      </c>
      <c r="P840" t="str" cm="1">
        <f t="array" ref="P840">IF($N840="","",IFERROR(IF(INDEX(geo_grid!$B$2:$JU$231,INT(($N840+40)/0.5)+1,INT(($O840+30)/0.5)+1)="","",INDEX(geo_grid!$B$2:$JU$231,INT(($N840+40)/0.5)+1,INT(($O840+30)/0.5)+1)),"OUTSIDE GRID"))</f>
        <v/>
      </c>
      <c r="Q840" t="str">
        <f t="shared" si="153"/>
        <v/>
      </c>
    </row>
    <row r="841" spans="1:17" x14ac:dyDescent="0.3">
      <c r="A841">
        <f t="shared" si="143"/>
        <v>6</v>
      </c>
      <c r="B841">
        <f t="shared" si="144"/>
        <v>84</v>
      </c>
      <c r="C841" t="str" cm="1">
        <f t="array" ref="C841">IFERROR(INDEX('TRIP MANAGER'!$O$18:$O$25,$A841),"")</f>
        <v/>
      </c>
      <c r="D841" t="str" cm="1">
        <f t="array" ref="D841">IFERROR(INDEX('TRIP MANAGER'!$P$18:$P$25,$A841),"")</f>
        <v/>
      </c>
      <c r="E841" t="str" cm="1">
        <f t="array" ref="E841">IFERROR(INDEX('TRIP MANAGER'!$Q$18:$Q$25,$A841),"")</f>
        <v/>
      </c>
      <c r="F841" t="str" cm="1">
        <f t="array" ref="F841">IFERROR(INDEX('TRIP MANAGER'!$R$18:$R$25,$A841),"")</f>
        <v/>
      </c>
      <c r="G841" t="str" cm="1">
        <f t="array" ref="G841">IFERROR(INDEX('TRIP MANAGER'!$S$18:$S$25,$A841),"")</f>
        <v/>
      </c>
      <c r="H841">
        <f t="shared" si="145"/>
        <v>0.56000000000000005</v>
      </c>
      <c r="I841" t="str">
        <f t="shared" si="146"/>
        <v/>
      </c>
      <c r="J841" t="str">
        <f t="shared" si="147"/>
        <v/>
      </c>
      <c r="K841" t="str">
        <f t="shared" si="148"/>
        <v/>
      </c>
      <c r="L841" t="str">
        <f t="shared" si="149"/>
        <v/>
      </c>
      <c r="M841" t="str">
        <f t="shared" si="150"/>
        <v/>
      </c>
      <c r="N841" t="str">
        <f t="shared" si="151"/>
        <v/>
      </c>
      <c r="O841" t="str">
        <f t="shared" si="152"/>
        <v/>
      </c>
      <c r="P841" t="str" cm="1">
        <f t="array" ref="P841">IF($N841="","",IFERROR(IF(INDEX(geo_grid!$B$2:$JU$231,INT(($N841+40)/0.5)+1,INT(($O841+30)/0.5)+1)="","",INDEX(geo_grid!$B$2:$JU$231,INT(($N841+40)/0.5)+1,INT(($O841+30)/0.5)+1)),"OUTSIDE GRID"))</f>
        <v/>
      </c>
      <c r="Q841" t="str">
        <f t="shared" si="153"/>
        <v/>
      </c>
    </row>
    <row r="842" spans="1:17" x14ac:dyDescent="0.3">
      <c r="A842">
        <f t="shared" si="143"/>
        <v>6</v>
      </c>
      <c r="B842">
        <f t="shared" si="144"/>
        <v>85</v>
      </c>
      <c r="C842" t="str" cm="1">
        <f t="array" ref="C842">IFERROR(INDEX('TRIP MANAGER'!$O$18:$O$25,$A842),"")</f>
        <v/>
      </c>
      <c r="D842" t="str" cm="1">
        <f t="array" ref="D842">IFERROR(INDEX('TRIP MANAGER'!$P$18:$P$25,$A842),"")</f>
        <v/>
      </c>
      <c r="E842" t="str" cm="1">
        <f t="array" ref="E842">IFERROR(INDEX('TRIP MANAGER'!$Q$18:$Q$25,$A842),"")</f>
        <v/>
      </c>
      <c r="F842" t="str" cm="1">
        <f t="array" ref="F842">IFERROR(INDEX('TRIP MANAGER'!$R$18:$R$25,$A842),"")</f>
        <v/>
      </c>
      <c r="G842" t="str" cm="1">
        <f t="array" ref="G842">IFERROR(INDEX('TRIP MANAGER'!$S$18:$S$25,$A842),"")</f>
        <v/>
      </c>
      <c r="H842">
        <f t="shared" si="145"/>
        <v>0.56666666666666665</v>
      </c>
      <c r="I842" t="str">
        <f t="shared" si="146"/>
        <v/>
      </c>
      <c r="J842" t="str">
        <f t="shared" si="147"/>
        <v/>
      </c>
      <c r="K842" t="str">
        <f t="shared" si="148"/>
        <v/>
      </c>
      <c r="L842" t="str">
        <f t="shared" si="149"/>
        <v/>
      </c>
      <c r="M842" t="str">
        <f t="shared" si="150"/>
        <v/>
      </c>
      <c r="N842" t="str">
        <f t="shared" si="151"/>
        <v/>
      </c>
      <c r="O842" t="str">
        <f t="shared" si="152"/>
        <v/>
      </c>
      <c r="P842" t="str" cm="1">
        <f t="array" ref="P842">IF($N842="","",IFERROR(IF(INDEX(geo_grid!$B$2:$JU$231,INT(($N842+40)/0.5)+1,INT(($O842+30)/0.5)+1)="","",INDEX(geo_grid!$B$2:$JU$231,INT(($N842+40)/0.5)+1,INT(($O842+30)/0.5)+1)),"OUTSIDE GRID"))</f>
        <v/>
      </c>
      <c r="Q842" t="str">
        <f t="shared" si="153"/>
        <v/>
      </c>
    </row>
    <row r="843" spans="1:17" x14ac:dyDescent="0.3">
      <c r="A843">
        <f t="shared" si="143"/>
        <v>6</v>
      </c>
      <c r="B843">
        <f t="shared" si="144"/>
        <v>86</v>
      </c>
      <c r="C843" t="str" cm="1">
        <f t="array" ref="C843">IFERROR(INDEX('TRIP MANAGER'!$O$18:$O$25,$A843),"")</f>
        <v/>
      </c>
      <c r="D843" t="str" cm="1">
        <f t="array" ref="D843">IFERROR(INDEX('TRIP MANAGER'!$P$18:$P$25,$A843),"")</f>
        <v/>
      </c>
      <c r="E843" t="str" cm="1">
        <f t="array" ref="E843">IFERROR(INDEX('TRIP MANAGER'!$Q$18:$Q$25,$A843),"")</f>
        <v/>
      </c>
      <c r="F843" t="str" cm="1">
        <f t="array" ref="F843">IFERROR(INDEX('TRIP MANAGER'!$R$18:$R$25,$A843),"")</f>
        <v/>
      </c>
      <c r="G843" t="str" cm="1">
        <f t="array" ref="G843">IFERROR(INDEX('TRIP MANAGER'!$S$18:$S$25,$A843),"")</f>
        <v/>
      </c>
      <c r="H843">
        <f t="shared" si="145"/>
        <v>0.57333333333333336</v>
      </c>
      <c r="I843" t="str">
        <f t="shared" si="146"/>
        <v/>
      </c>
      <c r="J843" t="str">
        <f t="shared" si="147"/>
        <v/>
      </c>
      <c r="K843" t="str">
        <f t="shared" si="148"/>
        <v/>
      </c>
      <c r="L843" t="str">
        <f t="shared" si="149"/>
        <v/>
      </c>
      <c r="M843" t="str">
        <f t="shared" si="150"/>
        <v/>
      </c>
      <c r="N843" t="str">
        <f t="shared" si="151"/>
        <v/>
      </c>
      <c r="O843" t="str">
        <f t="shared" si="152"/>
        <v/>
      </c>
      <c r="P843" t="str" cm="1">
        <f t="array" ref="P843">IF($N843="","",IFERROR(IF(INDEX(geo_grid!$B$2:$JU$231,INT(($N843+40)/0.5)+1,INT(($O843+30)/0.5)+1)="","",INDEX(geo_grid!$B$2:$JU$231,INT(($N843+40)/0.5)+1,INT(($O843+30)/0.5)+1)),"OUTSIDE GRID"))</f>
        <v/>
      </c>
      <c r="Q843" t="str">
        <f t="shared" si="153"/>
        <v/>
      </c>
    </row>
    <row r="844" spans="1:17" x14ac:dyDescent="0.3">
      <c r="A844">
        <f t="shared" si="143"/>
        <v>6</v>
      </c>
      <c r="B844">
        <f t="shared" si="144"/>
        <v>87</v>
      </c>
      <c r="C844" t="str" cm="1">
        <f t="array" ref="C844">IFERROR(INDEX('TRIP MANAGER'!$O$18:$O$25,$A844),"")</f>
        <v/>
      </c>
      <c r="D844" t="str" cm="1">
        <f t="array" ref="D844">IFERROR(INDEX('TRIP MANAGER'!$P$18:$P$25,$A844),"")</f>
        <v/>
      </c>
      <c r="E844" t="str" cm="1">
        <f t="array" ref="E844">IFERROR(INDEX('TRIP MANAGER'!$Q$18:$Q$25,$A844),"")</f>
        <v/>
      </c>
      <c r="F844" t="str" cm="1">
        <f t="array" ref="F844">IFERROR(INDEX('TRIP MANAGER'!$R$18:$R$25,$A844),"")</f>
        <v/>
      </c>
      <c r="G844" t="str" cm="1">
        <f t="array" ref="G844">IFERROR(INDEX('TRIP MANAGER'!$S$18:$S$25,$A844),"")</f>
        <v/>
      </c>
      <c r="H844">
        <f t="shared" si="145"/>
        <v>0.57999999999999996</v>
      </c>
      <c r="I844" t="str">
        <f t="shared" si="146"/>
        <v/>
      </c>
      <c r="J844" t="str">
        <f t="shared" si="147"/>
        <v/>
      </c>
      <c r="K844" t="str">
        <f t="shared" si="148"/>
        <v/>
      </c>
      <c r="L844" t="str">
        <f t="shared" si="149"/>
        <v/>
      </c>
      <c r="M844" t="str">
        <f t="shared" si="150"/>
        <v/>
      </c>
      <c r="N844" t="str">
        <f t="shared" si="151"/>
        <v/>
      </c>
      <c r="O844" t="str">
        <f t="shared" si="152"/>
        <v/>
      </c>
      <c r="P844" t="str" cm="1">
        <f t="array" ref="P844">IF($N844="","",IFERROR(IF(INDEX(geo_grid!$B$2:$JU$231,INT(($N844+40)/0.5)+1,INT(($O844+30)/0.5)+1)="","",INDEX(geo_grid!$B$2:$JU$231,INT(($N844+40)/0.5)+1,INT(($O844+30)/0.5)+1)),"OUTSIDE GRID"))</f>
        <v/>
      </c>
      <c r="Q844" t="str">
        <f t="shared" si="153"/>
        <v/>
      </c>
    </row>
    <row r="845" spans="1:17" x14ac:dyDescent="0.3">
      <c r="A845">
        <f t="shared" si="143"/>
        <v>6</v>
      </c>
      <c r="B845">
        <f t="shared" si="144"/>
        <v>88</v>
      </c>
      <c r="C845" t="str" cm="1">
        <f t="array" ref="C845">IFERROR(INDEX('TRIP MANAGER'!$O$18:$O$25,$A845),"")</f>
        <v/>
      </c>
      <c r="D845" t="str" cm="1">
        <f t="array" ref="D845">IFERROR(INDEX('TRIP MANAGER'!$P$18:$P$25,$A845),"")</f>
        <v/>
      </c>
      <c r="E845" t="str" cm="1">
        <f t="array" ref="E845">IFERROR(INDEX('TRIP MANAGER'!$Q$18:$Q$25,$A845),"")</f>
        <v/>
      </c>
      <c r="F845" t="str" cm="1">
        <f t="array" ref="F845">IFERROR(INDEX('TRIP MANAGER'!$R$18:$R$25,$A845),"")</f>
        <v/>
      </c>
      <c r="G845" t="str" cm="1">
        <f t="array" ref="G845">IFERROR(INDEX('TRIP MANAGER'!$S$18:$S$25,$A845),"")</f>
        <v/>
      </c>
      <c r="H845">
        <f t="shared" si="145"/>
        <v>0.58666666666666667</v>
      </c>
      <c r="I845" t="str">
        <f t="shared" si="146"/>
        <v/>
      </c>
      <c r="J845" t="str">
        <f t="shared" si="147"/>
        <v/>
      </c>
      <c r="K845" t="str">
        <f t="shared" si="148"/>
        <v/>
      </c>
      <c r="L845" t="str">
        <f t="shared" si="149"/>
        <v/>
      </c>
      <c r="M845" t="str">
        <f t="shared" si="150"/>
        <v/>
      </c>
      <c r="N845" t="str">
        <f t="shared" si="151"/>
        <v/>
      </c>
      <c r="O845" t="str">
        <f t="shared" si="152"/>
        <v/>
      </c>
      <c r="P845" t="str" cm="1">
        <f t="array" ref="P845">IF($N845="","",IFERROR(IF(INDEX(geo_grid!$B$2:$JU$231,INT(($N845+40)/0.5)+1,INT(($O845+30)/0.5)+1)="","",INDEX(geo_grid!$B$2:$JU$231,INT(($N845+40)/0.5)+1,INT(($O845+30)/0.5)+1)),"OUTSIDE GRID"))</f>
        <v/>
      </c>
      <c r="Q845" t="str">
        <f t="shared" si="153"/>
        <v/>
      </c>
    </row>
    <row r="846" spans="1:17" x14ac:dyDescent="0.3">
      <c r="A846">
        <f t="shared" si="143"/>
        <v>6</v>
      </c>
      <c r="B846">
        <f t="shared" si="144"/>
        <v>89</v>
      </c>
      <c r="C846" t="str" cm="1">
        <f t="array" ref="C846">IFERROR(INDEX('TRIP MANAGER'!$O$18:$O$25,$A846),"")</f>
        <v/>
      </c>
      <c r="D846" t="str" cm="1">
        <f t="array" ref="D846">IFERROR(INDEX('TRIP MANAGER'!$P$18:$P$25,$A846),"")</f>
        <v/>
      </c>
      <c r="E846" t="str" cm="1">
        <f t="array" ref="E846">IFERROR(INDEX('TRIP MANAGER'!$Q$18:$Q$25,$A846),"")</f>
        <v/>
      </c>
      <c r="F846" t="str" cm="1">
        <f t="array" ref="F846">IFERROR(INDEX('TRIP MANAGER'!$R$18:$R$25,$A846),"")</f>
        <v/>
      </c>
      <c r="G846" t="str" cm="1">
        <f t="array" ref="G846">IFERROR(INDEX('TRIP MANAGER'!$S$18:$S$25,$A846),"")</f>
        <v/>
      </c>
      <c r="H846">
        <f t="shared" si="145"/>
        <v>0.59333333333333338</v>
      </c>
      <c r="I846" t="str">
        <f t="shared" si="146"/>
        <v/>
      </c>
      <c r="J846" t="str">
        <f t="shared" si="147"/>
        <v/>
      </c>
      <c r="K846" t="str">
        <f t="shared" si="148"/>
        <v/>
      </c>
      <c r="L846" t="str">
        <f t="shared" si="149"/>
        <v/>
      </c>
      <c r="M846" t="str">
        <f t="shared" si="150"/>
        <v/>
      </c>
      <c r="N846" t="str">
        <f t="shared" si="151"/>
        <v/>
      </c>
      <c r="O846" t="str">
        <f t="shared" si="152"/>
        <v/>
      </c>
      <c r="P846" t="str" cm="1">
        <f t="array" ref="P846">IF($N846="","",IFERROR(IF(INDEX(geo_grid!$B$2:$JU$231,INT(($N846+40)/0.5)+1,INT(($O846+30)/0.5)+1)="","",INDEX(geo_grid!$B$2:$JU$231,INT(($N846+40)/0.5)+1,INT(($O846+30)/0.5)+1)),"OUTSIDE GRID"))</f>
        <v/>
      </c>
      <c r="Q846" t="str">
        <f t="shared" si="153"/>
        <v/>
      </c>
    </row>
    <row r="847" spans="1:17" x14ac:dyDescent="0.3">
      <c r="A847">
        <f t="shared" si="143"/>
        <v>6</v>
      </c>
      <c r="B847">
        <f t="shared" si="144"/>
        <v>90</v>
      </c>
      <c r="C847" t="str" cm="1">
        <f t="array" ref="C847">IFERROR(INDEX('TRIP MANAGER'!$O$18:$O$25,$A847),"")</f>
        <v/>
      </c>
      <c r="D847" t="str" cm="1">
        <f t="array" ref="D847">IFERROR(INDEX('TRIP MANAGER'!$P$18:$P$25,$A847),"")</f>
        <v/>
      </c>
      <c r="E847" t="str" cm="1">
        <f t="array" ref="E847">IFERROR(INDEX('TRIP MANAGER'!$Q$18:$Q$25,$A847),"")</f>
        <v/>
      </c>
      <c r="F847" t="str" cm="1">
        <f t="array" ref="F847">IFERROR(INDEX('TRIP MANAGER'!$R$18:$R$25,$A847),"")</f>
        <v/>
      </c>
      <c r="G847" t="str" cm="1">
        <f t="array" ref="G847">IFERROR(INDEX('TRIP MANAGER'!$S$18:$S$25,$A847),"")</f>
        <v/>
      </c>
      <c r="H847">
        <f t="shared" si="145"/>
        <v>0.6</v>
      </c>
      <c r="I847" t="str">
        <f t="shared" si="146"/>
        <v/>
      </c>
      <c r="J847" t="str">
        <f t="shared" si="147"/>
        <v/>
      </c>
      <c r="K847" t="str">
        <f t="shared" si="148"/>
        <v/>
      </c>
      <c r="L847" t="str">
        <f t="shared" si="149"/>
        <v/>
      </c>
      <c r="M847" t="str">
        <f t="shared" si="150"/>
        <v/>
      </c>
      <c r="N847" t="str">
        <f t="shared" si="151"/>
        <v/>
      </c>
      <c r="O847" t="str">
        <f t="shared" si="152"/>
        <v/>
      </c>
      <c r="P847" t="str" cm="1">
        <f t="array" ref="P847">IF($N847="","",IFERROR(IF(INDEX(geo_grid!$B$2:$JU$231,INT(($N847+40)/0.5)+1,INT(($O847+30)/0.5)+1)="","",INDEX(geo_grid!$B$2:$JU$231,INT(($N847+40)/0.5)+1,INT(($O847+30)/0.5)+1)),"OUTSIDE GRID"))</f>
        <v/>
      </c>
      <c r="Q847" t="str">
        <f t="shared" si="153"/>
        <v/>
      </c>
    </row>
    <row r="848" spans="1:17" x14ac:dyDescent="0.3">
      <c r="A848">
        <f t="shared" si="143"/>
        <v>6</v>
      </c>
      <c r="B848">
        <f t="shared" si="144"/>
        <v>91</v>
      </c>
      <c r="C848" t="str" cm="1">
        <f t="array" ref="C848">IFERROR(INDEX('TRIP MANAGER'!$O$18:$O$25,$A848),"")</f>
        <v/>
      </c>
      <c r="D848" t="str" cm="1">
        <f t="array" ref="D848">IFERROR(INDEX('TRIP MANAGER'!$P$18:$P$25,$A848),"")</f>
        <v/>
      </c>
      <c r="E848" t="str" cm="1">
        <f t="array" ref="E848">IFERROR(INDEX('TRIP MANAGER'!$Q$18:$Q$25,$A848),"")</f>
        <v/>
      </c>
      <c r="F848" t="str" cm="1">
        <f t="array" ref="F848">IFERROR(INDEX('TRIP MANAGER'!$R$18:$R$25,$A848),"")</f>
        <v/>
      </c>
      <c r="G848" t="str" cm="1">
        <f t="array" ref="G848">IFERROR(INDEX('TRIP MANAGER'!$S$18:$S$25,$A848),"")</f>
        <v/>
      </c>
      <c r="H848">
        <f t="shared" si="145"/>
        <v>0.60666666666666669</v>
      </c>
      <c r="I848" t="str">
        <f t="shared" si="146"/>
        <v/>
      </c>
      <c r="J848" t="str">
        <f t="shared" si="147"/>
        <v/>
      </c>
      <c r="K848" t="str">
        <f t="shared" si="148"/>
        <v/>
      </c>
      <c r="L848" t="str">
        <f t="shared" si="149"/>
        <v/>
      </c>
      <c r="M848" t="str">
        <f t="shared" si="150"/>
        <v/>
      </c>
      <c r="N848" t="str">
        <f t="shared" si="151"/>
        <v/>
      </c>
      <c r="O848" t="str">
        <f t="shared" si="152"/>
        <v/>
      </c>
      <c r="P848" t="str" cm="1">
        <f t="array" ref="P848">IF($N848="","",IFERROR(IF(INDEX(geo_grid!$B$2:$JU$231,INT(($N848+40)/0.5)+1,INT(($O848+30)/0.5)+1)="","",INDEX(geo_grid!$B$2:$JU$231,INT(($N848+40)/0.5)+1,INT(($O848+30)/0.5)+1)),"OUTSIDE GRID"))</f>
        <v/>
      </c>
      <c r="Q848" t="str">
        <f t="shared" si="153"/>
        <v/>
      </c>
    </row>
    <row r="849" spans="1:17" x14ac:dyDescent="0.3">
      <c r="A849">
        <f t="shared" si="143"/>
        <v>6</v>
      </c>
      <c r="B849">
        <f t="shared" si="144"/>
        <v>92</v>
      </c>
      <c r="C849" t="str" cm="1">
        <f t="array" ref="C849">IFERROR(INDEX('TRIP MANAGER'!$O$18:$O$25,$A849),"")</f>
        <v/>
      </c>
      <c r="D849" t="str" cm="1">
        <f t="array" ref="D849">IFERROR(INDEX('TRIP MANAGER'!$P$18:$P$25,$A849),"")</f>
        <v/>
      </c>
      <c r="E849" t="str" cm="1">
        <f t="array" ref="E849">IFERROR(INDEX('TRIP MANAGER'!$Q$18:$Q$25,$A849),"")</f>
        <v/>
      </c>
      <c r="F849" t="str" cm="1">
        <f t="array" ref="F849">IFERROR(INDEX('TRIP MANAGER'!$R$18:$R$25,$A849),"")</f>
        <v/>
      </c>
      <c r="G849" t="str" cm="1">
        <f t="array" ref="G849">IFERROR(INDEX('TRIP MANAGER'!$S$18:$S$25,$A849),"")</f>
        <v/>
      </c>
      <c r="H849">
        <f t="shared" si="145"/>
        <v>0.61333333333333329</v>
      </c>
      <c r="I849" t="str">
        <f t="shared" si="146"/>
        <v/>
      </c>
      <c r="J849" t="str">
        <f t="shared" si="147"/>
        <v/>
      </c>
      <c r="K849" t="str">
        <f t="shared" si="148"/>
        <v/>
      </c>
      <c r="L849" t="str">
        <f t="shared" si="149"/>
        <v/>
      </c>
      <c r="M849" t="str">
        <f t="shared" si="150"/>
        <v/>
      </c>
      <c r="N849" t="str">
        <f t="shared" si="151"/>
        <v/>
      </c>
      <c r="O849" t="str">
        <f t="shared" si="152"/>
        <v/>
      </c>
      <c r="P849" t="str" cm="1">
        <f t="array" ref="P849">IF($N849="","",IFERROR(IF(INDEX(geo_grid!$B$2:$JU$231,INT(($N849+40)/0.5)+1,INT(($O849+30)/0.5)+1)="","",INDEX(geo_grid!$B$2:$JU$231,INT(($N849+40)/0.5)+1,INT(($O849+30)/0.5)+1)),"OUTSIDE GRID"))</f>
        <v/>
      </c>
      <c r="Q849" t="str">
        <f t="shared" si="153"/>
        <v/>
      </c>
    </row>
    <row r="850" spans="1:17" x14ac:dyDescent="0.3">
      <c r="A850">
        <f t="shared" si="143"/>
        <v>6</v>
      </c>
      <c r="B850">
        <f t="shared" si="144"/>
        <v>93</v>
      </c>
      <c r="C850" t="str" cm="1">
        <f t="array" ref="C850">IFERROR(INDEX('TRIP MANAGER'!$O$18:$O$25,$A850),"")</f>
        <v/>
      </c>
      <c r="D850" t="str" cm="1">
        <f t="array" ref="D850">IFERROR(INDEX('TRIP MANAGER'!$P$18:$P$25,$A850),"")</f>
        <v/>
      </c>
      <c r="E850" t="str" cm="1">
        <f t="array" ref="E850">IFERROR(INDEX('TRIP MANAGER'!$Q$18:$Q$25,$A850),"")</f>
        <v/>
      </c>
      <c r="F850" t="str" cm="1">
        <f t="array" ref="F850">IFERROR(INDEX('TRIP MANAGER'!$R$18:$R$25,$A850),"")</f>
        <v/>
      </c>
      <c r="G850" t="str" cm="1">
        <f t="array" ref="G850">IFERROR(INDEX('TRIP MANAGER'!$S$18:$S$25,$A850),"")</f>
        <v/>
      </c>
      <c r="H850">
        <f t="shared" si="145"/>
        <v>0.62</v>
      </c>
      <c r="I850" t="str">
        <f t="shared" si="146"/>
        <v/>
      </c>
      <c r="J850" t="str">
        <f t="shared" si="147"/>
        <v/>
      </c>
      <c r="K850" t="str">
        <f t="shared" si="148"/>
        <v/>
      </c>
      <c r="L850" t="str">
        <f t="shared" si="149"/>
        <v/>
      </c>
      <c r="M850" t="str">
        <f t="shared" si="150"/>
        <v/>
      </c>
      <c r="N850" t="str">
        <f t="shared" si="151"/>
        <v/>
      </c>
      <c r="O850" t="str">
        <f t="shared" si="152"/>
        <v/>
      </c>
      <c r="P850" t="str" cm="1">
        <f t="array" ref="P850">IF($N850="","",IFERROR(IF(INDEX(geo_grid!$B$2:$JU$231,INT(($N850+40)/0.5)+1,INT(($O850+30)/0.5)+1)="","",INDEX(geo_grid!$B$2:$JU$231,INT(($N850+40)/0.5)+1,INT(($O850+30)/0.5)+1)),"OUTSIDE GRID"))</f>
        <v/>
      </c>
      <c r="Q850" t="str">
        <f t="shared" si="153"/>
        <v/>
      </c>
    </row>
    <row r="851" spans="1:17" x14ac:dyDescent="0.3">
      <c r="A851">
        <f t="shared" si="143"/>
        <v>6</v>
      </c>
      <c r="B851">
        <f t="shared" si="144"/>
        <v>94</v>
      </c>
      <c r="C851" t="str" cm="1">
        <f t="array" ref="C851">IFERROR(INDEX('TRIP MANAGER'!$O$18:$O$25,$A851),"")</f>
        <v/>
      </c>
      <c r="D851" t="str" cm="1">
        <f t="array" ref="D851">IFERROR(INDEX('TRIP MANAGER'!$P$18:$P$25,$A851),"")</f>
        <v/>
      </c>
      <c r="E851" t="str" cm="1">
        <f t="array" ref="E851">IFERROR(INDEX('TRIP MANAGER'!$Q$18:$Q$25,$A851),"")</f>
        <v/>
      </c>
      <c r="F851" t="str" cm="1">
        <f t="array" ref="F851">IFERROR(INDEX('TRIP MANAGER'!$R$18:$R$25,$A851),"")</f>
        <v/>
      </c>
      <c r="G851" t="str" cm="1">
        <f t="array" ref="G851">IFERROR(INDEX('TRIP MANAGER'!$S$18:$S$25,$A851),"")</f>
        <v/>
      </c>
      <c r="H851">
        <f t="shared" si="145"/>
        <v>0.62666666666666671</v>
      </c>
      <c r="I851" t="str">
        <f t="shared" si="146"/>
        <v/>
      </c>
      <c r="J851" t="str">
        <f t="shared" si="147"/>
        <v/>
      </c>
      <c r="K851" t="str">
        <f t="shared" si="148"/>
        <v/>
      </c>
      <c r="L851" t="str">
        <f t="shared" si="149"/>
        <v/>
      </c>
      <c r="M851" t="str">
        <f t="shared" si="150"/>
        <v/>
      </c>
      <c r="N851" t="str">
        <f t="shared" si="151"/>
        <v/>
      </c>
      <c r="O851" t="str">
        <f t="shared" si="152"/>
        <v/>
      </c>
      <c r="P851" t="str" cm="1">
        <f t="array" ref="P851">IF($N851="","",IFERROR(IF(INDEX(geo_grid!$B$2:$JU$231,INT(($N851+40)/0.5)+1,INT(($O851+30)/0.5)+1)="","",INDEX(geo_grid!$B$2:$JU$231,INT(($N851+40)/0.5)+1,INT(($O851+30)/0.5)+1)),"OUTSIDE GRID"))</f>
        <v/>
      </c>
      <c r="Q851" t="str">
        <f t="shared" si="153"/>
        <v/>
      </c>
    </row>
    <row r="852" spans="1:17" x14ac:dyDescent="0.3">
      <c r="A852">
        <f t="shared" si="143"/>
        <v>6</v>
      </c>
      <c r="B852">
        <f t="shared" si="144"/>
        <v>95</v>
      </c>
      <c r="C852" t="str" cm="1">
        <f t="array" ref="C852">IFERROR(INDEX('TRIP MANAGER'!$O$18:$O$25,$A852),"")</f>
        <v/>
      </c>
      <c r="D852" t="str" cm="1">
        <f t="array" ref="D852">IFERROR(INDEX('TRIP MANAGER'!$P$18:$P$25,$A852),"")</f>
        <v/>
      </c>
      <c r="E852" t="str" cm="1">
        <f t="array" ref="E852">IFERROR(INDEX('TRIP MANAGER'!$Q$18:$Q$25,$A852),"")</f>
        <v/>
      </c>
      <c r="F852" t="str" cm="1">
        <f t="array" ref="F852">IFERROR(INDEX('TRIP MANAGER'!$R$18:$R$25,$A852),"")</f>
        <v/>
      </c>
      <c r="G852" t="str" cm="1">
        <f t="array" ref="G852">IFERROR(INDEX('TRIP MANAGER'!$S$18:$S$25,$A852),"")</f>
        <v/>
      </c>
      <c r="H852">
        <f t="shared" si="145"/>
        <v>0.6333333333333333</v>
      </c>
      <c r="I852" t="str">
        <f t="shared" si="146"/>
        <v/>
      </c>
      <c r="J852" t="str">
        <f t="shared" si="147"/>
        <v/>
      </c>
      <c r="K852" t="str">
        <f t="shared" si="148"/>
        <v/>
      </c>
      <c r="L852" t="str">
        <f t="shared" si="149"/>
        <v/>
      </c>
      <c r="M852" t="str">
        <f t="shared" si="150"/>
        <v/>
      </c>
      <c r="N852" t="str">
        <f t="shared" si="151"/>
        <v/>
      </c>
      <c r="O852" t="str">
        <f t="shared" si="152"/>
        <v/>
      </c>
      <c r="P852" t="str" cm="1">
        <f t="array" ref="P852">IF($N852="","",IFERROR(IF(INDEX(geo_grid!$B$2:$JU$231,INT(($N852+40)/0.5)+1,INT(($O852+30)/0.5)+1)="","",INDEX(geo_grid!$B$2:$JU$231,INT(($N852+40)/0.5)+1,INT(($O852+30)/0.5)+1)),"OUTSIDE GRID"))</f>
        <v/>
      </c>
      <c r="Q852" t="str">
        <f t="shared" si="153"/>
        <v/>
      </c>
    </row>
    <row r="853" spans="1:17" x14ac:dyDescent="0.3">
      <c r="A853">
        <f t="shared" si="143"/>
        <v>6</v>
      </c>
      <c r="B853">
        <f t="shared" si="144"/>
        <v>96</v>
      </c>
      <c r="C853" t="str" cm="1">
        <f t="array" ref="C853">IFERROR(INDEX('TRIP MANAGER'!$O$18:$O$25,$A853),"")</f>
        <v/>
      </c>
      <c r="D853" t="str" cm="1">
        <f t="array" ref="D853">IFERROR(INDEX('TRIP MANAGER'!$P$18:$P$25,$A853),"")</f>
        <v/>
      </c>
      <c r="E853" t="str" cm="1">
        <f t="array" ref="E853">IFERROR(INDEX('TRIP MANAGER'!$Q$18:$Q$25,$A853),"")</f>
        <v/>
      </c>
      <c r="F853" t="str" cm="1">
        <f t="array" ref="F853">IFERROR(INDEX('TRIP MANAGER'!$R$18:$R$25,$A853),"")</f>
        <v/>
      </c>
      <c r="G853" t="str" cm="1">
        <f t="array" ref="G853">IFERROR(INDEX('TRIP MANAGER'!$S$18:$S$25,$A853),"")</f>
        <v/>
      </c>
      <c r="H853">
        <f t="shared" si="145"/>
        <v>0.64</v>
      </c>
      <c r="I853" t="str">
        <f t="shared" si="146"/>
        <v/>
      </c>
      <c r="J853" t="str">
        <f t="shared" si="147"/>
        <v/>
      </c>
      <c r="K853" t="str">
        <f t="shared" si="148"/>
        <v/>
      </c>
      <c r="L853" t="str">
        <f t="shared" si="149"/>
        <v/>
      </c>
      <c r="M853" t="str">
        <f t="shared" si="150"/>
        <v/>
      </c>
      <c r="N853" t="str">
        <f t="shared" si="151"/>
        <v/>
      </c>
      <c r="O853" t="str">
        <f t="shared" si="152"/>
        <v/>
      </c>
      <c r="P853" t="str" cm="1">
        <f t="array" ref="P853">IF($N853="","",IFERROR(IF(INDEX(geo_grid!$B$2:$JU$231,INT(($N853+40)/0.5)+1,INT(($O853+30)/0.5)+1)="","",INDEX(geo_grid!$B$2:$JU$231,INT(($N853+40)/0.5)+1,INT(($O853+30)/0.5)+1)),"OUTSIDE GRID"))</f>
        <v/>
      </c>
      <c r="Q853" t="str">
        <f t="shared" si="153"/>
        <v/>
      </c>
    </row>
    <row r="854" spans="1:17" x14ac:dyDescent="0.3">
      <c r="A854">
        <f t="shared" si="143"/>
        <v>6</v>
      </c>
      <c r="B854">
        <f t="shared" si="144"/>
        <v>97</v>
      </c>
      <c r="C854" t="str" cm="1">
        <f t="array" ref="C854">IFERROR(INDEX('TRIP MANAGER'!$O$18:$O$25,$A854),"")</f>
        <v/>
      </c>
      <c r="D854" t="str" cm="1">
        <f t="array" ref="D854">IFERROR(INDEX('TRIP MANAGER'!$P$18:$P$25,$A854),"")</f>
        <v/>
      </c>
      <c r="E854" t="str" cm="1">
        <f t="array" ref="E854">IFERROR(INDEX('TRIP MANAGER'!$Q$18:$Q$25,$A854),"")</f>
        <v/>
      </c>
      <c r="F854" t="str" cm="1">
        <f t="array" ref="F854">IFERROR(INDEX('TRIP MANAGER'!$R$18:$R$25,$A854),"")</f>
        <v/>
      </c>
      <c r="G854" t="str" cm="1">
        <f t="array" ref="G854">IFERROR(INDEX('TRIP MANAGER'!$S$18:$S$25,$A854),"")</f>
        <v/>
      </c>
      <c r="H854">
        <f t="shared" si="145"/>
        <v>0.64666666666666661</v>
      </c>
      <c r="I854" t="str">
        <f t="shared" si="146"/>
        <v/>
      </c>
      <c r="J854" t="str">
        <f t="shared" si="147"/>
        <v/>
      </c>
      <c r="K854" t="str">
        <f t="shared" si="148"/>
        <v/>
      </c>
      <c r="L854" t="str">
        <f t="shared" si="149"/>
        <v/>
      </c>
      <c r="M854" t="str">
        <f t="shared" si="150"/>
        <v/>
      </c>
      <c r="N854" t="str">
        <f t="shared" si="151"/>
        <v/>
      </c>
      <c r="O854" t="str">
        <f t="shared" si="152"/>
        <v/>
      </c>
      <c r="P854" t="str" cm="1">
        <f t="array" ref="P854">IF($N854="","",IFERROR(IF(INDEX(geo_grid!$B$2:$JU$231,INT(($N854+40)/0.5)+1,INT(($O854+30)/0.5)+1)="","",INDEX(geo_grid!$B$2:$JU$231,INT(($N854+40)/0.5)+1,INT(($O854+30)/0.5)+1)),"OUTSIDE GRID"))</f>
        <v/>
      </c>
      <c r="Q854" t="str">
        <f t="shared" si="153"/>
        <v/>
      </c>
    </row>
    <row r="855" spans="1:17" x14ac:dyDescent="0.3">
      <c r="A855">
        <f t="shared" si="143"/>
        <v>6</v>
      </c>
      <c r="B855">
        <f t="shared" si="144"/>
        <v>98</v>
      </c>
      <c r="C855" t="str" cm="1">
        <f t="array" ref="C855">IFERROR(INDEX('TRIP MANAGER'!$O$18:$O$25,$A855),"")</f>
        <v/>
      </c>
      <c r="D855" t="str" cm="1">
        <f t="array" ref="D855">IFERROR(INDEX('TRIP MANAGER'!$P$18:$P$25,$A855),"")</f>
        <v/>
      </c>
      <c r="E855" t="str" cm="1">
        <f t="array" ref="E855">IFERROR(INDEX('TRIP MANAGER'!$Q$18:$Q$25,$A855),"")</f>
        <v/>
      </c>
      <c r="F855" t="str" cm="1">
        <f t="array" ref="F855">IFERROR(INDEX('TRIP MANAGER'!$R$18:$R$25,$A855),"")</f>
        <v/>
      </c>
      <c r="G855" t="str" cm="1">
        <f t="array" ref="G855">IFERROR(INDEX('TRIP MANAGER'!$S$18:$S$25,$A855),"")</f>
        <v/>
      </c>
      <c r="H855">
        <f t="shared" si="145"/>
        <v>0.65333333333333332</v>
      </c>
      <c r="I855" t="str">
        <f t="shared" si="146"/>
        <v/>
      </c>
      <c r="J855" t="str">
        <f t="shared" si="147"/>
        <v/>
      </c>
      <c r="K855" t="str">
        <f t="shared" si="148"/>
        <v/>
      </c>
      <c r="L855" t="str">
        <f t="shared" si="149"/>
        <v/>
      </c>
      <c r="M855" t="str">
        <f t="shared" si="150"/>
        <v/>
      </c>
      <c r="N855" t="str">
        <f t="shared" si="151"/>
        <v/>
      </c>
      <c r="O855" t="str">
        <f t="shared" si="152"/>
        <v/>
      </c>
      <c r="P855" t="str" cm="1">
        <f t="array" ref="P855">IF($N855="","",IFERROR(IF(INDEX(geo_grid!$B$2:$JU$231,INT(($N855+40)/0.5)+1,INT(($O855+30)/0.5)+1)="","",INDEX(geo_grid!$B$2:$JU$231,INT(($N855+40)/0.5)+1,INT(($O855+30)/0.5)+1)),"OUTSIDE GRID"))</f>
        <v/>
      </c>
      <c r="Q855" t="str">
        <f t="shared" si="153"/>
        <v/>
      </c>
    </row>
    <row r="856" spans="1:17" x14ac:dyDescent="0.3">
      <c r="A856">
        <f t="shared" si="143"/>
        <v>6</v>
      </c>
      <c r="B856">
        <f t="shared" si="144"/>
        <v>99</v>
      </c>
      <c r="C856" t="str" cm="1">
        <f t="array" ref="C856">IFERROR(INDEX('TRIP MANAGER'!$O$18:$O$25,$A856),"")</f>
        <v/>
      </c>
      <c r="D856" t="str" cm="1">
        <f t="array" ref="D856">IFERROR(INDEX('TRIP MANAGER'!$P$18:$P$25,$A856),"")</f>
        <v/>
      </c>
      <c r="E856" t="str" cm="1">
        <f t="array" ref="E856">IFERROR(INDEX('TRIP MANAGER'!$Q$18:$Q$25,$A856),"")</f>
        <v/>
      </c>
      <c r="F856" t="str" cm="1">
        <f t="array" ref="F856">IFERROR(INDEX('TRIP MANAGER'!$R$18:$R$25,$A856),"")</f>
        <v/>
      </c>
      <c r="G856" t="str" cm="1">
        <f t="array" ref="G856">IFERROR(INDEX('TRIP MANAGER'!$S$18:$S$25,$A856),"")</f>
        <v/>
      </c>
      <c r="H856">
        <f t="shared" si="145"/>
        <v>0.66</v>
      </c>
      <c r="I856" t="str">
        <f t="shared" si="146"/>
        <v/>
      </c>
      <c r="J856" t="str">
        <f t="shared" si="147"/>
        <v/>
      </c>
      <c r="K856" t="str">
        <f t="shared" si="148"/>
        <v/>
      </c>
      <c r="L856" t="str">
        <f t="shared" si="149"/>
        <v/>
      </c>
      <c r="M856" t="str">
        <f t="shared" si="150"/>
        <v/>
      </c>
      <c r="N856" t="str">
        <f t="shared" si="151"/>
        <v/>
      </c>
      <c r="O856" t="str">
        <f t="shared" si="152"/>
        <v/>
      </c>
      <c r="P856" t="str" cm="1">
        <f t="array" ref="P856">IF($N856="","",IFERROR(IF(INDEX(geo_grid!$B$2:$JU$231,INT(($N856+40)/0.5)+1,INT(($O856+30)/0.5)+1)="","",INDEX(geo_grid!$B$2:$JU$231,INT(($N856+40)/0.5)+1,INT(($O856+30)/0.5)+1)),"OUTSIDE GRID"))</f>
        <v/>
      </c>
      <c r="Q856" t="str">
        <f t="shared" si="153"/>
        <v/>
      </c>
    </row>
    <row r="857" spans="1:17" x14ac:dyDescent="0.3">
      <c r="A857">
        <f t="shared" si="143"/>
        <v>6</v>
      </c>
      <c r="B857">
        <f t="shared" si="144"/>
        <v>100</v>
      </c>
      <c r="C857" t="str" cm="1">
        <f t="array" ref="C857">IFERROR(INDEX('TRIP MANAGER'!$O$18:$O$25,$A857),"")</f>
        <v/>
      </c>
      <c r="D857" t="str" cm="1">
        <f t="array" ref="D857">IFERROR(INDEX('TRIP MANAGER'!$P$18:$P$25,$A857),"")</f>
        <v/>
      </c>
      <c r="E857" t="str" cm="1">
        <f t="array" ref="E857">IFERROR(INDEX('TRIP MANAGER'!$Q$18:$Q$25,$A857),"")</f>
        <v/>
      </c>
      <c r="F857" t="str" cm="1">
        <f t="array" ref="F857">IFERROR(INDEX('TRIP MANAGER'!$R$18:$R$25,$A857),"")</f>
        <v/>
      </c>
      <c r="G857" t="str" cm="1">
        <f t="array" ref="G857">IFERROR(INDEX('TRIP MANAGER'!$S$18:$S$25,$A857),"")</f>
        <v/>
      </c>
      <c r="H857">
        <f t="shared" si="145"/>
        <v>0.66666666666666663</v>
      </c>
      <c r="I857" t="str">
        <f t="shared" si="146"/>
        <v/>
      </c>
      <c r="J857" t="str">
        <f t="shared" si="147"/>
        <v/>
      </c>
      <c r="K857" t="str">
        <f t="shared" si="148"/>
        <v/>
      </c>
      <c r="L857" t="str">
        <f t="shared" si="149"/>
        <v/>
      </c>
      <c r="M857" t="str">
        <f t="shared" si="150"/>
        <v/>
      </c>
      <c r="N857" t="str">
        <f t="shared" si="151"/>
        <v/>
      </c>
      <c r="O857" t="str">
        <f t="shared" si="152"/>
        <v/>
      </c>
      <c r="P857" t="str" cm="1">
        <f t="array" ref="P857">IF($N857="","",IFERROR(IF(INDEX(geo_grid!$B$2:$JU$231,INT(($N857+40)/0.5)+1,INT(($O857+30)/0.5)+1)="","",INDEX(geo_grid!$B$2:$JU$231,INT(($N857+40)/0.5)+1,INT(($O857+30)/0.5)+1)),"OUTSIDE GRID"))</f>
        <v/>
      </c>
      <c r="Q857" t="str">
        <f t="shared" si="153"/>
        <v/>
      </c>
    </row>
    <row r="858" spans="1:17" x14ac:dyDescent="0.3">
      <c r="A858">
        <f t="shared" si="143"/>
        <v>6</v>
      </c>
      <c r="B858">
        <f t="shared" si="144"/>
        <v>101</v>
      </c>
      <c r="C858" t="str" cm="1">
        <f t="array" ref="C858">IFERROR(INDEX('TRIP MANAGER'!$O$18:$O$25,$A858),"")</f>
        <v/>
      </c>
      <c r="D858" t="str" cm="1">
        <f t="array" ref="D858">IFERROR(INDEX('TRIP MANAGER'!$P$18:$P$25,$A858),"")</f>
        <v/>
      </c>
      <c r="E858" t="str" cm="1">
        <f t="array" ref="E858">IFERROR(INDEX('TRIP MANAGER'!$Q$18:$Q$25,$A858),"")</f>
        <v/>
      </c>
      <c r="F858" t="str" cm="1">
        <f t="array" ref="F858">IFERROR(INDEX('TRIP MANAGER'!$R$18:$R$25,$A858),"")</f>
        <v/>
      </c>
      <c r="G858" t="str" cm="1">
        <f t="array" ref="G858">IFERROR(INDEX('TRIP MANAGER'!$S$18:$S$25,$A858),"")</f>
        <v/>
      </c>
      <c r="H858">
        <f t="shared" si="145"/>
        <v>0.67333333333333334</v>
      </c>
      <c r="I858" t="str">
        <f t="shared" si="146"/>
        <v/>
      </c>
      <c r="J858" t="str">
        <f t="shared" si="147"/>
        <v/>
      </c>
      <c r="K858" t="str">
        <f t="shared" si="148"/>
        <v/>
      </c>
      <c r="L858" t="str">
        <f t="shared" si="149"/>
        <v/>
      </c>
      <c r="M858" t="str">
        <f t="shared" si="150"/>
        <v/>
      </c>
      <c r="N858" t="str">
        <f t="shared" si="151"/>
        <v/>
      </c>
      <c r="O858" t="str">
        <f t="shared" si="152"/>
        <v/>
      </c>
      <c r="P858" t="str" cm="1">
        <f t="array" ref="P858">IF($N858="","",IFERROR(IF(INDEX(geo_grid!$B$2:$JU$231,INT(($N858+40)/0.5)+1,INT(($O858+30)/0.5)+1)="","",INDEX(geo_grid!$B$2:$JU$231,INT(($N858+40)/0.5)+1,INT(($O858+30)/0.5)+1)),"OUTSIDE GRID"))</f>
        <v/>
      </c>
      <c r="Q858" t="str">
        <f t="shared" si="153"/>
        <v/>
      </c>
    </row>
    <row r="859" spans="1:17" x14ac:dyDescent="0.3">
      <c r="A859">
        <f t="shared" si="143"/>
        <v>6</v>
      </c>
      <c r="B859">
        <f t="shared" si="144"/>
        <v>102</v>
      </c>
      <c r="C859" t="str" cm="1">
        <f t="array" ref="C859">IFERROR(INDEX('TRIP MANAGER'!$O$18:$O$25,$A859),"")</f>
        <v/>
      </c>
      <c r="D859" t="str" cm="1">
        <f t="array" ref="D859">IFERROR(INDEX('TRIP MANAGER'!$P$18:$P$25,$A859),"")</f>
        <v/>
      </c>
      <c r="E859" t="str" cm="1">
        <f t="array" ref="E859">IFERROR(INDEX('TRIP MANAGER'!$Q$18:$Q$25,$A859),"")</f>
        <v/>
      </c>
      <c r="F859" t="str" cm="1">
        <f t="array" ref="F859">IFERROR(INDEX('TRIP MANAGER'!$R$18:$R$25,$A859),"")</f>
        <v/>
      </c>
      <c r="G859" t="str" cm="1">
        <f t="array" ref="G859">IFERROR(INDEX('TRIP MANAGER'!$S$18:$S$25,$A859),"")</f>
        <v/>
      </c>
      <c r="H859">
        <f t="shared" si="145"/>
        <v>0.68</v>
      </c>
      <c r="I859" t="str">
        <f t="shared" si="146"/>
        <v/>
      </c>
      <c r="J859" t="str">
        <f t="shared" si="147"/>
        <v/>
      </c>
      <c r="K859" t="str">
        <f t="shared" si="148"/>
        <v/>
      </c>
      <c r="L859" t="str">
        <f t="shared" si="149"/>
        <v/>
      </c>
      <c r="M859" t="str">
        <f t="shared" si="150"/>
        <v/>
      </c>
      <c r="N859" t="str">
        <f t="shared" si="151"/>
        <v/>
      </c>
      <c r="O859" t="str">
        <f t="shared" si="152"/>
        <v/>
      </c>
      <c r="P859" t="str" cm="1">
        <f t="array" ref="P859">IF($N859="","",IFERROR(IF(INDEX(geo_grid!$B$2:$JU$231,INT(($N859+40)/0.5)+1,INT(($O859+30)/0.5)+1)="","",INDEX(geo_grid!$B$2:$JU$231,INT(($N859+40)/0.5)+1,INT(($O859+30)/0.5)+1)),"OUTSIDE GRID"))</f>
        <v/>
      </c>
      <c r="Q859" t="str">
        <f t="shared" si="153"/>
        <v/>
      </c>
    </row>
    <row r="860" spans="1:17" x14ac:dyDescent="0.3">
      <c r="A860">
        <f t="shared" si="143"/>
        <v>6</v>
      </c>
      <c r="B860">
        <f t="shared" si="144"/>
        <v>103</v>
      </c>
      <c r="C860" t="str" cm="1">
        <f t="array" ref="C860">IFERROR(INDEX('TRIP MANAGER'!$O$18:$O$25,$A860),"")</f>
        <v/>
      </c>
      <c r="D860" t="str" cm="1">
        <f t="array" ref="D860">IFERROR(INDEX('TRIP MANAGER'!$P$18:$P$25,$A860),"")</f>
        <v/>
      </c>
      <c r="E860" t="str" cm="1">
        <f t="array" ref="E860">IFERROR(INDEX('TRIP MANAGER'!$Q$18:$Q$25,$A860),"")</f>
        <v/>
      </c>
      <c r="F860" t="str" cm="1">
        <f t="array" ref="F860">IFERROR(INDEX('TRIP MANAGER'!$R$18:$R$25,$A860),"")</f>
        <v/>
      </c>
      <c r="G860" t="str" cm="1">
        <f t="array" ref="G860">IFERROR(INDEX('TRIP MANAGER'!$S$18:$S$25,$A860),"")</f>
        <v/>
      </c>
      <c r="H860">
        <f t="shared" si="145"/>
        <v>0.68666666666666665</v>
      </c>
      <c r="I860" t="str">
        <f t="shared" si="146"/>
        <v/>
      </c>
      <c r="J860" t="str">
        <f t="shared" si="147"/>
        <v/>
      </c>
      <c r="K860" t="str">
        <f t="shared" si="148"/>
        <v/>
      </c>
      <c r="L860" t="str">
        <f t="shared" si="149"/>
        <v/>
      </c>
      <c r="M860" t="str">
        <f t="shared" si="150"/>
        <v/>
      </c>
      <c r="N860" t="str">
        <f t="shared" si="151"/>
        <v/>
      </c>
      <c r="O860" t="str">
        <f t="shared" si="152"/>
        <v/>
      </c>
      <c r="P860" t="str" cm="1">
        <f t="array" ref="P860">IF($N860="","",IFERROR(IF(INDEX(geo_grid!$B$2:$JU$231,INT(($N860+40)/0.5)+1,INT(($O860+30)/0.5)+1)="","",INDEX(geo_grid!$B$2:$JU$231,INT(($N860+40)/0.5)+1,INT(($O860+30)/0.5)+1)),"OUTSIDE GRID"))</f>
        <v/>
      </c>
      <c r="Q860" t="str">
        <f t="shared" si="153"/>
        <v/>
      </c>
    </row>
    <row r="861" spans="1:17" x14ac:dyDescent="0.3">
      <c r="A861">
        <f t="shared" si="143"/>
        <v>6</v>
      </c>
      <c r="B861">
        <f t="shared" si="144"/>
        <v>104</v>
      </c>
      <c r="C861" t="str" cm="1">
        <f t="array" ref="C861">IFERROR(INDEX('TRIP MANAGER'!$O$18:$O$25,$A861),"")</f>
        <v/>
      </c>
      <c r="D861" t="str" cm="1">
        <f t="array" ref="D861">IFERROR(INDEX('TRIP MANAGER'!$P$18:$P$25,$A861),"")</f>
        <v/>
      </c>
      <c r="E861" t="str" cm="1">
        <f t="array" ref="E861">IFERROR(INDEX('TRIP MANAGER'!$Q$18:$Q$25,$A861),"")</f>
        <v/>
      </c>
      <c r="F861" t="str" cm="1">
        <f t="array" ref="F861">IFERROR(INDEX('TRIP MANAGER'!$R$18:$R$25,$A861),"")</f>
        <v/>
      </c>
      <c r="G861" t="str" cm="1">
        <f t="array" ref="G861">IFERROR(INDEX('TRIP MANAGER'!$S$18:$S$25,$A861),"")</f>
        <v/>
      </c>
      <c r="H861">
        <f t="shared" si="145"/>
        <v>0.69333333333333336</v>
      </c>
      <c r="I861" t="str">
        <f t="shared" si="146"/>
        <v/>
      </c>
      <c r="J861" t="str">
        <f t="shared" si="147"/>
        <v/>
      </c>
      <c r="K861" t="str">
        <f t="shared" si="148"/>
        <v/>
      </c>
      <c r="L861" t="str">
        <f t="shared" si="149"/>
        <v/>
      </c>
      <c r="M861" t="str">
        <f t="shared" si="150"/>
        <v/>
      </c>
      <c r="N861" t="str">
        <f t="shared" si="151"/>
        <v/>
      </c>
      <c r="O861" t="str">
        <f t="shared" si="152"/>
        <v/>
      </c>
      <c r="P861" t="str" cm="1">
        <f t="array" ref="P861">IF($N861="","",IFERROR(IF(INDEX(geo_grid!$B$2:$JU$231,INT(($N861+40)/0.5)+1,INT(($O861+30)/0.5)+1)="","",INDEX(geo_grid!$B$2:$JU$231,INT(($N861+40)/0.5)+1,INT(($O861+30)/0.5)+1)),"OUTSIDE GRID"))</f>
        <v/>
      </c>
      <c r="Q861" t="str">
        <f t="shared" si="153"/>
        <v/>
      </c>
    </row>
    <row r="862" spans="1:17" x14ac:dyDescent="0.3">
      <c r="A862">
        <f t="shared" si="143"/>
        <v>6</v>
      </c>
      <c r="B862">
        <f t="shared" si="144"/>
        <v>105</v>
      </c>
      <c r="C862" t="str" cm="1">
        <f t="array" ref="C862">IFERROR(INDEX('TRIP MANAGER'!$O$18:$O$25,$A862),"")</f>
        <v/>
      </c>
      <c r="D862" t="str" cm="1">
        <f t="array" ref="D862">IFERROR(INDEX('TRIP MANAGER'!$P$18:$P$25,$A862),"")</f>
        <v/>
      </c>
      <c r="E862" t="str" cm="1">
        <f t="array" ref="E862">IFERROR(INDEX('TRIP MANAGER'!$Q$18:$Q$25,$A862),"")</f>
        <v/>
      </c>
      <c r="F862" t="str" cm="1">
        <f t="array" ref="F862">IFERROR(INDEX('TRIP MANAGER'!$R$18:$R$25,$A862),"")</f>
        <v/>
      </c>
      <c r="G862" t="str" cm="1">
        <f t="array" ref="G862">IFERROR(INDEX('TRIP MANAGER'!$S$18:$S$25,$A862),"")</f>
        <v/>
      </c>
      <c r="H862">
        <f t="shared" si="145"/>
        <v>0.7</v>
      </c>
      <c r="I862" t="str">
        <f t="shared" si="146"/>
        <v/>
      </c>
      <c r="J862" t="str">
        <f t="shared" si="147"/>
        <v/>
      </c>
      <c r="K862" t="str">
        <f t="shared" si="148"/>
        <v/>
      </c>
      <c r="L862" t="str">
        <f t="shared" si="149"/>
        <v/>
      </c>
      <c r="M862" t="str">
        <f t="shared" si="150"/>
        <v/>
      </c>
      <c r="N862" t="str">
        <f t="shared" si="151"/>
        <v/>
      </c>
      <c r="O862" t="str">
        <f t="shared" si="152"/>
        <v/>
      </c>
      <c r="P862" t="str" cm="1">
        <f t="array" ref="P862">IF($N862="","",IFERROR(IF(INDEX(geo_grid!$B$2:$JU$231,INT(($N862+40)/0.5)+1,INT(($O862+30)/0.5)+1)="","",INDEX(geo_grid!$B$2:$JU$231,INT(($N862+40)/0.5)+1,INT(($O862+30)/0.5)+1)),"OUTSIDE GRID"))</f>
        <v/>
      </c>
      <c r="Q862" t="str">
        <f t="shared" si="153"/>
        <v/>
      </c>
    </row>
    <row r="863" spans="1:17" x14ac:dyDescent="0.3">
      <c r="A863">
        <f t="shared" si="143"/>
        <v>6</v>
      </c>
      <c r="B863">
        <f t="shared" si="144"/>
        <v>106</v>
      </c>
      <c r="C863" t="str" cm="1">
        <f t="array" ref="C863">IFERROR(INDEX('TRIP MANAGER'!$O$18:$O$25,$A863),"")</f>
        <v/>
      </c>
      <c r="D863" t="str" cm="1">
        <f t="array" ref="D863">IFERROR(INDEX('TRIP MANAGER'!$P$18:$P$25,$A863),"")</f>
        <v/>
      </c>
      <c r="E863" t="str" cm="1">
        <f t="array" ref="E863">IFERROR(INDEX('TRIP MANAGER'!$Q$18:$Q$25,$A863),"")</f>
        <v/>
      </c>
      <c r="F863" t="str" cm="1">
        <f t="array" ref="F863">IFERROR(INDEX('TRIP MANAGER'!$R$18:$R$25,$A863),"")</f>
        <v/>
      </c>
      <c r="G863" t="str" cm="1">
        <f t="array" ref="G863">IFERROR(INDEX('TRIP MANAGER'!$S$18:$S$25,$A863),"")</f>
        <v/>
      </c>
      <c r="H863">
        <f t="shared" si="145"/>
        <v>0.70666666666666667</v>
      </c>
      <c r="I863" t="str">
        <f t="shared" si="146"/>
        <v/>
      </c>
      <c r="J863" t="str">
        <f t="shared" si="147"/>
        <v/>
      </c>
      <c r="K863" t="str">
        <f t="shared" si="148"/>
        <v/>
      </c>
      <c r="L863" t="str">
        <f t="shared" si="149"/>
        <v/>
      </c>
      <c r="M863" t="str">
        <f t="shared" si="150"/>
        <v/>
      </c>
      <c r="N863" t="str">
        <f t="shared" si="151"/>
        <v/>
      </c>
      <c r="O863" t="str">
        <f t="shared" si="152"/>
        <v/>
      </c>
      <c r="P863" t="str" cm="1">
        <f t="array" ref="P863">IF($N863="","",IFERROR(IF(INDEX(geo_grid!$B$2:$JU$231,INT(($N863+40)/0.5)+1,INT(($O863+30)/0.5)+1)="","",INDEX(geo_grid!$B$2:$JU$231,INT(($N863+40)/0.5)+1,INT(($O863+30)/0.5)+1)),"OUTSIDE GRID"))</f>
        <v/>
      </c>
      <c r="Q863" t="str">
        <f t="shared" si="153"/>
        <v/>
      </c>
    </row>
    <row r="864" spans="1:17" x14ac:dyDescent="0.3">
      <c r="A864">
        <f t="shared" si="143"/>
        <v>6</v>
      </c>
      <c r="B864">
        <f t="shared" si="144"/>
        <v>107</v>
      </c>
      <c r="C864" t="str" cm="1">
        <f t="array" ref="C864">IFERROR(INDEX('TRIP MANAGER'!$O$18:$O$25,$A864),"")</f>
        <v/>
      </c>
      <c r="D864" t="str" cm="1">
        <f t="array" ref="D864">IFERROR(INDEX('TRIP MANAGER'!$P$18:$P$25,$A864),"")</f>
        <v/>
      </c>
      <c r="E864" t="str" cm="1">
        <f t="array" ref="E864">IFERROR(INDEX('TRIP MANAGER'!$Q$18:$Q$25,$A864),"")</f>
        <v/>
      </c>
      <c r="F864" t="str" cm="1">
        <f t="array" ref="F864">IFERROR(INDEX('TRIP MANAGER'!$R$18:$R$25,$A864),"")</f>
        <v/>
      </c>
      <c r="G864" t="str" cm="1">
        <f t="array" ref="G864">IFERROR(INDEX('TRIP MANAGER'!$S$18:$S$25,$A864),"")</f>
        <v/>
      </c>
      <c r="H864">
        <f t="shared" si="145"/>
        <v>0.71333333333333337</v>
      </c>
      <c r="I864" t="str">
        <f t="shared" si="146"/>
        <v/>
      </c>
      <c r="J864" t="str">
        <f t="shared" si="147"/>
        <v/>
      </c>
      <c r="K864" t="str">
        <f t="shared" si="148"/>
        <v/>
      </c>
      <c r="L864" t="str">
        <f t="shared" si="149"/>
        <v/>
      </c>
      <c r="M864" t="str">
        <f t="shared" si="150"/>
        <v/>
      </c>
      <c r="N864" t="str">
        <f t="shared" si="151"/>
        <v/>
      </c>
      <c r="O864" t="str">
        <f t="shared" si="152"/>
        <v/>
      </c>
      <c r="P864" t="str" cm="1">
        <f t="array" ref="P864">IF($N864="","",IFERROR(IF(INDEX(geo_grid!$B$2:$JU$231,INT(($N864+40)/0.5)+1,INT(($O864+30)/0.5)+1)="","",INDEX(geo_grid!$B$2:$JU$231,INT(($N864+40)/0.5)+1,INT(($O864+30)/0.5)+1)),"OUTSIDE GRID"))</f>
        <v/>
      </c>
      <c r="Q864" t="str">
        <f t="shared" si="153"/>
        <v/>
      </c>
    </row>
    <row r="865" spans="1:17" x14ac:dyDescent="0.3">
      <c r="A865">
        <f t="shared" si="143"/>
        <v>6</v>
      </c>
      <c r="B865">
        <f t="shared" si="144"/>
        <v>108</v>
      </c>
      <c r="C865" t="str" cm="1">
        <f t="array" ref="C865">IFERROR(INDEX('TRIP MANAGER'!$O$18:$O$25,$A865),"")</f>
        <v/>
      </c>
      <c r="D865" t="str" cm="1">
        <f t="array" ref="D865">IFERROR(INDEX('TRIP MANAGER'!$P$18:$P$25,$A865),"")</f>
        <v/>
      </c>
      <c r="E865" t="str" cm="1">
        <f t="array" ref="E865">IFERROR(INDEX('TRIP MANAGER'!$Q$18:$Q$25,$A865),"")</f>
        <v/>
      </c>
      <c r="F865" t="str" cm="1">
        <f t="array" ref="F865">IFERROR(INDEX('TRIP MANAGER'!$R$18:$R$25,$A865),"")</f>
        <v/>
      </c>
      <c r="G865" t="str" cm="1">
        <f t="array" ref="G865">IFERROR(INDEX('TRIP MANAGER'!$S$18:$S$25,$A865),"")</f>
        <v/>
      </c>
      <c r="H865">
        <f t="shared" si="145"/>
        <v>0.72</v>
      </c>
      <c r="I865" t="str">
        <f t="shared" si="146"/>
        <v/>
      </c>
      <c r="J865" t="str">
        <f t="shared" si="147"/>
        <v/>
      </c>
      <c r="K865" t="str">
        <f t="shared" si="148"/>
        <v/>
      </c>
      <c r="L865" t="str">
        <f t="shared" si="149"/>
        <v/>
      </c>
      <c r="M865" t="str">
        <f t="shared" si="150"/>
        <v/>
      </c>
      <c r="N865" t="str">
        <f t="shared" si="151"/>
        <v/>
      </c>
      <c r="O865" t="str">
        <f t="shared" si="152"/>
        <v/>
      </c>
      <c r="P865" t="str" cm="1">
        <f t="array" ref="P865">IF($N865="","",IFERROR(IF(INDEX(geo_grid!$B$2:$JU$231,INT(($N865+40)/0.5)+1,INT(($O865+30)/0.5)+1)="","",INDEX(geo_grid!$B$2:$JU$231,INT(($N865+40)/0.5)+1,INT(($O865+30)/0.5)+1)),"OUTSIDE GRID"))</f>
        <v/>
      </c>
      <c r="Q865" t="str">
        <f t="shared" si="153"/>
        <v/>
      </c>
    </row>
    <row r="866" spans="1:17" x14ac:dyDescent="0.3">
      <c r="A866">
        <f t="shared" si="143"/>
        <v>6</v>
      </c>
      <c r="B866">
        <f t="shared" si="144"/>
        <v>109</v>
      </c>
      <c r="C866" t="str" cm="1">
        <f t="array" ref="C866">IFERROR(INDEX('TRIP MANAGER'!$O$18:$O$25,$A866),"")</f>
        <v/>
      </c>
      <c r="D866" t="str" cm="1">
        <f t="array" ref="D866">IFERROR(INDEX('TRIP MANAGER'!$P$18:$P$25,$A866),"")</f>
        <v/>
      </c>
      <c r="E866" t="str" cm="1">
        <f t="array" ref="E866">IFERROR(INDEX('TRIP MANAGER'!$Q$18:$Q$25,$A866),"")</f>
        <v/>
      </c>
      <c r="F866" t="str" cm="1">
        <f t="array" ref="F866">IFERROR(INDEX('TRIP MANAGER'!$R$18:$R$25,$A866),"")</f>
        <v/>
      </c>
      <c r="G866" t="str" cm="1">
        <f t="array" ref="G866">IFERROR(INDEX('TRIP MANAGER'!$S$18:$S$25,$A866),"")</f>
        <v/>
      </c>
      <c r="H866">
        <f t="shared" si="145"/>
        <v>0.72666666666666668</v>
      </c>
      <c r="I866" t="str">
        <f t="shared" si="146"/>
        <v/>
      </c>
      <c r="J866" t="str">
        <f t="shared" si="147"/>
        <v/>
      </c>
      <c r="K866" t="str">
        <f t="shared" si="148"/>
        <v/>
      </c>
      <c r="L866" t="str">
        <f t="shared" si="149"/>
        <v/>
      </c>
      <c r="M866" t="str">
        <f t="shared" si="150"/>
        <v/>
      </c>
      <c r="N866" t="str">
        <f t="shared" si="151"/>
        <v/>
      </c>
      <c r="O866" t="str">
        <f t="shared" si="152"/>
        <v/>
      </c>
      <c r="P866" t="str" cm="1">
        <f t="array" ref="P866">IF($N866="","",IFERROR(IF(INDEX(geo_grid!$B$2:$JU$231,INT(($N866+40)/0.5)+1,INT(($O866+30)/0.5)+1)="","",INDEX(geo_grid!$B$2:$JU$231,INT(($N866+40)/0.5)+1,INT(($O866+30)/0.5)+1)),"OUTSIDE GRID"))</f>
        <v/>
      </c>
      <c r="Q866" t="str">
        <f t="shared" si="153"/>
        <v/>
      </c>
    </row>
    <row r="867" spans="1:17" x14ac:dyDescent="0.3">
      <c r="A867">
        <f t="shared" si="143"/>
        <v>6</v>
      </c>
      <c r="B867">
        <f t="shared" si="144"/>
        <v>110</v>
      </c>
      <c r="C867" t="str" cm="1">
        <f t="array" ref="C867">IFERROR(INDEX('TRIP MANAGER'!$O$18:$O$25,$A867),"")</f>
        <v/>
      </c>
      <c r="D867" t="str" cm="1">
        <f t="array" ref="D867">IFERROR(INDEX('TRIP MANAGER'!$P$18:$P$25,$A867),"")</f>
        <v/>
      </c>
      <c r="E867" t="str" cm="1">
        <f t="array" ref="E867">IFERROR(INDEX('TRIP MANAGER'!$Q$18:$Q$25,$A867),"")</f>
        <v/>
      </c>
      <c r="F867" t="str" cm="1">
        <f t="array" ref="F867">IFERROR(INDEX('TRIP MANAGER'!$R$18:$R$25,$A867),"")</f>
        <v/>
      </c>
      <c r="G867" t="str" cm="1">
        <f t="array" ref="G867">IFERROR(INDEX('TRIP MANAGER'!$S$18:$S$25,$A867),"")</f>
        <v/>
      </c>
      <c r="H867">
        <f t="shared" si="145"/>
        <v>0.73333333333333328</v>
      </c>
      <c r="I867" t="str">
        <f t="shared" si="146"/>
        <v/>
      </c>
      <c r="J867" t="str">
        <f t="shared" si="147"/>
        <v/>
      </c>
      <c r="K867" t="str">
        <f t="shared" si="148"/>
        <v/>
      </c>
      <c r="L867" t="str">
        <f t="shared" si="149"/>
        <v/>
      </c>
      <c r="M867" t="str">
        <f t="shared" si="150"/>
        <v/>
      </c>
      <c r="N867" t="str">
        <f t="shared" si="151"/>
        <v/>
      </c>
      <c r="O867" t="str">
        <f t="shared" si="152"/>
        <v/>
      </c>
      <c r="P867" t="str" cm="1">
        <f t="array" ref="P867">IF($N867="","",IFERROR(IF(INDEX(geo_grid!$B$2:$JU$231,INT(($N867+40)/0.5)+1,INT(($O867+30)/0.5)+1)="","",INDEX(geo_grid!$B$2:$JU$231,INT(($N867+40)/0.5)+1,INT(($O867+30)/0.5)+1)),"OUTSIDE GRID"))</f>
        <v/>
      </c>
      <c r="Q867" t="str">
        <f t="shared" si="153"/>
        <v/>
      </c>
    </row>
    <row r="868" spans="1:17" x14ac:dyDescent="0.3">
      <c r="A868">
        <f t="shared" si="143"/>
        <v>6</v>
      </c>
      <c r="B868">
        <f t="shared" si="144"/>
        <v>111</v>
      </c>
      <c r="C868" t="str" cm="1">
        <f t="array" ref="C868">IFERROR(INDEX('TRIP MANAGER'!$O$18:$O$25,$A868),"")</f>
        <v/>
      </c>
      <c r="D868" t="str" cm="1">
        <f t="array" ref="D868">IFERROR(INDEX('TRIP MANAGER'!$P$18:$P$25,$A868),"")</f>
        <v/>
      </c>
      <c r="E868" t="str" cm="1">
        <f t="array" ref="E868">IFERROR(INDEX('TRIP MANAGER'!$Q$18:$Q$25,$A868),"")</f>
        <v/>
      </c>
      <c r="F868" t="str" cm="1">
        <f t="array" ref="F868">IFERROR(INDEX('TRIP MANAGER'!$R$18:$R$25,$A868),"")</f>
        <v/>
      </c>
      <c r="G868" t="str" cm="1">
        <f t="array" ref="G868">IFERROR(INDEX('TRIP MANAGER'!$S$18:$S$25,$A868),"")</f>
        <v/>
      </c>
      <c r="H868">
        <f t="shared" si="145"/>
        <v>0.74</v>
      </c>
      <c r="I868" t="str">
        <f t="shared" si="146"/>
        <v/>
      </c>
      <c r="J868" t="str">
        <f t="shared" si="147"/>
        <v/>
      </c>
      <c r="K868" t="str">
        <f t="shared" si="148"/>
        <v/>
      </c>
      <c r="L868" t="str">
        <f t="shared" si="149"/>
        <v/>
      </c>
      <c r="M868" t="str">
        <f t="shared" si="150"/>
        <v/>
      </c>
      <c r="N868" t="str">
        <f t="shared" si="151"/>
        <v/>
      </c>
      <c r="O868" t="str">
        <f t="shared" si="152"/>
        <v/>
      </c>
      <c r="P868" t="str" cm="1">
        <f t="array" ref="P868">IF($N868="","",IFERROR(IF(INDEX(geo_grid!$B$2:$JU$231,INT(($N868+40)/0.5)+1,INT(($O868+30)/0.5)+1)="","",INDEX(geo_grid!$B$2:$JU$231,INT(($N868+40)/0.5)+1,INT(($O868+30)/0.5)+1)),"OUTSIDE GRID"))</f>
        <v/>
      </c>
      <c r="Q868" t="str">
        <f t="shared" si="153"/>
        <v/>
      </c>
    </row>
    <row r="869" spans="1:17" x14ac:dyDescent="0.3">
      <c r="A869">
        <f t="shared" si="143"/>
        <v>6</v>
      </c>
      <c r="B869">
        <f t="shared" si="144"/>
        <v>112</v>
      </c>
      <c r="C869" t="str" cm="1">
        <f t="array" ref="C869">IFERROR(INDEX('TRIP MANAGER'!$O$18:$O$25,$A869),"")</f>
        <v/>
      </c>
      <c r="D869" t="str" cm="1">
        <f t="array" ref="D869">IFERROR(INDEX('TRIP MANAGER'!$P$18:$P$25,$A869),"")</f>
        <v/>
      </c>
      <c r="E869" t="str" cm="1">
        <f t="array" ref="E869">IFERROR(INDEX('TRIP MANAGER'!$Q$18:$Q$25,$A869),"")</f>
        <v/>
      </c>
      <c r="F869" t="str" cm="1">
        <f t="array" ref="F869">IFERROR(INDEX('TRIP MANAGER'!$R$18:$R$25,$A869),"")</f>
        <v/>
      </c>
      <c r="G869" t="str" cm="1">
        <f t="array" ref="G869">IFERROR(INDEX('TRIP MANAGER'!$S$18:$S$25,$A869),"")</f>
        <v/>
      </c>
      <c r="H869">
        <f t="shared" si="145"/>
        <v>0.7466666666666667</v>
      </c>
      <c r="I869" t="str">
        <f t="shared" si="146"/>
        <v/>
      </c>
      <c r="J869" t="str">
        <f t="shared" si="147"/>
        <v/>
      </c>
      <c r="K869" t="str">
        <f t="shared" si="148"/>
        <v/>
      </c>
      <c r="L869" t="str">
        <f t="shared" si="149"/>
        <v/>
      </c>
      <c r="M869" t="str">
        <f t="shared" si="150"/>
        <v/>
      </c>
      <c r="N869" t="str">
        <f t="shared" si="151"/>
        <v/>
      </c>
      <c r="O869" t="str">
        <f t="shared" si="152"/>
        <v/>
      </c>
      <c r="P869" t="str" cm="1">
        <f t="array" ref="P869">IF($N869="","",IFERROR(IF(INDEX(geo_grid!$B$2:$JU$231,INT(($N869+40)/0.5)+1,INT(($O869+30)/0.5)+1)="","",INDEX(geo_grid!$B$2:$JU$231,INT(($N869+40)/0.5)+1,INT(($O869+30)/0.5)+1)),"OUTSIDE GRID"))</f>
        <v/>
      </c>
      <c r="Q869" t="str">
        <f t="shared" si="153"/>
        <v/>
      </c>
    </row>
    <row r="870" spans="1:17" x14ac:dyDescent="0.3">
      <c r="A870">
        <f t="shared" si="143"/>
        <v>6</v>
      </c>
      <c r="B870">
        <f t="shared" si="144"/>
        <v>113</v>
      </c>
      <c r="C870" t="str" cm="1">
        <f t="array" ref="C870">IFERROR(INDEX('TRIP MANAGER'!$O$18:$O$25,$A870),"")</f>
        <v/>
      </c>
      <c r="D870" t="str" cm="1">
        <f t="array" ref="D870">IFERROR(INDEX('TRIP MANAGER'!$P$18:$P$25,$A870),"")</f>
        <v/>
      </c>
      <c r="E870" t="str" cm="1">
        <f t="array" ref="E870">IFERROR(INDEX('TRIP MANAGER'!$Q$18:$Q$25,$A870),"")</f>
        <v/>
      </c>
      <c r="F870" t="str" cm="1">
        <f t="array" ref="F870">IFERROR(INDEX('TRIP MANAGER'!$R$18:$R$25,$A870),"")</f>
        <v/>
      </c>
      <c r="G870" t="str" cm="1">
        <f t="array" ref="G870">IFERROR(INDEX('TRIP MANAGER'!$S$18:$S$25,$A870),"")</f>
        <v/>
      </c>
      <c r="H870">
        <f t="shared" si="145"/>
        <v>0.7533333333333333</v>
      </c>
      <c r="I870" t="str">
        <f t="shared" si="146"/>
        <v/>
      </c>
      <c r="J870" t="str">
        <f t="shared" si="147"/>
        <v/>
      </c>
      <c r="K870" t="str">
        <f t="shared" si="148"/>
        <v/>
      </c>
      <c r="L870" t="str">
        <f t="shared" si="149"/>
        <v/>
      </c>
      <c r="M870" t="str">
        <f t="shared" si="150"/>
        <v/>
      </c>
      <c r="N870" t="str">
        <f t="shared" si="151"/>
        <v/>
      </c>
      <c r="O870" t="str">
        <f t="shared" si="152"/>
        <v/>
      </c>
      <c r="P870" t="str" cm="1">
        <f t="array" ref="P870">IF($N870="","",IFERROR(IF(INDEX(geo_grid!$B$2:$JU$231,INT(($N870+40)/0.5)+1,INT(($O870+30)/0.5)+1)="","",INDEX(geo_grid!$B$2:$JU$231,INT(($N870+40)/0.5)+1,INT(($O870+30)/0.5)+1)),"OUTSIDE GRID"))</f>
        <v/>
      </c>
      <c r="Q870" t="str">
        <f t="shared" si="153"/>
        <v/>
      </c>
    </row>
    <row r="871" spans="1:17" x14ac:dyDescent="0.3">
      <c r="A871">
        <f t="shared" si="143"/>
        <v>6</v>
      </c>
      <c r="B871">
        <f t="shared" si="144"/>
        <v>114</v>
      </c>
      <c r="C871" t="str" cm="1">
        <f t="array" ref="C871">IFERROR(INDEX('TRIP MANAGER'!$O$18:$O$25,$A871),"")</f>
        <v/>
      </c>
      <c r="D871" t="str" cm="1">
        <f t="array" ref="D871">IFERROR(INDEX('TRIP MANAGER'!$P$18:$P$25,$A871),"")</f>
        <v/>
      </c>
      <c r="E871" t="str" cm="1">
        <f t="array" ref="E871">IFERROR(INDEX('TRIP MANAGER'!$Q$18:$Q$25,$A871),"")</f>
        <v/>
      </c>
      <c r="F871" t="str" cm="1">
        <f t="array" ref="F871">IFERROR(INDEX('TRIP MANAGER'!$R$18:$R$25,$A871),"")</f>
        <v/>
      </c>
      <c r="G871" t="str" cm="1">
        <f t="array" ref="G871">IFERROR(INDEX('TRIP MANAGER'!$S$18:$S$25,$A871),"")</f>
        <v/>
      </c>
      <c r="H871">
        <f t="shared" si="145"/>
        <v>0.76</v>
      </c>
      <c r="I871" t="str">
        <f t="shared" si="146"/>
        <v/>
      </c>
      <c r="J871" t="str">
        <f t="shared" si="147"/>
        <v/>
      </c>
      <c r="K871" t="str">
        <f t="shared" si="148"/>
        <v/>
      </c>
      <c r="L871" t="str">
        <f t="shared" si="149"/>
        <v/>
      </c>
      <c r="M871" t="str">
        <f t="shared" si="150"/>
        <v/>
      </c>
      <c r="N871" t="str">
        <f t="shared" si="151"/>
        <v/>
      </c>
      <c r="O871" t="str">
        <f t="shared" si="152"/>
        <v/>
      </c>
      <c r="P871" t="str" cm="1">
        <f t="array" ref="P871">IF($N871="","",IFERROR(IF(INDEX(geo_grid!$B$2:$JU$231,INT(($N871+40)/0.5)+1,INT(($O871+30)/0.5)+1)="","",INDEX(geo_grid!$B$2:$JU$231,INT(($N871+40)/0.5)+1,INT(($O871+30)/0.5)+1)),"OUTSIDE GRID"))</f>
        <v/>
      </c>
      <c r="Q871" t="str">
        <f t="shared" si="153"/>
        <v/>
      </c>
    </row>
    <row r="872" spans="1:17" x14ac:dyDescent="0.3">
      <c r="A872">
        <f t="shared" si="143"/>
        <v>6</v>
      </c>
      <c r="B872">
        <f t="shared" si="144"/>
        <v>115</v>
      </c>
      <c r="C872" t="str" cm="1">
        <f t="array" ref="C872">IFERROR(INDEX('TRIP MANAGER'!$O$18:$O$25,$A872),"")</f>
        <v/>
      </c>
      <c r="D872" t="str" cm="1">
        <f t="array" ref="D872">IFERROR(INDEX('TRIP MANAGER'!$P$18:$P$25,$A872),"")</f>
        <v/>
      </c>
      <c r="E872" t="str" cm="1">
        <f t="array" ref="E872">IFERROR(INDEX('TRIP MANAGER'!$Q$18:$Q$25,$A872),"")</f>
        <v/>
      </c>
      <c r="F872" t="str" cm="1">
        <f t="array" ref="F872">IFERROR(INDEX('TRIP MANAGER'!$R$18:$R$25,$A872),"")</f>
        <v/>
      </c>
      <c r="G872" t="str" cm="1">
        <f t="array" ref="G872">IFERROR(INDEX('TRIP MANAGER'!$S$18:$S$25,$A872),"")</f>
        <v/>
      </c>
      <c r="H872">
        <f t="shared" si="145"/>
        <v>0.76666666666666672</v>
      </c>
      <c r="I872" t="str">
        <f t="shared" si="146"/>
        <v/>
      </c>
      <c r="J872" t="str">
        <f t="shared" si="147"/>
        <v/>
      </c>
      <c r="K872" t="str">
        <f t="shared" si="148"/>
        <v/>
      </c>
      <c r="L872" t="str">
        <f t="shared" si="149"/>
        <v/>
      </c>
      <c r="M872" t="str">
        <f t="shared" si="150"/>
        <v/>
      </c>
      <c r="N872" t="str">
        <f t="shared" si="151"/>
        <v/>
      </c>
      <c r="O872" t="str">
        <f t="shared" si="152"/>
        <v/>
      </c>
      <c r="P872" t="str" cm="1">
        <f t="array" ref="P872">IF($N872="","",IFERROR(IF(INDEX(geo_grid!$B$2:$JU$231,INT(($N872+40)/0.5)+1,INT(($O872+30)/0.5)+1)="","",INDEX(geo_grid!$B$2:$JU$231,INT(($N872+40)/0.5)+1,INT(($O872+30)/0.5)+1)),"OUTSIDE GRID"))</f>
        <v/>
      </c>
      <c r="Q872" t="str">
        <f t="shared" si="153"/>
        <v/>
      </c>
    </row>
    <row r="873" spans="1:17" x14ac:dyDescent="0.3">
      <c r="A873">
        <f t="shared" si="143"/>
        <v>6</v>
      </c>
      <c r="B873">
        <f t="shared" si="144"/>
        <v>116</v>
      </c>
      <c r="C873" t="str" cm="1">
        <f t="array" ref="C873">IFERROR(INDEX('TRIP MANAGER'!$O$18:$O$25,$A873),"")</f>
        <v/>
      </c>
      <c r="D873" t="str" cm="1">
        <f t="array" ref="D873">IFERROR(INDEX('TRIP MANAGER'!$P$18:$P$25,$A873),"")</f>
        <v/>
      </c>
      <c r="E873" t="str" cm="1">
        <f t="array" ref="E873">IFERROR(INDEX('TRIP MANAGER'!$Q$18:$Q$25,$A873),"")</f>
        <v/>
      </c>
      <c r="F873" t="str" cm="1">
        <f t="array" ref="F873">IFERROR(INDEX('TRIP MANAGER'!$R$18:$R$25,$A873),"")</f>
        <v/>
      </c>
      <c r="G873" t="str" cm="1">
        <f t="array" ref="G873">IFERROR(INDEX('TRIP MANAGER'!$S$18:$S$25,$A873),"")</f>
        <v/>
      </c>
      <c r="H873">
        <f t="shared" si="145"/>
        <v>0.77333333333333332</v>
      </c>
      <c r="I873" t="str">
        <f t="shared" si="146"/>
        <v/>
      </c>
      <c r="J873" t="str">
        <f t="shared" si="147"/>
        <v/>
      </c>
      <c r="K873" t="str">
        <f t="shared" si="148"/>
        <v/>
      </c>
      <c r="L873" t="str">
        <f t="shared" si="149"/>
        <v/>
      </c>
      <c r="M873" t="str">
        <f t="shared" si="150"/>
        <v/>
      </c>
      <c r="N873" t="str">
        <f t="shared" si="151"/>
        <v/>
      </c>
      <c r="O873" t="str">
        <f t="shared" si="152"/>
        <v/>
      </c>
      <c r="P873" t="str" cm="1">
        <f t="array" ref="P873">IF($N873="","",IFERROR(IF(INDEX(geo_grid!$B$2:$JU$231,INT(($N873+40)/0.5)+1,INT(($O873+30)/0.5)+1)="","",INDEX(geo_grid!$B$2:$JU$231,INT(($N873+40)/0.5)+1,INT(($O873+30)/0.5)+1)),"OUTSIDE GRID"))</f>
        <v/>
      </c>
      <c r="Q873" t="str">
        <f t="shared" si="153"/>
        <v/>
      </c>
    </row>
    <row r="874" spans="1:17" x14ac:dyDescent="0.3">
      <c r="A874">
        <f t="shared" si="143"/>
        <v>6</v>
      </c>
      <c r="B874">
        <f t="shared" si="144"/>
        <v>117</v>
      </c>
      <c r="C874" t="str" cm="1">
        <f t="array" ref="C874">IFERROR(INDEX('TRIP MANAGER'!$O$18:$O$25,$A874),"")</f>
        <v/>
      </c>
      <c r="D874" t="str" cm="1">
        <f t="array" ref="D874">IFERROR(INDEX('TRIP MANAGER'!$P$18:$P$25,$A874),"")</f>
        <v/>
      </c>
      <c r="E874" t="str" cm="1">
        <f t="array" ref="E874">IFERROR(INDEX('TRIP MANAGER'!$Q$18:$Q$25,$A874),"")</f>
        <v/>
      </c>
      <c r="F874" t="str" cm="1">
        <f t="array" ref="F874">IFERROR(INDEX('TRIP MANAGER'!$R$18:$R$25,$A874),"")</f>
        <v/>
      </c>
      <c r="G874" t="str" cm="1">
        <f t="array" ref="G874">IFERROR(INDEX('TRIP MANAGER'!$S$18:$S$25,$A874),"")</f>
        <v/>
      </c>
      <c r="H874">
        <f t="shared" si="145"/>
        <v>0.78</v>
      </c>
      <c r="I874" t="str">
        <f t="shared" si="146"/>
        <v/>
      </c>
      <c r="J874" t="str">
        <f t="shared" si="147"/>
        <v/>
      </c>
      <c r="K874" t="str">
        <f t="shared" si="148"/>
        <v/>
      </c>
      <c r="L874" t="str">
        <f t="shared" si="149"/>
        <v/>
      </c>
      <c r="M874" t="str">
        <f t="shared" si="150"/>
        <v/>
      </c>
      <c r="N874" t="str">
        <f t="shared" si="151"/>
        <v/>
      </c>
      <c r="O874" t="str">
        <f t="shared" si="152"/>
        <v/>
      </c>
      <c r="P874" t="str" cm="1">
        <f t="array" ref="P874">IF($N874="","",IFERROR(IF(INDEX(geo_grid!$B$2:$JU$231,INT(($N874+40)/0.5)+1,INT(($O874+30)/0.5)+1)="","",INDEX(geo_grid!$B$2:$JU$231,INT(($N874+40)/0.5)+1,INT(($O874+30)/0.5)+1)),"OUTSIDE GRID"))</f>
        <v/>
      </c>
      <c r="Q874" t="str">
        <f t="shared" si="153"/>
        <v/>
      </c>
    </row>
    <row r="875" spans="1:17" x14ac:dyDescent="0.3">
      <c r="A875">
        <f t="shared" si="143"/>
        <v>6</v>
      </c>
      <c r="B875">
        <f t="shared" si="144"/>
        <v>118</v>
      </c>
      <c r="C875" t="str" cm="1">
        <f t="array" ref="C875">IFERROR(INDEX('TRIP MANAGER'!$O$18:$O$25,$A875),"")</f>
        <v/>
      </c>
      <c r="D875" t="str" cm="1">
        <f t="array" ref="D875">IFERROR(INDEX('TRIP MANAGER'!$P$18:$P$25,$A875),"")</f>
        <v/>
      </c>
      <c r="E875" t="str" cm="1">
        <f t="array" ref="E875">IFERROR(INDEX('TRIP MANAGER'!$Q$18:$Q$25,$A875),"")</f>
        <v/>
      </c>
      <c r="F875" t="str" cm="1">
        <f t="array" ref="F875">IFERROR(INDEX('TRIP MANAGER'!$R$18:$R$25,$A875),"")</f>
        <v/>
      </c>
      <c r="G875" t="str" cm="1">
        <f t="array" ref="G875">IFERROR(INDEX('TRIP MANAGER'!$S$18:$S$25,$A875),"")</f>
        <v/>
      </c>
      <c r="H875">
        <f t="shared" si="145"/>
        <v>0.78666666666666663</v>
      </c>
      <c r="I875" t="str">
        <f t="shared" si="146"/>
        <v/>
      </c>
      <c r="J875" t="str">
        <f t="shared" si="147"/>
        <v/>
      </c>
      <c r="K875" t="str">
        <f t="shared" si="148"/>
        <v/>
      </c>
      <c r="L875" t="str">
        <f t="shared" si="149"/>
        <v/>
      </c>
      <c r="M875" t="str">
        <f t="shared" si="150"/>
        <v/>
      </c>
      <c r="N875" t="str">
        <f t="shared" si="151"/>
        <v/>
      </c>
      <c r="O875" t="str">
        <f t="shared" si="152"/>
        <v/>
      </c>
      <c r="P875" t="str" cm="1">
        <f t="array" ref="P875">IF($N875="","",IFERROR(IF(INDEX(geo_grid!$B$2:$JU$231,INT(($N875+40)/0.5)+1,INT(($O875+30)/0.5)+1)="","",INDEX(geo_grid!$B$2:$JU$231,INT(($N875+40)/0.5)+1,INT(($O875+30)/0.5)+1)),"OUTSIDE GRID"))</f>
        <v/>
      </c>
      <c r="Q875" t="str">
        <f t="shared" si="153"/>
        <v/>
      </c>
    </row>
    <row r="876" spans="1:17" x14ac:dyDescent="0.3">
      <c r="A876">
        <f t="shared" si="143"/>
        <v>6</v>
      </c>
      <c r="B876">
        <f t="shared" si="144"/>
        <v>119</v>
      </c>
      <c r="C876" t="str" cm="1">
        <f t="array" ref="C876">IFERROR(INDEX('TRIP MANAGER'!$O$18:$O$25,$A876),"")</f>
        <v/>
      </c>
      <c r="D876" t="str" cm="1">
        <f t="array" ref="D876">IFERROR(INDEX('TRIP MANAGER'!$P$18:$P$25,$A876),"")</f>
        <v/>
      </c>
      <c r="E876" t="str" cm="1">
        <f t="array" ref="E876">IFERROR(INDEX('TRIP MANAGER'!$Q$18:$Q$25,$A876),"")</f>
        <v/>
      </c>
      <c r="F876" t="str" cm="1">
        <f t="array" ref="F876">IFERROR(INDEX('TRIP MANAGER'!$R$18:$R$25,$A876),"")</f>
        <v/>
      </c>
      <c r="G876" t="str" cm="1">
        <f t="array" ref="G876">IFERROR(INDEX('TRIP MANAGER'!$S$18:$S$25,$A876),"")</f>
        <v/>
      </c>
      <c r="H876">
        <f t="shared" si="145"/>
        <v>0.79333333333333333</v>
      </c>
      <c r="I876" t="str">
        <f t="shared" si="146"/>
        <v/>
      </c>
      <c r="J876" t="str">
        <f t="shared" si="147"/>
        <v/>
      </c>
      <c r="K876" t="str">
        <f t="shared" si="148"/>
        <v/>
      </c>
      <c r="L876" t="str">
        <f t="shared" si="149"/>
        <v/>
      </c>
      <c r="M876" t="str">
        <f t="shared" si="150"/>
        <v/>
      </c>
      <c r="N876" t="str">
        <f t="shared" si="151"/>
        <v/>
      </c>
      <c r="O876" t="str">
        <f t="shared" si="152"/>
        <v/>
      </c>
      <c r="P876" t="str" cm="1">
        <f t="array" ref="P876">IF($N876="","",IFERROR(IF(INDEX(geo_grid!$B$2:$JU$231,INT(($N876+40)/0.5)+1,INT(($O876+30)/0.5)+1)="","",INDEX(geo_grid!$B$2:$JU$231,INT(($N876+40)/0.5)+1,INT(($O876+30)/0.5)+1)),"OUTSIDE GRID"))</f>
        <v/>
      </c>
      <c r="Q876" t="str">
        <f t="shared" si="153"/>
        <v/>
      </c>
    </row>
    <row r="877" spans="1:17" x14ac:dyDescent="0.3">
      <c r="A877">
        <f t="shared" si="143"/>
        <v>6</v>
      </c>
      <c r="B877">
        <f t="shared" si="144"/>
        <v>120</v>
      </c>
      <c r="C877" t="str" cm="1">
        <f t="array" ref="C877">IFERROR(INDEX('TRIP MANAGER'!$O$18:$O$25,$A877),"")</f>
        <v/>
      </c>
      <c r="D877" t="str" cm="1">
        <f t="array" ref="D877">IFERROR(INDEX('TRIP MANAGER'!$P$18:$P$25,$A877),"")</f>
        <v/>
      </c>
      <c r="E877" t="str" cm="1">
        <f t="array" ref="E877">IFERROR(INDEX('TRIP MANAGER'!$Q$18:$Q$25,$A877),"")</f>
        <v/>
      </c>
      <c r="F877" t="str" cm="1">
        <f t="array" ref="F877">IFERROR(INDEX('TRIP MANAGER'!$R$18:$R$25,$A877),"")</f>
        <v/>
      </c>
      <c r="G877" t="str" cm="1">
        <f t="array" ref="G877">IFERROR(INDEX('TRIP MANAGER'!$S$18:$S$25,$A877),"")</f>
        <v/>
      </c>
      <c r="H877">
        <f t="shared" si="145"/>
        <v>0.8</v>
      </c>
      <c r="I877" t="str">
        <f t="shared" si="146"/>
        <v/>
      </c>
      <c r="J877" t="str">
        <f t="shared" si="147"/>
        <v/>
      </c>
      <c r="K877" t="str">
        <f t="shared" si="148"/>
        <v/>
      </c>
      <c r="L877" t="str">
        <f t="shared" si="149"/>
        <v/>
      </c>
      <c r="M877" t="str">
        <f t="shared" si="150"/>
        <v/>
      </c>
      <c r="N877" t="str">
        <f t="shared" si="151"/>
        <v/>
      </c>
      <c r="O877" t="str">
        <f t="shared" si="152"/>
        <v/>
      </c>
      <c r="P877" t="str" cm="1">
        <f t="array" ref="P877">IF($N877="","",IFERROR(IF(INDEX(geo_grid!$B$2:$JU$231,INT(($N877+40)/0.5)+1,INT(($O877+30)/0.5)+1)="","",INDEX(geo_grid!$B$2:$JU$231,INT(($N877+40)/0.5)+1,INT(($O877+30)/0.5)+1)),"OUTSIDE GRID"))</f>
        <v/>
      </c>
      <c r="Q877" t="str">
        <f t="shared" si="153"/>
        <v/>
      </c>
    </row>
    <row r="878" spans="1:17" x14ac:dyDescent="0.3">
      <c r="A878">
        <f t="shared" si="143"/>
        <v>6</v>
      </c>
      <c r="B878">
        <f t="shared" si="144"/>
        <v>121</v>
      </c>
      <c r="C878" t="str" cm="1">
        <f t="array" ref="C878">IFERROR(INDEX('TRIP MANAGER'!$O$18:$O$25,$A878),"")</f>
        <v/>
      </c>
      <c r="D878" t="str" cm="1">
        <f t="array" ref="D878">IFERROR(INDEX('TRIP MANAGER'!$P$18:$P$25,$A878),"")</f>
        <v/>
      </c>
      <c r="E878" t="str" cm="1">
        <f t="array" ref="E878">IFERROR(INDEX('TRIP MANAGER'!$Q$18:$Q$25,$A878),"")</f>
        <v/>
      </c>
      <c r="F878" t="str" cm="1">
        <f t="array" ref="F878">IFERROR(INDEX('TRIP MANAGER'!$R$18:$R$25,$A878),"")</f>
        <v/>
      </c>
      <c r="G878" t="str" cm="1">
        <f t="array" ref="G878">IFERROR(INDEX('TRIP MANAGER'!$S$18:$S$25,$A878),"")</f>
        <v/>
      </c>
      <c r="H878">
        <f t="shared" si="145"/>
        <v>0.80666666666666664</v>
      </c>
      <c r="I878" t="str">
        <f t="shared" si="146"/>
        <v/>
      </c>
      <c r="J878" t="str">
        <f t="shared" si="147"/>
        <v/>
      </c>
      <c r="K878" t="str">
        <f t="shared" si="148"/>
        <v/>
      </c>
      <c r="L878" t="str">
        <f t="shared" si="149"/>
        <v/>
      </c>
      <c r="M878" t="str">
        <f t="shared" si="150"/>
        <v/>
      </c>
      <c r="N878" t="str">
        <f t="shared" si="151"/>
        <v/>
      </c>
      <c r="O878" t="str">
        <f t="shared" si="152"/>
        <v/>
      </c>
      <c r="P878" t="str" cm="1">
        <f t="array" ref="P878">IF($N878="","",IFERROR(IF(INDEX(geo_grid!$B$2:$JU$231,INT(($N878+40)/0.5)+1,INT(($O878+30)/0.5)+1)="","",INDEX(geo_grid!$B$2:$JU$231,INT(($N878+40)/0.5)+1,INT(($O878+30)/0.5)+1)),"OUTSIDE GRID"))</f>
        <v/>
      </c>
      <c r="Q878" t="str">
        <f t="shared" si="153"/>
        <v/>
      </c>
    </row>
    <row r="879" spans="1:17" x14ac:dyDescent="0.3">
      <c r="A879">
        <f t="shared" si="143"/>
        <v>6</v>
      </c>
      <c r="B879">
        <f t="shared" si="144"/>
        <v>122</v>
      </c>
      <c r="C879" t="str" cm="1">
        <f t="array" ref="C879">IFERROR(INDEX('TRIP MANAGER'!$O$18:$O$25,$A879),"")</f>
        <v/>
      </c>
      <c r="D879" t="str" cm="1">
        <f t="array" ref="D879">IFERROR(INDEX('TRIP MANAGER'!$P$18:$P$25,$A879),"")</f>
        <v/>
      </c>
      <c r="E879" t="str" cm="1">
        <f t="array" ref="E879">IFERROR(INDEX('TRIP MANAGER'!$Q$18:$Q$25,$A879),"")</f>
        <v/>
      </c>
      <c r="F879" t="str" cm="1">
        <f t="array" ref="F879">IFERROR(INDEX('TRIP MANAGER'!$R$18:$R$25,$A879),"")</f>
        <v/>
      </c>
      <c r="G879" t="str" cm="1">
        <f t="array" ref="G879">IFERROR(INDEX('TRIP MANAGER'!$S$18:$S$25,$A879),"")</f>
        <v/>
      </c>
      <c r="H879">
        <f t="shared" si="145"/>
        <v>0.81333333333333335</v>
      </c>
      <c r="I879" t="str">
        <f t="shared" si="146"/>
        <v/>
      </c>
      <c r="J879" t="str">
        <f t="shared" si="147"/>
        <v/>
      </c>
      <c r="K879" t="str">
        <f t="shared" si="148"/>
        <v/>
      </c>
      <c r="L879" t="str">
        <f t="shared" si="149"/>
        <v/>
      </c>
      <c r="M879" t="str">
        <f t="shared" si="150"/>
        <v/>
      </c>
      <c r="N879" t="str">
        <f t="shared" si="151"/>
        <v/>
      </c>
      <c r="O879" t="str">
        <f t="shared" si="152"/>
        <v/>
      </c>
      <c r="P879" t="str" cm="1">
        <f t="array" ref="P879">IF($N879="","",IFERROR(IF(INDEX(geo_grid!$B$2:$JU$231,INT(($N879+40)/0.5)+1,INT(($O879+30)/0.5)+1)="","",INDEX(geo_grid!$B$2:$JU$231,INT(($N879+40)/0.5)+1,INT(($O879+30)/0.5)+1)),"OUTSIDE GRID"))</f>
        <v/>
      </c>
      <c r="Q879" t="str">
        <f t="shared" si="153"/>
        <v/>
      </c>
    </row>
    <row r="880" spans="1:17" x14ac:dyDescent="0.3">
      <c r="A880">
        <f t="shared" si="143"/>
        <v>6</v>
      </c>
      <c r="B880">
        <f t="shared" si="144"/>
        <v>123</v>
      </c>
      <c r="C880" t="str" cm="1">
        <f t="array" ref="C880">IFERROR(INDEX('TRIP MANAGER'!$O$18:$O$25,$A880),"")</f>
        <v/>
      </c>
      <c r="D880" t="str" cm="1">
        <f t="array" ref="D880">IFERROR(INDEX('TRIP MANAGER'!$P$18:$P$25,$A880),"")</f>
        <v/>
      </c>
      <c r="E880" t="str" cm="1">
        <f t="array" ref="E880">IFERROR(INDEX('TRIP MANAGER'!$Q$18:$Q$25,$A880),"")</f>
        <v/>
      </c>
      <c r="F880" t="str" cm="1">
        <f t="array" ref="F880">IFERROR(INDEX('TRIP MANAGER'!$R$18:$R$25,$A880),"")</f>
        <v/>
      </c>
      <c r="G880" t="str" cm="1">
        <f t="array" ref="G880">IFERROR(INDEX('TRIP MANAGER'!$S$18:$S$25,$A880),"")</f>
        <v/>
      </c>
      <c r="H880">
        <f t="shared" si="145"/>
        <v>0.82</v>
      </c>
      <c r="I880" t="str">
        <f t="shared" si="146"/>
        <v/>
      </c>
      <c r="J880" t="str">
        <f t="shared" si="147"/>
        <v/>
      </c>
      <c r="K880" t="str">
        <f t="shared" si="148"/>
        <v/>
      </c>
      <c r="L880" t="str">
        <f t="shared" si="149"/>
        <v/>
      </c>
      <c r="M880" t="str">
        <f t="shared" si="150"/>
        <v/>
      </c>
      <c r="N880" t="str">
        <f t="shared" si="151"/>
        <v/>
      </c>
      <c r="O880" t="str">
        <f t="shared" si="152"/>
        <v/>
      </c>
      <c r="P880" t="str" cm="1">
        <f t="array" ref="P880">IF($N880="","",IFERROR(IF(INDEX(geo_grid!$B$2:$JU$231,INT(($N880+40)/0.5)+1,INT(($O880+30)/0.5)+1)="","",INDEX(geo_grid!$B$2:$JU$231,INT(($N880+40)/0.5)+1,INT(($O880+30)/0.5)+1)),"OUTSIDE GRID"))</f>
        <v/>
      </c>
      <c r="Q880" t="str">
        <f t="shared" si="153"/>
        <v/>
      </c>
    </row>
    <row r="881" spans="1:17" x14ac:dyDescent="0.3">
      <c r="A881">
        <f t="shared" si="143"/>
        <v>6</v>
      </c>
      <c r="B881">
        <f t="shared" si="144"/>
        <v>124</v>
      </c>
      <c r="C881" t="str" cm="1">
        <f t="array" ref="C881">IFERROR(INDEX('TRIP MANAGER'!$O$18:$O$25,$A881),"")</f>
        <v/>
      </c>
      <c r="D881" t="str" cm="1">
        <f t="array" ref="D881">IFERROR(INDEX('TRIP MANAGER'!$P$18:$P$25,$A881),"")</f>
        <v/>
      </c>
      <c r="E881" t="str" cm="1">
        <f t="array" ref="E881">IFERROR(INDEX('TRIP MANAGER'!$Q$18:$Q$25,$A881),"")</f>
        <v/>
      </c>
      <c r="F881" t="str" cm="1">
        <f t="array" ref="F881">IFERROR(INDEX('TRIP MANAGER'!$R$18:$R$25,$A881),"")</f>
        <v/>
      </c>
      <c r="G881" t="str" cm="1">
        <f t="array" ref="G881">IFERROR(INDEX('TRIP MANAGER'!$S$18:$S$25,$A881),"")</f>
        <v/>
      </c>
      <c r="H881">
        <f t="shared" si="145"/>
        <v>0.82666666666666666</v>
      </c>
      <c r="I881" t="str">
        <f t="shared" si="146"/>
        <v/>
      </c>
      <c r="J881" t="str">
        <f t="shared" si="147"/>
        <v/>
      </c>
      <c r="K881" t="str">
        <f t="shared" si="148"/>
        <v/>
      </c>
      <c r="L881" t="str">
        <f t="shared" si="149"/>
        <v/>
      </c>
      <c r="M881" t="str">
        <f t="shared" si="150"/>
        <v/>
      </c>
      <c r="N881" t="str">
        <f t="shared" si="151"/>
        <v/>
      </c>
      <c r="O881" t="str">
        <f t="shared" si="152"/>
        <v/>
      </c>
      <c r="P881" t="str" cm="1">
        <f t="array" ref="P881">IF($N881="","",IFERROR(IF(INDEX(geo_grid!$B$2:$JU$231,INT(($N881+40)/0.5)+1,INT(($O881+30)/0.5)+1)="","",INDEX(geo_grid!$B$2:$JU$231,INT(($N881+40)/0.5)+1,INT(($O881+30)/0.5)+1)),"OUTSIDE GRID"))</f>
        <v/>
      </c>
      <c r="Q881" t="str">
        <f t="shared" si="153"/>
        <v/>
      </c>
    </row>
    <row r="882" spans="1:17" x14ac:dyDescent="0.3">
      <c r="A882">
        <f t="shared" si="143"/>
        <v>6</v>
      </c>
      <c r="B882">
        <f t="shared" si="144"/>
        <v>125</v>
      </c>
      <c r="C882" t="str" cm="1">
        <f t="array" ref="C882">IFERROR(INDEX('TRIP MANAGER'!$O$18:$O$25,$A882),"")</f>
        <v/>
      </c>
      <c r="D882" t="str" cm="1">
        <f t="array" ref="D882">IFERROR(INDEX('TRIP MANAGER'!$P$18:$P$25,$A882),"")</f>
        <v/>
      </c>
      <c r="E882" t="str" cm="1">
        <f t="array" ref="E882">IFERROR(INDEX('TRIP MANAGER'!$Q$18:$Q$25,$A882),"")</f>
        <v/>
      </c>
      <c r="F882" t="str" cm="1">
        <f t="array" ref="F882">IFERROR(INDEX('TRIP MANAGER'!$R$18:$R$25,$A882),"")</f>
        <v/>
      </c>
      <c r="G882" t="str" cm="1">
        <f t="array" ref="G882">IFERROR(INDEX('TRIP MANAGER'!$S$18:$S$25,$A882),"")</f>
        <v/>
      </c>
      <c r="H882">
        <f t="shared" si="145"/>
        <v>0.83333333333333337</v>
      </c>
      <c r="I882" t="str">
        <f t="shared" si="146"/>
        <v/>
      </c>
      <c r="J882" t="str">
        <f t="shared" si="147"/>
        <v/>
      </c>
      <c r="K882" t="str">
        <f t="shared" si="148"/>
        <v/>
      </c>
      <c r="L882" t="str">
        <f t="shared" si="149"/>
        <v/>
      </c>
      <c r="M882" t="str">
        <f t="shared" si="150"/>
        <v/>
      </c>
      <c r="N882" t="str">
        <f t="shared" si="151"/>
        <v/>
      </c>
      <c r="O882" t="str">
        <f t="shared" si="152"/>
        <v/>
      </c>
      <c r="P882" t="str" cm="1">
        <f t="array" ref="P882">IF($N882="","",IFERROR(IF(INDEX(geo_grid!$B$2:$JU$231,INT(($N882+40)/0.5)+1,INT(($O882+30)/0.5)+1)="","",INDEX(geo_grid!$B$2:$JU$231,INT(($N882+40)/0.5)+1,INT(($O882+30)/0.5)+1)),"OUTSIDE GRID"))</f>
        <v/>
      </c>
      <c r="Q882" t="str">
        <f t="shared" si="153"/>
        <v/>
      </c>
    </row>
    <row r="883" spans="1:17" x14ac:dyDescent="0.3">
      <c r="A883">
        <f t="shared" si="143"/>
        <v>6</v>
      </c>
      <c r="B883">
        <f t="shared" si="144"/>
        <v>126</v>
      </c>
      <c r="C883" t="str" cm="1">
        <f t="array" ref="C883">IFERROR(INDEX('TRIP MANAGER'!$O$18:$O$25,$A883),"")</f>
        <v/>
      </c>
      <c r="D883" t="str" cm="1">
        <f t="array" ref="D883">IFERROR(INDEX('TRIP MANAGER'!$P$18:$P$25,$A883),"")</f>
        <v/>
      </c>
      <c r="E883" t="str" cm="1">
        <f t="array" ref="E883">IFERROR(INDEX('TRIP MANAGER'!$Q$18:$Q$25,$A883),"")</f>
        <v/>
      </c>
      <c r="F883" t="str" cm="1">
        <f t="array" ref="F883">IFERROR(INDEX('TRIP MANAGER'!$R$18:$R$25,$A883),"")</f>
        <v/>
      </c>
      <c r="G883" t="str" cm="1">
        <f t="array" ref="G883">IFERROR(INDEX('TRIP MANAGER'!$S$18:$S$25,$A883),"")</f>
        <v/>
      </c>
      <c r="H883">
        <f t="shared" si="145"/>
        <v>0.84</v>
      </c>
      <c r="I883" t="str">
        <f t="shared" si="146"/>
        <v/>
      </c>
      <c r="J883" t="str">
        <f t="shared" si="147"/>
        <v/>
      </c>
      <c r="K883" t="str">
        <f t="shared" si="148"/>
        <v/>
      </c>
      <c r="L883" t="str">
        <f t="shared" si="149"/>
        <v/>
      </c>
      <c r="M883" t="str">
        <f t="shared" si="150"/>
        <v/>
      </c>
      <c r="N883" t="str">
        <f t="shared" si="151"/>
        <v/>
      </c>
      <c r="O883" t="str">
        <f t="shared" si="152"/>
        <v/>
      </c>
      <c r="P883" t="str" cm="1">
        <f t="array" ref="P883">IF($N883="","",IFERROR(IF(INDEX(geo_grid!$B$2:$JU$231,INT(($N883+40)/0.5)+1,INT(($O883+30)/0.5)+1)="","",INDEX(geo_grid!$B$2:$JU$231,INT(($N883+40)/0.5)+1,INT(($O883+30)/0.5)+1)),"OUTSIDE GRID"))</f>
        <v/>
      </c>
      <c r="Q883" t="str">
        <f t="shared" si="153"/>
        <v/>
      </c>
    </row>
    <row r="884" spans="1:17" x14ac:dyDescent="0.3">
      <c r="A884">
        <f t="shared" si="143"/>
        <v>6</v>
      </c>
      <c r="B884">
        <f t="shared" si="144"/>
        <v>127</v>
      </c>
      <c r="C884" t="str" cm="1">
        <f t="array" ref="C884">IFERROR(INDEX('TRIP MANAGER'!$O$18:$O$25,$A884),"")</f>
        <v/>
      </c>
      <c r="D884" t="str" cm="1">
        <f t="array" ref="D884">IFERROR(INDEX('TRIP MANAGER'!$P$18:$P$25,$A884),"")</f>
        <v/>
      </c>
      <c r="E884" t="str" cm="1">
        <f t="array" ref="E884">IFERROR(INDEX('TRIP MANAGER'!$Q$18:$Q$25,$A884),"")</f>
        <v/>
      </c>
      <c r="F884" t="str" cm="1">
        <f t="array" ref="F884">IFERROR(INDEX('TRIP MANAGER'!$R$18:$R$25,$A884),"")</f>
        <v/>
      </c>
      <c r="G884" t="str" cm="1">
        <f t="array" ref="G884">IFERROR(INDEX('TRIP MANAGER'!$S$18:$S$25,$A884),"")</f>
        <v/>
      </c>
      <c r="H884">
        <f t="shared" si="145"/>
        <v>0.84666666666666668</v>
      </c>
      <c r="I884" t="str">
        <f t="shared" si="146"/>
        <v/>
      </c>
      <c r="J884" t="str">
        <f t="shared" si="147"/>
        <v/>
      </c>
      <c r="K884" t="str">
        <f t="shared" si="148"/>
        <v/>
      </c>
      <c r="L884" t="str">
        <f t="shared" si="149"/>
        <v/>
      </c>
      <c r="M884" t="str">
        <f t="shared" si="150"/>
        <v/>
      </c>
      <c r="N884" t="str">
        <f t="shared" si="151"/>
        <v/>
      </c>
      <c r="O884" t="str">
        <f t="shared" si="152"/>
        <v/>
      </c>
      <c r="P884" t="str" cm="1">
        <f t="array" ref="P884">IF($N884="","",IFERROR(IF(INDEX(geo_grid!$B$2:$JU$231,INT(($N884+40)/0.5)+1,INT(($O884+30)/0.5)+1)="","",INDEX(geo_grid!$B$2:$JU$231,INT(($N884+40)/0.5)+1,INT(($O884+30)/0.5)+1)),"OUTSIDE GRID"))</f>
        <v/>
      </c>
      <c r="Q884" t="str">
        <f t="shared" si="153"/>
        <v/>
      </c>
    </row>
    <row r="885" spans="1:17" x14ac:dyDescent="0.3">
      <c r="A885">
        <f t="shared" si="143"/>
        <v>6</v>
      </c>
      <c r="B885">
        <f t="shared" si="144"/>
        <v>128</v>
      </c>
      <c r="C885" t="str" cm="1">
        <f t="array" ref="C885">IFERROR(INDEX('TRIP MANAGER'!$O$18:$O$25,$A885),"")</f>
        <v/>
      </c>
      <c r="D885" t="str" cm="1">
        <f t="array" ref="D885">IFERROR(INDEX('TRIP MANAGER'!$P$18:$P$25,$A885),"")</f>
        <v/>
      </c>
      <c r="E885" t="str" cm="1">
        <f t="array" ref="E885">IFERROR(INDEX('TRIP MANAGER'!$Q$18:$Q$25,$A885),"")</f>
        <v/>
      </c>
      <c r="F885" t="str" cm="1">
        <f t="array" ref="F885">IFERROR(INDEX('TRIP MANAGER'!$R$18:$R$25,$A885),"")</f>
        <v/>
      </c>
      <c r="G885" t="str" cm="1">
        <f t="array" ref="G885">IFERROR(INDEX('TRIP MANAGER'!$S$18:$S$25,$A885),"")</f>
        <v/>
      </c>
      <c r="H885">
        <f t="shared" si="145"/>
        <v>0.85333333333333339</v>
      </c>
      <c r="I885" t="str">
        <f t="shared" si="146"/>
        <v/>
      </c>
      <c r="J885" t="str">
        <f t="shared" si="147"/>
        <v/>
      </c>
      <c r="K885" t="str">
        <f t="shared" si="148"/>
        <v/>
      </c>
      <c r="L885" t="str">
        <f t="shared" si="149"/>
        <v/>
      </c>
      <c r="M885" t="str">
        <f t="shared" si="150"/>
        <v/>
      </c>
      <c r="N885" t="str">
        <f t="shared" si="151"/>
        <v/>
      </c>
      <c r="O885" t="str">
        <f t="shared" si="152"/>
        <v/>
      </c>
      <c r="P885" t="str" cm="1">
        <f t="array" ref="P885">IF($N885="","",IFERROR(IF(INDEX(geo_grid!$B$2:$JU$231,INT(($N885+40)/0.5)+1,INT(($O885+30)/0.5)+1)="","",INDEX(geo_grid!$B$2:$JU$231,INT(($N885+40)/0.5)+1,INT(($O885+30)/0.5)+1)),"OUTSIDE GRID"))</f>
        <v/>
      </c>
      <c r="Q885" t="str">
        <f t="shared" si="153"/>
        <v/>
      </c>
    </row>
    <row r="886" spans="1:17" x14ac:dyDescent="0.3">
      <c r="A886">
        <f t="shared" si="143"/>
        <v>6</v>
      </c>
      <c r="B886">
        <f t="shared" si="144"/>
        <v>129</v>
      </c>
      <c r="C886" t="str" cm="1">
        <f t="array" ref="C886">IFERROR(INDEX('TRIP MANAGER'!$O$18:$O$25,$A886),"")</f>
        <v/>
      </c>
      <c r="D886" t="str" cm="1">
        <f t="array" ref="D886">IFERROR(INDEX('TRIP MANAGER'!$P$18:$P$25,$A886),"")</f>
        <v/>
      </c>
      <c r="E886" t="str" cm="1">
        <f t="array" ref="E886">IFERROR(INDEX('TRIP MANAGER'!$Q$18:$Q$25,$A886),"")</f>
        <v/>
      </c>
      <c r="F886" t="str" cm="1">
        <f t="array" ref="F886">IFERROR(INDEX('TRIP MANAGER'!$R$18:$R$25,$A886),"")</f>
        <v/>
      </c>
      <c r="G886" t="str" cm="1">
        <f t="array" ref="G886">IFERROR(INDEX('TRIP MANAGER'!$S$18:$S$25,$A886),"")</f>
        <v/>
      </c>
      <c r="H886">
        <f t="shared" si="145"/>
        <v>0.86</v>
      </c>
      <c r="I886" t="str">
        <f t="shared" si="146"/>
        <v/>
      </c>
      <c r="J886" t="str">
        <f t="shared" si="147"/>
        <v/>
      </c>
      <c r="K886" t="str">
        <f t="shared" si="148"/>
        <v/>
      </c>
      <c r="L886" t="str">
        <f t="shared" si="149"/>
        <v/>
      </c>
      <c r="M886" t="str">
        <f t="shared" si="150"/>
        <v/>
      </c>
      <c r="N886" t="str">
        <f t="shared" si="151"/>
        <v/>
      </c>
      <c r="O886" t="str">
        <f t="shared" si="152"/>
        <v/>
      </c>
      <c r="P886" t="str" cm="1">
        <f t="array" ref="P886">IF($N886="","",IFERROR(IF(INDEX(geo_grid!$B$2:$JU$231,INT(($N886+40)/0.5)+1,INT(($O886+30)/0.5)+1)="","",INDEX(geo_grid!$B$2:$JU$231,INT(($N886+40)/0.5)+1,INT(($O886+30)/0.5)+1)),"OUTSIDE GRID"))</f>
        <v/>
      </c>
      <c r="Q886" t="str">
        <f t="shared" si="153"/>
        <v/>
      </c>
    </row>
    <row r="887" spans="1:17" x14ac:dyDescent="0.3">
      <c r="A887">
        <f t="shared" si="143"/>
        <v>6</v>
      </c>
      <c r="B887">
        <f t="shared" si="144"/>
        <v>130</v>
      </c>
      <c r="C887" t="str" cm="1">
        <f t="array" ref="C887">IFERROR(INDEX('TRIP MANAGER'!$O$18:$O$25,$A887),"")</f>
        <v/>
      </c>
      <c r="D887" t="str" cm="1">
        <f t="array" ref="D887">IFERROR(INDEX('TRIP MANAGER'!$P$18:$P$25,$A887),"")</f>
        <v/>
      </c>
      <c r="E887" t="str" cm="1">
        <f t="array" ref="E887">IFERROR(INDEX('TRIP MANAGER'!$Q$18:$Q$25,$A887),"")</f>
        <v/>
      </c>
      <c r="F887" t="str" cm="1">
        <f t="array" ref="F887">IFERROR(INDEX('TRIP MANAGER'!$R$18:$R$25,$A887),"")</f>
        <v/>
      </c>
      <c r="G887" t="str" cm="1">
        <f t="array" ref="G887">IFERROR(INDEX('TRIP MANAGER'!$S$18:$S$25,$A887),"")</f>
        <v/>
      </c>
      <c r="H887">
        <f t="shared" si="145"/>
        <v>0.8666666666666667</v>
      </c>
      <c r="I887" t="str">
        <f t="shared" si="146"/>
        <v/>
      </c>
      <c r="J887" t="str">
        <f t="shared" si="147"/>
        <v/>
      </c>
      <c r="K887" t="str">
        <f t="shared" si="148"/>
        <v/>
      </c>
      <c r="L887" t="str">
        <f t="shared" si="149"/>
        <v/>
      </c>
      <c r="M887" t="str">
        <f t="shared" si="150"/>
        <v/>
      </c>
      <c r="N887" t="str">
        <f t="shared" si="151"/>
        <v/>
      </c>
      <c r="O887" t="str">
        <f t="shared" si="152"/>
        <v/>
      </c>
      <c r="P887" t="str" cm="1">
        <f t="array" ref="P887">IF($N887="","",IFERROR(IF(INDEX(geo_grid!$B$2:$JU$231,INT(($N887+40)/0.5)+1,INT(($O887+30)/0.5)+1)="","",INDEX(geo_grid!$B$2:$JU$231,INT(($N887+40)/0.5)+1,INT(($O887+30)/0.5)+1)),"OUTSIDE GRID"))</f>
        <v/>
      </c>
      <c r="Q887" t="str">
        <f t="shared" si="153"/>
        <v/>
      </c>
    </row>
    <row r="888" spans="1:17" x14ac:dyDescent="0.3">
      <c r="A888">
        <f t="shared" si="143"/>
        <v>6</v>
      </c>
      <c r="B888">
        <f t="shared" si="144"/>
        <v>131</v>
      </c>
      <c r="C888" t="str" cm="1">
        <f t="array" ref="C888">IFERROR(INDEX('TRIP MANAGER'!$O$18:$O$25,$A888),"")</f>
        <v/>
      </c>
      <c r="D888" t="str" cm="1">
        <f t="array" ref="D888">IFERROR(INDEX('TRIP MANAGER'!$P$18:$P$25,$A888),"")</f>
        <v/>
      </c>
      <c r="E888" t="str" cm="1">
        <f t="array" ref="E888">IFERROR(INDEX('TRIP MANAGER'!$Q$18:$Q$25,$A888),"")</f>
        <v/>
      </c>
      <c r="F888" t="str" cm="1">
        <f t="array" ref="F888">IFERROR(INDEX('TRIP MANAGER'!$R$18:$R$25,$A888),"")</f>
        <v/>
      </c>
      <c r="G888" t="str" cm="1">
        <f t="array" ref="G888">IFERROR(INDEX('TRIP MANAGER'!$S$18:$S$25,$A888),"")</f>
        <v/>
      </c>
      <c r="H888">
        <f t="shared" si="145"/>
        <v>0.87333333333333329</v>
      </c>
      <c r="I888" t="str">
        <f t="shared" si="146"/>
        <v/>
      </c>
      <c r="J888" t="str">
        <f t="shared" si="147"/>
        <v/>
      </c>
      <c r="K888" t="str">
        <f t="shared" si="148"/>
        <v/>
      </c>
      <c r="L888" t="str">
        <f t="shared" si="149"/>
        <v/>
      </c>
      <c r="M888" t="str">
        <f t="shared" si="150"/>
        <v/>
      </c>
      <c r="N888" t="str">
        <f t="shared" si="151"/>
        <v/>
      </c>
      <c r="O888" t="str">
        <f t="shared" si="152"/>
        <v/>
      </c>
      <c r="P888" t="str" cm="1">
        <f t="array" ref="P888">IF($N888="","",IFERROR(IF(INDEX(geo_grid!$B$2:$JU$231,INT(($N888+40)/0.5)+1,INT(($O888+30)/0.5)+1)="","",INDEX(geo_grid!$B$2:$JU$231,INT(($N888+40)/0.5)+1,INT(($O888+30)/0.5)+1)),"OUTSIDE GRID"))</f>
        <v/>
      </c>
      <c r="Q888" t="str">
        <f t="shared" si="153"/>
        <v/>
      </c>
    </row>
    <row r="889" spans="1:17" x14ac:dyDescent="0.3">
      <c r="A889">
        <f t="shared" si="143"/>
        <v>6</v>
      </c>
      <c r="B889">
        <f t="shared" si="144"/>
        <v>132</v>
      </c>
      <c r="C889" t="str" cm="1">
        <f t="array" ref="C889">IFERROR(INDEX('TRIP MANAGER'!$O$18:$O$25,$A889),"")</f>
        <v/>
      </c>
      <c r="D889" t="str" cm="1">
        <f t="array" ref="D889">IFERROR(INDEX('TRIP MANAGER'!$P$18:$P$25,$A889),"")</f>
        <v/>
      </c>
      <c r="E889" t="str" cm="1">
        <f t="array" ref="E889">IFERROR(INDEX('TRIP MANAGER'!$Q$18:$Q$25,$A889),"")</f>
        <v/>
      </c>
      <c r="F889" t="str" cm="1">
        <f t="array" ref="F889">IFERROR(INDEX('TRIP MANAGER'!$R$18:$R$25,$A889),"")</f>
        <v/>
      </c>
      <c r="G889" t="str" cm="1">
        <f t="array" ref="G889">IFERROR(INDEX('TRIP MANAGER'!$S$18:$S$25,$A889),"")</f>
        <v/>
      </c>
      <c r="H889">
        <f t="shared" si="145"/>
        <v>0.88</v>
      </c>
      <c r="I889" t="str">
        <f t="shared" si="146"/>
        <v/>
      </c>
      <c r="J889" t="str">
        <f t="shared" si="147"/>
        <v/>
      </c>
      <c r="K889" t="str">
        <f t="shared" si="148"/>
        <v/>
      </c>
      <c r="L889" t="str">
        <f t="shared" si="149"/>
        <v/>
      </c>
      <c r="M889" t="str">
        <f t="shared" si="150"/>
        <v/>
      </c>
      <c r="N889" t="str">
        <f t="shared" si="151"/>
        <v/>
      </c>
      <c r="O889" t="str">
        <f t="shared" si="152"/>
        <v/>
      </c>
      <c r="P889" t="str" cm="1">
        <f t="array" ref="P889">IF($N889="","",IFERROR(IF(INDEX(geo_grid!$B$2:$JU$231,INT(($N889+40)/0.5)+1,INT(($O889+30)/0.5)+1)="","",INDEX(geo_grid!$B$2:$JU$231,INT(($N889+40)/0.5)+1,INT(($O889+30)/0.5)+1)),"OUTSIDE GRID"))</f>
        <v/>
      </c>
      <c r="Q889" t="str">
        <f t="shared" si="153"/>
        <v/>
      </c>
    </row>
    <row r="890" spans="1:17" x14ac:dyDescent="0.3">
      <c r="A890">
        <f t="shared" si="143"/>
        <v>6</v>
      </c>
      <c r="B890">
        <f t="shared" si="144"/>
        <v>133</v>
      </c>
      <c r="C890" t="str" cm="1">
        <f t="array" ref="C890">IFERROR(INDEX('TRIP MANAGER'!$O$18:$O$25,$A890),"")</f>
        <v/>
      </c>
      <c r="D890" t="str" cm="1">
        <f t="array" ref="D890">IFERROR(INDEX('TRIP MANAGER'!$P$18:$P$25,$A890),"")</f>
        <v/>
      </c>
      <c r="E890" t="str" cm="1">
        <f t="array" ref="E890">IFERROR(INDEX('TRIP MANAGER'!$Q$18:$Q$25,$A890),"")</f>
        <v/>
      </c>
      <c r="F890" t="str" cm="1">
        <f t="array" ref="F890">IFERROR(INDEX('TRIP MANAGER'!$R$18:$R$25,$A890),"")</f>
        <v/>
      </c>
      <c r="G890" t="str" cm="1">
        <f t="array" ref="G890">IFERROR(INDEX('TRIP MANAGER'!$S$18:$S$25,$A890),"")</f>
        <v/>
      </c>
      <c r="H890">
        <f t="shared" si="145"/>
        <v>0.88666666666666671</v>
      </c>
      <c r="I890" t="str">
        <f t="shared" si="146"/>
        <v/>
      </c>
      <c r="J890" t="str">
        <f t="shared" si="147"/>
        <v/>
      </c>
      <c r="K890" t="str">
        <f t="shared" si="148"/>
        <v/>
      </c>
      <c r="L890" t="str">
        <f t="shared" si="149"/>
        <v/>
      </c>
      <c r="M890" t="str">
        <f t="shared" si="150"/>
        <v/>
      </c>
      <c r="N890" t="str">
        <f t="shared" si="151"/>
        <v/>
      </c>
      <c r="O890" t="str">
        <f t="shared" si="152"/>
        <v/>
      </c>
      <c r="P890" t="str" cm="1">
        <f t="array" ref="P890">IF($N890="","",IFERROR(IF(INDEX(geo_grid!$B$2:$JU$231,INT(($N890+40)/0.5)+1,INT(($O890+30)/0.5)+1)="","",INDEX(geo_grid!$B$2:$JU$231,INT(($N890+40)/0.5)+1,INT(($O890+30)/0.5)+1)),"OUTSIDE GRID"))</f>
        <v/>
      </c>
      <c r="Q890" t="str">
        <f t="shared" si="153"/>
        <v/>
      </c>
    </row>
    <row r="891" spans="1:17" x14ac:dyDescent="0.3">
      <c r="A891">
        <f t="shared" si="143"/>
        <v>6</v>
      </c>
      <c r="B891">
        <f t="shared" si="144"/>
        <v>134</v>
      </c>
      <c r="C891" t="str" cm="1">
        <f t="array" ref="C891">IFERROR(INDEX('TRIP MANAGER'!$O$18:$O$25,$A891),"")</f>
        <v/>
      </c>
      <c r="D891" t="str" cm="1">
        <f t="array" ref="D891">IFERROR(INDEX('TRIP MANAGER'!$P$18:$P$25,$A891),"")</f>
        <v/>
      </c>
      <c r="E891" t="str" cm="1">
        <f t="array" ref="E891">IFERROR(INDEX('TRIP MANAGER'!$Q$18:$Q$25,$A891),"")</f>
        <v/>
      </c>
      <c r="F891" t="str" cm="1">
        <f t="array" ref="F891">IFERROR(INDEX('TRIP MANAGER'!$R$18:$R$25,$A891),"")</f>
        <v/>
      </c>
      <c r="G891" t="str" cm="1">
        <f t="array" ref="G891">IFERROR(INDEX('TRIP MANAGER'!$S$18:$S$25,$A891),"")</f>
        <v/>
      </c>
      <c r="H891">
        <f t="shared" si="145"/>
        <v>0.89333333333333331</v>
      </c>
      <c r="I891" t="str">
        <f t="shared" si="146"/>
        <v/>
      </c>
      <c r="J891" t="str">
        <f t="shared" si="147"/>
        <v/>
      </c>
      <c r="K891" t="str">
        <f t="shared" si="148"/>
        <v/>
      </c>
      <c r="L891" t="str">
        <f t="shared" si="149"/>
        <v/>
      </c>
      <c r="M891" t="str">
        <f t="shared" si="150"/>
        <v/>
      </c>
      <c r="N891" t="str">
        <f t="shared" si="151"/>
        <v/>
      </c>
      <c r="O891" t="str">
        <f t="shared" si="152"/>
        <v/>
      </c>
      <c r="P891" t="str" cm="1">
        <f t="array" ref="P891">IF($N891="","",IFERROR(IF(INDEX(geo_grid!$B$2:$JU$231,INT(($N891+40)/0.5)+1,INT(($O891+30)/0.5)+1)="","",INDEX(geo_grid!$B$2:$JU$231,INT(($N891+40)/0.5)+1,INT(($O891+30)/0.5)+1)),"OUTSIDE GRID"))</f>
        <v/>
      </c>
      <c r="Q891" t="str">
        <f t="shared" si="153"/>
        <v/>
      </c>
    </row>
    <row r="892" spans="1:17" x14ac:dyDescent="0.3">
      <c r="A892">
        <f t="shared" si="143"/>
        <v>6</v>
      </c>
      <c r="B892">
        <f t="shared" si="144"/>
        <v>135</v>
      </c>
      <c r="C892" t="str" cm="1">
        <f t="array" ref="C892">IFERROR(INDEX('TRIP MANAGER'!$O$18:$O$25,$A892),"")</f>
        <v/>
      </c>
      <c r="D892" t="str" cm="1">
        <f t="array" ref="D892">IFERROR(INDEX('TRIP MANAGER'!$P$18:$P$25,$A892),"")</f>
        <v/>
      </c>
      <c r="E892" t="str" cm="1">
        <f t="array" ref="E892">IFERROR(INDEX('TRIP MANAGER'!$Q$18:$Q$25,$A892),"")</f>
        <v/>
      </c>
      <c r="F892" t="str" cm="1">
        <f t="array" ref="F892">IFERROR(INDEX('TRIP MANAGER'!$R$18:$R$25,$A892),"")</f>
        <v/>
      </c>
      <c r="G892" t="str" cm="1">
        <f t="array" ref="G892">IFERROR(INDEX('TRIP MANAGER'!$S$18:$S$25,$A892),"")</f>
        <v/>
      </c>
      <c r="H892">
        <f t="shared" si="145"/>
        <v>0.9</v>
      </c>
      <c r="I892" t="str">
        <f t="shared" si="146"/>
        <v/>
      </c>
      <c r="J892" t="str">
        <f t="shared" si="147"/>
        <v/>
      </c>
      <c r="K892" t="str">
        <f t="shared" si="148"/>
        <v/>
      </c>
      <c r="L892" t="str">
        <f t="shared" si="149"/>
        <v/>
      </c>
      <c r="M892" t="str">
        <f t="shared" si="150"/>
        <v/>
      </c>
      <c r="N892" t="str">
        <f t="shared" si="151"/>
        <v/>
      </c>
      <c r="O892" t="str">
        <f t="shared" si="152"/>
        <v/>
      </c>
      <c r="P892" t="str" cm="1">
        <f t="array" ref="P892">IF($N892="","",IFERROR(IF(INDEX(geo_grid!$B$2:$JU$231,INT(($N892+40)/0.5)+1,INT(($O892+30)/0.5)+1)="","",INDEX(geo_grid!$B$2:$JU$231,INT(($N892+40)/0.5)+1,INT(($O892+30)/0.5)+1)),"OUTSIDE GRID"))</f>
        <v/>
      </c>
      <c r="Q892" t="str">
        <f t="shared" si="153"/>
        <v/>
      </c>
    </row>
    <row r="893" spans="1:17" x14ac:dyDescent="0.3">
      <c r="A893">
        <f t="shared" si="143"/>
        <v>6</v>
      </c>
      <c r="B893">
        <f t="shared" si="144"/>
        <v>136</v>
      </c>
      <c r="C893" t="str" cm="1">
        <f t="array" ref="C893">IFERROR(INDEX('TRIP MANAGER'!$O$18:$O$25,$A893),"")</f>
        <v/>
      </c>
      <c r="D893" t="str" cm="1">
        <f t="array" ref="D893">IFERROR(INDEX('TRIP MANAGER'!$P$18:$P$25,$A893),"")</f>
        <v/>
      </c>
      <c r="E893" t="str" cm="1">
        <f t="array" ref="E893">IFERROR(INDEX('TRIP MANAGER'!$Q$18:$Q$25,$A893),"")</f>
        <v/>
      </c>
      <c r="F893" t="str" cm="1">
        <f t="array" ref="F893">IFERROR(INDEX('TRIP MANAGER'!$R$18:$R$25,$A893),"")</f>
        <v/>
      </c>
      <c r="G893" t="str" cm="1">
        <f t="array" ref="G893">IFERROR(INDEX('TRIP MANAGER'!$S$18:$S$25,$A893),"")</f>
        <v/>
      </c>
      <c r="H893">
        <f t="shared" si="145"/>
        <v>0.90666666666666662</v>
      </c>
      <c r="I893" t="str">
        <f t="shared" si="146"/>
        <v/>
      </c>
      <c r="J893" t="str">
        <f t="shared" si="147"/>
        <v/>
      </c>
      <c r="K893" t="str">
        <f t="shared" si="148"/>
        <v/>
      </c>
      <c r="L893" t="str">
        <f t="shared" si="149"/>
        <v/>
      </c>
      <c r="M893" t="str">
        <f t="shared" si="150"/>
        <v/>
      </c>
      <c r="N893" t="str">
        <f t="shared" si="151"/>
        <v/>
      </c>
      <c r="O893" t="str">
        <f t="shared" si="152"/>
        <v/>
      </c>
      <c r="P893" t="str" cm="1">
        <f t="array" ref="P893">IF($N893="","",IFERROR(IF(INDEX(geo_grid!$B$2:$JU$231,INT(($N893+40)/0.5)+1,INT(($O893+30)/0.5)+1)="","",INDEX(geo_grid!$B$2:$JU$231,INT(($N893+40)/0.5)+1,INT(($O893+30)/0.5)+1)),"OUTSIDE GRID"))</f>
        <v/>
      </c>
      <c r="Q893" t="str">
        <f t="shared" si="153"/>
        <v/>
      </c>
    </row>
    <row r="894" spans="1:17" x14ac:dyDescent="0.3">
      <c r="A894">
        <f t="shared" si="143"/>
        <v>6</v>
      </c>
      <c r="B894">
        <f t="shared" si="144"/>
        <v>137</v>
      </c>
      <c r="C894" t="str" cm="1">
        <f t="array" ref="C894">IFERROR(INDEX('TRIP MANAGER'!$O$18:$O$25,$A894),"")</f>
        <v/>
      </c>
      <c r="D894" t="str" cm="1">
        <f t="array" ref="D894">IFERROR(INDEX('TRIP MANAGER'!$P$18:$P$25,$A894),"")</f>
        <v/>
      </c>
      <c r="E894" t="str" cm="1">
        <f t="array" ref="E894">IFERROR(INDEX('TRIP MANAGER'!$Q$18:$Q$25,$A894),"")</f>
        <v/>
      </c>
      <c r="F894" t="str" cm="1">
        <f t="array" ref="F894">IFERROR(INDEX('TRIP MANAGER'!$R$18:$R$25,$A894),"")</f>
        <v/>
      </c>
      <c r="G894" t="str" cm="1">
        <f t="array" ref="G894">IFERROR(INDEX('TRIP MANAGER'!$S$18:$S$25,$A894),"")</f>
        <v/>
      </c>
      <c r="H894">
        <f t="shared" si="145"/>
        <v>0.91333333333333333</v>
      </c>
      <c r="I894" t="str">
        <f t="shared" si="146"/>
        <v/>
      </c>
      <c r="J894" t="str">
        <f t="shared" si="147"/>
        <v/>
      </c>
      <c r="K894" t="str">
        <f t="shared" si="148"/>
        <v/>
      </c>
      <c r="L894" t="str">
        <f t="shared" si="149"/>
        <v/>
      </c>
      <c r="M894" t="str">
        <f t="shared" si="150"/>
        <v/>
      </c>
      <c r="N894" t="str">
        <f t="shared" si="151"/>
        <v/>
      </c>
      <c r="O894" t="str">
        <f t="shared" si="152"/>
        <v/>
      </c>
      <c r="P894" t="str" cm="1">
        <f t="array" ref="P894">IF($N894="","",IFERROR(IF(INDEX(geo_grid!$B$2:$JU$231,INT(($N894+40)/0.5)+1,INT(($O894+30)/0.5)+1)="","",INDEX(geo_grid!$B$2:$JU$231,INT(($N894+40)/0.5)+1,INT(($O894+30)/0.5)+1)),"OUTSIDE GRID"))</f>
        <v/>
      </c>
      <c r="Q894" t="str">
        <f t="shared" si="153"/>
        <v/>
      </c>
    </row>
    <row r="895" spans="1:17" x14ac:dyDescent="0.3">
      <c r="A895">
        <f t="shared" si="143"/>
        <v>6</v>
      </c>
      <c r="B895">
        <f t="shared" si="144"/>
        <v>138</v>
      </c>
      <c r="C895" t="str" cm="1">
        <f t="array" ref="C895">IFERROR(INDEX('TRIP MANAGER'!$O$18:$O$25,$A895),"")</f>
        <v/>
      </c>
      <c r="D895" t="str" cm="1">
        <f t="array" ref="D895">IFERROR(INDEX('TRIP MANAGER'!$P$18:$P$25,$A895),"")</f>
        <v/>
      </c>
      <c r="E895" t="str" cm="1">
        <f t="array" ref="E895">IFERROR(INDEX('TRIP MANAGER'!$Q$18:$Q$25,$A895),"")</f>
        <v/>
      </c>
      <c r="F895" t="str" cm="1">
        <f t="array" ref="F895">IFERROR(INDEX('TRIP MANAGER'!$R$18:$R$25,$A895),"")</f>
        <v/>
      </c>
      <c r="G895" t="str" cm="1">
        <f t="array" ref="G895">IFERROR(INDEX('TRIP MANAGER'!$S$18:$S$25,$A895),"")</f>
        <v/>
      </c>
      <c r="H895">
        <f t="shared" si="145"/>
        <v>0.92</v>
      </c>
      <c r="I895" t="str">
        <f t="shared" si="146"/>
        <v/>
      </c>
      <c r="J895" t="str">
        <f t="shared" si="147"/>
        <v/>
      </c>
      <c r="K895" t="str">
        <f t="shared" si="148"/>
        <v/>
      </c>
      <c r="L895" t="str">
        <f t="shared" si="149"/>
        <v/>
      </c>
      <c r="M895" t="str">
        <f t="shared" si="150"/>
        <v/>
      </c>
      <c r="N895" t="str">
        <f t="shared" si="151"/>
        <v/>
      </c>
      <c r="O895" t="str">
        <f t="shared" si="152"/>
        <v/>
      </c>
      <c r="P895" t="str" cm="1">
        <f t="array" ref="P895">IF($N895="","",IFERROR(IF(INDEX(geo_grid!$B$2:$JU$231,INT(($N895+40)/0.5)+1,INT(($O895+30)/0.5)+1)="","",INDEX(geo_grid!$B$2:$JU$231,INT(($N895+40)/0.5)+1,INT(($O895+30)/0.5)+1)),"OUTSIDE GRID"))</f>
        <v/>
      </c>
      <c r="Q895" t="str">
        <f t="shared" si="153"/>
        <v/>
      </c>
    </row>
    <row r="896" spans="1:17" x14ac:dyDescent="0.3">
      <c r="A896">
        <f t="shared" si="143"/>
        <v>6</v>
      </c>
      <c r="B896">
        <f t="shared" si="144"/>
        <v>139</v>
      </c>
      <c r="C896" t="str" cm="1">
        <f t="array" ref="C896">IFERROR(INDEX('TRIP MANAGER'!$O$18:$O$25,$A896),"")</f>
        <v/>
      </c>
      <c r="D896" t="str" cm="1">
        <f t="array" ref="D896">IFERROR(INDEX('TRIP MANAGER'!$P$18:$P$25,$A896),"")</f>
        <v/>
      </c>
      <c r="E896" t="str" cm="1">
        <f t="array" ref="E896">IFERROR(INDEX('TRIP MANAGER'!$Q$18:$Q$25,$A896),"")</f>
        <v/>
      </c>
      <c r="F896" t="str" cm="1">
        <f t="array" ref="F896">IFERROR(INDEX('TRIP MANAGER'!$R$18:$R$25,$A896),"")</f>
        <v/>
      </c>
      <c r="G896" t="str" cm="1">
        <f t="array" ref="G896">IFERROR(INDEX('TRIP MANAGER'!$S$18:$S$25,$A896),"")</f>
        <v/>
      </c>
      <c r="H896">
        <f t="shared" si="145"/>
        <v>0.92666666666666664</v>
      </c>
      <c r="I896" t="str">
        <f t="shared" si="146"/>
        <v/>
      </c>
      <c r="J896" t="str">
        <f t="shared" si="147"/>
        <v/>
      </c>
      <c r="K896" t="str">
        <f t="shared" si="148"/>
        <v/>
      </c>
      <c r="L896" t="str">
        <f t="shared" si="149"/>
        <v/>
      </c>
      <c r="M896" t="str">
        <f t="shared" si="150"/>
        <v/>
      </c>
      <c r="N896" t="str">
        <f t="shared" si="151"/>
        <v/>
      </c>
      <c r="O896" t="str">
        <f t="shared" si="152"/>
        <v/>
      </c>
      <c r="P896" t="str" cm="1">
        <f t="array" ref="P896">IF($N896="","",IFERROR(IF(INDEX(geo_grid!$B$2:$JU$231,INT(($N896+40)/0.5)+1,INT(($O896+30)/0.5)+1)="","",INDEX(geo_grid!$B$2:$JU$231,INT(($N896+40)/0.5)+1,INT(($O896+30)/0.5)+1)),"OUTSIDE GRID"))</f>
        <v/>
      </c>
      <c r="Q896" t="str">
        <f t="shared" si="153"/>
        <v/>
      </c>
    </row>
    <row r="897" spans="1:17" x14ac:dyDescent="0.3">
      <c r="A897">
        <f t="shared" si="143"/>
        <v>6</v>
      </c>
      <c r="B897">
        <f t="shared" si="144"/>
        <v>140</v>
      </c>
      <c r="C897" t="str" cm="1">
        <f t="array" ref="C897">IFERROR(INDEX('TRIP MANAGER'!$O$18:$O$25,$A897),"")</f>
        <v/>
      </c>
      <c r="D897" t="str" cm="1">
        <f t="array" ref="D897">IFERROR(INDEX('TRIP MANAGER'!$P$18:$P$25,$A897),"")</f>
        <v/>
      </c>
      <c r="E897" t="str" cm="1">
        <f t="array" ref="E897">IFERROR(INDEX('TRIP MANAGER'!$Q$18:$Q$25,$A897),"")</f>
        <v/>
      </c>
      <c r="F897" t="str" cm="1">
        <f t="array" ref="F897">IFERROR(INDEX('TRIP MANAGER'!$R$18:$R$25,$A897),"")</f>
        <v/>
      </c>
      <c r="G897" t="str" cm="1">
        <f t="array" ref="G897">IFERROR(INDEX('TRIP MANAGER'!$S$18:$S$25,$A897),"")</f>
        <v/>
      </c>
      <c r="H897">
        <f t="shared" si="145"/>
        <v>0.93333333333333335</v>
      </c>
      <c r="I897" t="str">
        <f t="shared" si="146"/>
        <v/>
      </c>
      <c r="J897" t="str">
        <f t="shared" si="147"/>
        <v/>
      </c>
      <c r="K897" t="str">
        <f t="shared" si="148"/>
        <v/>
      </c>
      <c r="L897" t="str">
        <f t="shared" si="149"/>
        <v/>
      </c>
      <c r="M897" t="str">
        <f t="shared" si="150"/>
        <v/>
      </c>
      <c r="N897" t="str">
        <f t="shared" si="151"/>
        <v/>
      </c>
      <c r="O897" t="str">
        <f t="shared" si="152"/>
        <v/>
      </c>
      <c r="P897" t="str" cm="1">
        <f t="array" ref="P897">IF($N897="","",IFERROR(IF(INDEX(geo_grid!$B$2:$JU$231,INT(($N897+40)/0.5)+1,INT(($O897+30)/0.5)+1)="","",INDEX(geo_grid!$B$2:$JU$231,INT(($N897+40)/0.5)+1,INT(($O897+30)/0.5)+1)),"OUTSIDE GRID"))</f>
        <v/>
      </c>
      <c r="Q897" t="str">
        <f t="shared" si="153"/>
        <v/>
      </c>
    </row>
    <row r="898" spans="1:17" x14ac:dyDescent="0.3">
      <c r="A898">
        <f t="shared" si="143"/>
        <v>6</v>
      </c>
      <c r="B898">
        <f t="shared" si="144"/>
        <v>141</v>
      </c>
      <c r="C898" t="str" cm="1">
        <f t="array" ref="C898">IFERROR(INDEX('TRIP MANAGER'!$O$18:$O$25,$A898),"")</f>
        <v/>
      </c>
      <c r="D898" t="str" cm="1">
        <f t="array" ref="D898">IFERROR(INDEX('TRIP MANAGER'!$P$18:$P$25,$A898),"")</f>
        <v/>
      </c>
      <c r="E898" t="str" cm="1">
        <f t="array" ref="E898">IFERROR(INDEX('TRIP MANAGER'!$Q$18:$Q$25,$A898),"")</f>
        <v/>
      </c>
      <c r="F898" t="str" cm="1">
        <f t="array" ref="F898">IFERROR(INDEX('TRIP MANAGER'!$R$18:$R$25,$A898),"")</f>
        <v/>
      </c>
      <c r="G898" t="str" cm="1">
        <f t="array" ref="G898">IFERROR(INDEX('TRIP MANAGER'!$S$18:$S$25,$A898),"")</f>
        <v/>
      </c>
      <c r="H898">
        <f t="shared" si="145"/>
        <v>0.94</v>
      </c>
      <c r="I898" t="str">
        <f t="shared" si="146"/>
        <v/>
      </c>
      <c r="J898" t="str">
        <f t="shared" si="147"/>
        <v/>
      </c>
      <c r="K898" t="str">
        <f t="shared" si="148"/>
        <v/>
      </c>
      <c r="L898" t="str">
        <f t="shared" si="149"/>
        <v/>
      </c>
      <c r="M898" t="str">
        <f t="shared" si="150"/>
        <v/>
      </c>
      <c r="N898" t="str">
        <f t="shared" si="151"/>
        <v/>
      </c>
      <c r="O898" t="str">
        <f t="shared" si="152"/>
        <v/>
      </c>
      <c r="P898" t="str" cm="1">
        <f t="array" ref="P898">IF($N898="","",IFERROR(IF(INDEX(geo_grid!$B$2:$JU$231,INT(($N898+40)/0.5)+1,INT(($O898+30)/0.5)+1)="","",INDEX(geo_grid!$B$2:$JU$231,INT(($N898+40)/0.5)+1,INT(($O898+30)/0.5)+1)),"OUTSIDE GRID"))</f>
        <v/>
      </c>
      <c r="Q898" t="str">
        <f t="shared" si="153"/>
        <v/>
      </c>
    </row>
    <row r="899" spans="1:17" x14ac:dyDescent="0.3">
      <c r="A899">
        <f t="shared" ref="A899:A962" si="154">INT((ROW()-2)/151)+1</f>
        <v>6</v>
      </c>
      <c r="B899">
        <f t="shared" ref="B899:B962" si="155">MOD(ROW()-2,151)</f>
        <v>142</v>
      </c>
      <c r="C899" t="str" cm="1">
        <f t="array" ref="C899">IFERROR(INDEX('TRIP MANAGER'!$O$18:$O$25,$A899),"")</f>
        <v/>
      </c>
      <c r="D899" t="str" cm="1">
        <f t="array" ref="D899">IFERROR(INDEX('TRIP MANAGER'!$P$18:$P$25,$A899),"")</f>
        <v/>
      </c>
      <c r="E899" t="str" cm="1">
        <f t="array" ref="E899">IFERROR(INDEX('TRIP MANAGER'!$Q$18:$Q$25,$A899),"")</f>
        <v/>
      </c>
      <c r="F899" t="str" cm="1">
        <f t="array" ref="F899">IFERROR(INDEX('TRIP MANAGER'!$R$18:$R$25,$A899),"")</f>
        <v/>
      </c>
      <c r="G899" t="str" cm="1">
        <f t="array" ref="G899">IFERROR(INDEX('TRIP MANAGER'!$S$18:$S$25,$A899),"")</f>
        <v/>
      </c>
      <c r="H899">
        <f t="shared" ref="H899:H962" si="156">$B899/150</f>
        <v>0.94666666666666666</v>
      </c>
      <c r="I899" t="str">
        <f t="shared" ref="I899:I962" si="157">IF(OR($G899="",$G899=0),"",SIN((1-$H899)*$G899)/SIN($G899))</f>
        <v/>
      </c>
      <c r="J899" t="str">
        <f t="shared" ref="J899:J962" si="158">IF($I899="","",SIN($H899*$G899)/SIN($G899))</f>
        <v/>
      </c>
      <c r="K899" t="str">
        <f t="shared" ref="K899:K962" si="159">IF($I899="","",$I899*COS(RADIANS($C899))*COS(RADIANS($D899))+$J899*COS(RADIANS($E899))*COS(RADIANS($F899)))</f>
        <v/>
      </c>
      <c r="L899" t="str">
        <f t="shared" ref="L899:L962" si="160">IF($I899="","",$I899*COS(RADIANS($C899))*SIN(RADIANS($D899))+$J899*COS(RADIANS($E899))*SIN(RADIANS($F899)))</f>
        <v/>
      </c>
      <c r="M899" t="str">
        <f t="shared" ref="M899:M962" si="161">IF($I899="","",$I899*SIN(RADIANS($C899))+$J899*SIN(RADIANS($E899)))</f>
        <v/>
      </c>
      <c r="N899" t="str">
        <f t="shared" ref="N899:N962" si="162">IF($M899="","",DEGREES(ATAN2(SQRT($K899^2+$L899^2),$M899)))</f>
        <v/>
      </c>
      <c r="O899" t="str">
        <f t="shared" ref="O899:O962" si="163">IF($M899="","",DEGREES(ATAN2($K899,$L899)))</f>
        <v/>
      </c>
      <c r="P899" t="str" cm="1">
        <f t="array" ref="P899">IF($N899="","",IFERROR(IF(INDEX(geo_grid!$B$2:$JU$231,INT(($N899+40)/0.5)+1,INT(($O899+30)/0.5)+1)="","",INDEX(geo_grid!$B$2:$JU$231,INT(($N899+40)/0.5)+1,INT(($O899+30)/0.5)+1)),"OUTSIDE GRID"))</f>
        <v/>
      </c>
      <c r="Q899" t="str">
        <f t="shared" ref="Q899:Q962" si="164">IF($P899="","",$A899*1000+$B899)</f>
        <v/>
      </c>
    </row>
    <row r="900" spans="1:17" x14ac:dyDescent="0.3">
      <c r="A900">
        <f t="shared" si="154"/>
        <v>6</v>
      </c>
      <c r="B900">
        <f t="shared" si="155"/>
        <v>143</v>
      </c>
      <c r="C900" t="str" cm="1">
        <f t="array" ref="C900">IFERROR(INDEX('TRIP MANAGER'!$O$18:$O$25,$A900),"")</f>
        <v/>
      </c>
      <c r="D900" t="str" cm="1">
        <f t="array" ref="D900">IFERROR(INDEX('TRIP MANAGER'!$P$18:$P$25,$A900),"")</f>
        <v/>
      </c>
      <c r="E900" t="str" cm="1">
        <f t="array" ref="E900">IFERROR(INDEX('TRIP MANAGER'!$Q$18:$Q$25,$A900),"")</f>
        <v/>
      </c>
      <c r="F900" t="str" cm="1">
        <f t="array" ref="F900">IFERROR(INDEX('TRIP MANAGER'!$R$18:$R$25,$A900),"")</f>
        <v/>
      </c>
      <c r="G900" t="str" cm="1">
        <f t="array" ref="G900">IFERROR(INDEX('TRIP MANAGER'!$S$18:$S$25,$A900),"")</f>
        <v/>
      </c>
      <c r="H900">
        <f t="shared" si="156"/>
        <v>0.95333333333333337</v>
      </c>
      <c r="I900" t="str">
        <f t="shared" si="157"/>
        <v/>
      </c>
      <c r="J900" t="str">
        <f t="shared" si="158"/>
        <v/>
      </c>
      <c r="K900" t="str">
        <f t="shared" si="159"/>
        <v/>
      </c>
      <c r="L900" t="str">
        <f t="shared" si="160"/>
        <v/>
      </c>
      <c r="M900" t="str">
        <f t="shared" si="161"/>
        <v/>
      </c>
      <c r="N900" t="str">
        <f t="shared" si="162"/>
        <v/>
      </c>
      <c r="O900" t="str">
        <f t="shared" si="163"/>
        <v/>
      </c>
      <c r="P900" t="str" cm="1">
        <f t="array" ref="P900">IF($N900="","",IFERROR(IF(INDEX(geo_grid!$B$2:$JU$231,INT(($N900+40)/0.5)+1,INT(($O900+30)/0.5)+1)="","",INDEX(geo_grid!$B$2:$JU$231,INT(($N900+40)/0.5)+1,INT(($O900+30)/0.5)+1)),"OUTSIDE GRID"))</f>
        <v/>
      </c>
      <c r="Q900" t="str">
        <f t="shared" si="164"/>
        <v/>
      </c>
    </row>
    <row r="901" spans="1:17" x14ac:dyDescent="0.3">
      <c r="A901">
        <f t="shared" si="154"/>
        <v>6</v>
      </c>
      <c r="B901">
        <f t="shared" si="155"/>
        <v>144</v>
      </c>
      <c r="C901" t="str" cm="1">
        <f t="array" ref="C901">IFERROR(INDEX('TRIP MANAGER'!$O$18:$O$25,$A901),"")</f>
        <v/>
      </c>
      <c r="D901" t="str" cm="1">
        <f t="array" ref="D901">IFERROR(INDEX('TRIP MANAGER'!$P$18:$P$25,$A901),"")</f>
        <v/>
      </c>
      <c r="E901" t="str" cm="1">
        <f t="array" ref="E901">IFERROR(INDEX('TRIP MANAGER'!$Q$18:$Q$25,$A901),"")</f>
        <v/>
      </c>
      <c r="F901" t="str" cm="1">
        <f t="array" ref="F901">IFERROR(INDEX('TRIP MANAGER'!$R$18:$R$25,$A901),"")</f>
        <v/>
      </c>
      <c r="G901" t="str" cm="1">
        <f t="array" ref="G901">IFERROR(INDEX('TRIP MANAGER'!$S$18:$S$25,$A901),"")</f>
        <v/>
      </c>
      <c r="H901">
        <f t="shared" si="156"/>
        <v>0.96</v>
      </c>
      <c r="I901" t="str">
        <f t="shared" si="157"/>
        <v/>
      </c>
      <c r="J901" t="str">
        <f t="shared" si="158"/>
        <v/>
      </c>
      <c r="K901" t="str">
        <f t="shared" si="159"/>
        <v/>
      </c>
      <c r="L901" t="str">
        <f t="shared" si="160"/>
        <v/>
      </c>
      <c r="M901" t="str">
        <f t="shared" si="161"/>
        <v/>
      </c>
      <c r="N901" t="str">
        <f t="shared" si="162"/>
        <v/>
      </c>
      <c r="O901" t="str">
        <f t="shared" si="163"/>
        <v/>
      </c>
      <c r="P901" t="str" cm="1">
        <f t="array" ref="P901">IF($N901="","",IFERROR(IF(INDEX(geo_grid!$B$2:$JU$231,INT(($N901+40)/0.5)+1,INT(($O901+30)/0.5)+1)="","",INDEX(geo_grid!$B$2:$JU$231,INT(($N901+40)/0.5)+1,INT(($O901+30)/0.5)+1)),"OUTSIDE GRID"))</f>
        <v/>
      </c>
      <c r="Q901" t="str">
        <f t="shared" si="164"/>
        <v/>
      </c>
    </row>
    <row r="902" spans="1:17" x14ac:dyDescent="0.3">
      <c r="A902">
        <f t="shared" si="154"/>
        <v>6</v>
      </c>
      <c r="B902">
        <f t="shared" si="155"/>
        <v>145</v>
      </c>
      <c r="C902" t="str" cm="1">
        <f t="array" ref="C902">IFERROR(INDEX('TRIP MANAGER'!$O$18:$O$25,$A902),"")</f>
        <v/>
      </c>
      <c r="D902" t="str" cm="1">
        <f t="array" ref="D902">IFERROR(INDEX('TRIP MANAGER'!$P$18:$P$25,$A902),"")</f>
        <v/>
      </c>
      <c r="E902" t="str" cm="1">
        <f t="array" ref="E902">IFERROR(INDEX('TRIP MANAGER'!$Q$18:$Q$25,$A902),"")</f>
        <v/>
      </c>
      <c r="F902" t="str" cm="1">
        <f t="array" ref="F902">IFERROR(INDEX('TRIP MANAGER'!$R$18:$R$25,$A902),"")</f>
        <v/>
      </c>
      <c r="G902" t="str" cm="1">
        <f t="array" ref="G902">IFERROR(INDEX('TRIP MANAGER'!$S$18:$S$25,$A902),"")</f>
        <v/>
      </c>
      <c r="H902">
        <f t="shared" si="156"/>
        <v>0.96666666666666667</v>
      </c>
      <c r="I902" t="str">
        <f t="shared" si="157"/>
        <v/>
      </c>
      <c r="J902" t="str">
        <f t="shared" si="158"/>
        <v/>
      </c>
      <c r="K902" t="str">
        <f t="shared" si="159"/>
        <v/>
      </c>
      <c r="L902" t="str">
        <f t="shared" si="160"/>
        <v/>
      </c>
      <c r="M902" t="str">
        <f t="shared" si="161"/>
        <v/>
      </c>
      <c r="N902" t="str">
        <f t="shared" si="162"/>
        <v/>
      </c>
      <c r="O902" t="str">
        <f t="shared" si="163"/>
        <v/>
      </c>
      <c r="P902" t="str" cm="1">
        <f t="array" ref="P902">IF($N902="","",IFERROR(IF(INDEX(geo_grid!$B$2:$JU$231,INT(($N902+40)/0.5)+1,INT(($O902+30)/0.5)+1)="","",INDEX(geo_grid!$B$2:$JU$231,INT(($N902+40)/0.5)+1,INT(($O902+30)/0.5)+1)),"OUTSIDE GRID"))</f>
        <v/>
      </c>
      <c r="Q902" t="str">
        <f t="shared" si="164"/>
        <v/>
      </c>
    </row>
    <row r="903" spans="1:17" x14ac:dyDescent="0.3">
      <c r="A903">
        <f t="shared" si="154"/>
        <v>6</v>
      </c>
      <c r="B903">
        <f t="shared" si="155"/>
        <v>146</v>
      </c>
      <c r="C903" t="str" cm="1">
        <f t="array" ref="C903">IFERROR(INDEX('TRIP MANAGER'!$O$18:$O$25,$A903),"")</f>
        <v/>
      </c>
      <c r="D903" t="str" cm="1">
        <f t="array" ref="D903">IFERROR(INDEX('TRIP MANAGER'!$P$18:$P$25,$A903),"")</f>
        <v/>
      </c>
      <c r="E903" t="str" cm="1">
        <f t="array" ref="E903">IFERROR(INDEX('TRIP MANAGER'!$Q$18:$Q$25,$A903),"")</f>
        <v/>
      </c>
      <c r="F903" t="str" cm="1">
        <f t="array" ref="F903">IFERROR(INDEX('TRIP MANAGER'!$R$18:$R$25,$A903),"")</f>
        <v/>
      </c>
      <c r="G903" t="str" cm="1">
        <f t="array" ref="G903">IFERROR(INDEX('TRIP MANAGER'!$S$18:$S$25,$A903),"")</f>
        <v/>
      </c>
      <c r="H903">
        <f t="shared" si="156"/>
        <v>0.97333333333333338</v>
      </c>
      <c r="I903" t="str">
        <f t="shared" si="157"/>
        <v/>
      </c>
      <c r="J903" t="str">
        <f t="shared" si="158"/>
        <v/>
      </c>
      <c r="K903" t="str">
        <f t="shared" si="159"/>
        <v/>
      </c>
      <c r="L903" t="str">
        <f t="shared" si="160"/>
        <v/>
      </c>
      <c r="M903" t="str">
        <f t="shared" si="161"/>
        <v/>
      </c>
      <c r="N903" t="str">
        <f t="shared" si="162"/>
        <v/>
      </c>
      <c r="O903" t="str">
        <f t="shared" si="163"/>
        <v/>
      </c>
      <c r="P903" t="str" cm="1">
        <f t="array" ref="P903">IF($N903="","",IFERROR(IF(INDEX(geo_grid!$B$2:$JU$231,INT(($N903+40)/0.5)+1,INT(($O903+30)/0.5)+1)="","",INDEX(geo_grid!$B$2:$JU$231,INT(($N903+40)/0.5)+1,INT(($O903+30)/0.5)+1)),"OUTSIDE GRID"))</f>
        <v/>
      </c>
      <c r="Q903" t="str">
        <f t="shared" si="164"/>
        <v/>
      </c>
    </row>
    <row r="904" spans="1:17" x14ac:dyDescent="0.3">
      <c r="A904">
        <f t="shared" si="154"/>
        <v>6</v>
      </c>
      <c r="B904">
        <f t="shared" si="155"/>
        <v>147</v>
      </c>
      <c r="C904" t="str" cm="1">
        <f t="array" ref="C904">IFERROR(INDEX('TRIP MANAGER'!$O$18:$O$25,$A904),"")</f>
        <v/>
      </c>
      <c r="D904" t="str" cm="1">
        <f t="array" ref="D904">IFERROR(INDEX('TRIP MANAGER'!$P$18:$P$25,$A904),"")</f>
        <v/>
      </c>
      <c r="E904" t="str" cm="1">
        <f t="array" ref="E904">IFERROR(INDEX('TRIP MANAGER'!$Q$18:$Q$25,$A904),"")</f>
        <v/>
      </c>
      <c r="F904" t="str" cm="1">
        <f t="array" ref="F904">IFERROR(INDEX('TRIP MANAGER'!$R$18:$R$25,$A904),"")</f>
        <v/>
      </c>
      <c r="G904" t="str" cm="1">
        <f t="array" ref="G904">IFERROR(INDEX('TRIP MANAGER'!$S$18:$S$25,$A904),"")</f>
        <v/>
      </c>
      <c r="H904">
        <f t="shared" si="156"/>
        <v>0.98</v>
      </c>
      <c r="I904" t="str">
        <f t="shared" si="157"/>
        <v/>
      </c>
      <c r="J904" t="str">
        <f t="shared" si="158"/>
        <v/>
      </c>
      <c r="K904" t="str">
        <f t="shared" si="159"/>
        <v/>
      </c>
      <c r="L904" t="str">
        <f t="shared" si="160"/>
        <v/>
      </c>
      <c r="M904" t="str">
        <f t="shared" si="161"/>
        <v/>
      </c>
      <c r="N904" t="str">
        <f t="shared" si="162"/>
        <v/>
      </c>
      <c r="O904" t="str">
        <f t="shared" si="163"/>
        <v/>
      </c>
      <c r="P904" t="str" cm="1">
        <f t="array" ref="P904">IF($N904="","",IFERROR(IF(INDEX(geo_grid!$B$2:$JU$231,INT(($N904+40)/0.5)+1,INT(($O904+30)/0.5)+1)="","",INDEX(geo_grid!$B$2:$JU$231,INT(($N904+40)/0.5)+1,INT(($O904+30)/0.5)+1)),"OUTSIDE GRID"))</f>
        <v/>
      </c>
      <c r="Q904" t="str">
        <f t="shared" si="164"/>
        <v/>
      </c>
    </row>
    <row r="905" spans="1:17" x14ac:dyDescent="0.3">
      <c r="A905">
        <f t="shared" si="154"/>
        <v>6</v>
      </c>
      <c r="B905">
        <f t="shared" si="155"/>
        <v>148</v>
      </c>
      <c r="C905" t="str" cm="1">
        <f t="array" ref="C905">IFERROR(INDEX('TRIP MANAGER'!$O$18:$O$25,$A905),"")</f>
        <v/>
      </c>
      <c r="D905" t="str" cm="1">
        <f t="array" ref="D905">IFERROR(INDEX('TRIP MANAGER'!$P$18:$P$25,$A905),"")</f>
        <v/>
      </c>
      <c r="E905" t="str" cm="1">
        <f t="array" ref="E905">IFERROR(INDEX('TRIP MANAGER'!$Q$18:$Q$25,$A905),"")</f>
        <v/>
      </c>
      <c r="F905" t="str" cm="1">
        <f t="array" ref="F905">IFERROR(INDEX('TRIP MANAGER'!$R$18:$R$25,$A905),"")</f>
        <v/>
      </c>
      <c r="G905" t="str" cm="1">
        <f t="array" ref="G905">IFERROR(INDEX('TRIP MANAGER'!$S$18:$S$25,$A905),"")</f>
        <v/>
      </c>
      <c r="H905">
        <f t="shared" si="156"/>
        <v>0.98666666666666669</v>
      </c>
      <c r="I905" t="str">
        <f t="shared" si="157"/>
        <v/>
      </c>
      <c r="J905" t="str">
        <f t="shared" si="158"/>
        <v/>
      </c>
      <c r="K905" t="str">
        <f t="shared" si="159"/>
        <v/>
      </c>
      <c r="L905" t="str">
        <f t="shared" si="160"/>
        <v/>
      </c>
      <c r="M905" t="str">
        <f t="shared" si="161"/>
        <v/>
      </c>
      <c r="N905" t="str">
        <f t="shared" si="162"/>
        <v/>
      </c>
      <c r="O905" t="str">
        <f t="shared" si="163"/>
        <v/>
      </c>
      <c r="P905" t="str" cm="1">
        <f t="array" ref="P905">IF($N905="","",IFERROR(IF(INDEX(geo_grid!$B$2:$JU$231,INT(($N905+40)/0.5)+1,INT(($O905+30)/0.5)+1)="","",INDEX(geo_grid!$B$2:$JU$231,INT(($N905+40)/0.5)+1,INT(($O905+30)/0.5)+1)),"OUTSIDE GRID"))</f>
        <v/>
      </c>
      <c r="Q905" t="str">
        <f t="shared" si="164"/>
        <v/>
      </c>
    </row>
    <row r="906" spans="1:17" x14ac:dyDescent="0.3">
      <c r="A906">
        <f t="shared" si="154"/>
        <v>6</v>
      </c>
      <c r="B906">
        <f t="shared" si="155"/>
        <v>149</v>
      </c>
      <c r="C906" t="str" cm="1">
        <f t="array" ref="C906">IFERROR(INDEX('TRIP MANAGER'!$O$18:$O$25,$A906),"")</f>
        <v/>
      </c>
      <c r="D906" t="str" cm="1">
        <f t="array" ref="D906">IFERROR(INDEX('TRIP MANAGER'!$P$18:$P$25,$A906),"")</f>
        <v/>
      </c>
      <c r="E906" t="str" cm="1">
        <f t="array" ref="E906">IFERROR(INDEX('TRIP MANAGER'!$Q$18:$Q$25,$A906),"")</f>
        <v/>
      </c>
      <c r="F906" t="str" cm="1">
        <f t="array" ref="F906">IFERROR(INDEX('TRIP MANAGER'!$R$18:$R$25,$A906),"")</f>
        <v/>
      </c>
      <c r="G906" t="str" cm="1">
        <f t="array" ref="G906">IFERROR(INDEX('TRIP MANAGER'!$S$18:$S$25,$A906),"")</f>
        <v/>
      </c>
      <c r="H906">
        <f t="shared" si="156"/>
        <v>0.99333333333333329</v>
      </c>
      <c r="I906" t="str">
        <f t="shared" si="157"/>
        <v/>
      </c>
      <c r="J906" t="str">
        <f t="shared" si="158"/>
        <v/>
      </c>
      <c r="K906" t="str">
        <f t="shared" si="159"/>
        <v/>
      </c>
      <c r="L906" t="str">
        <f t="shared" si="160"/>
        <v/>
      </c>
      <c r="M906" t="str">
        <f t="shared" si="161"/>
        <v/>
      </c>
      <c r="N906" t="str">
        <f t="shared" si="162"/>
        <v/>
      </c>
      <c r="O906" t="str">
        <f t="shared" si="163"/>
        <v/>
      </c>
      <c r="P906" t="str" cm="1">
        <f t="array" ref="P906">IF($N906="","",IFERROR(IF(INDEX(geo_grid!$B$2:$JU$231,INT(($N906+40)/0.5)+1,INT(($O906+30)/0.5)+1)="","",INDEX(geo_grid!$B$2:$JU$231,INT(($N906+40)/0.5)+1,INT(($O906+30)/0.5)+1)),"OUTSIDE GRID"))</f>
        <v/>
      </c>
      <c r="Q906" t="str">
        <f t="shared" si="164"/>
        <v/>
      </c>
    </row>
    <row r="907" spans="1:17" x14ac:dyDescent="0.3">
      <c r="A907">
        <f t="shared" si="154"/>
        <v>6</v>
      </c>
      <c r="B907">
        <f t="shared" si="155"/>
        <v>150</v>
      </c>
      <c r="C907" t="str" cm="1">
        <f t="array" ref="C907">IFERROR(INDEX('TRIP MANAGER'!$O$18:$O$25,$A907),"")</f>
        <v/>
      </c>
      <c r="D907" t="str" cm="1">
        <f t="array" ref="D907">IFERROR(INDEX('TRIP MANAGER'!$P$18:$P$25,$A907),"")</f>
        <v/>
      </c>
      <c r="E907" t="str" cm="1">
        <f t="array" ref="E907">IFERROR(INDEX('TRIP MANAGER'!$Q$18:$Q$25,$A907),"")</f>
        <v/>
      </c>
      <c r="F907" t="str" cm="1">
        <f t="array" ref="F907">IFERROR(INDEX('TRIP MANAGER'!$R$18:$R$25,$A907),"")</f>
        <v/>
      </c>
      <c r="G907" t="str" cm="1">
        <f t="array" ref="G907">IFERROR(INDEX('TRIP MANAGER'!$S$18:$S$25,$A907),"")</f>
        <v/>
      </c>
      <c r="H907">
        <f t="shared" si="156"/>
        <v>1</v>
      </c>
      <c r="I907" t="str">
        <f t="shared" si="157"/>
        <v/>
      </c>
      <c r="J907" t="str">
        <f t="shared" si="158"/>
        <v/>
      </c>
      <c r="K907" t="str">
        <f t="shared" si="159"/>
        <v/>
      </c>
      <c r="L907" t="str">
        <f t="shared" si="160"/>
        <v/>
      </c>
      <c r="M907" t="str">
        <f t="shared" si="161"/>
        <v/>
      </c>
      <c r="N907" t="str">
        <f t="shared" si="162"/>
        <v/>
      </c>
      <c r="O907" t="str">
        <f t="shared" si="163"/>
        <v/>
      </c>
      <c r="P907" t="str" cm="1">
        <f t="array" ref="P907">IF($N907="","",IFERROR(IF(INDEX(geo_grid!$B$2:$JU$231,INT(($N907+40)/0.5)+1,INT(($O907+30)/0.5)+1)="","",INDEX(geo_grid!$B$2:$JU$231,INT(($N907+40)/0.5)+1,INT(($O907+30)/0.5)+1)),"OUTSIDE GRID"))</f>
        <v/>
      </c>
      <c r="Q907" t="str">
        <f t="shared" si="164"/>
        <v/>
      </c>
    </row>
    <row r="908" spans="1:17" x14ac:dyDescent="0.3">
      <c r="A908">
        <f t="shared" si="154"/>
        <v>7</v>
      </c>
      <c r="B908">
        <f t="shared" si="155"/>
        <v>0</v>
      </c>
      <c r="C908" t="str" cm="1">
        <f t="array" ref="C908">IFERROR(INDEX('TRIP MANAGER'!$O$18:$O$25,$A908),"")</f>
        <v/>
      </c>
      <c r="D908" t="str" cm="1">
        <f t="array" ref="D908">IFERROR(INDEX('TRIP MANAGER'!$P$18:$P$25,$A908),"")</f>
        <v/>
      </c>
      <c r="E908" t="str" cm="1">
        <f t="array" ref="E908">IFERROR(INDEX('TRIP MANAGER'!$Q$18:$Q$25,$A908),"")</f>
        <v/>
      </c>
      <c r="F908" t="str" cm="1">
        <f t="array" ref="F908">IFERROR(INDEX('TRIP MANAGER'!$R$18:$R$25,$A908),"")</f>
        <v/>
      </c>
      <c r="G908" t="str" cm="1">
        <f t="array" ref="G908">IFERROR(INDEX('TRIP MANAGER'!$S$18:$S$25,$A908),"")</f>
        <v/>
      </c>
      <c r="H908">
        <f t="shared" si="156"/>
        <v>0</v>
      </c>
      <c r="I908" t="str">
        <f t="shared" si="157"/>
        <v/>
      </c>
      <c r="J908" t="str">
        <f t="shared" si="158"/>
        <v/>
      </c>
      <c r="K908" t="str">
        <f t="shared" si="159"/>
        <v/>
      </c>
      <c r="L908" t="str">
        <f t="shared" si="160"/>
        <v/>
      </c>
      <c r="M908" t="str">
        <f t="shared" si="161"/>
        <v/>
      </c>
      <c r="N908" t="str">
        <f t="shared" si="162"/>
        <v/>
      </c>
      <c r="O908" t="str">
        <f t="shared" si="163"/>
        <v/>
      </c>
      <c r="P908" t="str" cm="1">
        <f t="array" ref="P908">IF($N908="","",IFERROR(IF(INDEX(geo_grid!$B$2:$JU$231,INT(($N908+40)/0.5)+1,INT(($O908+30)/0.5)+1)="","",INDEX(geo_grid!$B$2:$JU$231,INT(($N908+40)/0.5)+1,INT(($O908+30)/0.5)+1)),"OUTSIDE GRID"))</f>
        <v/>
      </c>
      <c r="Q908" t="str">
        <f t="shared" si="164"/>
        <v/>
      </c>
    </row>
    <row r="909" spans="1:17" x14ac:dyDescent="0.3">
      <c r="A909">
        <f t="shared" si="154"/>
        <v>7</v>
      </c>
      <c r="B909">
        <f t="shared" si="155"/>
        <v>1</v>
      </c>
      <c r="C909" t="str" cm="1">
        <f t="array" ref="C909">IFERROR(INDEX('TRIP MANAGER'!$O$18:$O$25,$A909),"")</f>
        <v/>
      </c>
      <c r="D909" t="str" cm="1">
        <f t="array" ref="D909">IFERROR(INDEX('TRIP MANAGER'!$P$18:$P$25,$A909),"")</f>
        <v/>
      </c>
      <c r="E909" t="str" cm="1">
        <f t="array" ref="E909">IFERROR(INDEX('TRIP MANAGER'!$Q$18:$Q$25,$A909),"")</f>
        <v/>
      </c>
      <c r="F909" t="str" cm="1">
        <f t="array" ref="F909">IFERROR(INDEX('TRIP MANAGER'!$R$18:$R$25,$A909),"")</f>
        <v/>
      </c>
      <c r="G909" t="str" cm="1">
        <f t="array" ref="G909">IFERROR(INDEX('TRIP MANAGER'!$S$18:$S$25,$A909),"")</f>
        <v/>
      </c>
      <c r="H909">
        <f t="shared" si="156"/>
        <v>6.6666666666666671E-3</v>
      </c>
      <c r="I909" t="str">
        <f t="shared" si="157"/>
        <v/>
      </c>
      <c r="J909" t="str">
        <f t="shared" si="158"/>
        <v/>
      </c>
      <c r="K909" t="str">
        <f t="shared" si="159"/>
        <v/>
      </c>
      <c r="L909" t="str">
        <f t="shared" si="160"/>
        <v/>
      </c>
      <c r="M909" t="str">
        <f t="shared" si="161"/>
        <v/>
      </c>
      <c r="N909" t="str">
        <f t="shared" si="162"/>
        <v/>
      </c>
      <c r="O909" t="str">
        <f t="shared" si="163"/>
        <v/>
      </c>
      <c r="P909" t="str" cm="1">
        <f t="array" ref="P909">IF($N909="","",IFERROR(IF(INDEX(geo_grid!$B$2:$JU$231,INT(($N909+40)/0.5)+1,INT(($O909+30)/0.5)+1)="","",INDEX(geo_grid!$B$2:$JU$231,INT(($N909+40)/0.5)+1,INT(($O909+30)/0.5)+1)),"OUTSIDE GRID"))</f>
        <v/>
      </c>
      <c r="Q909" t="str">
        <f t="shared" si="164"/>
        <v/>
      </c>
    </row>
    <row r="910" spans="1:17" x14ac:dyDescent="0.3">
      <c r="A910">
        <f t="shared" si="154"/>
        <v>7</v>
      </c>
      <c r="B910">
        <f t="shared" si="155"/>
        <v>2</v>
      </c>
      <c r="C910" t="str" cm="1">
        <f t="array" ref="C910">IFERROR(INDEX('TRIP MANAGER'!$O$18:$O$25,$A910),"")</f>
        <v/>
      </c>
      <c r="D910" t="str" cm="1">
        <f t="array" ref="D910">IFERROR(INDEX('TRIP MANAGER'!$P$18:$P$25,$A910),"")</f>
        <v/>
      </c>
      <c r="E910" t="str" cm="1">
        <f t="array" ref="E910">IFERROR(INDEX('TRIP MANAGER'!$Q$18:$Q$25,$A910),"")</f>
        <v/>
      </c>
      <c r="F910" t="str" cm="1">
        <f t="array" ref="F910">IFERROR(INDEX('TRIP MANAGER'!$R$18:$R$25,$A910),"")</f>
        <v/>
      </c>
      <c r="G910" t="str" cm="1">
        <f t="array" ref="G910">IFERROR(INDEX('TRIP MANAGER'!$S$18:$S$25,$A910),"")</f>
        <v/>
      </c>
      <c r="H910">
        <f t="shared" si="156"/>
        <v>1.3333333333333334E-2</v>
      </c>
      <c r="I910" t="str">
        <f t="shared" si="157"/>
        <v/>
      </c>
      <c r="J910" t="str">
        <f t="shared" si="158"/>
        <v/>
      </c>
      <c r="K910" t="str">
        <f t="shared" si="159"/>
        <v/>
      </c>
      <c r="L910" t="str">
        <f t="shared" si="160"/>
        <v/>
      </c>
      <c r="M910" t="str">
        <f t="shared" si="161"/>
        <v/>
      </c>
      <c r="N910" t="str">
        <f t="shared" si="162"/>
        <v/>
      </c>
      <c r="O910" t="str">
        <f t="shared" si="163"/>
        <v/>
      </c>
      <c r="P910" t="str" cm="1">
        <f t="array" ref="P910">IF($N910="","",IFERROR(IF(INDEX(geo_grid!$B$2:$JU$231,INT(($N910+40)/0.5)+1,INT(($O910+30)/0.5)+1)="","",INDEX(geo_grid!$B$2:$JU$231,INT(($N910+40)/0.5)+1,INT(($O910+30)/0.5)+1)),"OUTSIDE GRID"))</f>
        <v/>
      </c>
      <c r="Q910" t="str">
        <f t="shared" si="164"/>
        <v/>
      </c>
    </row>
    <row r="911" spans="1:17" x14ac:dyDescent="0.3">
      <c r="A911">
        <f t="shared" si="154"/>
        <v>7</v>
      </c>
      <c r="B911">
        <f t="shared" si="155"/>
        <v>3</v>
      </c>
      <c r="C911" t="str" cm="1">
        <f t="array" ref="C911">IFERROR(INDEX('TRIP MANAGER'!$O$18:$O$25,$A911),"")</f>
        <v/>
      </c>
      <c r="D911" t="str" cm="1">
        <f t="array" ref="D911">IFERROR(INDEX('TRIP MANAGER'!$P$18:$P$25,$A911),"")</f>
        <v/>
      </c>
      <c r="E911" t="str" cm="1">
        <f t="array" ref="E911">IFERROR(INDEX('TRIP MANAGER'!$Q$18:$Q$25,$A911),"")</f>
        <v/>
      </c>
      <c r="F911" t="str" cm="1">
        <f t="array" ref="F911">IFERROR(INDEX('TRIP MANAGER'!$R$18:$R$25,$A911),"")</f>
        <v/>
      </c>
      <c r="G911" t="str" cm="1">
        <f t="array" ref="G911">IFERROR(INDEX('TRIP MANAGER'!$S$18:$S$25,$A911),"")</f>
        <v/>
      </c>
      <c r="H911">
        <f t="shared" si="156"/>
        <v>0.02</v>
      </c>
      <c r="I911" t="str">
        <f t="shared" si="157"/>
        <v/>
      </c>
      <c r="J911" t="str">
        <f t="shared" si="158"/>
        <v/>
      </c>
      <c r="K911" t="str">
        <f t="shared" si="159"/>
        <v/>
      </c>
      <c r="L911" t="str">
        <f t="shared" si="160"/>
        <v/>
      </c>
      <c r="M911" t="str">
        <f t="shared" si="161"/>
        <v/>
      </c>
      <c r="N911" t="str">
        <f t="shared" si="162"/>
        <v/>
      </c>
      <c r="O911" t="str">
        <f t="shared" si="163"/>
        <v/>
      </c>
      <c r="P911" t="str" cm="1">
        <f t="array" ref="P911">IF($N911="","",IFERROR(IF(INDEX(geo_grid!$B$2:$JU$231,INT(($N911+40)/0.5)+1,INT(($O911+30)/0.5)+1)="","",INDEX(geo_grid!$B$2:$JU$231,INT(($N911+40)/0.5)+1,INT(($O911+30)/0.5)+1)),"OUTSIDE GRID"))</f>
        <v/>
      </c>
      <c r="Q911" t="str">
        <f t="shared" si="164"/>
        <v/>
      </c>
    </row>
    <row r="912" spans="1:17" x14ac:dyDescent="0.3">
      <c r="A912">
        <f t="shared" si="154"/>
        <v>7</v>
      </c>
      <c r="B912">
        <f t="shared" si="155"/>
        <v>4</v>
      </c>
      <c r="C912" t="str" cm="1">
        <f t="array" ref="C912">IFERROR(INDEX('TRIP MANAGER'!$O$18:$O$25,$A912),"")</f>
        <v/>
      </c>
      <c r="D912" t="str" cm="1">
        <f t="array" ref="D912">IFERROR(INDEX('TRIP MANAGER'!$P$18:$P$25,$A912),"")</f>
        <v/>
      </c>
      <c r="E912" t="str" cm="1">
        <f t="array" ref="E912">IFERROR(INDEX('TRIP MANAGER'!$Q$18:$Q$25,$A912),"")</f>
        <v/>
      </c>
      <c r="F912" t="str" cm="1">
        <f t="array" ref="F912">IFERROR(INDEX('TRIP MANAGER'!$R$18:$R$25,$A912),"")</f>
        <v/>
      </c>
      <c r="G912" t="str" cm="1">
        <f t="array" ref="G912">IFERROR(INDEX('TRIP MANAGER'!$S$18:$S$25,$A912),"")</f>
        <v/>
      </c>
      <c r="H912">
        <f t="shared" si="156"/>
        <v>2.6666666666666668E-2</v>
      </c>
      <c r="I912" t="str">
        <f t="shared" si="157"/>
        <v/>
      </c>
      <c r="J912" t="str">
        <f t="shared" si="158"/>
        <v/>
      </c>
      <c r="K912" t="str">
        <f t="shared" si="159"/>
        <v/>
      </c>
      <c r="L912" t="str">
        <f t="shared" si="160"/>
        <v/>
      </c>
      <c r="M912" t="str">
        <f t="shared" si="161"/>
        <v/>
      </c>
      <c r="N912" t="str">
        <f t="shared" si="162"/>
        <v/>
      </c>
      <c r="O912" t="str">
        <f t="shared" si="163"/>
        <v/>
      </c>
      <c r="P912" t="str" cm="1">
        <f t="array" ref="P912">IF($N912="","",IFERROR(IF(INDEX(geo_grid!$B$2:$JU$231,INT(($N912+40)/0.5)+1,INT(($O912+30)/0.5)+1)="","",INDEX(geo_grid!$B$2:$JU$231,INT(($N912+40)/0.5)+1,INT(($O912+30)/0.5)+1)),"OUTSIDE GRID"))</f>
        <v/>
      </c>
      <c r="Q912" t="str">
        <f t="shared" si="164"/>
        <v/>
      </c>
    </row>
    <row r="913" spans="1:17" x14ac:dyDescent="0.3">
      <c r="A913">
        <f t="shared" si="154"/>
        <v>7</v>
      </c>
      <c r="B913">
        <f t="shared" si="155"/>
        <v>5</v>
      </c>
      <c r="C913" t="str" cm="1">
        <f t="array" ref="C913">IFERROR(INDEX('TRIP MANAGER'!$O$18:$O$25,$A913),"")</f>
        <v/>
      </c>
      <c r="D913" t="str" cm="1">
        <f t="array" ref="D913">IFERROR(INDEX('TRIP MANAGER'!$P$18:$P$25,$A913),"")</f>
        <v/>
      </c>
      <c r="E913" t="str" cm="1">
        <f t="array" ref="E913">IFERROR(INDEX('TRIP MANAGER'!$Q$18:$Q$25,$A913),"")</f>
        <v/>
      </c>
      <c r="F913" t="str" cm="1">
        <f t="array" ref="F913">IFERROR(INDEX('TRIP MANAGER'!$R$18:$R$25,$A913),"")</f>
        <v/>
      </c>
      <c r="G913" t="str" cm="1">
        <f t="array" ref="G913">IFERROR(INDEX('TRIP MANAGER'!$S$18:$S$25,$A913),"")</f>
        <v/>
      </c>
      <c r="H913">
        <f t="shared" si="156"/>
        <v>3.3333333333333333E-2</v>
      </c>
      <c r="I913" t="str">
        <f t="shared" si="157"/>
        <v/>
      </c>
      <c r="J913" t="str">
        <f t="shared" si="158"/>
        <v/>
      </c>
      <c r="K913" t="str">
        <f t="shared" si="159"/>
        <v/>
      </c>
      <c r="L913" t="str">
        <f t="shared" si="160"/>
        <v/>
      </c>
      <c r="M913" t="str">
        <f t="shared" si="161"/>
        <v/>
      </c>
      <c r="N913" t="str">
        <f t="shared" si="162"/>
        <v/>
      </c>
      <c r="O913" t="str">
        <f t="shared" si="163"/>
        <v/>
      </c>
      <c r="P913" t="str" cm="1">
        <f t="array" ref="P913">IF($N913="","",IFERROR(IF(INDEX(geo_grid!$B$2:$JU$231,INT(($N913+40)/0.5)+1,INT(($O913+30)/0.5)+1)="","",INDEX(geo_grid!$B$2:$JU$231,INT(($N913+40)/0.5)+1,INT(($O913+30)/0.5)+1)),"OUTSIDE GRID"))</f>
        <v/>
      </c>
      <c r="Q913" t="str">
        <f t="shared" si="164"/>
        <v/>
      </c>
    </row>
    <row r="914" spans="1:17" x14ac:dyDescent="0.3">
      <c r="A914">
        <f t="shared" si="154"/>
        <v>7</v>
      </c>
      <c r="B914">
        <f t="shared" si="155"/>
        <v>6</v>
      </c>
      <c r="C914" t="str" cm="1">
        <f t="array" ref="C914">IFERROR(INDEX('TRIP MANAGER'!$O$18:$O$25,$A914),"")</f>
        <v/>
      </c>
      <c r="D914" t="str" cm="1">
        <f t="array" ref="D914">IFERROR(INDEX('TRIP MANAGER'!$P$18:$P$25,$A914),"")</f>
        <v/>
      </c>
      <c r="E914" t="str" cm="1">
        <f t="array" ref="E914">IFERROR(INDEX('TRIP MANAGER'!$Q$18:$Q$25,$A914),"")</f>
        <v/>
      </c>
      <c r="F914" t="str" cm="1">
        <f t="array" ref="F914">IFERROR(INDEX('TRIP MANAGER'!$R$18:$R$25,$A914),"")</f>
        <v/>
      </c>
      <c r="G914" t="str" cm="1">
        <f t="array" ref="G914">IFERROR(INDEX('TRIP MANAGER'!$S$18:$S$25,$A914),"")</f>
        <v/>
      </c>
      <c r="H914">
        <f t="shared" si="156"/>
        <v>0.04</v>
      </c>
      <c r="I914" t="str">
        <f t="shared" si="157"/>
        <v/>
      </c>
      <c r="J914" t="str">
        <f t="shared" si="158"/>
        <v/>
      </c>
      <c r="K914" t="str">
        <f t="shared" si="159"/>
        <v/>
      </c>
      <c r="L914" t="str">
        <f t="shared" si="160"/>
        <v/>
      </c>
      <c r="M914" t="str">
        <f t="shared" si="161"/>
        <v/>
      </c>
      <c r="N914" t="str">
        <f t="shared" si="162"/>
        <v/>
      </c>
      <c r="O914" t="str">
        <f t="shared" si="163"/>
        <v/>
      </c>
      <c r="P914" t="str" cm="1">
        <f t="array" ref="P914">IF($N914="","",IFERROR(IF(INDEX(geo_grid!$B$2:$JU$231,INT(($N914+40)/0.5)+1,INT(($O914+30)/0.5)+1)="","",INDEX(geo_grid!$B$2:$JU$231,INT(($N914+40)/0.5)+1,INT(($O914+30)/0.5)+1)),"OUTSIDE GRID"))</f>
        <v/>
      </c>
      <c r="Q914" t="str">
        <f t="shared" si="164"/>
        <v/>
      </c>
    </row>
    <row r="915" spans="1:17" x14ac:dyDescent="0.3">
      <c r="A915">
        <f t="shared" si="154"/>
        <v>7</v>
      </c>
      <c r="B915">
        <f t="shared" si="155"/>
        <v>7</v>
      </c>
      <c r="C915" t="str" cm="1">
        <f t="array" ref="C915">IFERROR(INDEX('TRIP MANAGER'!$O$18:$O$25,$A915),"")</f>
        <v/>
      </c>
      <c r="D915" t="str" cm="1">
        <f t="array" ref="D915">IFERROR(INDEX('TRIP MANAGER'!$P$18:$P$25,$A915),"")</f>
        <v/>
      </c>
      <c r="E915" t="str" cm="1">
        <f t="array" ref="E915">IFERROR(INDEX('TRIP MANAGER'!$Q$18:$Q$25,$A915),"")</f>
        <v/>
      </c>
      <c r="F915" t="str" cm="1">
        <f t="array" ref="F915">IFERROR(INDEX('TRIP MANAGER'!$R$18:$R$25,$A915),"")</f>
        <v/>
      </c>
      <c r="G915" t="str" cm="1">
        <f t="array" ref="G915">IFERROR(INDEX('TRIP MANAGER'!$S$18:$S$25,$A915),"")</f>
        <v/>
      </c>
      <c r="H915">
        <f t="shared" si="156"/>
        <v>4.6666666666666669E-2</v>
      </c>
      <c r="I915" t="str">
        <f t="shared" si="157"/>
        <v/>
      </c>
      <c r="J915" t="str">
        <f t="shared" si="158"/>
        <v/>
      </c>
      <c r="K915" t="str">
        <f t="shared" si="159"/>
        <v/>
      </c>
      <c r="L915" t="str">
        <f t="shared" si="160"/>
        <v/>
      </c>
      <c r="M915" t="str">
        <f t="shared" si="161"/>
        <v/>
      </c>
      <c r="N915" t="str">
        <f t="shared" si="162"/>
        <v/>
      </c>
      <c r="O915" t="str">
        <f t="shared" si="163"/>
        <v/>
      </c>
      <c r="P915" t="str" cm="1">
        <f t="array" ref="P915">IF($N915="","",IFERROR(IF(INDEX(geo_grid!$B$2:$JU$231,INT(($N915+40)/0.5)+1,INT(($O915+30)/0.5)+1)="","",INDEX(geo_grid!$B$2:$JU$231,INT(($N915+40)/0.5)+1,INT(($O915+30)/0.5)+1)),"OUTSIDE GRID"))</f>
        <v/>
      </c>
      <c r="Q915" t="str">
        <f t="shared" si="164"/>
        <v/>
      </c>
    </row>
    <row r="916" spans="1:17" x14ac:dyDescent="0.3">
      <c r="A916">
        <f t="shared" si="154"/>
        <v>7</v>
      </c>
      <c r="B916">
        <f t="shared" si="155"/>
        <v>8</v>
      </c>
      <c r="C916" t="str" cm="1">
        <f t="array" ref="C916">IFERROR(INDEX('TRIP MANAGER'!$O$18:$O$25,$A916),"")</f>
        <v/>
      </c>
      <c r="D916" t="str" cm="1">
        <f t="array" ref="D916">IFERROR(INDEX('TRIP MANAGER'!$P$18:$P$25,$A916),"")</f>
        <v/>
      </c>
      <c r="E916" t="str" cm="1">
        <f t="array" ref="E916">IFERROR(INDEX('TRIP MANAGER'!$Q$18:$Q$25,$A916),"")</f>
        <v/>
      </c>
      <c r="F916" t="str" cm="1">
        <f t="array" ref="F916">IFERROR(INDEX('TRIP MANAGER'!$R$18:$R$25,$A916),"")</f>
        <v/>
      </c>
      <c r="G916" t="str" cm="1">
        <f t="array" ref="G916">IFERROR(INDEX('TRIP MANAGER'!$S$18:$S$25,$A916),"")</f>
        <v/>
      </c>
      <c r="H916">
        <f t="shared" si="156"/>
        <v>5.3333333333333337E-2</v>
      </c>
      <c r="I916" t="str">
        <f t="shared" si="157"/>
        <v/>
      </c>
      <c r="J916" t="str">
        <f t="shared" si="158"/>
        <v/>
      </c>
      <c r="K916" t="str">
        <f t="shared" si="159"/>
        <v/>
      </c>
      <c r="L916" t="str">
        <f t="shared" si="160"/>
        <v/>
      </c>
      <c r="M916" t="str">
        <f t="shared" si="161"/>
        <v/>
      </c>
      <c r="N916" t="str">
        <f t="shared" si="162"/>
        <v/>
      </c>
      <c r="O916" t="str">
        <f t="shared" si="163"/>
        <v/>
      </c>
      <c r="P916" t="str" cm="1">
        <f t="array" ref="P916">IF($N916="","",IFERROR(IF(INDEX(geo_grid!$B$2:$JU$231,INT(($N916+40)/0.5)+1,INT(($O916+30)/0.5)+1)="","",INDEX(geo_grid!$B$2:$JU$231,INT(($N916+40)/0.5)+1,INT(($O916+30)/0.5)+1)),"OUTSIDE GRID"))</f>
        <v/>
      </c>
      <c r="Q916" t="str">
        <f t="shared" si="164"/>
        <v/>
      </c>
    </row>
    <row r="917" spans="1:17" x14ac:dyDescent="0.3">
      <c r="A917">
        <f t="shared" si="154"/>
        <v>7</v>
      </c>
      <c r="B917">
        <f t="shared" si="155"/>
        <v>9</v>
      </c>
      <c r="C917" t="str" cm="1">
        <f t="array" ref="C917">IFERROR(INDEX('TRIP MANAGER'!$O$18:$O$25,$A917),"")</f>
        <v/>
      </c>
      <c r="D917" t="str" cm="1">
        <f t="array" ref="D917">IFERROR(INDEX('TRIP MANAGER'!$P$18:$P$25,$A917),"")</f>
        <v/>
      </c>
      <c r="E917" t="str" cm="1">
        <f t="array" ref="E917">IFERROR(INDEX('TRIP MANAGER'!$Q$18:$Q$25,$A917),"")</f>
        <v/>
      </c>
      <c r="F917" t="str" cm="1">
        <f t="array" ref="F917">IFERROR(INDEX('TRIP MANAGER'!$R$18:$R$25,$A917),"")</f>
        <v/>
      </c>
      <c r="G917" t="str" cm="1">
        <f t="array" ref="G917">IFERROR(INDEX('TRIP MANAGER'!$S$18:$S$25,$A917),"")</f>
        <v/>
      </c>
      <c r="H917">
        <f t="shared" si="156"/>
        <v>0.06</v>
      </c>
      <c r="I917" t="str">
        <f t="shared" si="157"/>
        <v/>
      </c>
      <c r="J917" t="str">
        <f t="shared" si="158"/>
        <v/>
      </c>
      <c r="K917" t="str">
        <f t="shared" si="159"/>
        <v/>
      </c>
      <c r="L917" t="str">
        <f t="shared" si="160"/>
        <v/>
      </c>
      <c r="M917" t="str">
        <f t="shared" si="161"/>
        <v/>
      </c>
      <c r="N917" t="str">
        <f t="shared" si="162"/>
        <v/>
      </c>
      <c r="O917" t="str">
        <f t="shared" si="163"/>
        <v/>
      </c>
      <c r="P917" t="str" cm="1">
        <f t="array" ref="P917">IF($N917="","",IFERROR(IF(INDEX(geo_grid!$B$2:$JU$231,INT(($N917+40)/0.5)+1,INT(($O917+30)/0.5)+1)="","",INDEX(geo_grid!$B$2:$JU$231,INT(($N917+40)/0.5)+1,INT(($O917+30)/0.5)+1)),"OUTSIDE GRID"))</f>
        <v/>
      </c>
      <c r="Q917" t="str">
        <f t="shared" si="164"/>
        <v/>
      </c>
    </row>
    <row r="918" spans="1:17" x14ac:dyDescent="0.3">
      <c r="A918">
        <f t="shared" si="154"/>
        <v>7</v>
      </c>
      <c r="B918">
        <f t="shared" si="155"/>
        <v>10</v>
      </c>
      <c r="C918" t="str" cm="1">
        <f t="array" ref="C918">IFERROR(INDEX('TRIP MANAGER'!$O$18:$O$25,$A918),"")</f>
        <v/>
      </c>
      <c r="D918" t="str" cm="1">
        <f t="array" ref="D918">IFERROR(INDEX('TRIP MANAGER'!$P$18:$P$25,$A918),"")</f>
        <v/>
      </c>
      <c r="E918" t="str" cm="1">
        <f t="array" ref="E918">IFERROR(INDEX('TRIP MANAGER'!$Q$18:$Q$25,$A918),"")</f>
        <v/>
      </c>
      <c r="F918" t="str" cm="1">
        <f t="array" ref="F918">IFERROR(INDEX('TRIP MANAGER'!$R$18:$R$25,$A918),"")</f>
        <v/>
      </c>
      <c r="G918" t="str" cm="1">
        <f t="array" ref="G918">IFERROR(INDEX('TRIP MANAGER'!$S$18:$S$25,$A918),"")</f>
        <v/>
      </c>
      <c r="H918">
        <f t="shared" si="156"/>
        <v>6.6666666666666666E-2</v>
      </c>
      <c r="I918" t="str">
        <f t="shared" si="157"/>
        <v/>
      </c>
      <c r="J918" t="str">
        <f t="shared" si="158"/>
        <v/>
      </c>
      <c r="K918" t="str">
        <f t="shared" si="159"/>
        <v/>
      </c>
      <c r="L918" t="str">
        <f t="shared" si="160"/>
        <v/>
      </c>
      <c r="M918" t="str">
        <f t="shared" si="161"/>
        <v/>
      </c>
      <c r="N918" t="str">
        <f t="shared" si="162"/>
        <v/>
      </c>
      <c r="O918" t="str">
        <f t="shared" si="163"/>
        <v/>
      </c>
      <c r="P918" t="str" cm="1">
        <f t="array" ref="P918">IF($N918="","",IFERROR(IF(INDEX(geo_grid!$B$2:$JU$231,INT(($N918+40)/0.5)+1,INT(($O918+30)/0.5)+1)="","",INDEX(geo_grid!$B$2:$JU$231,INT(($N918+40)/0.5)+1,INT(($O918+30)/0.5)+1)),"OUTSIDE GRID"))</f>
        <v/>
      </c>
      <c r="Q918" t="str">
        <f t="shared" si="164"/>
        <v/>
      </c>
    </row>
    <row r="919" spans="1:17" x14ac:dyDescent="0.3">
      <c r="A919">
        <f t="shared" si="154"/>
        <v>7</v>
      </c>
      <c r="B919">
        <f t="shared" si="155"/>
        <v>11</v>
      </c>
      <c r="C919" t="str" cm="1">
        <f t="array" ref="C919">IFERROR(INDEX('TRIP MANAGER'!$O$18:$O$25,$A919),"")</f>
        <v/>
      </c>
      <c r="D919" t="str" cm="1">
        <f t="array" ref="D919">IFERROR(INDEX('TRIP MANAGER'!$P$18:$P$25,$A919),"")</f>
        <v/>
      </c>
      <c r="E919" t="str" cm="1">
        <f t="array" ref="E919">IFERROR(INDEX('TRIP MANAGER'!$Q$18:$Q$25,$A919),"")</f>
        <v/>
      </c>
      <c r="F919" t="str" cm="1">
        <f t="array" ref="F919">IFERROR(INDEX('TRIP MANAGER'!$R$18:$R$25,$A919),"")</f>
        <v/>
      </c>
      <c r="G919" t="str" cm="1">
        <f t="array" ref="G919">IFERROR(INDEX('TRIP MANAGER'!$S$18:$S$25,$A919),"")</f>
        <v/>
      </c>
      <c r="H919">
        <f t="shared" si="156"/>
        <v>7.3333333333333334E-2</v>
      </c>
      <c r="I919" t="str">
        <f t="shared" si="157"/>
        <v/>
      </c>
      <c r="J919" t="str">
        <f t="shared" si="158"/>
        <v/>
      </c>
      <c r="K919" t="str">
        <f t="shared" si="159"/>
        <v/>
      </c>
      <c r="L919" t="str">
        <f t="shared" si="160"/>
        <v/>
      </c>
      <c r="M919" t="str">
        <f t="shared" si="161"/>
        <v/>
      </c>
      <c r="N919" t="str">
        <f t="shared" si="162"/>
        <v/>
      </c>
      <c r="O919" t="str">
        <f t="shared" si="163"/>
        <v/>
      </c>
      <c r="P919" t="str" cm="1">
        <f t="array" ref="P919">IF($N919="","",IFERROR(IF(INDEX(geo_grid!$B$2:$JU$231,INT(($N919+40)/0.5)+1,INT(($O919+30)/0.5)+1)="","",INDEX(geo_grid!$B$2:$JU$231,INT(($N919+40)/0.5)+1,INT(($O919+30)/0.5)+1)),"OUTSIDE GRID"))</f>
        <v/>
      </c>
      <c r="Q919" t="str">
        <f t="shared" si="164"/>
        <v/>
      </c>
    </row>
    <row r="920" spans="1:17" x14ac:dyDescent="0.3">
      <c r="A920">
        <f t="shared" si="154"/>
        <v>7</v>
      </c>
      <c r="B920">
        <f t="shared" si="155"/>
        <v>12</v>
      </c>
      <c r="C920" t="str" cm="1">
        <f t="array" ref="C920">IFERROR(INDEX('TRIP MANAGER'!$O$18:$O$25,$A920),"")</f>
        <v/>
      </c>
      <c r="D920" t="str" cm="1">
        <f t="array" ref="D920">IFERROR(INDEX('TRIP MANAGER'!$P$18:$P$25,$A920),"")</f>
        <v/>
      </c>
      <c r="E920" t="str" cm="1">
        <f t="array" ref="E920">IFERROR(INDEX('TRIP MANAGER'!$Q$18:$Q$25,$A920),"")</f>
        <v/>
      </c>
      <c r="F920" t="str" cm="1">
        <f t="array" ref="F920">IFERROR(INDEX('TRIP MANAGER'!$R$18:$R$25,$A920),"")</f>
        <v/>
      </c>
      <c r="G920" t="str" cm="1">
        <f t="array" ref="G920">IFERROR(INDEX('TRIP MANAGER'!$S$18:$S$25,$A920),"")</f>
        <v/>
      </c>
      <c r="H920">
        <f t="shared" si="156"/>
        <v>0.08</v>
      </c>
      <c r="I920" t="str">
        <f t="shared" si="157"/>
        <v/>
      </c>
      <c r="J920" t="str">
        <f t="shared" si="158"/>
        <v/>
      </c>
      <c r="K920" t="str">
        <f t="shared" si="159"/>
        <v/>
      </c>
      <c r="L920" t="str">
        <f t="shared" si="160"/>
        <v/>
      </c>
      <c r="M920" t="str">
        <f t="shared" si="161"/>
        <v/>
      </c>
      <c r="N920" t="str">
        <f t="shared" si="162"/>
        <v/>
      </c>
      <c r="O920" t="str">
        <f t="shared" si="163"/>
        <v/>
      </c>
      <c r="P920" t="str" cm="1">
        <f t="array" ref="P920">IF($N920="","",IFERROR(IF(INDEX(geo_grid!$B$2:$JU$231,INT(($N920+40)/0.5)+1,INT(($O920+30)/0.5)+1)="","",INDEX(geo_grid!$B$2:$JU$231,INT(($N920+40)/0.5)+1,INT(($O920+30)/0.5)+1)),"OUTSIDE GRID"))</f>
        <v/>
      </c>
      <c r="Q920" t="str">
        <f t="shared" si="164"/>
        <v/>
      </c>
    </row>
    <row r="921" spans="1:17" x14ac:dyDescent="0.3">
      <c r="A921">
        <f t="shared" si="154"/>
        <v>7</v>
      </c>
      <c r="B921">
        <f t="shared" si="155"/>
        <v>13</v>
      </c>
      <c r="C921" t="str" cm="1">
        <f t="array" ref="C921">IFERROR(INDEX('TRIP MANAGER'!$O$18:$O$25,$A921),"")</f>
        <v/>
      </c>
      <c r="D921" t="str" cm="1">
        <f t="array" ref="D921">IFERROR(INDEX('TRIP MANAGER'!$P$18:$P$25,$A921),"")</f>
        <v/>
      </c>
      <c r="E921" t="str" cm="1">
        <f t="array" ref="E921">IFERROR(INDEX('TRIP MANAGER'!$Q$18:$Q$25,$A921),"")</f>
        <v/>
      </c>
      <c r="F921" t="str" cm="1">
        <f t="array" ref="F921">IFERROR(INDEX('TRIP MANAGER'!$R$18:$R$25,$A921),"")</f>
        <v/>
      </c>
      <c r="G921" t="str" cm="1">
        <f t="array" ref="G921">IFERROR(INDEX('TRIP MANAGER'!$S$18:$S$25,$A921),"")</f>
        <v/>
      </c>
      <c r="H921">
        <f t="shared" si="156"/>
        <v>8.666666666666667E-2</v>
      </c>
      <c r="I921" t="str">
        <f t="shared" si="157"/>
        <v/>
      </c>
      <c r="J921" t="str">
        <f t="shared" si="158"/>
        <v/>
      </c>
      <c r="K921" t="str">
        <f t="shared" si="159"/>
        <v/>
      </c>
      <c r="L921" t="str">
        <f t="shared" si="160"/>
        <v/>
      </c>
      <c r="M921" t="str">
        <f t="shared" si="161"/>
        <v/>
      </c>
      <c r="N921" t="str">
        <f t="shared" si="162"/>
        <v/>
      </c>
      <c r="O921" t="str">
        <f t="shared" si="163"/>
        <v/>
      </c>
      <c r="P921" t="str" cm="1">
        <f t="array" ref="P921">IF($N921="","",IFERROR(IF(INDEX(geo_grid!$B$2:$JU$231,INT(($N921+40)/0.5)+1,INT(($O921+30)/0.5)+1)="","",INDEX(geo_grid!$B$2:$JU$231,INT(($N921+40)/0.5)+1,INT(($O921+30)/0.5)+1)),"OUTSIDE GRID"))</f>
        <v/>
      </c>
      <c r="Q921" t="str">
        <f t="shared" si="164"/>
        <v/>
      </c>
    </row>
    <row r="922" spans="1:17" x14ac:dyDescent="0.3">
      <c r="A922">
        <f t="shared" si="154"/>
        <v>7</v>
      </c>
      <c r="B922">
        <f t="shared" si="155"/>
        <v>14</v>
      </c>
      <c r="C922" t="str" cm="1">
        <f t="array" ref="C922">IFERROR(INDEX('TRIP MANAGER'!$O$18:$O$25,$A922),"")</f>
        <v/>
      </c>
      <c r="D922" t="str" cm="1">
        <f t="array" ref="D922">IFERROR(INDEX('TRIP MANAGER'!$P$18:$P$25,$A922),"")</f>
        <v/>
      </c>
      <c r="E922" t="str" cm="1">
        <f t="array" ref="E922">IFERROR(INDEX('TRIP MANAGER'!$Q$18:$Q$25,$A922),"")</f>
        <v/>
      </c>
      <c r="F922" t="str" cm="1">
        <f t="array" ref="F922">IFERROR(INDEX('TRIP MANAGER'!$R$18:$R$25,$A922),"")</f>
        <v/>
      </c>
      <c r="G922" t="str" cm="1">
        <f t="array" ref="G922">IFERROR(INDEX('TRIP MANAGER'!$S$18:$S$25,$A922),"")</f>
        <v/>
      </c>
      <c r="H922">
        <f t="shared" si="156"/>
        <v>9.3333333333333338E-2</v>
      </c>
      <c r="I922" t="str">
        <f t="shared" si="157"/>
        <v/>
      </c>
      <c r="J922" t="str">
        <f t="shared" si="158"/>
        <v/>
      </c>
      <c r="K922" t="str">
        <f t="shared" si="159"/>
        <v/>
      </c>
      <c r="L922" t="str">
        <f t="shared" si="160"/>
        <v/>
      </c>
      <c r="M922" t="str">
        <f t="shared" si="161"/>
        <v/>
      </c>
      <c r="N922" t="str">
        <f t="shared" si="162"/>
        <v/>
      </c>
      <c r="O922" t="str">
        <f t="shared" si="163"/>
        <v/>
      </c>
      <c r="P922" t="str" cm="1">
        <f t="array" ref="P922">IF($N922="","",IFERROR(IF(INDEX(geo_grid!$B$2:$JU$231,INT(($N922+40)/0.5)+1,INT(($O922+30)/0.5)+1)="","",INDEX(geo_grid!$B$2:$JU$231,INT(($N922+40)/0.5)+1,INT(($O922+30)/0.5)+1)),"OUTSIDE GRID"))</f>
        <v/>
      </c>
      <c r="Q922" t="str">
        <f t="shared" si="164"/>
        <v/>
      </c>
    </row>
    <row r="923" spans="1:17" x14ac:dyDescent="0.3">
      <c r="A923">
        <f t="shared" si="154"/>
        <v>7</v>
      </c>
      <c r="B923">
        <f t="shared" si="155"/>
        <v>15</v>
      </c>
      <c r="C923" t="str" cm="1">
        <f t="array" ref="C923">IFERROR(INDEX('TRIP MANAGER'!$O$18:$O$25,$A923),"")</f>
        <v/>
      </c>
      <c r="D923" t="str" cm="1">
        <f t="array" ref="D923">IFERROR(INDEX('TRIP MANAGER'!$P$18:$P$25,$A923),"")</f>
        <v/>
      </c>
      <c r="E923" t="str" cm="1">
        <f t="array" ref="E923">IFERROR(INDEX('TRIP MANAGER'!$Q$18:$Q$25,$A923),"")</f>
        <v/>
      </c>
      <c r="F923" t="str" cm="1">
        <f t="array" ref="F923">IFERROR(INDEX('TRIP MANAGER'!$R$18:$R$25,$A923),"")</f>
        <v/>
      </c>
      <c r="G923" t="str" cm="1">
        <f t="array" ref="G923">IFERROR(INDEX('TRIP MANAGER'!$S$18:$S$25,$A923),"")</f>
        <v/>
      </c>
      <c r="H923">
        <f t="shared" si="156"/>
        <v>0.1</v>
      </c>
      <c r="I923" t="str">
        <f t="shared" si="157"/>
        <v/>
      </c>
      <c r="J923" t="str">
        <f t="shared" si="158"/>
        <v/>
      </c>
      <c r="K923" t="str">
        <f t="shared" si="159"/>
        <v/>
      </c>
      <c r="L923" t="str">
        <f t="shared" si="160"/>
        <v/>
      </c>
      <c r="M923" t="str">
        <f t="shared" si="161"/>
        <v/>
      </c>
      <c r="N923" t="str">
        <f t="shared" si="162"/>
        <v/>
      </c>
      <c r="O923" t="str">
        <f t="shared" si="163"/>
        <v/>
      </c>
      <c r="P923" t="str" cm="1">
        <f t="array" ref="P923">IF($N923="","",IFERROR(IF(INDEX(geo_grid!$B$2:$JU$231,INT(($N923+40)/0.5)+1,INT(($O923+30)/0.5)+1)="","",INDEX(geo_grid!$B$2:$JU$231,INT(($N923+40)/0.5)+1,INT(($O923+30)/0.5)+1)),"OUTSIDE GRID"))</f>
        <v/>
      </c>
      <c r="Q923" t="str">
        <f t="shared" si="164"/>
        <v/>
      </c>
    </row>
    <row r="924" spans="1:17" x14ac:dyDescent="0.3">
      <c r="A924">
        <f t="shared" si="154"/>
        <v>7</v>
      </c>
      <c r="B924">
        <f t="shared" si="155"/>
        <v>16</v>
      </c>
      <c r="C924" t="str" cm="1">
        <f t="array" ref="C924">IFERROR(INDEX('TRIP MANAGER'!$O$18:$O$25,$A924),"")</f>
        <v/>
      </c>
      <c r="D924" t="str" cm="1">
        <f t="array" ref="D924">IFERROR(INDEX('TRIP MANAGER'!$P$18:$P$25,$A924),"")</f>
        <v/>
      </c>
      <c r="E924" t="str" cm="1">
        <f t="array" ref="E924">IFERROR(INDEX('TRIP MANAGER'!$Q$18:$Q$25,$A924),"")</f>
        <v/>
      </c>
      <c r="F924" t="str" cm="1">
        <f t="array" ref="F924">IFERROR(INDEX('TRIP MANAGER'!$R$18:$R$25,$A924),"")</f>
        <v/>
      </c>
      <c r="G924" t="str" cm="1">
        <f t="array" ref="G924">IFERROR(INDEX('TRIP MANAGER'!$S$18:$S$25,$A924),"")</f>
        <v/>
      </c>
      <c r="H924">
        <f t="shared" si="156"/>
        <v>0.10666666666666667</v>
      </c>
      <c r="I924" t="str">
        <f t="shared" si="157"/>
        <v/>
      </c>
      <c r="J924" t="str">
        <f t="shared" si="158"/>
        <v/>
      </c>
      <c r="K924" t="str">
        <f t="shared" si="159"/>
        <v/>
      </c>
      <c r="L924" t="str">
        <f t="shared" si="160"/>
        <v/>
      </c>
      <c r="M924" t="str">
        <f t="shared" si="161"/>
        <v/>
      </c>
      <c r="N924" t="str">
        <f t="shared" si="162"/>
        <v/>
      </c>
      <c r="O924" t="str">
        <f t="shared" si="163"/>
        <v/>
      </c>
      <c r="P924" t="str" cm="1">
        <f t="array" ref="P924">IF($N924="","",IFERROR(IF(INDEX(geo_grid!$B$2:$JU$231,INT(($N924+40)/0.5)+1,INT(($O924+30)/0.5)+1)="","",INDEX(geo_grid!$B$2:$JU$231,INT(($N924+40)/0.5)+1,INT(($O924+30)/0.5)+1)),"OUTSIDE GRID"))</f>
        <v/>
      </c>
      <c r="Q924" t="str">
        <f t="shared" si="164"/>
        <v/>
      </c>
    </row>
    <row r="925" spans="1:17" x14ac:dyDescent="0.3">
      <c r="A925">
        <f t="shared" si="154"/>
        <v>7</v>
      </c>
      <c r="B925">
        <f t="shared" si="155"/>
        <v>17</v>
      </c>
      <c r="C925" t="str" cm="1">
        <f t="array" ref="C925">IFERROR(INDEX('TRIP MANAGER'!$O$18:$O$25,$A925),"")</f>
        <v/>
      </c>
      <c r="D925" t="str" cm="1">
        <f t="array" ref="D925">IFERROR(INDEX('TRIP MANAGER'!$P$18:$P$25,$A925),"")</f>
        <v/>
      </c>
      <c r="E925" t="str" cm="1">
        <f t="array" ref="E925">IFERROR(INDEX('TRIP MANAGER'!$Q$18:$Q$25,$A925),"")</f>
        <v/>
      </c>
      <c r="F925" t="str" cm="1">
        <f t="array" ref="F925">IFERROR(INDEX('TRIP MANAGER'!$R$18:$R$25,$A925),"")</f>
        <v/>
      </c>
      <c r="G925" t="str" cm="1">
        <f t="array" ref="G925">IFERROR(INDEX('TRIP MANAGER'!$S$18:$S$25,$A925),"")</f>
        <v/>
      </c>
      <c r="H925">
        <f t="shared" si="156"/>
        <v>0.11333333333333333</v>
      </c>
      <c r="I925" t="str">
        <f t="shared" si="157"/>
        <v/>
      </c>
      <c r="J925" t="str">
        <f t="shared" si="158"/>
        <v/>
      </c>
      <c r="K925" t="str">
        <f t="shared" si="159"/>
        <v/>
      </c>
      <c r="L925" t="str">
        <f t="shared" si="160"/>
        <v/>
      </c>
      <c r="M925" t="str">
        <f t="shared" si="161"/>
        <v/>
      </c>
      <c r="N925" t="str">
        <f t="shared" si="162"/>
        <v/>
      </c>
      <c r="O925" t="str">
        <f t="shared" si="163"/>
        <v/>
      </c>
      <c r="P925" t="str" cm="1">
        <f t="array" ref="P925">IF($N925="","",IFERROR(IF(INDEX(geo_grid!$B$2:$JU$231,INT(($N925+40)/0.5)+1,INT(($O925+30)/0.5)+1)="","",INDEX(geo_grid!$B$2:$JU$231,INT(($N925+40)/0.5)+1,INT(($O925+30)/0.5)+1)),"OUTSIDE GRID"))</f>
        <v/>
      </c>
      <c r="Q925" t="str">
        <f t="shared" si="164"/>
        <v/>
      </c>
    </row>
    <row r="926" spans="1:17" x14ac:dyDescent="0.3">
      <c r="A926">
        <f t="shared" si="154"/>
        <v>7</v>
      </c>
      <c r="B926">
        <f t="shared" si="155"/>
        <v>18</v>
      </c>
      <c r="C926" t="str" cm="1">
        <f t="array" ref="C926">IFERROR(INDEX('TRIP MANAGER'!$O$18:$O$25,$A926),"")</f>
        <v/>
      </c>
      <c r="D926" t="str" cm="1">
        <f t="array" ref="D926">IFERROR(INDEX('TRIP MANAGER'!$P$18:$P$25,$A926),"")</f>
        <v/>
      </c>
      <c r="E926" t="str" cm="1">
        <f t="array" ref="E926">IFERROR(INDEX('TRIP MANAGER'!$Q$18:$Q$25,$A926),"")</f>
        <v/>
      </c>
      <c r="F926" t="str" cm="1">
        <f t="array" ref="F926">IFERROR(INDEX('TRIP MANAGER'!$R$18:$R$25,$A926),"")</f>
        <v/>
      </c>
      <c r="G926" t="str" cm="1">
        <f t="array" ref="G926">IFERROR(INDEX('TRIP MANAGER'!$S$18:$S$25,$A926),"")</f>
        <v/>
      </c>
      <c r="H926">
        <f t="shared" si="156"/>
        <v>0.12</v>
      </c>
      <c r="I926" t="str">
        <f t="shared" si="157"/>
        <v/>
      </c>
      <c r="J926" t="str">
        <f t="shared" si="158"/>
        <v/>
      </c>
      <c r="K926" t="str">
        <f t="shared" si="159"/>
        <v/>
      </c>
      <c r="L926" t="str">
        <f t="shared" si="160"/>
        <v/>
      </c>
      <c r="M926" t="str">
        <f t="shared" si="161"/>
        <v/>
      </c>
      <c r="N926" t="str">
        <f t="shared" si="162"/>
        <v/>
      </c>
      <c r="O926" t="str">
        <f t="shared" si="163"/>
        <v/>
      </c>
      <c r="P926" t="str" cm="1">
        <f t="array" ref="P926">IF($N926="","",IFERROR(IF(INDEX(geo_grid!$B$2:$JU$231,INT(($N926+40)/0.5)+1,INT(($O926+30)/0.5)+1)="","",INDEX(geo_grid!$B$2:$JU$231,INT(($N926+40)/0.5)+1,INT(($O926+30)/0.5)+1)),"OUTSIDE GRID"))</f>
        <v/>
      </c>
      <c r="Q926" t="str">
        <f t="shared" si="164"/>
        <v/>
      </c>
    </row>
    <row r="927" spans="1:17" x14ac:dyDescent="0.3">
      <c r="A927">
        <f t="shared" si="154"/>
        <v>7</v>
      </c>
      <c r="B927">
        <f t="shared" si="155"/>
        <v>19</v>
      </c>
      <c r="C927" t="str" cm="1">
        <f t="array" ref="C927">IFERROR(INDEX('TRIP MANAGER'!$O$18:$O$25,$A927),"")</f>
        <v/>
      </c>
      <c r="D927" t="str" cm="1">
        <f t="array" ref="D927">IFERROR(INDEX('TRIP MANAGER'!$P$18:$P$25,$A927),"")</f>
        <v/>
      </c>
      <c r="E927" t="str" cm="1">
        <f t="array" ref="E927">IFERROR(INDEX('TRIP MANAGER'!$Q$18:$Q$25,$A927),"")</f>
        <v/>
      </c>
      <c r="F927" t="str" cm="1">
        <f t="array" ref="F927">IFERROR(INDEX('TRIP MANAGER'!$R$18:$R$25,$A927),"")</f>
        <v/>
      </c>
      <c r="G927" t="str" cm="1">
        <f t="array" ref="G927">IFERROR(INDEX('TRIP MANAGER'!$S$18:$S$25,$A927),"")</f>
        <v/>
      </c>
      <c r="H927">
        <f t="shared" si="156"/>
        <v>0.12666666666666668</v>
      </c>
      <c r="I927" t="str">
        <f t="shared" si="157"/>
        <v/>
      </c>
      <c r="J927" t="str">
        <f t="shared" si="158"/>
        <v/>
      </c>
      <c r="K927" t="str">
        <f t="shared" si="159"/>
        <v/>
      </c>
      <c r="L927" t="str">
        <f t="shared" si="160"/>
        <v/>
      </c>
      <c r="M927" t="str">
        <f t="shared" si="161"/>
        <v/>
      </c>
      <c r="N927" t="str">
        <f t="shared" si="162"/>
        <v/>
      </c>
      <c r="O927" t="str">
        <f t="shared" si="163"/>
        <v/>
      </c>
      <c r="P927" t="str" cm="1">
        <f t="array" ref="P927">IF($N927="","",IFERROR(IF(INDEX(geo_grid!$B$2:$JU$231,INT(($N927+40)/0.5)+1,INT(($O927+30)/0.5)+1)="","",INDEX(geo_grid!$B$2:$JU$231,INT(($N927+40)/0.5)+1,INT(($O927+30)/0.5)+1)),"OUTSIDE GRID"))</f>
        <v/>
      </c>
      <c r="Q927" t="str">
        <f t="shared" si="164"/>
        <v/>
      </c>
    </row>
    <row r="928" spans="1:17" x14ac:dyDescent="0.3">
      <c r="A928">
        <f t="shared" si="154"/>
        <v>7</v>
      </c>
      <c r="B928">
        <f t="shared" si="155"/>
        <v>20</v>
      </c>
      <c r="C928" t="str" cm="1">
        <f t="array" ref="C928">IFERROR(INDEX('TRIP MANAGER'!$O$18:$O$25,$A928),"")</f>
        <v/>
      </c>
      <c r="D928" t="str" cm="1">
        <f t="array" ref="D928">IFERROR(INDEX('TRIP MANAGER'!$P$18:$P$25,$A928),"")</f>
        <v/>
      </c>
      <c r="E928" t="str" cm="1">
        <f t="array" ref="E928">IFERROR(INDEX('TRIP MANAGER'!$Q$18:$Q$25,$A928),"")</f>
        <v/>
      </c>
      <c r="F928" t="str" cm="1">
        <f t="array" ref="F928">IFERROR(INDEX('TRIP MANAGER'!$R$18:$R$25,$A928),"")</f>
        <v/>
      </c>
      <c r="G928" t="str" cm="1">
        <f t="array" ref="G928">IFERROR(INDEX('TRIP MANAGER'!$S$18:$S$25,$A928),"")</f>
        <v/>
      </c>
      <c r="H928">
        <f t="shared" si="156"/>
        <v>0.13333333333333333</v>
      </c>
      <c r="I928" t="str">
        <f t="shared" si="157"/>
        <v/>
      </c>
      <c r="J928" t="str">
        <f t="shared" si="158"/>
        <v/>
      </c>
      <c r="K928" t="str">
        <f t="shared" si="159"/>
        <v/>
      </c>
      <c r="L928" t="str">
        <f t="shared" si="160"/>
        <v/>
      </c>
      <c r="M928" t="str">
        <f t="shared" si="161"/>
        <v/>
      </c>
      <c r="N928" t="str">
        <f t="shared" si="162"/>
        <v/>
      </c>
      <c r="O928" t="str">
        <f t="shared" si="163"/>
        <v/>
      </c>
      <c r="P928" t="str" cm="1">
        <f t="array" ref="P928">IF($N928="","",IFERROR(IF(INDEX(geo_grid!$B$2:$JU$231,INT(($N928+40)/0.5)+1,INT(($O928+30)/0.5)+1)="","",INDEX(geo_grid!$B$2:$JU$231,INT(($N928+40)/0.5)+1,INT(($O928+30)/0.5)+1)),"OUTSIDE GRID"))</f>
        <v/>
      </c>
      <c r="Q928" t="str">
        <f t="shared" si="164"/>
        <v/>
      </c>
    </row>
    <row r="929" spans="1:17" x14ac:dyDescent="0.3">
      <c r="A929">
        <f t="shared" si="154"/>
        <v>7</v>
      </c>
      <c r="B929">
        <f t="shared" si="155"/>
        <v>21</v>
      </c>
      <c r="C929" t="str" cm="1">
        <f t="array" ref="C929">IFERROR(INDEX('TRIP MANAGER'!$O$18:$O$25,$A929),"")</f>
        <v/>
      </c>
      <c r="D929" t="str" cm="1">
        <f t="array" ref="D929">IFERROR(INDEX('TRIP MANAGER'!$P$18:$P$25,$A929),"")</f>
        <v/>
      </c>
      <c r="E929" t="str" cm="1">
        <f t="array" ref="E929">IFERROR(INDEX('TRIP MANAGER'!$Q$18:$Q$25,$A929),"")</f>
        <v/>
      </c>
      <c r="F929" t="str" cm="1">
        <f t="array" ref="F929">IFERROR(INDEX('TRIP MANAGER'!$R$18:$R$25,$A929),"")</f>
        <v/>
      </c>
      <c r="G929" t="str" cm="1">
        <f t="array" ref="G929">IFERROR(INDEX('TRIP MANAGER'!$S$18:$S$25,$A929),"")</f>
        <v/>
      </c>
      <c r="H929">
        <f t="shared" si="156"/>
        <v>0.14000000000000001</v>
      </c>
      <c r="I929" t="str">
        <f t="shared" si="157"/>
        <v/>
      </c>
      <c r="J929" t="str">
        <f t="shared" si="158"/>
        <v/>
      </c>
      <c r="K929" t="str">
        <f t="shared" si="159"/>
        <v/>
      </c>
      <c r="L929" t="str">
        <f t="shared" si="160"/>
        <v/>
      </c>
      <c r="M929" t="str">
        <f t="shared" si="161"/>
        <v/>
      </c>
      <c r="N929" t="str">
        <f t="shared" si="162"/>
        <v/>
      </c>
      <c r="O929" t="str">
        <f t="shared" si="163"/>
        <v/>
      </c>
      <c r="P929" t="str" cm="1">
        <f t="array" ref="P929">IF($N929="","",IFERROR(IF(INDEX(geo_grid!$B$2:$JU$231,INT(($N929+40)/0.5)+1,INT(($O929+30)/0.5)+1)="","",INDEX(geo_grid!$B$2:$JU$231,INT(($N929+40)/0.5)+1,INT(($O929+30)/0.5)+1)),"OUTSIDE GRID"))</f>
        <v/>
      </c>
      <c r="Q929" t="str">
        <f t="shared" si="164"/>
        <v/>
      </c>
    </row>
    <row r="930" spans="1:17" x14ac:dyDescent="0.3">
      <c r="A930">
        <f t="shared" si="154"/>
        <v>7</v>
      </c>
      <c r="B930">
        <f t="shared" si="155"/>
        <v>22</v>
      </c>
      <c r="C930" t="str" cm="1">
        <f t="array" ref="C930">IFERROR(INDEX('TRIP MANAGER'!$O$18:$O$25,$A930),"")</f>
        <v/>
      </c>
      <c r="D930" t="str" cm="1">
        <f t="array" ref="D930">IFERROR(INDEX('TRIP MANAGER'!$P$18:$P$25,$A930),"")</f>
        <v/>
      </c>
      <c r="E930" t="str" cm="1">
        <f t="array" ref="E930">IFERROR(INDEX('TRIP MANAGER'!$Q$18:$Q$25,$A930),"")</f>
        <v/>
      </c>
      <c r="F930" t="str" cm="1">
        <f t="array" ref="F930">IFERROR(INDEX('TRIP MANAGER'!$R$18:$R$25,$A930),"")</f>
        <v/>
      </c>
      <c r="G930" t="str" cm="1">
        <f t="array" ref="G930">IFERROR(INDEX('TRIP MANAGER'!$S$18:$S$25,$A930),"")</f>
        <v/>
      </c>
      <c r="H930">
        <f t="shared" si="156"/>
        <v>0.14666666666666667</v>
      </c>
      <c r="I930" t="str">
        <f t="shared" si="157"/>
        <v/>
      </c>
      <c r="J930" t="str">
        <f t="shared" si="158"/>
        <v/>
      </c>
      <c r="K930" t="str">
        <f t="shared" si="159"/>
        <v/>
      </c>
      <c r="L930" t="str">
        <f t="shared" si="160"/>
        <v/>
      </c>
      <c r="M930" t="str">
        <f t="shared" si="161"/>
        <v/>
      </c>
      <c r="N930" t="str">
        <f t="shared" si="162"/>
        <v/>
      </c>
      <c r="O930" t="str">
        <f t="shared" si="163"/>
        <v/>
      </c>
      <c r="P930" t="str" cm="1">
        <f t="array" ref="P930">IF($N930="","",IFERROR(IF(INDEX(geo_grid!$B$2:$JU$231,INT(($N930+40)/0.5)+1,INT(($O930+30)/0.5)+1)="","",INDEX(geo_grid!$B$2:$JU$231,INT(($N930+40)/0.5)+1,INT(($O930+30)/0.5)+1)),"OUTSIDE GRID"))</f>
        <v/>
      </c>
      <c r="Q930" t="str">
        <f t="shared" si="164"/>
        <v/>
      </c>
    </row>
    <row r="931" spans="1:17" x14ac:dyDescent="0.3">
      <c r="A931">
        <f t="shared" si="154"/>
        <v>7</v>
      </c>
      <c r="B931">
        <f t="shared" si="155"/>
        <v>23</v>
      </c>
      <c r="C931" t="str" cm="1">
        <f t="array" ref="C931">IFERROR(INDEX('TRIP MANAGER'!$O$18:$O$25,$A931),"")</f>
        <v/>
      </c>
      <c r="D931" t="str" cm="1">
        <f t="array" ref="D931">IFERROR(INDEX('TRIP MANAGER'!$P$18:$P$25,$A931),"")</f>
        <v/>
      </c>
      <c r="E931" t="str" cm="1">
        <f t="array" ref="E931">IFERROR(INDEX('TRIP MANAGER'!$Q$18:$Q$25,$A931),"")</f>
        <v/>
      </c>
      <c r="F931" t="str" cm="1">
        <f t="array" ref="F931">IFERROR(INDEX('TRIP MANAGER'!$R$18:$R$25,$A931),"")</f>
        <v/>
      </c>
      <c r="G931" t="str" cm="1">
        <f t="array" ref="G931">IFERROR(INDEX('TRIP MANAGER'!$S$18:$S$25,$A931),"")</f>
        <v/>
      </c>
      <c r="H931">
        <f t="shared" si="156"/>
        <v>0.15333333333333332</v>
      </c>
      <c r="I931" t="str">
        <f t="shared" si="157"/>
        <v/>
      </c>
      <c r="J931" t="str">
        <f t="shared" si="158"/>
        <v/>
      </c>
      <c r="K931" t="str">
        <f t="shared" si="159"/>
        <v/>
      </c>
      <c r="L931" t="str">
        <f t="shared" si="160"/>
        <v/>
      </c>
      <c r="M931" t="str">
        <f t="shared" si="161"/>
        <v/>
      </c>
      <c r="N931" t="str">
        <f t="shared" si="162"/>
        <v/>
      </c>
      <c r="O931" t="str">
        <f t="shared" si="163"/>
        <v/>
      </c>
      <c r="P931" t="str" cm="1">
        <f t="array" ref="P931">IF($N931="","",IFERROR(IF(INDEX(geo_grid!$B$2:$JU$231,INT(($N931+40)/0.5)+1,INT(($O931+30)/0.5)+1)="","",INDEX(geo_grid!$B$2:$JU$231,INT(($N931+40)/0.5)+1,INT(($O931+30)/0.5)+1)),"OUTSIDE GRID"))</f>
        <v/>
      </c>
      <c r="Q931" t="str">
        <f t="shared" si="164"/>
        <v/>
      </c>
    </row>
    <row r="932" spans="1:17" x14ac:dyDescent="0.3">
      <c r="A932">
        <f t="shared" si="154"/>
        <v>7</v>
      </c>
      <c r="B932">
        <f t="shared" si="155"/>
        <v>24</v>
      </c>
      <c r="C932" t="str" cm="1">
        <f t="array" ref="C932">IFERROR(INDEX('TRIP MANAGER'!$O$18:$O$25,$A932),"")</f>
        <v/>
      </c>
      <c r="D932" t="str" cm="1">
        <f t="array" ref="D932">IFERROR(INDEX('TRIP MANAGER'!$P$18:$P$25,$A932),"")</f>
        <v/>
      </c>
      <c r="E932" t="str" cm="1">
        <f t="array" ref="E932">IFERROR(INDEX('TRIP MANAGER'!$Q$18:$Q$25,$A932),"")</f>
        <v/>
      </c>
      <c r="F932" t="str" cm="1">
        <f t="array" ref="F932">IFERROR(INDEX('TRIP MANAGER'!$R$18:$R$25,$A932),"")</f>
        <v/>
      </c>
      <c r="G932" t="str" cm="1">
        <f t="array" ref="G932">IFERROR(INDEX('TRIP MANAGER'!$S$18:$S$25,$A932),"")</f>
        <v/>
      </c>
      <c r="H932">
        <f t="shared" si="156"/>
        <v>0.16</v>
      </c>
      <c r="I932" t="str">
        <f t="shared" si="157"/>
        <v/>
      </c>
      <c r="J932" t="str">
        <f t="shared" si="158"/>
        <v/>
      </c>
      <c r="K932" t="str">
        <f t="shared" si="159"/>
        <v/>
      </c>
      <c r="L932" t="str">
        <f t="shared" si="160"/>
        <v/>
      </c>
      <c r="M932" t="str">
        <f t="shared" si="161"/>
        <v/>
      </c>
      <c r="N932" t="str">
        <f t="shared" si="162"/>
        <v/>
      </c>
      <c r="O932" t="str">
        <f t="shared" si="163"/>
        <v/>
      </c>
      <c r="P932" t="str" cm="1">
        <f t="array" ref="P932">IF($N932="","",IFERROR(IF(INDEX(geo_grid!$B$2:$JU$231,INT(($N932+40)/0.5)+1,INT(($O932+30)/0.5)+1)="","",INDEX(geo_grid!$B$2:$JU$231,INT(($N932+40)/0.5)+1,INT(($O932+30)/0.5)+1)),"OUTSIDE GRID"))</f>
        <v/>
      </c>
      <c r="Q932" t="str">
        <f t="shared" si="164"/>
        <v/>
      </c>
    </row>
    <row r="933" spans="1:17" x14ac:dyDescent="0.3">
      <c r="A933">
        <f t="shared" si="154"/>
        <v>7</v>
      </c>
      <c r="B933">
        <f t="shared" si="155"/>
        <v>25</v>
      </c>
      <c r="C933" t="str" cm="1">
        <f t="array" ref="C933">IFERROR(INDEX('TRIP MANAGER'!$O$18:$O$25,$A933),"")</f>
        <v/>
      </c>
      <c r="D933" t="str" cm="1">
        <f t="array" ref="D933">IFERROR(INDEX('TRIP MANAGER'!$P$18:$P$25,$A933),"")</f>
        <v/>
      </c>
      <c r="E933" t="str" cm="1">
        <f t="array" ref="E933">IFERROR(INDEX('TRIP MANAGER'!$Q$18:$Q$25,$A933),"")</f>
        <v/>
      </c>
      <c r="F933" t="str" cm="1">
        <f t="array" ref="F933">IFERROR(INDEX('TRIP MANAGER'!$R$18:$R$25,$A933),"")</f>
        <v/>
      </c>
      <c r="G933" t="str" cm="1">
        <f t="array" ref="G933">IFERROR(INDEX('TRIP MANAGER'!$S$18:$S$25,$A933),"")</f>
        <v/>
      </c>
      <c r="H933">
        <f t="shared" si="156"/>
        <v>0.16666666666666666</v>
      </c>
      <c r="I933" t="str">
        <f t="shared" si="157"/>
        <v/>
      </c>
      <c r="J933" t="str">
        <f t="shared" si="158"/>
        <v/>
      </c>
      <c r="K933" t="str">
        <f t="shared" si="159"/>
        <v/>
      </c>
      <c r="L933" t="str">
        <f t="shared" si="160"/>
        <v/>
      </c>
      <c r="M933" t="str">
        <f t="shared" si="161"/>
        <v/>
      </c>
      <c r="N933" t="str">
        <f t="shared" si="162"/>
        <v/>
      </c>
      <c r="O933" t="str">
        <f t="shared" si="163"/>
        <v/>
      </c>
      <c r="P933" t="str" cm="1">
        <f t="array" ref="P933">IF($N933="","",IFERROR(IF(INDEX(geo_grid!$B$2:$JU$231,INT(($N933+40)/0.5)+1,INT(($O933+30)/0.5)+1)="","",INDEX(geo_grid!$B$2:$JU$231,INT(($N933+40)/0.5)+1,INT(($O933+30)/0.5)+1)),"OUTSIDE GRID"))</f>
        <v/>
      </c>
      <c r="Q933" t="str">
        <f t="shared" si="164"/>
        <v/>
      </c>
    </row>
    <row r="934" spans="1:17" x14ac:dyDescent="0.3">
      <c r="A934">
        <f t="shared" si="154"/>
        <v>7</v>
      </c>
      <c r="B934">
        <f t="shared" si="155"/>
        <v>26</v>
      </c>
      <c r="C934" t="str" cm="1">
        <f t="array" ref="C934">IFERROR(INDEX('TRIP MANAGER'!$O$18:$O$25,$A934),"")</f>
        <v/>
      </c>
      <c r="D934" t="str" cm="1">
        <f t="array" ref="D934">IFERROR(INDEX('TRIP MANAGER'!$P$18:$P$25,$A934),"")</f>
        <v/>
      </c>
      <c r="E934" t="str" cm="1">
        <f t="array" ref="E934">IFERROR(INDEX('TRIP MANAGER'!$Q$18:$Q$25,$A934),"")</f>
        <v/>
      </c>
      <c r="F934" t="str" cm="1">
        <f t="array" ref="F934">IFERROR(INDEX('TRIP MANAGER'!$R$18:$R$25,$A934),"")</f>
        <v/>
      </c>
      <c r="G934" t="str" cm="1">
        <f t="array" ref="G934">IFERROR(INDEX('TRIP MANAGER'!$S$18:$S$25,$A934),"")</f>
        <v/>
      </c>
      <c r="H934">
        <f t="shared" si="156"/>
        <v>0.17333333333333334</v>
      </c>
      <c r="I934" t="str">
        <f t="shared" si="157"/>
        <v/>
      </c>
      <c r="J934" t="str">
        <f t="shared" si="158"/>
        <v/>
      </c>
      <c r="K934" t="str">
        <f t="shared" si="159"/>
        <v/>
      </c>
      <c r="L934" t="str">
        <f t="shared" si="160"/>
        <v/>
      </c>
      <c r="M934" t="str">
        <f t="shared" si="161"/>
        <v/>
      </c>
      <c r="N934" t="str">
        <f t="shared" si="162"/>
        <v/>
      </c>
      <c r="O934" t="str">
        <f t="shared" si="163"/>
        <v/>
      </c>
      <c r="P934" t="str" cm="1">
        <f t="array" ref="P934">IF($N934="","",IFERROR(IF(INDEX(geo_grid!$B$2:$JU$231,INT(($N934+40)/0.5)+1,INT(($O934+30)/0.5)+1)="","",INDEX(geo_grid!$B$2:$JU$231,INT(($N934+40)/0.5)+1,INT(($O934+30)/0.5)+1)),"OUTSIDE GRID"))</f>
        <v/>
      </c>
      <c r="Q934" t="str">
        <f t="shared" si="164"/>
        <v/>
      </c>
    </row>
    <row r="935" spans="1:17" x14ac:dyDescent="0.3">
      <c r="A935">
        <f t="shared" si="154"/>
        <v>7</v>
      </c>
      <c r="B935">
        <f t="shared" si="155"/>
        <v>27</v>
      </c>
      <c r="C935" t="str" cm="1">
        <f t="array" ref="C935">IFERROR(INDEX('TRIP MANAGER'!$O$18:$O$25,$A935),"")</f>
        <v/>
      </c>
      <c r="D935" t="str" cm="1">
        <f t="array" ref="D935">IFERROR(INDEX('TRIP MANAGER'!$P$18:$P$25,$A935),"")</f>
        <v/>
      </c>
      <c r="E935" t="str" cm="1">
        <f t="array" ref="E935">IFERROR(INDEX('TRIP MANAGER'!$Q$18:$Q$25,$A935),"")</f>
        <v/>
      </c>
      <c r="F935" t="str" cm="1">
        <f t="array" ref="F935">IFERROR(INDEX('TRIP MANAGER'!$R$18:$R$25,$A935),"")</f>
        <v/>
      </c>
      <c r="G935" t="str" cm="1">
        <f t="array" ref="G935">IFERROR(INDEX('TRIP MANAGER'!$S$18:$S$25,$A935),"")</f>
        <v/>
      </c>
      <c r="H935">
        <f t="shared" si="156"/>
        <v>0.18</v>
      </c>
      <c r="I935" t="str">
        <f t="shared" si="157"/>
        <v/>
      </c>
      <c r="J935" t="str">
        <f t="shared" si="158"/>
        <v/>
      </c>
      <c r="K935" t="str">
        <f t="shared" si="159"/>
        <v/>
      </c>
      <c r="L935" t="str">
        <f t="shared" si="160"/>
        <v/>
      </c>
      <c r="M935" t="str">
        <f t="shared" si="161"/>
        <v/>
      </c>
      <c r="N935" t="str">
        <f t="shared" si="162"/>
        <v/>
      </c>
      <c r="O935" t="str">
        <f t="shared" si="163"/>
        <v/>
      </c>
      <c r="P935" t="str" cm="1">
        <f t="array" ref="P935">IF($N935="","",IFERROR(IF(INDEX(geo_grid!$B$2:$JU$231,INT(($N935+40)/0.5)+1,INT(($O935+30)/0.5)+1)="","",INDEX(geo_grid!$B$2:$JU$231,INT(($N935+40)/0.5)+1,INT(($O935+30)/0.5)+1)),"OUTSIDE GRID"))</f>
        <v/>
      </c>
      <c r="Q935" t="str">
        <f t="shared" si="164"/>
        <v/>
      </c>
    </row>
    <row r="936" spans="1:17" x14ac:dyDescent="0.3">
      <c r="A936">
        <f t="shared" si="154"/>
        <v>7</v>
      </c>
      <c r="B936">
        <f t="shared" si="155"/>
        <v>28</v>
      </c>
      <c r="C936" t="str" cm="1">
        <f t="array" ref="C936">IFERROR(INDEX('TRIP MANAGER'!$O$18:$O$25,$A936),"")</f>
        <v/>
      </c>
      <c r="D936" t="str" cm="1">
        <f t="array" ref="D936">IFERROR(INDEX('TRIP MANAGER'!$P$18:$P$25,$A936),"")</f>
        <v/>
      </c>
      <c r="E936" t="str" cm="1">
        <f t="array" ref="E936">IFERROR(INDEX('TRIP MANAGER'!$Q$18:$Q$25,$A936),"")</f>
        <v/>
      </c>
      <c r="F936" t="str" cm="1">
        <f t="array" ref="F936">IFERROR(INDEX('TRIP MANAGER'!$R$18:$R$25,$A936),"")</f>
        <v/>
      </c>
      <c r="G936" t="str" cm="1">
        <f t="array" ref="G936">IFERROR(INDEX('TRIP MANAGER'!$S$18:$S$25,$A936),"")</f>
        <v/>
      </c>
      <c r="H936">
        <f t="shared" si="156"/>
        <v>0.18666666666666668</v>
      </c>
      <c r="I936" t="str">
        <f t="shared" si="157"/>
        <v/>
      </c>
      <c r="J936" t="str">
        <f t="shared" si="158"/>
        <v/>
      </c>
      <c r="K936" t="str">
        <f t="shared" si="159"/>
        <v/>
      </c>
      <c r="L936" t="str">
        <f t="shared" si="160"/>
        <v/>
      </c>
      <c r="M936" t="str">
        <f t="shared" si="161"/>
        <v/>
      </c>
      <c r="N936" t="str">
        <f t="shared" si="162"/>
        <v/>
      </c>
      <c r="O936" t="str">
        <f t="shared" si="163"/>
        <v/>
      </c>
      <c r="P936" t="str" cm="1">
        <f t="array" ref="P936">IF($N936="","",IFERROR(IF(INDEX(geo_grid!$B$2:$JU$231,INT(($N936+40)/0.5)+1,INT(($O936+30)/0.5)+1)="","",INDEX(geo_grid!$B$2:$JU$231,INT(($N936+40)/0.5)+1,INT(($O936+30)/0.5)+1)),"OUTSIDE GRID"))</f>
        <v/>
      </c>
      <c r="Q936" t="str">
        <f t="shared" si="164"/>
        <v/>
      </c>
    </row>
    <row r="937" spans="1:17" x14ac:dyDescent="0.3">
      <c r="A937">
        <f t="shared" si="154"/>
        <v>7</v>
      </c>
      <c r="B937">
        <f t="shared" si="155"/>
        <v>29</v>
      </c>
      <c r="C937" t="str" cm="1">
        <f t="array" ref="C937">IFERROR(INDEX('TRIP MANAGER'!$O$18:$O$25,$A937),"")</f>
        <v/>
      </c>
      <c r="D937" t="str" cm="1">
        <f t="array" ref="D937">IFERROR(INDEX('TRIP MANAGER'!$P$18:$P$25,$A937),"")</f>
        <v/>
      </c>
      <c r="E937" t="str" cm="1">
        <f t="array" ref="E937">IFERROR(INDEX('TRIP MANAGER'!$Q$18:$Q$25,$A937),"")</f>
        <v/>
      </c>
      <c r="F937" t="str" cm="1">
        <f t="array" ref="F937">IFERROR(INDEX('TRIP MANAGER'!$R$18:$R$25,$A937),"")</f>
        <v/>
      </c>
      <c r="G937" t="str" cm="1">
        <f t="array" ref="G937">IFERROR(INDEX('TRIP MANAGER'!$S$18:$S$25,$A937),"")</f>
        <v/>
      </c>
      <c r="H937">
        <f t="shared" si="156"/>
        <v>0.19333333333333333</v>
      </c>
      <c r="I937" t="str">
        <f t="shared" si="157"/>
        <v/>
      </c>
      <c r="J937" t="str">
        <f t="shared" si="158"/>
        <v/>
      </c>
      <c r="K937" t="str">
        <f t="shared" si="159"/>
        <v/>
      </c>
      <c r="L937" t="str">
        <f t="shared" si="160"/>
        <v/>
      </c>
      <c r="M937" t="str">
        <f t="shared" si="161"/>
        <v/>
      </c>
      <c r="N937" t="str">
        <f t="shared" si="162"/>
        <v/>
      </c>
      <c r="O937" t="str">
        <f t="shared" si="163"/>
        <v/>
      </c>
      <c r="P937" t="str" cm="1">
        <f t="array" ref="P937">IF($N937="","",IFERROR(IF(INDEX(geo_grid!$B$2:$JU$231,INT(($N937+40)/0.5)+1,INT(($O937+30)/0.5)+1)="","",INDEX(geo_grid!$B$2:$JU$231,INT(($N937+40)/0.5)+1,INT(($O937+30)/0.5)+1)),"OUTSIDE GRID"))</f>
        <v/>
      </c>
      <c r="Q937" t="str">
        <f t="shared" si="164"/>
        <v/>
      </c>
    </row>
    <row r="938" spans="1:17" x14ac:dyDescent="0.3">
      <c r="A938">
        <f t="shared" si="154"/>
        <v>7</v>
      </c>
      <c r="B938">
        <f t="shared" si="155"/>
        <v>30</v>
      </c>
      <c r="C938" t="str" cm="1">
        <f t="array" ref="C938">IFERROR(INDEX('TRIP MANAGER'!$O$18:$O$25,$A938),"")</f>
        <v/>
      </c>
      <c r="D938" t="str" cm="1">
        <f t="array" ref="D938">IFERROR(INDEX('TRIP MANAGER'!$P$18:$P$25,$A938),"")</f>
        <v/>
      </c>
      <c r="E938" t="str" cm="1">
        <f t="array" ref="E938">IFERROR(INDEX('TRIP MANAGER'!$Q$18:$Q$25,$A938),"")</f>
        <v/>
      </c>
      <c r="F938" t="str" cm="1">
        <f t="array" ref="F938">IFERROR(INDEX('TRIP MANAGER'!$R$18:$R$25,$A938),"")</f>
        <v/>
      </c>
      <c r="G938" t="str" cm="1">
        <f t="array" ref="G938">IFERROR(INDEX('TRIP MANAGER'!$S$18:$S$25,$A938),"")</f>
        <v/>
      </c>
      <c r="H938">
        <f t="shared" si="156"/>
        <v>0.2</v>
      </c>
      <c r="I938" t="str">
        <f t="shared" si="157"/>
        <v/>
      </c>
      <c r="J938" t="str">
        <f t="shared" si="158"/>
        <v/>
      </c>
      <c r="K938" t="str">
        <f t="shared" si="159"/>
        <v/>
      </c>
      <c r="L938" t="str">
        <f t="shared" si="160"/>
        <v/>
      </c>
      <c r="M938" t="str">
        <f t="shared" si="161"/>
        <v/>
      </c>
      <c r="N938" t="str">
        <f t="shared" si="162"/>
        <v/>
      </c>
      <c r="O938" t="str">
        <f t="shared" si="163"/>
        <v/>
      </c>
      <c r="P938" t="str" cm="1">
        <f t="array" ref="P938">IF($N938="","",IFERROR(IF(INDEX(geo_grid!$B$2:$JU$231,INT(($N938+40)/0.5)+1,INT(($O938+30)/0.5)+1)="","",INDEX(geo_grid!$B$2:$JU$231,INT(($N938+40)/0.5)+1,INT(($O938+30)/0.5)+1)),"OUTSIDE GRID"))</f>
        <v/>
      </c>
      <c r="Q938" t="str">
        <f t="shared" si="164"/>
        <v/>
      </c>
    </row>
    <row r="939" spans="1:17" x14ac:dyDescent="0.3">
      <c r="A939">
        <f t="shared" si="154"/>
        <v>7</v>
      </c>
      <c r="B939">
        <f t="shared" si="155"/>
        <v>31</v>
      </c>
      <c r="C939" t="str" cm="1">
        <f t="array" ref="C939">IFERROR(INDEX('TRIP MANAGER'!$O$18:$O$25,$A939),"")</f>
        <v/>
      </c>
      <c r="D939" t="str" cm="1">
        <f t="array" ref="D939">IFERROR(INDEX('TRIP MANAGER'!$P$18:$P$25,$A939),"")</f>
        <v/>
      </c>
      <c r="E939" t="str" cm="1">
        <f t="array" ref="E939">IFERROR(INDEX('TRIP MANAGER'!$Q$18:$Q$25,$A939),"")</f>
        <v/>
      </c>
      <c r="F939" t="str" cm="1">
        <f t="array" ref="F939">IFERROR(INDEX('TRIP MANAGER'!$R$18:$R$25,$A939),"")</f>
        <v/>
      </c>
      <c r="G939" t="str" cm="1">
        <f t="array" ref="G939">IFERROR(INDEX('TRIP MANAGER'!$S$18:$S$25,$A939),"")</f>
        <v/>
      </c>
      <c r="H939">
        <f t="shared" si="156"/>
        <v>0.20666666666666667</v>
      </c>
      <c r="I939" t="str">
        <f t="shared" si="157"/>
        <v/>
      </c>
      <c r="J939" t="str">
        <f t="shared" si="158"/>
        <v/>
      </c>
      <c r="K939" t="str">
        <f t="shared" si="159"/>
        <v/>
      </c>
      <c r="L939" t="str">
        <f t="shared" si="160"/>
        <v/>
      </c>
      <c r="M939" t="str">
        <f t="shared" si="161"/>
        <v/>
      </c>
      <c r="N939" t="str">
        <f t="shared" si="162"/>
        <v/>
      </c>
      <c r="O939" t="str">
        <f t="shared" si="163"/>
        <v/>
      </c>
      <c r="P939" t="str" cm="1">
        <f t="array" ref="P939">IF($N939="","",IFERROR(IF(INDEX(geo_grid!$B$2:$JU$231,INT(($N939+40)/0.5)+1,INT(($O939+30)/0.5)+1)="","",INDEX(geo_grid!$B$2:$JU$231,INT(($N939+40)/0.5)+1,INT(($O939+30)/0.5)+1)),"OUTSIDE GRID"))</f>
        <v/>
      </c>
      <c r="Q939" t="str">
        <f t="shared" si="164"/>
        <v/>
      </c>
    </row>
    <row r="940" spans="1:17" x14ac:dyDescent="0.3">
      <c r="A940">
        <f t="shared" si="154"/>
        <v>7</v>
      </c>
      <c r="B940">
        <f t="shared" si="155"/>
        <v>32</v>
      </c>
      <c r="C940" t="str" cm="1">
        <f t="array" ref="C940">IFERROR(INDEX('TRIP MANAGER'!$O$18:$O$25,$A940),"")</f>
        <v/>
      </c>
      <c r="D940" t="str" cm="1">
        <f t="array" ref="D940">IFERROR(INDEX('TRIP MANAGER'!$P$18:$P$25,$A940),"")</f>
        <v/>
      </c>
      <c r="E940" t="str" cm="1">
        <f t="array" ref="E940">IFERROR(INDEX('TRIP MANAGER'!$Q$18:$Q$25,$A940),"")</f>
        <v/>
      </c>
      <c r="F940" t="str" cm="1">
        <f t="array" ref="F940">IFERROR(INDEX('TRIP MANAGER'!$R$18:$R$25,$A940),"")</f>
        <v/>
      </c>
      <c r="G940" t="str" cm="1">
        <f t="array" ref="G940">IFERROR(INDEX('TRIP MANAGER'!$S$18:$S$25,$A940),"")</f>
        <v/>
      </c>
      <c r="H940">
        <f t="shared" si="156"/>
        <v>0.21333333333333335</v>
      </c>
      <c r="I940" t="str">
        <f t="shared" si="157"/>
        <v/>
      </c>
      <c r="J940" t="str">
        <f t="shared" si="158"/>
        <v/>
      </c>
      <c r="K940" t="str">
        <f t="shared" si="159"/>
        <v/>
      </c>
      <c r="L940" t="str">
        <f t="shared" si="160"/>
        <v/>
      </c>
      <c r="M940" t="str">
        <f t="shared" si="161"/>
        <v/>
      </c>
      <c r="N940" t="str">
        <f t="shared" si="162"/>
        <v/>
      </c>
      <c r="O940" t="str">
        <f t="shared" si="163"/>
        <v/>
      </c>
      <c r="P940" t="str" cm="1">
        <f t="array" ref="P940">IF($N940="","",IFERROR(IF(INDEX(geo_grid!$B$2:$JU$231,INT(($N940+40)/0.5)+1,INT(($O940+30)/0.5)+1)="","",INDEX(geo_grid!$B$2:$JU$231,INT(($N940+40)/0.5)+1,INT(($O940+30)/0.5)+1)),"OUTSIDE GRID"))</f>
        <v/>
      </c>
      <c r="Q940" t="str">
        <f t="shared" si="164"/>
        <v/>
      </c>
    </row>
    <row r="941" spans="1:17" x14ac:dyDescent="0.3">
      <c r="A941">
        <f t="shared" si="154"/>
        <v>7</v>
      </c>
      <c r="B941">
        <f t="shared" si="155"/>
        <v>33</v>
      </c>
      <c r="C941" t="str" cm="1">
        <f t="array" ref="C941">IFERROR(INDEX('TRIP MANAGER'!$O$18:$O$25,$A941),"")</f>
        <v/>
      </c>
      <c r="D941" t="str" cm="1">
        <f t="array" ref="D941">IFERROR(INDEX('TRIP MANAGER'!$P$18:$P$25,$A941),"")</f>
        <v/>
      </c>
      <c r="E941" t="str" cm="1">
        <f t="array" ref="E941">IFERROR(INDEX('TRIP MANAGER'!$Q$18:$Q$25,$A941),"")</f>
        <v/>
      </c>
      <c r="F941" t="str" cm="1">
        <f t="array" ref="F941">IFERROR(INDEX('TRIP MANAGER'!$R$18:$R$25,$A941),"")</f>
        <v/>
      </c>
      <c r="G941" t="str" cm="1">
        <f t="array" ref="G941">IFERROR(INDEX('TRIP MANAGER'!$S$18:$S$25,$A941),"")</f>
        <v/>
      </c>
      <c r="H941">
        <f t="shared" si="156"/>
        <v>0.22</v>
      </c>
      <c r="I941" t="str">
        <f t="shared" si="157"/>
        <v/>
      </c>
      <c r="J941" t="str">
        <f t="shared" si="158"/>
        <v/>
      </c>
      <c r="K941" t="str">
        <f t="shared" si="159"/>
        <v/>
      </c>
      <c r="L941" t="str">
        <f t="shared" si="160"/>
        <v/>
      </c>
      <c r="M941" t="str">
        <f t="shared" si="161"/>
        <v/>
      </c>
      <c r="N941" t="str">
        <f t="shared" si="162"/>
        <v/>
      </c>
      <c r="O941" t="str">
        <f t="shared" si="163"/>
        <v/>
      </c>
      <c r="P941" t="str" cm="1">
        <f t="array" ref="P941">IF($N941="","",IFERROR(IF(INDEX(geo_grid!$B$2:$JU$231,INT(($N941+40)/0.5)+1,INT(($O941+30)/0.5)+1)="","",INDEX(geo_grid!$B$2:$JU$231,INT(($N941+40)/0.5)+1,INT(($O941+30)/0.5)+1)),"OUTSIDE GRID"))</f>
        <v/>
      </c>
      <c r="Q941" t="str">
        <f t="shared" si="164"/>
        <v/>
      </c>
    </row>
    <row r="942" spans="1:17" x14ac:dyDescent="0.3">
      <c r="A942">
        <f t="shared" si="154"/>
        <v>7</v>
      </c>
      <c r="B942">
        <f t="shared" si="155"/>
        <v>34</v>
      </c>
      <c r="C942" t="str" cm="1">
        <f t="array" ref="C942">IFERROR(INDEX('TRIP MANAGER'!$O$18:$O$25,$A942),"")</f>
        <v/>
      </c>
      <c r="D942" t="str" cm="1">
        <f t="array" ref="D942">IFERROR(INDEX('TRIP MANAGER'!$P$18:$P$25,$A942),"")</f>
        <v/>
      </c>
      <c r="E942" t="str" cm="1">
        <f t="array" ref="E942">IFERROR(INDEX('TRIP MANAGER'!$Q$18:$Q$25,$A942),"")</f>
        <v/>
      </c>
      <c r="F942" t="str" cm="1">
        <f t="array" ref="F942">IFERROR(INDEX('TRIP MANAGER'!$R$18:$R$25,$A942),"")</f>
        <v/>
      </c>
      <c r="G942" t="str" cm="1">
        <f t="array" ref="G942">IFERROR(INDEX('TRIP MANAGER'!$S$18:$S$25,$A942),"")</f>
        <v/>
      </c>
      <c r="H942">
        <f t="shared" si="156"/>
        <v>0.22666666666666666</v>
      </c>
      <c r="I942" t="str">
        <f t="shared" si="157"/>
        <v/>
      </c>
      <c r="J942" t="str">
        <f t="shared" si="158"/>
        <v/>
      </c>
      <c r="K942" t="str">
        <f t="shared" si="159"/>
        <v/>
      </c>
      <c r="L942" t="str">
        <f t="shared" si="160"/>
        <v/>
      </c>
      <c r="M942" t="str">
        <f t="shared" si="161"/>
        <v/>
      </c>
      <c r="N942" t="str">
        <f t="shared" si="162"/>
        <v/>
      </c>
      <c r="O942" t="str">
        <f t="shared" si="163"/>
        <v/>
      </c>
      <c r="P942" t="str" cm="1">
        <f t="array" ref="P942">IF($N942="","",IFERROR(IF(INDEX(geo_grid!$B$2:$JU$231,INT(($N942+40)/0.5)+1,INT(($O942+30)/0.5)+1)="","",INDEX(geo_grid!$B$2:$JU$231,INT(($N942+40)/0.5)+1,INT(($O942+30)/0.5)+1)),"OUTSIDE GRID"))</f>
        <v/>
      </c>
      <c r="Q942" t="str">
        <f t="shared" si="164"/>
        <v/>
      </c>
    </row>
    <row r="943" spans="1:17" x14ac:dyDescent="0.3">
      <c r="A943">
        <f t="shared" si="154"/>
        <v>7</v>
      </c>
      <c r="B943">
        <f t="shared" si="155"/>
        <v>35</v>
      </c>
      <c r="C943" t="str" cm="1">
        <f t="array" ref="C943">IFERROR(INDEX('TRIP MANAGER'!$O$18:$O$25,$A943),"")</f>
        <v/>
      </c>
      <c r="D943" t="str" cm="1">
        <f t="array" ref="D943">IFERROR(INDEX('TRIP MANAGER'!$P$18:$P$25,$A943),"")</f>
        <v/>
      </c>
      <c r="E943" t="str" cm="1">
        <f t="array" ref="E943">IFERROR(INDEX('TRIP MANAGER'!$Q$18:$Q$25,$A943),"")</f>
        <v/>
      </c>
      <c r="F943" t="str" cm="1">
        <f t="array" ref="F943">IFERROR(INDEX('TRIP MANAGER'!$R$18:$R$25,$A943),"")</f>
        <v/>
      </c>
      <c r="G943" t="str" cm="1">
        <f t="array" ref="G943">IFERROR(INDEX('TRIP MANAGER'!$S$18:$S$25,$A943),"")</f>
        <v/>
      </c>
      <c r="H943">
        <f t="shared" si="156"/>
        <v>0.23333333333333334</v>
      </c>
      <c r="I943" t="str">
        <f t="shared" si="157"/>
        <v/>
      </c>
      <c r="J943" t="str">
        <f t="shared" si="158"/>
        <v/>
      </c>
      <c r="K943" t="str">
        <f t="shared" si="159"/>
        <v/>
      </c>
      <c r="L943" t="str">
        <f t="shared" si="160"/>
        <v/>
      </c>
      <c r="M943" t="str">
        <f t="shared" si="161"/>
        <v/>
      </c>
      <c r="N943" t="str">
        <f t="shared" si="162"/>
        <v/>
      </c>
      <c r="O943" t="str">
        <f t="shared" si="163"/>
        <v/>
      </c>
      <c r="P943" t="str" cm="1">
        <f t="array" ref="P943">IF($N943="","",IFERROR(IF(INDEX(geo_grid!$B$2:$JU$231,INT(($N943+40)/0.5)+1,INT(($O943+30)/0.5)+1)="","",INDEX(geo_grid!$B$2:$JU$231,INT(($N943+40)/0.5)+1,INT(($O943+30)/0.5)+1)),"OUTSIDE GRID"))</f>
        <v/>
      </c>
      <c r="Q943" t="str">
        <f t="shared" si="164"/>
        <v/>
      </c>
    </row>
    <row r="944" spans="1:17" x14ac:dyDescent="0.3">
      <c r="A944">
        <f t="shared" si="154"/>
        <v>7</v>
      </c>
      <c r="B944">
        <f t="shared" si="155"/>
        <v>36</v>
      </c>
      <c r="C944" t="str" cm="1">
        <f t="array" ref="C944">IFERROR(INDEX('TRIP MANAGER'!$O$18:$O$25,$A944),"")</f>
        <v/>
      </c>
      <c r="D944" t="str" cm="1">
        <f t="array" ref="D944">IFERROR(INDEX('TRIP MANAGER'!$P$18:$P$25,$A944),"")</f>
        <v/>
      </c>
      <c r="E944" t="str" cm="1">
        <f t="array" ref="E944">IFERROR(INDEX('TRIP MANAGER'!$Q$18:$Q$25,$A944),"")</f>
        <v/>
      </c>
      <c r="F944" t="str" cm="1">
        <f t="array" ref="F944">IFERROR(INDEX('TRIP MANAGER'!$R$18:$R$25,$A944),"")</f>
        <v/>
      </c>
      <c r="G944" t="str" cm="1">
        <f t="array" ref="G944">IFERROR(INDEX('TRIP MANAGER'!$S$18:$S$25,$A944),"")</f>
        <v/>
      </c>
      <c r="H944">
        <f t="shared" si="156"/>
        <v>0.24</v>
      </c>
      <c r="I944" t="str">
        <f t="shared" si="157"/>
        <v/>
      </c>
      <c r="J944" t="str">
        <f t="shared" si="158"/>
        <v/>
      </c>
      <c r="K944" t="str">
        <f t="shared" si="159"/>
        <v/>
      </c>
      <c r="L944" t="str">
        <f t="shared" si="160"/>
        <v/>
      </c>
      <c r="M944" t="str">
        <f t="shared" si="161"/>
        <v/>
      </c>
      <c r="N944" t="str">
        <f t="shared" si="162"/>
        <v/>
      </c>
      <c r="O944" t="str">
        <f t="shared" si="163"/>
        <v/>
      </c>
      <c r="P944" t="str" cm="1">
        <f t="array" ref="P944">IF($N944="","",IFERROR(IF(INDEX(geo_grid!$B$2:$JU$231,INT(($N944+40)/0.5)+1,INT(($O944+30)/0.5)+1)="","",INDEX(geo_grid!$B$2:$JU$231,INT(($N944+40)/0.5)+1,INT(($O944+30)/0.5)+1)),"OUTSIDE GRID"))</f>
        <v/>
      </c>
      <c r="Q944" t="str">
        <f t="shared" si="164"/>
        <v/>
      </c>
    </row>
    <row r="945" spans="1:17" x14ac:dyDescent="0.3">
      <c r="A945">
        <f t="shared" si="154"/>
        <v>7</v>
      </c>
      <c r="B945">
        <f t="shared" si="155"/>
        <v>37</v>
      </c>
      <c r="C945" t="str" cm="1">
        <f t="array" ref="C945">IFERROR(INDEX('TRIP MANAGER'!$O$18:$O$25,$A945),"")</f>
        <v/>
      </c>
      <c r="D945" t="str" cm="1">
        <f t="array" ref="D945">IFERROR(INDEX('TRIP MANAGER'!$P$18:$P$25,$A945),"")</f>
        <v/>
      </c>
      <c r="E945" t="str" cm="1">
        <f t="array" ref="E945">IFERROR(INDEX('TRIP MANAGER'!$Q$18:$Q$25,$A945),"")</f>
        <v/>
      </c>
      <c r="F945" t="str" cm="1">
        <f t="array" ref="F945">IFERROR(INDEX('TRIP MANAGER'!$R$18:$R$25,$A945),"")</f>
        <v/>
      </c>
      <c r="G945" t="str" cm="1">
        <f t="array" ref="G945">IFERROR(INDEX('TRIP MANAGER'!$S$18:$S$25,$A945),"")</f>
        <v/>
      </c>
      <c r="H945">
        <f t="shared" si="156"/>
        <v>0.24666666666666667</v>
      </c>
      <c r="I945" t="str">
        <f t="shared" si="157"/>
        <v/>
      </c>
      <c r="J945" t="str">
        <f t="shared" si="158"/>
        <v/>
      </c>
      <c r="K945" t="str">
        <f t="shared" si="159"/>
        <v/>
      </c>
      <c r="L945" t="str">
        <f t="shared" si="160"/>
        <v/>
      </c>
      <c r="M945" t="str">
        <f t="shared" si="161"/>
        <v/>
      </c>
      <c r="N945" t="str">
        <f t="shared" si="162"/>
        <v/>
      </c>
      <c r="O945" t="str">
        <f t="shared" si="163"/>
        <v/>
      </c>
      <c r="P945" t="str" cm="1">
        <f t="array" ref="P945">IF($N945="","",IFERROR(IF(INDEX(geo_grid!$B$2:$JU$231,INT(($N945+40)/0.5)+1,INT(($O945+30)/0.5)+1)="","",INDEX(geo_grid!$B$2:$JU$231,INT(($N945+40)/0.5)+1,INT(($O945+30)/0.5)+1)),"OUTSIDE GRID"))</f>
        <v/>
      </c>
      <c r="Q945" t="str">
        <f t="shared" si="164"/>
        <v/>
      </c>
    </row>
    <row r="946" spans="1:17" x14ac:dyDescent="0.3">
      <c r="A946">
        <f t="shared" si="154"/>
        <v>7</v>
      </c>
      <c r="B946">
        <f t="shared" si="155"/>
        <v>38</v>
      </c>
      <c r="C946" t="str" cm="1">
        <f t="array" ref="C946">IFERROR(INDEX('TRIP MANAGER'!$O$18:$O$25,$A946),"")</f>
        <v/>
      </c>
      <c r="D946" t="str" cm="1">
        <f t="array" ref="D946">IFERROR(INDEX('TRIP MANAGER'!$P$18:$P$25,$A946),"")</f>
        <v/>
      </c>
      <c r="E946" t="str" cm="1">
        <f t="array" ref="E946">IFERROR(INDEX('TRIP MANAGER'!$Q$18:$Q$25,$A946),"")</f>
        <v/>
      </c>
      <c r="F946" t="str" cm="1">
        <f t="array" ref="F946">IFERROR(INDEX('TRIP MANAGER'!$R$18:$R$25,$A946),"")</f>
        <v/>
      </c>
      <c r="G946" t="str" cm="1">
        <f t="array" ref="G946">IFERROR(INDEX('TRIP MANAGER'!$S$18:$S$25,$A946),"")</f>
        <v/>
      </c>
      <c r="H946">
        <f t="shared" si="156"/>
        <v>0.25333333333333335</v>
      </c>
      <c r="I946" t="str">
        <f t="shared" si="157"/>
        <v/>
      </c>
      <c r="J946" t="str">
        <f t="shared" si="158"/>
        <v/>
      </c>
      <c r="K946" t="str">
        <f t="shared" si="159"/>
        <v/>
      </c>
      <c r="L946" t="str">
        <f t="shared" si="160"/>
        <v/>
      </c>
      <c r="M946" t="str">
        <f t="shared" si="161"/>
        <v/>
      </c>
      <c r="N946" t="str">
        <f t="shared" si="162"/>
        <v/>
      </c>
      <c r="O946" t="str">
        <f t="shared" si="163"/>
        <v/>
      </c>
      <c r="P946" t="str" cm="1">
        <f t="array" ref="P946">IF($N946="","",IFERROR(IF(INDEX(geo_grid!$B$2:$JU$231,INT(($N946+40)/0.5)+1,INT(($O946+30)/0.5)+1)="","",INDEX(geo_grid!$B$2:$JU$231,INT(($N946+40)/0.5)+1,INT(($O946+30)/0.5)+1)),"OUTSIDE GRID"))</f>
        <v/>
      </c>
      <c r="Q946" t="str">
        <f t="shared" si="164"/>
        <v/>
      </c>
    </row>
    <row r="947" spans="1:17" x14ac:dyDescent="0.3">
      <c r="A947">
        <f t="shared" si="154"/>
        <v>7</v>
      </c>
      <c r="B947">
        <f t="shared" si="155"/>
        <v>39</v>
      </c>
      <c r="C947" t="str" cm="1">
        <f t="array" ref="C947">IFERROR(INDEX('TRIP MANAGER'!$O$18:$O$25,$A947),"")</f>
        <v/>
      </c>
      <c r="D947" t="str" cm="1">
        <f t="array" ref="D947">IFERROR(INDEX('TRIP MANAGER'!$P$18:$P$25,$A947),"")</f>
        <v/>
      </c>
      <c r="E947" t="str" cm="1">
        <f t="array" ref="E947">IFERROR(INDEX('TRIP MANAGER'!$Q$18:$Q$25,$A947),"")</f>
        <v/>
      </c>
      <c r="F947" t="str" cm="1">
        <f t="array" ref="F947">IFERROR(INDEX('TRIP MANAGER'!$R$18:$R$25,$A947),"")</f>
        <v/>
      </c>
      <c r="G947" t="str" cm="1">
        <f t="array" ref="G947">IFERROR(INDEX('TRIP MANAGER'!$S$18:$S$25,$A947),"")</f>
        <v/>
      </c>
      <c r="H947">
        <f t="shared" si="156"/>
        <v>0.26</v>
      </c>
      <c r="I947" t="str">
        <f t="shared" si="157"/>
        <v/>
      </c>
      <c r="J947" t="str">
        <f t="shared" si="158"/>
        <v/>
      </c>
      <c r="K947" t="str">
        <f t="shared" si="159"/>
        <v/>
      </c>
      <c r="L947" t="str">
        <f t="shared" si="160"/>
        <v/>
      </c>
      <c r="M947" t="str">
        <f t="shared" si="161"/>
        <v/>
      </c>
      <c r="N947" t="str">
        <f t="shared" si="162"/>
        <v/>
      </c>
      <c r="O947" t="str">
        <f t="shared" si="163"/>
        <v/>
      </c>
      <c r="P947" t="str" cm="1">
        <f t="array" ref="P947">IF($N947="","",IFERROR(IF(INDEX(geo_grid!$B$2:$JU$231,INT(($N947+40)/0.5)+1,INT(($O947+30)/0.5)+1)="","",INDEX(geo_grid!$B$2:$JU$231,INT(($N947+40)/0.5)+1,INT(($O947+30)/0.5)+1)),"OUTSIDE GRID"))</f>
        <v/>
      </c>
      <c r="Q947" t="str">
        <f t="shared" si="164"/>
        <v/>
      </c>
    </row>
    <row r="948" spans="1:17" x14ac:dyDescent="0.3">
      <c r="A948">
        <f t="shared" si="154"/>
        <v>7</v>
      </c>
      <c r="B948">
        <f t="shared" si="155"/>
        <v>40</v>
      </c>
      <c r="C948" t="str" cm="1">
        <f t="array" ref="C948">IFERROR(INDEX('TRIP MANAGER'!$O$18:$O$25,$A948),"")</f>
        <v/>
      </c>
      <c r="D948" t="str" cm="1">
        <f t="array" ref="D948">IFERROR(INDEX('TRIP MANAGER'!$P$18:$P$25,$A948),"")</f>
        <v/>
      </c>
      <c r="E948" t="str" cm="1">
        <f t="array" ref="E948">IFERROR(INDEX('TRIP MANAGER'!$Q$18:$Q$25,$A948),"")</f>
        <v/>
      </c>
      <c r="F948" t="str" cm="1">
        <f t="array" ref="F948">IFERROR(INDEX('TRIP MANAGER'!$R$18:$R$25,$A948),"")</f>
        <v/>
      </c>
      <c r="G948" t="str" cm="1">
        <f t="array" ref="G948">IFERROR(INDEX('TRIP MANAGER'!$S$18:$S$25,$A948),"")</f>
        <v/>
      </c>
      <c r="H948">
        <f t="shared" si="156"/>
        <v>0.26666666666666666</v>
      </c>
      <c r="I948" t="str">
        <f t="shared" si="157"/>
        <v/>
      </c>
      <c r="J948" t="str">
        <f t="shared" si="158"/>
        <v/>
      </c>
      <c r="K948" t="str">
        <f t="shared" si="159"/>
        <v/>
      </c>
      <c r="L948" t="str">
        <f t="shared" si="160"/>
        <v/>
      </c>
      <c r="M948" t="str">
        <f t="shared" si="161"/>
        <v/>
      </c>
      <c r="N948" t="str">
        <f t="shared" si="162"/>
        <v/>
      </c>
      <c r="O948" t="str">
        <f t="shared" si="163"/>
        <v/>
      </c>
      <c r="P948" t="str" cm="1">
        <f t="array" ref="P948">IF($N948="","",IFERROR(IF(INDEX(geo_grid!$B$2:$JU$231,INT(($N948+40)/0.5)+1,INT(($O948+30)/0.5)+1)="","",INDEX(geo_grid!$B$2:$JU$231,INT(($N948+40)/0.5)+1,INT(($O948+30)/0.5)+1)),"OUTSIDE GRID"))</f>
        <v/>
      </c>
      <c r="Q948" t="str">
        <f t="shared" si="164"/>
        <v/>
      </c>
    </row>
    <row r="949" spans="1:17" x14ac:dyDescent="0.3">
      <c r="A949">
        <f t="shared" si="154"/>
        <v>7</v>
      </c>
      <c r="B949">
        <f t="shared" si="155"/>
        <v>41</v>
      </c>
      <c r="C949" t="str" cm="1">
        <f t="array" ref="C949">IFERROR(INDEX('TRIP MANAGER'!$O$18:$O$25,$A949),"")</f>
        <v/>
      </c>
      <c r="D949" t="str" cm="1">
        <f t="array" ref="D949">IFERROR(INDEX('TRIP MANAGER'!$P$18:$P$25,$A949),"")</f>
        <v/>
      </c>
      <c r="E949" t="str" cm="1">
        <f t="array" ref="E949">IFERROR(INDEX('TRIP MANAGER'!$Q$18:$Q$25,$A949),"")</f>
        <v/>
      </c>
      <c r="F949" t="str" cm="1">
        <f t="array" ref="F949">IFERROR(INDEX('TRIP MANAGER'!$R$18:$R$25,$A949),"")</f>
        <v/>
      </c>
      <c r="G949" t="str" cm="1">
        <f t="array" ref="G949">IFERROR(INDEX('TRIP MANAGER'!$S$18:$S$25,$A949),"")</f>
        <v/>
      </c>
      <c r="H949">
        <f t="shared" si="156"/>
        <v>0.27333333333333332</v>
      </c>
      <c r="I949" t="str">
        <f t="shared" si="157"/>
        <v/>
      </c>
      <c r="J949" t="str">
        <f t="shared" si="158"/>
        <v/>
      </c>
      <c r="K949" t="str">
        <f t="shared" si="159"/>
        <v/>
      </c>
      <c r="L949" t="str">
        <f t="shared" si="160"/>
        <v/>
      </c>
      <c r="M949" t="str">
        <f t="shared" si="161"/>
        <v/>
      </c>
      <c r="N949" t="str">
        <f t="shared" si="162"/>
        <v/>
      </c>
      <c r="O949" t="str">
        <f t="shared" si="163"/>
        <v/>
      </c>
      <c r="P949" t="str" cm="1">
        <f t="array" ref="P949">IF($N949="","",IFERROR(IF(INDEX(geo_grid!$B$2:$JU$231,INT(($N949+40)/0.5)+1,INT(($O949+30)/0.5)+1)="","",INDEX(geo_grid!$B$2:$JU$231,INT(($N949+40)/0.5)+1,INT(($O949+30)/0.5)+1)),"OUTSIDE GRID"))</f>
        <v/>
      </c>
      <c r="Q949" t="str">
        <f t="shared" si="164"/>
        <v/>
      </c>
    </row>
    <row r="950" spans="1:17" x14ac:dyDescent="0.3">
      <c r="A950">
        <f t="shared" si="154"/>
        <v>7</v>
      </c>
      <c r="B950">
        <f t="shared" si="155"/>
        <v>42</v>
      </c>
      <c r="C950" t="str" cm="1">
        <f t="array" ref="C950">IFERROR(INDEX('TRIP MANAGER'!$O$18:$O$25,$A950),"")</f>
        <v/>
      </c>
      <c r="D950" t="str" cm="1">
        <f t="array" ref="D950">IFERROR(INDEX('TRIP MANAGER'!$P$18:$P$25,$A950),"")</f>
        <v/>
      </c>
      <c r="E950" t="str" cm="1">
        <f t="array" ref="E950">IFERROR(INDEX('TRIP MANAGER'!$Q$18:$Q$25,$A950),"")</f>
        <v/>
      </c>
      <c r="F950" t="str" cm="1">
        <f t="array" ref="F950">IFERROR(INDEX('TRIP MANAGER'!$R$18:$R$25,$A950),"")</f>
        <v/>
      </c>
      <c r="G950" t="str" cm="1">
        <f t="array" ref="G950">IFERROR(INDEX('TRIP MANAGER'!$S$18:$S$25,$A950),"")</f>
        <v/>
      </c>
      <c r="H950">
        <f t="shared" si="156"/>
        <v>0.28000000000000003</v>
      </c>
      <c r="I950" t="str">
        <f t="shared" si="157"/>
        <v/>
      </c>
      <c r="J950" t="str">
        <f t="shared" si="158"/>
        <v/>
      </c>
      <c r="K950" t="str">
        <f t="shared" si="159"/>
        <v/>
      </c>
      <c r="L950" t="str">
        <f t="shared" si="160"/>
        <v/>
      </c>
      <c r="M950" t="str">
        <f t="shared" si="161"/>
        <v/>
      </c>
      <c r="N950" t="str">
        <f t="shared" si="162"/>
        <v/>
      </c>
      <c r="O950" t="str">
        <f t="shared" si="163"/>
        <v/>
      </c>
      <c r="P950" t="str" cm="1">
        <f t="array" ref="P950">IF($N950="","",IFERROR(IF(INDEX(geo_grid!$B$2:$JU$231,INT(($N950+40)/0.5)+1,INT(($O950+30)/0.5)+1)="","",INDEX(geo_grid!$B$2:$JU$231,INT(($N950+40)/0.5)+1,INT(($O950+30)/0.5)+1)),"OUTSIDE GRID"))</f>
        <v/>
      </c>
      <c r="Q950" t="str">
        <f t="shared" si="164"/>
        <v/>
      </c>
    </row>
    <row r="951" spans="1:17" x14ac:dyDescent="0.3">
      <c r="A951">
        <f t="shared" si="154"/>
        <v>7</v>
      </c>
      <c r="B951">
        <f t="shared" si="155"/>
        <v>43</v>
      </c>
      <c r="C951" t="str" cm="1">
        <f t="array" ref="C951">IFERROR(INDEX('TRIP MANAGER'!$O$18:$O$25,$A951),"")</f>
        <v/>
      </c>
      <c r="D951" t="str" cm="1">
        <f t="array" ref="D951">IFERROR(INDEX('TRIP MANAGER'!$P$18:$P$25,$A951),"")</f>
        <v/>
      </c>
      <c r="E951" t="str" cm="1">
        <f t="array" ref="E951">IFERROR(INDEX('TRIP MANAGER'!$Q$18:$Q$25,$A951),"")</f>
        <v/>
      </c>
      <c r="F951" t="str" cm="1">
        <f t="array" ref="F951">IFERROR(INDEX('TRIP MANAGER'!$R$18:$R$25,$A951),"")</f>
        <v/>
      </c>
      <c r="G951" t="str" cm="1">
        <f t="array" ref="G951">IFERROR(INDEX('TRIP MANAGER'!$S$18:$S$25,$A951),"")</f>
        <v/>
      </c>
      <c r="H951">
        <f t="shared" si="156"/>
        <v>0.28666666666666668</v>
      </c>
      <c r="I951" t="str">
        <f t="shared" si="157"/>
        <v/>
      </c>
      <c r="J951" t="str">
        <f t="shared" si="158"/>
        <v/>
      </c>
      <c r="K951" t="str">
        <f t="shared" si="159"/>
        <v/>
      </c>
      <c r="L951" t="str">
        <f t="shared" si="160"/>
        <v/>
      </c>
      <c r="M951" t="str">
        <f t="shared" si="161"/>
        <v/>
      </c>
      <c r="N951" t="str">
        <f t="shared" si="162"/>
        <v/>
      </c>
      <c r="O951" t="str">
        <f t="shared" si="163"/>
        <v/>
      </c>
      <c r="P951" t="str" cm="1">
        <f t="array" ref="P951">IF($N951="","",IFERROR(IF(INDEX(geo_grid!$B$2:$JU$231,INT(($N951+40)/0.5)+1,INT(($O951+30)/0.5)+1)="","",INDEX(geo_grid!$B$2:$JU$231,INT(($N951+40)/0.5)+1,INT(($O951+30)/0.5)+1)),"OUTSIDE GRID"))</f>
        <v/>
      </c>
      <c r="Q951" t="str">
        <f t="shared" si="164"/>
        <v/>
      </c>
    </row>
    <row r="952" spans="1:17" x14ac:dyDescent="0.3">
      <c r="A952">
        <f t="shared" si="154"/>
        <v>7</v>
      </c>
      <c r="B952">
        <f t="shared" si="155"/>
        <v>44</v>
      </c>
      <c r="C952" t="str" cm="1">
        <f t="array" ref="C952">IFERROR(INDEX('TRIP MANAGER'!$O$18:$O$25,$A952),"")</f>
        <v/>
      </c>
      <c r="D952" t="str" cm="1">
        <f t="array" ref="D952">IFERROR(INDEX('TRIP MANAGER'!$P$18:$P$25,$A952),"")</f>
        <v/>
      </c>
      <c r="E952" t="str" cm="1">
        <f t="array" ref="E952">IFERROR(INDEX('TRIP MANAGER'!$Q$18:$Q$25,$A952),"")</f>
        <v/>
      </c>
      <c r="F952" t="str" cm="1">
        <f t="array" ref="F952">IFERROR(INDEX('TRIP MANAGER'!$R$18:$R$25,$A952),"")</f>
        <v/>
      </c>
      <c r="G952" t="str" cm="1">
        <f t="array" ref="G952">IFERROR(INDEX('TRIP MANAGER'!$S$18:$S$25,$A952),"")</f>
        <v/>
      </c>
      <c r="H952">
        <f t="shared" si="156"/>
        <v>0.29333333333333333</v>
      </c>
      <c r="I952" t="str">
        <f t="shared" si="157"/>
        <v/>
      </c>
      <c r="J952" t="str">
        <f t="shared" si="158"/>
        <v/>
      </c>
      <c r="K952" t="str">
        <f t="shared" si="159"/>
        <v/>
      </c>
      <c r="L952" t="str">
        <f t="shared" si="160"/>
        <v/>
      </c>
      <c r="M952" t="str">
        <f t="shared" si="161"/>
        <v/>
      </c>
      <c r="N952" t="str">
        <f t="shared" si="162"/>
        <v/>
      </c>
      <c r="O952" t="str">
        <f t="shared" si="163"/>
        <v/>
      </c>
      <c r="P952" t="str" cm="1">
        <f t="array" ref="P952">IF($N952="","",IFERROR(IF(INDEX(geo_grid!$B$2:$JU$231,INT(($N952+40)/0.5)+1,INT(($O952+30)/0.5)+1)="","",INDEX(geo_grid!$B$2:$JU$231,INT(($N952+40)/0.5)+1,INT(($O952+30)/0.5)+1)),"OUTSIDE GRID"))</f>
        <v/>
      </c>
      <c r="Q952" t="str">
        <f t="shared" si="164"/>
        <v/>
      </c>
    </row>
    <row r="953" spans="1:17" x14ac:dyDescent="0.3">
      <c r="A953">
        <f t="shared" si="154"/>
        <v>7</v>
      </c>
      <c r="B953">
        <f t="shared" si="155"/>
        <v>45</v>
      </c>
      <c r="C953" t="str" cm="1">
        <f t="array" ref="C953">IFERROR(INDEX('TRIP MANAGER'!$O$18:$O$25,$A953),"")</f>
        <v/>
      </c>
      <c r="D953" t="str" cm="1">
        <f t="array" ref="D953">IFERROR(INDEX('TRIP MANAGER'!$P$18:$P$25,$A953),"")</f>
        <v/>
      </c>
      <c r="E953" t="str" cm="1">
        <f t="array" ref="E953">IFERROR(INDEX('TRIP MANAGER'!$Q$18:$Q$25,$A953),"")</f>
        <v/>
      </c>
      <c r="F953" t="str" cm="1">
        <f t="array" ref="F953">IFERROR(INDEX('TRIP MANAGER'!$R$18:$R$25,$A953),"")</f>
        <v/>
      </c>
      <c r="G953" t="str" cm="1">
        <f t="array" ref="G953">IFERROR(INDEX('TRIP MANAGER'!$S$18:$S$25,$A953),"")</f>
        <v/>
      </c>
      <c r="H953">
        <f t="shared" si="156"/>
        <v>0.3</v>
      </c>
      <c r="I953" t="str">
        <f t="shared" si="157"/>
        <v/>
      </c>
      <c r="J953" t="str">
        <f t="shared" si="158"/>
        <v/>
      </c>
      <c r="K953" t="str">
        <f t="shared" si="159"/>
        <v/>
      </c>
      <c r="L953" t="str">
        <f t="shared" si="160"/>
        <v/>
      </c>
      <c r="M953" t="str">
        <f t="shared" si="161"/>
        <v/>
      </c>
      <c r="N953" t="str">
        <f t="shared" si="162"/>
        <v/>
      </c>
      <c r="O953" t="str">
        <f t="shared" si="163"/>
        <v/>
      </c>
      <c r="P953" t="str" cm="1">
        <f t="array" ref="P953">IF($N953="","",IFERROR(IF(INDEX(geo_grid!$B$2:$JU$231,INT(($N953+40)/0.5)+1,INT(($O953+30)/0.5)+1)="","",INDEX(geo_grid!$B$2:$JU$231,INT(($N953+40)/0.5)+1,INT(($O953+30)/0.5)+1)),"OUTSIDE GRID"))</f>
        <v/>
      </c>
      <c r="Q953" t="str">
        <f t="shared" si="164"/>
        <v/>
      </c>
    </row>
    <row r="954" spans="1:17" x14ac:dyDescent="0.3">
      <c r="A954">
        <f t="shared" si="154"/>
        <v>7</v>
      </c>
      <c r="B954">
        <f t="shared" si="155"/>
        <v>46</v>
      </c>
      <c r="C954" t="str" cm="1">
        <f t="array" ref="C954">IFERROR(INDEX('TRIP MANAGER'!$O$18:$O$25,$A954),"")</f>
        <v/>
      </c>
      <c r="D954" t="str" cm="1">
        <f t="array" ref="D954">IFERROR(INDEX('TRIP MANAGER'!$P$18:$P$25,$A954),"")</f>
        <v/>
      </c>
      <c r="E954" t="str" cm="1">
        <f t="array" ref="E954">IFERROR(INDEX('TRIP MANAGER'!$Q$18:$Q$25,$A954),"")</f>
        <v/>
      </c>
      <c r="F954" t="str" cm="1">
        <f t="array" ref="F954">IFERROR(INDEX('TRIP MANAGER'!$R$18:$R$25,$A954),"")</f>
        <v/>
      </c>
      <c r="G954" t="str" cm="1">
        <f t="array" ref="G954">IFERROR(INDEX('TRIP MANAGER'!$S$18:$S$25,$A954),"")</f>
        <v/>
      </c>
      <c r="H954">
        <f t="shared" si="156"/>
        <v>0.30666666666666664</v>
      </c>
      <c r="I954" t="str">
        <f t="shared" si="157"/>
        <v/>
      </c>
      <c r="J954" t="str">
        <f t="shared" si="158"/>
        <v/>
      </c>
      <c r="K954" t="str">
        <f t="shared" si="159"/>
        <v/>
      </c>
      <c r="L954" t="str">
        <f t="shared" si="160"/>
        <v/>
      </c>
      <c r="M954" t="str">
        <f t="shared" si="161"/>
        <v/>
      </c>
      <c r="N954" t="str">
        <f t="shared" si="162"/>
        <v/>
      </c>
      <c r="O954" t="str">
        <f t="shared" si="163"/>
        <v/>
      </c>
      <c r="P954" t="str" cm="1">
        <f t="array" ref="P954">IF($N954="","",IFERROR(IF(INDEX(geo_grid!$B$2:$JU$231,INT(($N954+40)/0.5)+1,INT(($O954+30)/0.5)+1)="","",INDEX(geo_grid!$B$2:$JU$231,INT(($N954+40)/0.5)+1,INT(($O954+30)/0.5)+1)),"OUTSIDE GRID"))</f>
        <v/>
      </c>
      <c r="Q954" t="str">
        <f t="shared" si="164"/>
        <v/>
      </c>
    </row>
    <row r="955" spans="1:17" x14ac:dyDescent="0.3">
      <c r="A955">
        <f t="shared" si="154"/>
        <v>7</v>
      </c>
      <c r="B955">
        <f t="shared" si="155"/>
        <v>47</v>
      </c>
      <c r="C955" t="str" cm="1">
        <f t="array" ref="C955">IFERROR(INDEX('TRIP MANAGER'!$O$18:$O$25,$A955),"")</f>
        <v/>
      </c>
      <c r="D955" t="str" cm="1">
        <f t="array" ref="D955">IFERROR(INDEX('TRIP MANAGER'!$P$18:$P$25,$A955),"")</f>
        <v/>
      </c>
      <c r="E955" t="str" cm="1">
        <f t="array" ref="E955">IFERROR(INDEX('TRIP MANAGER'!$Q$18:$Q$25,$A955),"")</f>
        <v/>
      </c>
      <c r="F955" t="str" cm="1">
        <f t="array" ref="F955">IFERROR(INDEX('TRIP MANAGER'!$R$18:$R$25,$A955),"")</f>
        <v/>
      </c>
      <c r="G955" t="str" cm="1">
        <f t="array" ref="G955">IFERROR(INDEX('TRIP MANAGER'!$S$18:$S$25,$A955),"")</f>
        <v/>
      </c>
      <c r="H955">
        <f t="shared" si="156"/>
        <v>0.31333333333333335</v>
      </c>
      <c r="I955" t="str">
        <f t="shared" si="157"/>
        <v/>
      </c>
      <c r="J955" t="str">
        <f t="shared" si="158"/>
        <v/>
      </c>
      <c r="K955" t="str">
        <f t="shared" si="159"/>
        <v/>
      </c>
      <c r="L955" t="str">
        <f t="shared" si="160"/>
        <v/>
      </c>
      <c r="M955" t="str">
        <f t="shared" si="161"/>
        <v/>
      </c>
      <c r="N955" t="str">
        <f t="shared" si="162"/>
        <v/>
      </c>
      <c r="O955" t="str">
        <f t="shared" si="163"/>
        <v/>
      </c>
      <c r="P955" t="str" cm="1">
        <f t="array" ref="P955">IF($N955="","",IFERROR(IF(INDEX(geo_grid!$B$2:$JU$231,INT(($N955+40)/0.5)+1,INT(($O955+30)/0.5)+1)="","",INDEX(geo_grid!$B$2:$JU$231,INT(($N955+40)/0.5)+1,INT(($O955+30)/0.5)+1)),"OUTSIDE GRID"))</f>
        <v/>
      </c>
      <c r="Q955" t="str">
        <f t="shared" si="164"/>
        <v/>
      </c>
    </row>
    <row r="956" spans="1:17" x14ac:dyDescent="0.3">
      <c r="A956">
        <f t="shared" si="154"/>
        <v>7</v>
      </c>
      <c r="B956">
        <f t="shared" si="155"/>
        <v>48</v>
      </c>
      <c r="C956" t="str" cm="1">
        <f t="array" ref="C956">IFERROR(INDEX('TRIP MANAGER'!$O$18:$O$25,$A956),"")</f>
        <v/>
      </c>
      <c r="D956" t="str" cm="1">
        <f t="array" ref="D956">IFERROR(INDEX('TRIP MANAGER'!$P$18:$P$25,$A956),"")</f>
        <v/>
      </c>
      <c r="E956" t="str" cm="1">
        <f t="array" ref="E956">IFERROR(INDEX('TRIP MANAGER'!$Q$18:$Q$25,$A956),"")</f>
        <v/>
      </c>
      <c r="F956" t="str" cm="1">
        <f t="array" ref="F956">IFERROR(INDEX('TRIP MANAGER'!$R$18:$R$25,$A956),"")</f>
        <v/>
      </c>
      <c r="G956" t="str" cm="1">
        <f t="array" ref="G956">IFERROR(INDEX('TRIP MANAGER'!$S$18:$S$25,$A956),"")</f>
        <v/>
      </c>
      <c r="H956">
        <f t="shared" si="156"/>
        <v>0.32</v>
      </c>
      <c r="I956" t="str">
        <f t="shared" si="157"/>
        <v/>
      </c>
      <c r="J956" t="str">
        <f t="shared" si="158"/>
        <v/>
      </c>
      <c r="K956" t="str">
        <f t="shared" si="159"/>
        <v/>
      </c>
      <c r="L956" t="str">
        <f t="shared" si="160"/>
        <v/>
      </c>
      <c r="M956" t="str">
        <f t="shared" si="161"/>
        <v/>
      </c>
      <c r="N956" t="str">
        <f t="shared" si="162"/>
        <v/>
      </c>
      <c r="O956" t="str">
        <f t="shared" si="163"/>
        <v/>
      </c>
      <c r="P956" t="str" cm="1">
        <f t="array" ref="P956">IF($N956="","",IFERROR(IF(INDEX(geo_grid!$B$2:$JU$231,INT(($N956+40)/0.5)+1,INT(($O956+30)/0.5)+1)="","",INDEX(geo_grid!$B$2:$JU$231,INT(($N956+40)/0.5)+1,INT(($O956+30)/0.5)+1)),"OUTSIDE GRID"))</f>
        <v/>
      </c>
      <c r="Q956" t="str">
        <f t="shared" si="164"/>
        <v/>
      </c>
    </row>
    <row r="957" spans="1:17" x14ac:dyDescent="0.3">
      <c r="A957">
        <f t="shared" si="154"/>
        <v>7</v>
      </c>
      <c r="B957">
        <f t="shared" si="155"/>
        <v>49</v>
      </c>
      <c r="C957" t="str" cm="1">
        <f t="array" ref="C957">IFERROR(INDEX('TRIP MANAGER'!$O$18:$O$25,$A957),"")</f>
        <v/>
      </c>
      <c r="D957" t="str" cm="1">
        <f t="array" ref="D957">IFERROR(INDEX('TRIP MANAGER'!$P$18:$P$25,$A957),"")</f>
        <v/>
      </c>
      <c r="E957" t="str" cm="1">
        <f t="array" ref="E957">IFERROR(INDEX('TRIP MANAGER'!$Q$18:$Q$25,$A957),"")</f>
        <v/>
      </c>
      <c r="F957" t="str" cm="1">
        <f t="array" ref="F957">IFERROR(INDEX('TRIP MANAGER'!$R$18:$R$25,$A957),"")</f>
        <v/>
      </c>
      <c r="G957" t="str" cm="1">
        <f t="array" ref="G957">IFERROR(INDEX('TRIP MANAGER'!$S$18:$S$25,$A957),"")</f>
        <v/>
      </c>
      <c r="H957">
        <f t="shared" si="156"/>
        <v>0.32666666666666666</v>
      </c>
      <c r="I957" t="str">
        <f t="shared" si="157"/>
        <v/>
      </c>
      <c r="J957" t="str">
        <f t="shared" si="158"/>
        <v/>
      </c>
      <c r="K957" t="str">
        <f t="shared" si="159"/>
        <v/>
      </c>
      <c r="L957" t="str">
        <f t="shared" si="160"/>
        <v/>
      </c>
      <c r="M957" t="str">
        <f t="shared" si="161"/>
        <v/>
      </c>
      <c r="N957" t="str">
        <f t="shared" si="162"/>
        <v/>
      </c>
      <c r="O957" t="str">
        <f t="shared" si="163"/>
        <v/>
      </c>
      <c r="P957" t="str" cm="1">
        <f t="array" ref="P957">IF($N957="","",IFERROR(IF(INDEX(geo_grid!$B$2:$JU$231,INT(($N957+40)/0.5)+1,INT(($O957+30)/0.5)+1)="","",INDEX(geo_grid!$B$2:$JU$231,INT(($N957+40)/0.5)+1,INT(($O957+30)/0.5)+1)),"OUTSIDE GRID"))</f>
        <v/>
      </c>
      <c r="Q957" t="str">
        <f t="shared" si="164"/>
        <v/>
      </c>
    </row>
    <row r="958" spans="1:17" x14ac:dyDescent="0.3">
      <c r="A958">
        <f t="shared" si="154"/>
        <v>7</v>
      </c>
      <c r="B958">
        <f t="shared" si="155"/>
        <v>50</v>
      </c>
      <c r="C958" t="str" cm="1">
        <f t="array" ref="C958">IFERROR(INDEX('TRIP MANAGER'!$O$18:$O$25,$A958),"")</f>
        <v/>
      </c>
      <c r="D958" t="str" cm="1">
        <f t="array" ref="D958">IFERROR(INDEX('TRIP MANAGER'!$P$18:$P$25,$A958),"")</f>
        <v/>
      </c>
      <c r="E958" t="str" cm="1">
        <f t="array" ref="E958">IFERROR(INDEX('TRIP MANAGER'!$Q$18:$Q$25,$A958),"")</f>
        <v/>
      </c>
      <c r="F958" t="str" cm="1">
        <f t="array" ref="F958">IFERROR(INDEX('TRIP MANAGER'!$R$18:$R$25,$A958),"")</f>
        <v/>
      </c>
      <c r="G958" t="str" cm="1">
        <f t="array" ref="G958">IFERROR(INDEX('TRIP MANAGER'!$S$18:$S$25,$A958),"")</f>
        <v/>
      </c>
      <c r="H958">
        <f t="shared" si="156"/>
        <v>0.33333333333333331</v>
      </c>
      <c r="I958" t="str">
        <f t="shared" si="157"/>
        <v/>
      </c>
      <c r="J958" t="str">
        <f t="shared" si="158"/>
        <v/>
      </c>
      <c r="K958" t="str">
        <f t="shared" si="159"/>
        <v/>
      </c>
      <c r="L958" t="str">
        <f t="shared" si="160"/>
        <v/>
      </c>
      <c r="M958" t="str">
        <f t="shared" si="161"/>
        <v/>
      </c>
      <c r="N958" t="str">
        <f t="shared" si="162"/>
        <v/>
      </c>
      <c r="O958" t="str">
        <f t="shared" si="163"/>
        <v/>
      </c>
      <c r="P958" t="str" cm="1">
        <f t="array" ref="P958">IF($N958="","",IFERROR(IF(INDEX(geo_grid!$B$2:$JU$231,INT(($N958+40)/0.5)+1,INT(($O958+30)/0.5)+1)="","",INDEX(geo_grid!$B$2:$JU$231,INT(($N958+40)/0.5)+1,INT(($O958+30)/0.5)+1)),"OUTSIDE GRID"))</f>
        <v/>
      </c>
      <c r="Q958" t="str">
        <f t="shared" si="164"/>
        <v/>
      </c>
    </row>
    <row r="959" spans="1:17" x14ac:dyDescent="0.3">
      <c r="A959">
        <f t="shared" si="154"/>
        <v>7</v>
      </c>
      <c r="B959">
        <f t="shared" si="155"/>
        <v>51</v>
      </c>
      <c r="C959" t="str" cm="1">
        <f t="array" ref="C959">IFERROR(INDEX('TRIP MANAGER'!$O$18:$O$25,$A959),"")</f>
        <v/>
      </c>
      <c r="D959" t="str" cm="1">
        <f t="array" ref="D959">IFERROR(INDEX('TRIP MANAGER'!$P$18:$P$25,$A959),"")</f>
        <v/>
      </c>
      <c r="E959" t="str" cm="1">
        <f t="array" ref="E959">IFERROR(INDEX('TRIP MANAGER'!$Q$18:$Q$25,$A959),"")</f>
        <v/>
      </c>
      <c r="F959" t="str" cm="1">
        <f t="array" ref="F959">IFERROR(INDEX('TRIP MANAGER'!$R$18:$R$25,$A959),"")</f>
        <v/>
      </c>
      <c r="G959" t="str" cm="1">
        <f t="array" ref="G959">IFERROR(INDEX('TRIP MANAGER'!$S$18:$S$25,$A959),"")</f>
        <v/>
      </c>
      <c r="H959">
        <f t="shared" si="156"/>
        <v>0.34</v>
      </c>
      <c r="I959" t="str">
        <f t="shared" si="157"/>
        <v/>
      </c>
      <c r="J959" t="str">
        <f t="shared" si="158"/>
        <v/>
      </c>
      <c r="K959" t="str">
        <f t="shared" si="159"/>
        <v/>
      </c>
      <c r="L959" t="str">
        <f t="shared" si="160"/>
        <v/>
      </c>
      <c r="M959" t="str">
        <f t="shared" si="161"/>
        <v/>
      </c>
      <c r="N959" t="str">
        <f t="shared" si="162"/>
        <v/>
      </c>
      <c r="O959" t="str">
        <f t="shared" si="163"/>
        <v/>
      </c>
      <c r="P959" t="str" cm="1">
        <f t="array" ref="P959">IF($N959="","",IFERROR(IF(INDEX(geo_grid!$B$2:$JU$231,INT(($N959+40)/0.5)+1,INT(($O959+30)/0.5)+1)="","",INDEX(geo_grid!$B$2:$JU$231,INT(($N959+40)/0.5)+1,INT(($O959+30)/0.5)+1)),"OUTSIDE GRID"))</f>
        <v/>
      </c>
      <c r="Q959" t="str">
        <f t="shared" si="164"/>
        <v/>
      </c>
    </row>
    <row r="960" spans="1:17" x14ac:dyDescent="0.3">
      <c r="A960">
        <f t="shared" si="154"/>
        <v>7</v>
      </c>
      <c r="B960">
        <f t="shared" si="155"/>
        <v>52</v>
      </c>
      <c r="C960" t="str" cm="1">
        <f t="array" ref="C960">IFERROR(INDEX('TRIP MANAGER'!$O$18:$O$25,$A960),"")</f>
        <v/>
      </c>
      <c r="D960" t="str" cm="1">
        <f t="array" ref="D960">IFERROR(INDEX('TRIP MANAGER'!$P$18:$P$25,$A960),"")</f>
        <v/>
      </c>
      <c r="E960" t="str" cm="1">
        <f t="array" ref="E960">IFERROR(INDEX('TRIP MANAGER'!$Q$18:$Q$25,$A960),"")</f>
        <v/>
      </c>
      <c r="F960" t="str" cm="1">
        <f t="array" ref="F960">IFERROR(INDEX('TRIP MANAGER'!$R$18:$R$25,$A960),"")</f>
        <v/>
      </c>
      <c r="G960" t="str" cm="1">
        <f t="array" ref="G960">IFERROR(INDEX('TRIP MANAGER'!$S$18:$S$25,$A960),"")</f>
        <v/>
      </c>
      <c r="H960">
        <f t="shared" si="156"/>
        <v>0.34666666666666668</v>
      </c>
      <c r="I960" t="str">
        <f t="shared" si="157"/>
        <v/>
      </c>
      <c r="J960" t="str">
        <f t="shared" si="158"/>
        <v/>
      </c>
      <c r="K960" t="str">
        <f t="shared" si="159"/>
        <v/>
      </c>
      <c r="L960" t="str">
        <f t="shared" si="160"/>
        <v/>
      </c>
      <c r="M960" t="str">
        <f t="shared" si="161"/>
        <v/>
      </c>
      <c r="N960" t="str">
        <f t="shared" si="162"/>
        <v/>
      </c>
      <c r="O960" t="str">
        <f t="shared" si="163"/>
        <v/>
      </c>
      <c r="P960" t="str" cm="1">
        <f t="array" ref="P960">IF($N960="","",IFERROR(IF(INDEX(geo_grid!$B$2:$JU$231,INT(($N960+40)/0.5)+1,INT(($O960+30)/0.5)+1)="","",INDEX(geo_grid!$B$2:$JU$231,INT(($N960+40)/0.5)+1,INT(($O960+30)/0.5)+1)),"OUTSIDE GRID"))</f>
        <v/>
      </c>
      <c r="Q960" t="str">
        <f t="shared" si="164"/>
        <v/>
      </c>
    </row>
    <row r="961" spans="1:17" x14ac:dyDescent="0.3">
      <c r="A961">
        <f t="shared" si="154"/>
        <v>7</v>
      </c>
      <c r="B961">
        <f t="shared" si="155"/>
        <v>53</v>
      </c>
      <c r="C961" t="str" cm="1">
        <f t="array" ref="C961">IFERROR(INDEX('TRIP MANAGER'!$O$18:$O$25,$A961),"")</f>
        <v/>
      </c>
      <c r="D961" t="str" cm="1">
        <f t="array" ref="D961">IFERROR(INDEX('TRIP MANAGER'!$P$18:$P$25,$A961),"")</f>
        <v/>
      </c>
      <c r="E961" t="str" cm="1">
        <f t="array" ref="E961">IFERROR(INDEX('TRIP MANAGER'!$Q$18:$Q$25,$A961),"")</f>
        <v/>
      </c>
      <c r="F961" t="str" cm="1">
        <f t="array" ref="F961">IFERROR(INDEX('TRIP MANAGER'!$R$18:$R$25,$A961),"")</f>
        <v/>
      </c>
      <c r="G961" t="str" cm="1">
        <f t="array" ref="G961">IFERROR(INDEX('TRIP MANAGER'!$S$18:$S$25,$A961),"")</f>
        <v/>
      </c>
      <c r="H961">
        <f t="shared" si="156"/>
        <v>0.35333333333333333</v>
      </c>
      <c r="I961" t="str">
        <f t="shared" si="157"/>
        <v/>
      </c>
      <c r="J961" t="str">
        <f t="shared" si="158"/>
        <v/>
      </c>
      <c r="K961" t="str">
        <f t="shared" si="159"/>
        <v/>
      </c>
      <c r="L961" t="str">
        <f t="shared" si="160"/>
        <v/>
      </c>
      <c r="M961" t="str">
        <f t="shared" si="161"/>
        <v/>
      </c>
      <c r="N961" t="str">
        <f t="shared" si="162"/>
        <v/>
      </c>
      <c r="O961" t="str">
        <f t="shared" si="163"/>
        <v/>
      </c>
      <c r="P961" t="str" cm="1">
        <f t="array" ref="P961">IF($N961="","",IFERROR(IF(INDEX(geo_grid!$B$2:$JU$231,INT(($N961+40)/0.5)+1,INT(($O961+30)/0.5)+1)="","",INDEX(geo_grid!$B$2:$JU$231,INT(($N961+40)/0.5)+1,INT(($O961+30)/0.5)+1)),"OUTSIDE GRID"))</f>
        <v/>
      </c>
      <c r="Q961" t="str">
        <f t="shared" si="164"/>
        <v/>
      </c>
    </row>
    <row r="962" spans="1:17" x14ac:dyDescent="0.3">
      <c r="A962">
        <f t="shared" si="154"/>
        <v>7</v>
      </c>
      <c r="B962">
        <f t="shared" si="155"/>
        <v>54</v>
      </c>
      <c r="C962" t="str" cm="1">
        <f t="array" ref="C962">IFERROR(INDEX('TRIP MANAGER'!$O$18:$O$25,$A962),"")</f>
        <v/>
      </c>
      <c r="D962" t="str" cm="1">
        <f t="array" ref="D962">IFERROR(INDEX('TRIP MANAGER'!$P$18:$P$25,$A962),"")</f>
        <v/>
      </c>
      <c r="E962" t="str" cm="1">
        <f t="array" ref="E962">IFERROR(INDEX('TRIP MANAGER'!$Q$18:$Q$25,$A962),"")</f>
        <v/>
      </c>
      <c r="F962" t="str" cm="1">
        <f t="array" ref="F962">IFERROR(INDEX('TRIP MANAGER'!$R$18:$R$25,$A962),"")</f>
        <v/>
      </c>
      <c r="G962" t="str" cm="1">
        <f t="array" ref="G962">IFERROR(INDEX('TRIP MANAGER'!$S$18:$S$25,$A962),"")</f>
        <v/>
      </c>
      <c r="H962">
        <f t="shared" si="156"/>
        <v>0.36</v>
      </c>
      <c r="I962" t="str">
        <f t="shared" si="157"/>
        <v/>
      </c>
      <c r="J962" t="str">
        <f t="shared" si="158"/>
        <v/>
      </c>
      <c r="K962" t="str">
        <f t="shared" si="159"/>
        <v/>
      </c>
      <c r="L962" t="str">
        <f t="shared" si="160"/>
        <v/>
      </c>
      <c r="M962" t="str">
        <f t="shared" si="161"/>
        <v/>
      </c>
      <c r="N962" t="str">
        <f t="shared" si="162"/>
        <v/>
      </c>
      <c r="O962" t="str">
        <f t="shared" si="163"/>
        <v/>
      </c>
      <c r="P962" t="str" cm="1">
        <f t="array" ref="P962">IF($N962="","",IFERROR(IF(INDEX(geo_grid!$B$2:$JU$231,INT(($N962+40)/0.5)+1,INT(($O962+30)/0.5)+1)="","",INDEX(geo_grid!$B$2:$JU$231,INT(($N962+40)/0.5)+1,INT(($O962+30)/0.5)+1)),"OUTSIDE GRID"))</f>
        <v/>
      </c>
      <c r="Q962" t="str">
        <f t="shared" si="164"/>
        <v/>
      </c>
    </row>
    <row r="963" spans="1:17" x14ac:dyDescent="0.3">
      <c r="A963">
        <f t="shared" ref="A963:A1026" si="165">INT((ROW()-2)/151)+1</f>
        <v>7</v>
      </c>
      <c r="B963">
        <f t="shared" ref="B963:B1026" si="166">MOD(ROW()-2,151)</f>
        <v>55</v>
      </c>
      <c r="C963" t="str" cm="1">
        <f t="array" ref="C963">IFERROR(INDEX('TRIP MANAGER'!$O$18:$O$25,$A963),"")</f>
        <v/>
      </c>
      <c r="D963" t="str" cm="1">
        <f t="array" ref="D963">IFERROR(INDEX('TRIP MANAGER'!$P$18:$P$25,$A963),"")</f>
        <v/>
      </c>
      <c r="E963" t="str" cm="1">
        <f t="array" ref="E963">IFERROR(INDEX('TRIP MANAGER'!$Q$18:$Q$25,$A963),"")</f>
        <v/>
      </c>
      <c r="F963" t="str" cm="1">
        <f t="array" ref="F963">IFERROR(INDEX('TRIP MANAGER'!$R$18:$R$25,$A963),"")</f>
        <v/>
      </c>
      <c r="G963" t="str" cm="1">
        <f t="array" ref="G963">IFERROR(INDEX('TRIP MANAGER'!$S$18:$S$25,$A963),"")</f>
        <v/>
      </c>
      <c r="H963">
        <f t="shared" ref="H963:H1026" si="167">$B963/150</f>
        <v>0.36666666666666664</v>
      </c>
      <c r="I963" t="str">
        <f t="shared" ref="I963:I1026" si="168">IF(OR($G963="",$G963=0),"",SIN((1-$H963)*$G963)/SIN($G963))</f>
        <v/>
      </c>
      <c r="J963" t="str">
        <f t="shared" ref="J963:J1026" si="169">IF($I963="","",SIN($H963*$G963)/SIN($G963))</f>
        <v/>
      </c>
      <c r="K963" t="str">
        <f t="shared" ref="K963:K1026" si="170">IF($I963="","",$I963*COS(RADIANS($C963))*COS(RADIANS($D963))+$J963*COS(RADIANS($E963))*COS(RADIANS($F963)))</f>
        <v/>
      </c>
      <c r="L963" t="str">
        <f t="shared" ref="L963:L1026" si="171">IF($I963="","",$I963*COS(RADIANS($C963))*SIN(RADIANS($D963))+$J963*COS(RADIANS($E963))*SIN(RADIANS($F963)))</f>
        <v/>
      </c>
      <c r="M963" t="str">
        <f t="shared" ref="M963:M1026" si="172">IF($I963="","",$I963*SIN(RADIANS($C963))+$J963*SIN(RADIANS($E963)))</f>
        <v/>
      </c>
      <c r="N963" t="str">
        <f t="shared" ref="N963:N1026" si="173">IF($M963="","",DEGREES(ATAN2(SQRT($K963^2+$L963^2),$M963)))</f>
        <v/>
      </c>
      <c r="O963" t="str">
        <f t="shared" ref="O963:O1026" si="174">IF($M963="","",DEGREES(ATAN2($K963,$L963)))</f>
        <v/>
      </c>
      <c r="P963" t="str" cm="1">
        <f t="array" ref="P963">IF($N963="","",IFERROR(IF(INDEX(geo_grid!$B$2:$JU$231,INT(($N963+40)/0.5)+1,INT(($O963+30)/0.5)+1)="","",INDEX(geo_grid!$B$2:$JU$231,INT(($N963+40)/0.5)+1,INT(($O963+30)/0.5)+1)),"OUTSIDE GRID"))</f>
        <v/>
      </c>
      <c r="Q963" t="str">
        <f t="shared" ref="Q963:Q1026" si="175">IF($P963="","",$A963*1000+$B963)</f>
        <v/>
      </c>
    </row>
    <row r="964" spans="1:17" x14ac:dyDescent="0.3">
      <c r="A964">
        <f t="shared" si="165"/>
        <v>7</v>
      </c>
      <c r="B964">
        <f t="shared" si="166"/>
        <v>56</v>
      </c>
      <c r="C964" t="str" cm="1">
        <f t="array" ref="C964">IFERROR(INDEX('TRIP MANAGER'!$O$18:$O$25,$A964),"")</f>
        <v/>
      </c>
      <c r="D964" t="str" cm="1">
        <f t="array" ref="D964">IFERROR(INDEX('TRIP MANAGER'!$P$18:$P$25,$A964),"")</f>
        <v/>
      </c>
      <c r="E964" t="str" cm="1">
        <f t="array" ref="E964">IFERROR(INDEX('TRIP MANAGER'!$Q$18:$Q$25,$A964),"")</f>
        <v/>
      </c>
      <c r="F964" t="str" cm="1">
        <f t="array" ref="F964">IFERROR(INDEX('TRIP MANAGER'!$R$18:$R$25,$A964),"")</f>
        <v/>
      </c>
      <c r="G964" t="str" cm="1">
        <f t="array" ref="G964">IFERROR(INDEX('TRIP MANAGER'!$S$18:$S$25,$A964),"")</f>
        <v/>
      </c>
      <c r="H964">
        <f t="shared" si="167"/>
        <v>0.37333333333333335</v>
      </c>
      <c r="I964" t="str">
        <f t="shared" si="168"/>
        <v/>
      </c>
      <c r="J964" t="str">
        <f t="shared" si="169"/>
        <v/>
      </c>
      <c r="K964" t="str">
        <f t="shared" si="170"/>
        <v/>
      </c>
      <c r="L964" t="str">
        <f t="shared" si="171"/>
        <v/>
      </c>
      <c r="M964" t="str">
        <f t="shared" si="172"/>
        <v/>
      </c>
      <c r="N964" t="str">
        <f t="shared" si="173"/>
        <v/>
      </c>
      <c r="O964" t="str">
        <f t="shared" si="174"/>
        <v/>
      </c>
      <c r="P964" t="str" cm="1">
        <f t="array" ref="P964">IF($N964="","",IFERROR(IF(INDEX(geo_grid!$B$2:$JU$231,INT(($N964+40)/0.5)+1,INT(($O964+30)/0.5)+1)="","",INDEX(geo_grid!$B$2:$JU$231,INT(($N964+40)/0.5)+1,INT(($O964+30)/0.5)+1)),"OUTSIDE GRID"))</f>
        <v/>
      </c>
      <c r="Q964" t="str">
        <f t="shared" si="175"/>
        <v/>
      </c>
    </row>
    <row r="965" spans="1:17" x14ac:dyDescent="0.3">
      <c r="A965">
        <f t="shared" si="165"/>
        <v>7</v>
      </c>
      <c r="B965">
        <f t="shared" si="166"/>
        <v>57</v>
      </c>
      <c r="C965" t="str" cm="1">
        <f t="array" ref="C965">IFERROR(INDEX('TRIP MANAGER'!$O$18:$O$25,$A965),"")</f>
        <v/>
      </c>
      <c r="D965" t="str" cm="1">
        <f t="array" ref="D965">IFERROR(INDEX('TRIP MANAGER'!$P$18:$P$25,$A965),"")</f>
        <v/>
      </c>
      <c r="E965" t="str" cm="1">
        <f t="array" ref="E965">IFERROR(INDEX('TRIP MANAGER'!$Q$18:$Q$25,$A965),"")</f>
        <v/>
      </c>
      <c r="F965" t="str" cm="1">
        <f t="array" ref="F965">IFERROR(INDEX('TRIP MANAGER'!$R$18:$R$25,$A965),"")</f>
        <v/>
      </c>
      <c r="G965" t="str" cm="1">
        <f t="array" ref="G965">IFERROR(INDEX('TRIP MANAGER'!$S$18:$S$25,$A965),"")</f>
        <v/>
      </c>
      <c r="H965">
        <f t="shared" si="167"/>
        <v>0.38</v>
      </c>
      <c r="I965" t="str">
        <f t="shared" si="168"/>
        <v/>
      </c>
      <c r="J965" t="str">
        <f t="shared" si="169"/>
        <v/>
      </c>
      <c r="K965" t="str">
        <f t="shared" si="170"/>
        <v/>
      </c>
      <c r="L965" t="str">
        <f t="shared" si="171"/>
        <v/>
      </c>
      <c r="M965" t="str">
        <f t="shared" si="172"/>
        <v/>
      </c>
      <c r="N965" t="str">
        <f t="shared" si="173"/>
        <v/>
      </c>
      <c r="O965" t="str">
        <f t="shared" si="174"/>
        <v/>
      </c>
      <c r="P965" t="str" cm="1">
        <f t="array" ref="P965">IF($N965="","",IFERROR(IF(INDEX(geo_grid!$B$2:$JU$231,INT(($N965+40)/0.5)+1,INT(($O965+30)/0.5)+1)="","",INDEX(geo_grid!$B$2:$JU$231,INT(($N965+40)/0.5)+1,INT(($O965+30)/0.5)+1)),"OUTSIDE GRID"))</f>
        <v/>
      </c>
      <c r="Q965" t="str">
        <f t="shared" si="175"/>
        <v/>
      </c>
    </row>
    <row r="966" spans="1:17" x14ac:dyDescent="0.3">
      <c r="A966">
        <f t="shared" si="165"/>
        <v>7</v>
      </c>
      <c r="B966">
        <f t="shared" si="166"/>
        <v>58</v>
      </c>
      <c r="C966" t="str" cm="1">
        <f t="array" ref="C966">IFERROR(INDEX('TRIP MANAGER'!$O$18:$O$25,$A966),"")</f>
        <v/>
      </c>
      <c r="D966" t="str" cm="1">
        <f t="array" ref="D966">IFERROR(INDEX('TRIP MANAGER'!$P$18:$P$25,$A966),"")</f>
        <v/>
      </c>
      <c r="E966" t="str" cm="1">
        <f t="array" ref="E966">IFERROR(INDEX('TRIP MANAGER'!$Q$18:$Q$25,$A966),"")</f>
        <v/>
      </c>
      <c r="F966" t="str" cm="1">
        <f t="array" ref="F966">IFERROR(INDEX('TRIP MANAGER'!$R$18:$R$25,$A966),"")</f>
        <v/>
      </c>
      <c r="G966" t="str" cm="1">
        <f t="array" ref="G966">IFERROR(INDEX('TRIP MANAGER'!$S$18:$S$25,$A966),"")</f>
        <v/>
      </c>
      <c r="H966">
        <f t="shared" si="167"/>
        <v>0.38666666666666666</v>
      </c>
      <c r="I966" t="str">
        <f t="shared" si="168"/>
        <v/>
      </c>
      <c r="J966" t="str">
        <f t="shared" si="169"/>
        <v/>
      </c>
      <c r="K966" t="str">
        <f t="shared" si="170"/>
        <v/>
      </c>
      <c r="L966" t="str">
        <f t="shared" si="171"/>
        <v/>
      </c>
      <c r="M966" t="str">
        <f t="shared" si="172"/>
        <v/>
      </c>
      <c r="N966" t="str">
        <f t="shared" si="173"/>
        <v/>
      </c>
      <c r="O966" t="str">
        <f t="shared" si="174"/>
        <v/>
      </c>
      <c r="P966" t="str" cm="1">
        <f t="array" ref="P966">IF($N966="","",IFERROR(IF(INDEX(geo_grid!$B$2:$JU$231,INT(($N966+40)/0.5)+1,INT(($O966+30)/0.5)+1)="","",INDEX(geo_grid!$B$2:$JU$231,INT(($N966+40)/0.5)+1,INT(($O966+30)/0.5)+1)),"OUTSIDE GRID"))</f>
        <v/>
      </c>
      <c r="Q966" t="str">
        <f t="shared" si="175"/>
        <v/>
      </c>
    </row>
    <row r="967" spans="1:17" x14ac:dyDescent="0.3">
      <c r="A967">
        <f t="shared" si="165"/>
        <v>7</v>
      </c>
      <c r="B967">
        <f t="shared" si="166"/>
        <v>59</v>
      </c>
      <c r="C967" t="str" cm="1">
        <f t="array" ref="C967">IFERROR(INDEX('TRIP MANAGER'!$O$18:$O$25,$A967),"")</f>
        <v/>
      </c>
      <c r="D967" t="str" cm="1">
        <f t="array" ref="D967">IFERROR(INDEX('TRIP MANAGER'!$P$18:$P$25,$A967),"")</f>
        <v/>
      </c>
      <c r="E967" t="str" cm="1">
        <f t="array" ref="E967">IFERROR(INDEX('TRIP MANAGER'!$Q$18:$Q$25,$A967),"")</f>
        <v/>
      </c>
      <c r="F967" t="str" cm="1">
        <f t="array" ref="F967">IFERROR(INDEX('TRIP MANAGER'!$R$18:$R$25,$A967),"")</f>
        <v/>
      </c>
      <c r="G967" t="str" cm="1">
        <f t="array" ref="G967">IFERROR(INDEX('TRIP MANAGER'!$S$18:$S$25,$A967),"")</f>
        <v/>
      </c>
      <c r="H967">
        <f t="shared" si="167"/>
        <v>0.39333333333333331</v>
      </c>
      <c r="I967" t="str">
        <f t="shared" si="168"/>
        <v/>
      </c>
      <c r="J967" t="str">
        <f t="shared" si="169"/>
        <v/>
      </c>
      <c r="K967" t="str">
        <f t="shared" si="170"/>
        <v/>
      </c>
      <c r="L967" t="str">
        <f t="shared" si="171"/>
        <v/>
      </c>
      <c r="M967" t="str">
        <f t="shared" si="172"/>
        <v/>
      </c>
      <c r="N967" t="str">
        <f t="shared" si="173"/>
        <v/>
      </c>
      <c r="O967" t="str">
        <f t="shared" si="174"/>
        <v/>
      </c>
      <c r="P967" t="str" cm="1">
        <f t="array" ref="P967">IF($N967="","",IFERROR(IF(INDEX(geo_grid!$B$2:$JU$231,INT(($N967+40)/0.5)+1,INT(($O967+30)/0.5)+1)="","",INDEX(geo_grid!$B$2:$JU$231,INT(($N967+40)/0.5)+1,INT(($O967+30)/0.5)+1)),"OUTSIDE GRID"))</f>
        <v/>
      </c>
      <c r="Q967" t="str">
        <f t="shared" si="175"/>
        <v/>
      </c>
    </row>
    <row r="968" spans="1:17" x14ac:dyDescent="0.3">
      <c r="A968">
        <f t="shared" si="165"/>
        <v>7</v>
      </c>
      <c r="B968">
        <f t="shared" si="166"/>
        <v>60</v>
      </c>
      <c r="C968" t="str" cm="1">
        <f t="array" ref="C968">IFERROR(INDEX('TRIP MANAGER'!$O$18:$O$25,$A968),"")</f>
        <v/>
      </c>
      <c r="D968" t="str" cm="1">
        <f t="array" ref="D968">IFERROR(INDEX('TRIP MANAGER'!$P$18:$P$25,$A968),"")</f>
        <v/>
      </c>
      <c r="E968" t="str" cm="1">
        <f t="array" ref="E968">IFERROR(INDEX('TRIP MANAGER'!$Q$18:$Q$25,$A968),"")</f>
        <v/>
      </c>
      <c r="F968" t="str" cm="1">
        <f t="array" ref="F968">IFERROR(INDEX('TRIP MANAGER'!$R$18:$R$25,$A968),"")</f>
        <v/>
      </c>
      <c r="G968" t="str" cm="1">
        <f t="array" ref="G968">IFERROR(INDEX('TRIP MANAGER'!$S$18:$S$25,$A968),"")</f>
        <v/>
      </c>
      <c r="H968">
        <f t="shared" si="167"/>
        <v>0.4</v>
      </c>
      <c r="I968" t="str">
        <f t="shared" si="168"/>
        <v/>
      </c>
      <c r="J968" t="str">
        <f t="shared" si="169"/>
        <v/>
      </c>
      <c r="K968" t="str">
        <f t="shared" si="170"/>
        <v/>
      </c>
      <c r="L968" t="str">
        <f t="shared" si="171"/>
        <v/>
      </c>
      <c r="M968" t="str">
        <f t="shared" si="172"/>
        <v/>
      </c>
      <c r="N968" t="str">
        <f t="shared" si="173"/>
        <v/>
      </c>
      <c r="O968" t="str">
        <f t="shared" si="174"/>
        <v/>
      </c>
      <c r="P968" t="str" cm="1">
        <f t="array" ref="P968">IF($N968="","",IFERROR(IF(INDEX(geo_grid!$B$2:$JU$231,INT(($N968+40)/0.5)+1,INT(($O968+30)/0.5)+1)="","",INDEX(geo_grid!$B$2:$JU$231,INT(($N968+40)/0.5)+1,INT(($O968+30)/0.5)+1)),"OUTSIDE GRID"))</f>
        <v/>
      </c>
      <c r="Q968" t="str">
        <f t="shared" si="175"/>
        <v/>
      </c>
    </row>
    <row r="969" spans="1:17" x14ac:dyDescent="0.3">
      <c r="A969">
        <f t="shared" si="165"/>
        <v>7</v>
      </c>
      <c r="B969">
        <f t="shared" si="166"/>
        <v>61</v>
      </c>
      <c r="C969" t="str" cm="1">
        <f t="array" ref="C969">IFERROR(INDEX('TRIP MANAGER'!$O$18:$O$25,$A969),"")</f>
        <v/>
      </c>
      <c r="D969" t="str" cm="1">
        <f t="array" ref="D969">IFERROR(INDEX('TRIP MANAGER'!$P$18:$P$25,$A969),"")</f>
        <v/>
      </c>
      <c r="E969" t="str" cm="1">
        <f t="array" ref="E969">IFERROR(INDEX('TRIP MANAGER'!$Q$18:$Q$25,$A969),"")</f>
        <v/>
      </c>
      <c r="F969" t="str" cm="1">
        <f t="array" ref="F969">IFERROR(INDEX('TRIP MANAGER'!$R$18:$R$25,$A969),"")</f>
        <v/>
      </c>
      <c r="G969" t="str" cm="1">
        <f t="array" ref="G969">IFERROR(INDEX('TRIP MANAGER'!$S$18:$S$25,$A969),"")</f>
        <v/>
      </c>
      <c r="H969">
        <f t="shared" si="167"/>
        <v>0.40666666666666668</v>
      </c>
      <c r="I969" t="str">
        <f t="shared" si="168"/>
        <v/>
      </c>
      <c r="J969" t="str">
        <f t="shared" si="169"/>
        <v/>
      </c>
      <c r="K969" t="str">
        <f t="shared" si="170"/>
        <v/>
      </c>
      <c r="L969" t="str">
        <f t="shared" si="171"/>
        <v/>
      </c>
      <c r="M969" t="str">
        <f t="shared" si="172"/>
        <v/>
      </c>
      <c r="N969" t="str">
        <f t="shared" si="173"/>
        <v/>
      </c>
      <c r="O969" t="str">
        <f t="shared" si="174"/>
        <v/>
      </c>
      <c r="P969" t="str" cm="1">
        <f t="array" ref="P969">IF($N969="","",IFERROR(IF(INDEX(geo_grid!$B$2:$JU$231,INT(($N969+40)/0.5)+1,INT(($O969+30)/0.5)+1)="","",INDEX(geo_grid!$B$2:$JU$231,INT(($N969+40)/0.5)+1,INT(($O969+30)/0.5)+1)),"OUTSIDE GRID"))</f>
        <v/>
      </c>
      <c r="Q969" t="str">
        <f t="shared" si="175"/>
        <v/>
      </c>
    </row>
    <row r="970" spans="1:17" x14ac:dyDescent="0.3">
      <c r="A970">
        <f t="shared" si="165"/>
        <v>7</v>
      </c>
      <c r="B970">
        <f t="shared" si="166"/>
        <v>62</v>
      </c>
      <c r="C970" t="str" cm="1">
        <f t="array" ref="C970">IFERROR(INDEX('TRIP MANAGER'!$O$18:$O$25,$A970),"")</f>
        <v/>
      </c>
      <c r="D970" t="str" cm="1">
        <f t="array" ref="D970">IFERROR(INDEX('TRIP MANAGER'!$P$18:$P$25,$A970),"")</f>
        <v/>
      </c>
      <c r="E970" t="str" cm="1">
        <f t="array" ref="E970">IFERROR(INDEX('TRIP MANAGER'!$Q$18:$Q$25,$A970),"")</f>
        <v/>
      </c>
      <c r="F970" t="str" cm="1">
        <f t="array" ref="F970">IFERROR(INDEX('TRIP MANAGER'!$R$18:$R$25,$A970),"")</f>
        <v/>
      </c>
      <c r="G970" t="str" cm="1">
        <f t="array" ref="G970">IFERROR(INDEX('TRIP MANAGER'!$S$18:$S$25,$A970),"")</f>
        <v/>
      </c>
      <c r="H970">
        <f t="shared" si="167"/>
        <v>0.41333333333333333</v>
      </c>
      <c r="I970" t="str">
        <f t="shared" si="168"/>
        <v/>
      </c>
      <c r="J970" t="str">
        <f t="shared" si="169"/>
        <v/>
      </c>
      <c r="K970" t="str">
        <f t="shared" si="170"/>
        <v/>
      </c>
      <c r="L970" t="str">
        <f t="shared" si="171"/>
        <v/>
      </c>
      <c r="M970" t="str">
        <f t="shared" si="172"/>
        <v/>
      </c>
      <c r="N970" t="str">
        <f t="shared" si="173"/>
        <v/>
      </c>
      <c r="O970" t="str">
        <f t="shared" si="174"/>
        <v/>
      </c>
      <c r="P970" t="str" cm="1">
        <f t="array" ref="P970">IF($N970="","",IFERROR(IF(INDEX(geo_grid!$B$2:$JU$231,INT(($N970+40)/0.5)+1,INT(($O970+30)/0.5)+1)="","",INDEX(geo_grid!$B$2:$JU$231,INT(($N970+40)/0.5)+1,INT(($O970+30)/0.5)+1)),"OUTSIDE GRID"))</f>
        <v/>
      </c>
      <c r="Q970" t="str">
        <f t="shared" si="175"/>
        <v/>
      </c>
    </row>
    <row r="971" spans="1:17" x14ac:dyDescent="0.3">
      <c r="A971">
        <f t="shared" si="165"/>
        <v>7</v>
      </c>
      <c r="B971">
        <f t="shared" si="166"/>
        <v>63</v>
      </c>
      <c r="C971" t="str" cm="1">
        <f t="array" ref="C971">IFERROR(INDEX('TRIP MANAGER'!$O$18:$O$25,$A971),"")</f>
        <v/>
      </c>
      <c r="D971" t="str" cm="1">
        <f t="array" ref="D971">IFERROR(INDEX('TRIP MANAGER'!$P$18:$P$25,$A971),"")</f>
        <v/>
      </c>
      <c r="E971" t="str" cm="1">
        <f t="array" ref="E971">IFERROR(INDEX('TRIP MANAGER'!$Q$18:$Q$25,$A971),"")</f>
        <v/>
      </c>
      <c r="F971" t="str" cm="1">
        <f t="array" ref="F971">IFERROR(INDEX('TRIP MANAGER'!$R$18:$R$25,$A971),"")</f>
        <v/>
      </c>
      <c r="G971" t="str" cm="1">
        <f t="array" ref="G971">IFERROR(INDEX('TRIP MANAGER'!$S$18:$S$25,$A971),"")</f>
        <v/>
      </c>
      <c r="H971">
        <f t="shared" si="167"/>
        <v>0.42</v>
      </c>
      <c r="I971" t="str">
        <f t="shared" si="168"/>
        <v/>
      </c>
      <c r="J971" t="str">
        <f t="shared" si="169"/>
        <v/>
      </c>
      <c r="K971" t="str">
        <f t="shared" si="170"/>
        <v/>
      </c>
      <c r="L971" t="str">
        <f t="shared" si="171"/>
        <v/>
      </c>
      <c r="M971" t="str">
        <f t="shared" si="172"/>
        <v/>
      </c>
      <c r="N971" t="str">
        <f t="shared" si="173"/>
        <v/>
      </c>
      <c r="O971" t="str">
        <f t="shared" si="174"/>
        <v/>
      </c>
      <c r="P971" t="str" cm="1">
        <f t="array" ref="P971">IF($N971="","",IFERROR(IF(INDEX(geo_grid!$B$2:$JU$231,INT(($N971+40)/0.5)+1,INT(($O971+30)/0.5)+1)="","",INDEX(geo_grid!$B$2:$JU$231,INT(($N971+40)/0.5)+1,INT(($O971+30)/0.5)+1)),"OUTSIDE GRID"))</f>
        <v/>
      </c>
      <c r="Q971" t="str">
        <f t="shared" si="175"/>
        <v/>
      </c>
    </row>
    <row r="972" spans="1:17" x14ac:dyDescent="0.3">
      <c r="A972">
        <f t="shared" si="165"/>
        <v>7</v>
      </c>
      <c r="B972">
        <f t="shared" si="166"/>
        <v>64</v>
      </c>
      <c r="C972" t="str" cm="1">
        <f t="array" ref="C972">IFERROR(INDEX('TRIP MANAGER'!$O$18:$O$25,$A972),"")</f>
        <v/>
      </c>
      <c r="D972" t="str" cm="1">
        <f t="array" ref="D972">IFERROR(INDEX('TRIP MANAGER'!$P$18:$P$25,$A972),"")</f>
        <v/>
      </c>
      <c r="E972" t="str" cm="1">
        <f t="array" ref="E972">IFERROR(INDEX('TRIP MANAGER'!$Q$18:$Q$25,$A972),"")</f>
        <v/>
      </c>
      <c r="F972" t="str" cm="1">
        <f t="array" ref="F972">IFERROR(INDEX('TRIP MANAGER'!$R$18:$R$25,$A972),"")</f>
        <v/>
      </c>
      <c r="G972" t="str" cm="1">
        <f t="array" ref="G972">IFERROR(INDEX('TRIP MANAGER'!$S$18:$S$25,$A972),"")</f>
        <v/>
      </c>
      <c r="H972">
        <f t="shared" si="167"/>
        <v>0.42666666666666669</v>
      </c>
      <c r="I972" t="str">
        <f t="shared" si="168"/>
        <v/>
      </c>
      <c r="J972" t="str">
        <f t="shared" si="169"/>
        <v/>
      </c>
      <c r="K972" t="str">
        <f t="shared" si="170"/>
        <v/>
      </c>
      <c r="L972" t="str">
        <f t="shared" si="171"/>
        <v/>
      </c>
      <c r="M972" t="str">
        <f t="shared" si="172"/>
        <v/>
      </c>
      <c r="N972" t="str">
        <f t="shared" si="173"/>
        <v/>
      </c>
      <c r="O972" t="str">
        <f t="shared" si="174"/>
        <v/>
      </c>
      <c r="P972" t="str" cm="1">
        <f t="array" ref="P972">IF($N972="","",IFERROR(IF(INDEX(geo_grid!$B$2:$JU$231,INT(($N972+40)/0.5)+1,INT(($O972+30)/0.5)+1)="","",INDEX(geo_grid!$B$2:$JU$231,INT(($N972+40)/0.5)+1,INT(($O972+30)/0.5)+1)),"OUTSIDE GRID"))</f>
        <v/>
      </c>
      <c r="Q972" t="str">
        <f t="shared" si="175"/>
        <v/>
      </c>
    </row>
    <row r="973" spans="1:17" x14ac:dyDescent="0.3">
      <c r="A973">
        <f t="shared" si="165"/>
        <v>7</v>
      </c>
      <c r="B973">
        <f t="shared" si="166"/>
        <v>65</v>
      </c>
      <c r="C973" t="str" cm="1">
        <f t="array" ref="C973">IFERROR(INDEX('TRIP MANAGER'!$O$18:$O$25,$A973),"")</f>
        <v/>
      </c>
      <c r="D973" t="str" cm="1">
        <f t="array" ref="D973">IFERROR(INDEX('TRIP MANAGER'!$P$18:$P$25,$A973),"")</f>
        <v/>
      </c>
      <c r="E973" t="str" cm="1">
        <f t="array" ref="E973">IFERROR(INDEX('TRIP MANAGER'!$Q$18:$Q$25,$A973),"")</f>
        <v/>
      </c>
      <c r="F973" t="str" cm="1">
        <f t="array" ref="F973">IFERROR(INDEX('TRIP MANAGER'!$R$18:$R$25,$A973),"")</f>
        <v/>
      </c>
      <c r="G973" t="str" cm="1">
        <f t="array" ref="G973">IFERROR(INDEX('TRIP MANAGER'!$S$18:$S$25,$A973),"")</f>
        <v/>
      </c>
      <c r="H973">
        <f t="shared" si="167"/>
        <v>0.43333333333333335</v>
      </c>
      <c r="I973" t="str">
        <f t="shared" si="168"/>
        <v/>
      </c>
      <c r="J973" t="str">
        <f t="shared" si="169"/>
        <v/>
      </c>
      <c r="K973" t="str">
        <f t="shared" si="170"/>
        <v/>
      </c>
      <c r="L973" t="str">
        <f t="shared" si="171"/>
        <v/>
      </c>
      <c r="M973" t="str">
        <f t="shared" si="172"/>
        <v/>
      </c>
      <c r="N973" t="str">
        <f t="shared" si="173"/>
        <v/>
      </c>
      <c r="O973" t="str">
        <f t="shared" si="174"/>
        <v/>
      </c>
      <c r="P973" t="str" cm="1">
        <f t="array" ref="P973">IF($N973="","",IFERROR(IF(INDEX(geo_grid!$B$2:$JU$231,INT(($N973+40)/0.5)+1,INT(($O973+30)/0.5)+1)="","",INDEX(geo_grid!$B$2:$JU$231,INT(($N973+40)/0.5)+1,INT(($O973+30)/0.5)+1)),"OUTSIDE GRID"))</f>
        <v/>
      </c>
      <c r="Q973" t="str">
        <f t="shared" si="175"/>
        <v/>
      </c>
    </row>
    <row r="974" spans="1:17" x14ac:dyDescent="0.3">
      <c r="A974">
        <f t="shared" si="165"/>
        <v>7</v>
      </c>
      <c r="B974">
        <f t="shared" si="166"/>
        <v>66</v>
      </c>
      <c r="C974" t="str" cm="1">
        <f t="array" ref="C974">IFERROR(INDEX('TRIP MANAGER'!$O$18:$O$25,$A974),"")</f>
        <v/>
      </c>
      <c r="D974" t="str" cm="1">
        <f t="array" ref="D974">IFERROR(INDEX('TRIP MANAGER'!$P$18:$P$25,$A974),"")</f>
        <v/>
      </c>
      <c r="E974" t="str" cm="1">
        <f t="array" ref="E974">IFERROR(INDEX('TRIP MANAGER'!$Q$18:$Q$25,$A974),"")</f>
        <v/>
      </c>
      <c r="F974" t="str" cm="1">
        <f t="array" ref="F974">IFERROR(INDEX('TRIP MANAGER'!$R$18:$R$25,$A974),"")</f>
        <v/>
      </c>
      <c r="G974" t="str" cm="1">
        <f t="array" ref="G974">IFERROR(INDEX('TRIP MANAGER'!$S$18:$S$25,$A974),"")</f>
        <v/>
      </c>
      <c r="H974">
        <f t="shared" si="167"/>
        <v>0.44</v>
      </c>
      <c r="I974" t="str">
        <f t="shared" si="168"/>
        <v/>
      </c>
      <c r="J974" t="str">
        <f t="shared" si="169"/>
        <v/>
      </c>
      <c r="K974" t="str">
        <f t="shared" si="170"/>
        <v/>
      </c>
      <c r="L974" t="str">
        <f t="shared" si="171"/>
        <v/>
      </c>
      <c r="M974" t="str">
        <f t="shared" si="172"/>
        <v/>
      </c>
      <c r="N974" t="str">
        <f t="shared" si="173"/>
        <v/>
      </c>
      <c r="O974" t="str">
        <f t="shared" si="174"/>
        <v/>
      </c>
      <c r="P974" t="str" cm="1">
        <f t="array" ref="P974">IF($N974="","",IFERROR(IF(INDEX(geo_grid!$B$2:$JU$231,INT(($N974+40)/0.5)+1,INT(($O974+30)/0.5)+1)="","",INDEX(geo_grid!$B$2:$JU$231,INT(($N974+40)/0.5)+1,INT(($O974+30)/0.5)+1)),"OUTSIDE GRID"))</f>
        <v/>
      </c>
      <c r="Q974" t="str">
        <f t="shared" si="175"/>
        <v/>
      </c>
    </row>
    <row r="975" spans="1:17" x14ac:dyDescent="0.3">
      <c r="A975">
        <f t="shared" si="165"/>
        <v>7</v>
      </c>
      <c r="B975">
        <f t="shared" si="166"/>
        <v>67</v>
      </c>
      <c r="C975" t="str" cm="1">
        <f t="array" ref="C975">IFERROR(INDEX('TRIP MANAGER'!$O$18:$O$25,$A975),"")</f>
        <v/>
      </c>
      <c r="D975" t="str" cm="1">
        <f t="array" ref="D975">IFERROR(INDEX('TRIP MANAGER'!$P$18:$P$25,$A975),"")</f>
        <v/>
      </c>
      <c r="E975" t="str" cm="1">
        <f t="array" ref="E975">IFERROR(INDEX('TRIP MANAGER'!$Q$18:$Q$25,$A975),"")</f>
        <v/>
      </c>
      <c r="F975" t="str" cm="1">
        <f t="array" ref="F975">IFERROR(INDEX('TRIP MANAGER'!$R$18:$R$25,$A975),"")</f>
        <v/>
      </c>
      <c r="G975" t="str" cm="1">
        <f t="array" ref="G975">IFERROR(INDEX('TRIP MANAGER'!$S$18:$S$25,$A975),"")</f>
        <v/>
      </c>
      <c r="H975">
        <f t="shared" si="167"/>
        <v>0.44666666666666666</v>
      </c>
      <c r="I975" t="str">
        <f t="shared" si="168"/>
        <v/>
      </c>
      <c r="J975" t="str">
        <f t="shared" si="169"/>
        <v/>
      </c>
      <c r="K975" t="str">
        <f t="shared" si="170"/>
        <v/>
      </c>
      <c r="L975" t="str">
        <f t="shared" si="171"/>
        <v/>
      </c>
      <c r="M975" t="str">
        <f t="shared" si="172"/>
        <v/>
      </c>
      <c r="N975" t="str">
        <f t="shared" si="173"/>
        <v/>
      </c>
      <c r="O975" t="str">
        <f t="shared" si="174"/>
        <v/>
      </c>
      <c r="P975" t="str" cm="1">
        <f t="array" ref="P975">IF($N975="","",IFERROR(IF(INDEX(geo_grid!$B$2:$JU$231,INT(($N975+40)/0.5)+1,INT(($O975+30)/0.5)+1)="","",INDEX(geo_grid!$B$2:$JU$231,INT(($N975+40)/0.5)+1,INT(($O975+30)/0.5)+1)),"OUTSIDE GRID"))</f>
        <v/>
      </c>
      <c r="Q975" t="str">
        <f t="shared" si="175"/>
        <v/>
      </c>
    </row>
    <row r="976" spans="1:17" x14ac:dyDescent="0.3">
      <c r="A976">
        <f t="shared" si="165"/>
        <v>7</v>
      </c>
      <c r="B976">
        <f t="shared" si="166"/>
        <v>68</v>
      </c>
      <c r="C976" t="str" cm="1">
        <f t="array" ref="C976">IFERROR(INDEX('TRIP MANAGER'!$O$18:$O$25,$A976),"")</f>
        <v/>
      </c>
      <c r="D976" t="str" cm="1">
        <f t="array" ref="D976">IFERROR(INDEX('TRIP MANAGER'!$P$18:$P$25,$A976),"")</f>
        <v/>
      </c>
      <c r="E976" t="str" cm="1">
        <f t="array" ref="E976">IFERROR(INDEX('TRIP MANAGER'!$Q$18:$Q$25,$A976),"")</f>
        <v/>
      </c>
      <c r="F976" t="str" cm="1">
        <f t="array" ref="F976">IFERROR(INDEX('TRIP MANAGER'!$R$18:$R$25,$A976),"")</f>
        <v/>
      </c>
      <c r="G976" t="str" cm="1">
        <f t="array" ref="G976">IFERROR(INDEX('TRIP MANAGER'!$S$18:$S$25,$A976),"")</f>
        <v/>
      </c>
      <c r="H976">
        <f t="shared" si="167"/>
        <v>0.45333333333333331</v>
      </c>
      <c r="I976" t="str">
        <f t="shared" si="168"/>
        <v/>
      </c>
      <c r="J976" t="str">
        <f t="shared" si="169"/>
        <v/>
      </c>
      <c r="K976" t="str">
        <f t="shared" si="170"/>
        <v/>
      </c>
      <c r="L976" t="str">
        <f t="shared" si="171"/>
        <v/>
      </c>
      <c r="M976" t="str">
        <f t="shared" si="172"/>
        <v/>
      </c>
      <c r="N976" t="str">
        <f t="shared" si="173"/>
        <v/>
      </c>
      <c r="O976" t="str">
        <f t="shared" si="174"/>
        <v/>
      </c>
      <c r="P976" t="str" cm="1">
        <f t="array" ref="P976">IF($N976="","",IFERROR(IF(INDEX(geo_grid!$B$2:$JU$231,INT(($N976+40)/0.5)+1,INT(($O976+30)/0.5)+1)="","",INDEX(geo_grid!$B$2:$JU$231,INT(($N976+40)/0.5)+1,INT(($O976+30)/0.5)+1)),"OUTSIDE GRID"))</f>
        <v/>
      </c>
      <c r="Q976" t="str">
        <f t="shared" si="175"/>
        <v/>
      </c>
    </row>
    <row r="977" spans="1:17" x14ac:dyDescent="0.3">
      <c r="A977">
        <f t="shared" si="165"/>
        <v>7</v>
      </c>
      <c r="B977">
        <f t="shared" si="166"/>
        <v>69</v>
      </c>
      <c r="C977" t="str" cm="1">
        <f t="array" ref="C977">IFERROR(INDEX('TRIP MANAGER'!$O$18:$O$25,$A977),"")</f>
        <v/>
      </c>
      <c r="D977" t="str" cm="1">
        <f t="array" ref="D977">IFERROR(INDEX('TRIP MANAGER'!$P$18:$P$25,$A977),"")</f>
        <v/>
      </c>
      <c r="E977" t="str" cm="1">
        <f t="array" ref="E977">IFERROR(INDEX('TRIP MANAGER'!$Q$18:$Q$25,$A977),"")</f>
        <v/>
      </c>
      <c r="F977" t="str" cm="1">
        <f t="array" ref="F977">IFERROR(INDEX('TRIP MANAGER'!$R$18:$R$25,$A977),"")</f>
        <v/>
      </c>
      <c r="G977" t="str" cm="1">
        <f t="array" ref="G977">IFERROR(INDEX('TRIP MANAGER'!$S$18:$S$25,$A977),"")</f>
        <v/>
      </c>
      <c r="H977">
        <f t="shared" si="167"/>
        <v>0.46</v>
      </c>
      <c r="I977" t="str">
        <f t="shared" si="168"/>
        <v/>
      </c>
      <c r="J977" t="str">
        <f t="shared" si="169"/>
        <v/>
      </c>
      <c r="K977" t="str">
        <f t="shared" si="170"/>
        <v/>
      </c>
      <c r="L977" t="str">
        <f t="shared" si="171"/>
        <v/>
      </c>
      <c r="M977" t="str">
        <f t="shared" si="172"/>
        <v/>
      </c>
      <c r="N977" t="str">
        <f t="shared" si="173"/>
        <v/>
      </c>
      <c r="O977" t="str">
        <f t="shared" si="174"/>
        <v/>
      </c>
      <c r="P977" t="str" cm="1">
        <f t="array" ref="P977">IF($N977="","",IFERROR(IF(INDEX(geo_grid!$B$2:$JU$231,INT(($N977+40)/0.5)+1,INT(($O977+30)/0.5)+1)="","",INDEX(geo_grid!$B$2:$JU$231,INT(($N977+40)/0.5)+1,INT(($O977+30)/0.5)+1)),"OUTSIDE GRID"))</f>
        <v/>
      </c>
      <c r="Q977" t="str">
        <f t="shared" si="175"/>
        <v/>
      </c>
    </row>
    <row r="978" spans="1:17" x14ac:dyDescent="0.3">
      <c r="A978">
        <f t="shared" si="165"/>
        <v>7</v>
      </c>
      <c r="B978">
        <f t="shared" si="166"/>
        <v>70</v>
      </c>
      <c r="C978" t="str" cm="1">
        <f t="array" ref="C978">IFERROR(INDEX('TRIP MANAGER'!$O$18:$O$25,$A978),"")</f>
        <v/>
      </c>
      <c r="D978" t="str" cm="1">
        <f t="array" ref="D978">IFERROR(INDEX('TRIP MANAGER'!$P$18:$P$25,$A978),"")</f>
        <v/>
      </c>
      <c r="E978" t="str" cm="1">
        <f t="array" ref="E978">IFERROR(INDEX('TRIP MANAGER'!$Q$18:$Q$25,$A978),"")</f>
        <v/>
      </c>
      <c r="F978" t="str" cm="1">
        <f t="array" ref="F978">IFERROR(INDEX('TRIP MANAGER'!$R$18:$R$25,$A978),"")</f>
        <v/>
      </c>
      <c r="G978" t="str" cm="1">
        <f t="array" ref="G978">IFERROR(INDEX('TRIP MANAGER'!$S$18:$S$25,$A978),"")</f>
        <v/>
      </c>
      <c r="H978">
        <f t="shared" si="167"/>
        <v>0.46666666666666667</v>
      </c>
      <c r="I978" t="str">
        <f t="shared" si="168"/>
        <v/>
      </c>
      <c r="J978" t="str">
        <f t="shared" si="169"/>
        <v/>
      </c>
      <c r="K978" t="str">
        <f t="shared" si="170"/>
        <v/>
      </c>
      <c r="L978" t="str">
        <f t="shared" si="171"/>
        <v/>
      </c>
      <c r="M978" t="str">
        <f t="shared" si="172"/>
        <v/>
      </c>
      <c r="N978" t="str">
        <f t="shared" si="173"/>
        <v/>
      </c>
      <c r="O978" t="str">
        <f t="shared" si="174"/>
        <v/>
      </c>
      <c r="P978" t="str" cm="1">
        <f t="array" ref="P978">IF($N978="","",IFERROR(IF(INDEX(geo_grid!$B$2:$JU$231,INT(($N978+40)/0.5)+1,INT(($O978+30)/0.5)+1)="","",INDEX(geo_grid!$B$2:$JU$231,INT(($N978+40)/0.5)+1,INT(($O978+30)/0.5)+1)),"OUTSIDE GRID"))</f>
        <v/>
      </c>
      <c r="Q978" t="str">
        <f t="shared" si="175"/>
        <v/>
      </c>
    </row>
    <row r="979" spans="1:17" x14ac:dyDescent="0.3">
      <c r="A979">
        <f t="shared" si="165"/>
        <v>7</v>
      </c>
      <c r="B979">
        <f t="shared" si="166"/>
        <v>71</v>
      </c>
      <c r="C979" t="str" cm="1">
        <f t="array" ref="C979">IFERROR(INDEX('TRIP MANAGER'!$O$18:$O$25,$A979),"")</f>
        <v/>
      </c>
      <c r="D979" t="str" cm="1">
        <f t="array" ref="D979">IFERROR(INDEX('TRIP MANAGER'!$P$18:$P$25,$A979),"")</f>
        <v/>
      </c>
      <c r="E979" t="str" cm="1">
        <f t="array" ref="E979">IFERROR(INDEX('TRIP MANAGER'!$Q$18:$Q$25,$A979),"")</f>
        <v/>
      </c>
      <c r="F979" t="str" cm="1">
        <f t="array" ref="F979">IFERROR(INDEX('TRIP MANAGER'!$R$18:$R$25,$A979),"")</f>
        <v/>
      </c>
      <c r="G979" t="str" cm="1">
        <f t="array" ref="G979">IFERROR(INDEX('TRIP MANAGER'!$S$18:$S$25,$A979),"")</f>
        <v/>
      </c>
      <c r="H979">
        <f t="shared" si="167"/>
        <v>0.47333333333333333</v>
      </c>
      <c r="I979" t="str">
        <f t="shared" si="168"/>
        <v/>
      </c>
      <c r="J979" t="str">
        <f t="shared" si="169"/>
        <v/>
      </c>
      <c r="K979" t="str">
        <f t="shared" si="170"/>
        <v/>
      </c>
      <c r="L979" t="str">
        <f t="shared" si="171"/>
        <v/>
      </c>
      <c r="M979" t="str">
        <f t="shared" si="172"/>
        <v/>
      </c>
      <c r="N979" t="str">
        <f t="shared" si="173"/>
        <v/>
      </c>
      <c r="O979" t="str">
        <f t="shared" si="174"/>
        <v/>
      </c>
      <c r="P979" t="str" cm="1">
        <f t="array" ref="P979">IF($N979="","",IFERROR(IF(INDEX(geo_grid!$B$2:$JU$231,INT(($N979+40)/0.5)+1,INT(($O979+30)/0.5)+1)="","",INDEX(geo_grid!$B$2:$JU$231,INT(($N979+40)/0.5)+1,INT(($O979+30)/0.5)+1)),"OUTSIDE GRID"))</f>
        <v/>
      </c>
      <c r="Q979" t="str">
        <f t="shared" si="175"/>
        <v/>
      </c>
    </row>
    <row r="980" spans="1:17" x14ac:dyDescent="0.3">
      <c r="A980">
        <f t="shared" si="165"/>
        <v>7</v>
      </c>
      <c r="B980">
        <f t="shared" si="166"/>
        <v>72</v>
      </c>
      <c r="C980" t="str" cm="1">
        <f t="array" ref="C980">IFERROR(INDEX('TRIP MANAGER'!$O$18:$O$25,$A980),"")</f>
        <v/>
      </c>
      <c r="D980" t="str" cm="1">
        <f t="array" ref="D980">IFERROR(INDEX('TRIP MANAGER'!$P$18:$P$25,$A980),"")</f>
        <v/>
      </c>
      <c r="E980" t="str" cm="1">
        <f t="array" ref="E980">IFERROR(INDEX('TRIP MANAGER'!$Q$18:$Q$25,$A980),"")</f>
        <v/>
      </c>
      <c r="F980" t="str" cm="1">
        <f t="array" ref="F980">IFERROR(INDEX('TRIP MANAGER'!$R$18:$R$25,$A980),"")</f>
        <v/>
      </c>
      <c r="G980" t="str" cm="1">
        <f t="array" ref="G980">IFERROR(INDEX('TRIP MANAGER'!$S$18:$S$25,$A980),"")</f>
        <v/>
      </c>
      <c r="H980">
        <f t="shared" si="167"/>
        <v>0.48</v>
      </c>
      <c r="I980" t="str">
        <f t="shared" si="168"/>
        <v/>
      </c>
      <c r="J980" t="str">
        <f t="shared" si="169"/>
        <v/>
      </c>
      <c r="K980" t="str">
        <f t="shared" si="170"/>
        <v/>
      </c>
      <c r="L980" t="str">
        <f t="shared" si="171"/>
        <v/>
      </c>
      <c r="M980" t="str">
        <f t="shared" si="172"/>
        <v/>
      </c>
      <c r="N980" t="str">
        <f t="shared" si="173"/>
        <v/>
      </c>
      <c r="O980" t="str">
        <f t="shared" si="174"/>
        <v/>
      </c>
      <c r="P980" t="str" cm="1">
        <f t="array" ref="P980">IF($N980="","",IFERROR(IF(INDEX(geo_grid!$B$2:$JU$231,INT(($N980+40)/0.5)+1,INT(($O980+30)/0.5)+1)="","",INDEX(geo_grid!$B$2:$JU$231,INT(($N980+40)/0.5)+1,INT(($O980+30)/0.5)+1)),"OUTSIDE GRID"))</f>
        <v/>
      </c>
      <c r="Q980" t="str">
        <f t="shared" si="175"/>
        <v/>
      </c>
    </row>
    <row r="981" spans="1:17" x14ac:dyDescent="0.3">
      <c r="A981">
        <f t="shared" si="165"/>
        <v>7</v>
      </c>
      <c r="B981">
        <f t="shared" si="166"/>
        <v>73</v>
      </c>
      <c r="C981" t="str" cm="1">
        <f t="array" ref="C981">IFERROR(INDEX('TRIP MANAGER'!$O$18:$O$25,$A981),"")</f>
        <v/>
      </c>
      <c r="D981" t="str" cm="1">
        <f t="array" ref="D981">IFERROR(INDEX('TRIP MANAGER'!$P$18:$P$25,$A981),"")</f>
        <v/>
      </c>
      <c r="E981" t="str" cm="1">
        <f t="array" ref="E981">IFERROR(INDEX('TRIP MANAGER'!$Q$18:$Q$25,$A981),"")</f>
        <v/>
      </c>
      <c r="F981" t="str" cm="1">
        <f t="array" ref="F981">IFERROR(INDEX('TRIP MANAGER'!$R$18:$R$25,$A981),"")</f>
        <v/>
      </c>
      <c r="G981" t="str" cm="1">
        <f t="array" ref="G981">IFERROR(INDEX('TRIP MANAGER'!$S$18:$S$25,$A981),"")</f>
        <v/>
      </c>
      <c r="H981">
        <f t="shared" si="167"/>
        <v>0.48666666666666669</v>
      </c>
      <c r="I981" t="str">
        <f t="shared" si="168"/>
        <v/>
      </c>
      <c r="J981" t="str">
        <f t="shared" si="169"/>
        <v/>
      </c>
      <c r="K981" t="str">
        <f t="shared" si="170"/>
        <v/>
      </c>
      <c r="L981" t="str">
        <f t="shared" si="171"/>
        <v/>
      </c>
      <c r="M981" t="str">
        <f t="shared" si="172"/>
        <v/>
      </c>
      <c r="N981" t="str">
        <f t="shared" si="173"/>
        <v/>
      </c>
      <c r="O981" t="str">
        <f t="shared" si="174"/>
        <v/>
      </c>
      <c r="P981" t="str" cm="1">
        <f t="array" ref="P981">IF($N981="","",IFERROR(IF(INDEX(geo_grid!$B$2:$JU$231,INT(($N981+40)/0.5)+1,INT(($O981+30)/0.5)+1)="","",INDEX(geo_grid!$B$2:$JU$231,INT(($N981+40)/0.5)+1,INT(($O981+30)/0.5)+1)),"OUTSIDE GRID"))</f>
        <v/>
      </c>
      <c r="Q981" t="str">
        <f t="shared" si="175"/>
        <v/>
      </c>
    </row>
    <row r="982" spans="1:17" x14ac:dyDescent="0.3">
      <c r="A982">
        <f t="shared" si="165"/>
        <v>7</v>
      </c>
      <c r="B982">
        <f t="shared" si="166"/>
        <v>74</v>
      </c>
      <c r="C982" t="str" cm="1">
        <f t="array" ref="C982">IFERROR(INDEX('TRIP MANAGER'!$O$18:$O$25,$A982),"")</f>
        <v/>
      </c>
      <c r="D982" t="str" cm="1">
        <f t="array" ref="D982">IFERROR(INDEX('TRIP MANAGER'!$P$18:$P$25,$A982),"")</f>
        <v/>
      </c>
      <c r="E982" t="str" cm="1">
        <f t="array" ref="E982">IFERROR(INDEX('TRIP MANAGER'!$Q$18:$Q$25,$A982),"")</f>
        <v/>
      </c>
      <c r="F982" t="str" cm="1">
        <f t="array" ref="F982">IFERROR(INDEX('TRIP MANAGER'!$R$18:$R$25,$A982),"")</f>
        <v/>
      </c>
      <c r="G982" t="str" cm="1">
        <f t="array" ref="G982">IFERROR(INDEX('TRIP MANAGER'!$S$18:$S$25,$A982),"")</f>
        <v/>
      </c>
      <c r="H982">
        <f t="shared" si="167"/>
        <v>0.49333333333333335</v>
      </c>
      <c r="I982" t="str">
        <f t="shared" si="168"/>
        <v/>
      </c>
      <c r="J982" t="str">
        <f t="shared" si="169"/>
        <v/>
      </c>
      <c r="K982" t="str">
        <f t="shared" si="170"/>
        <v/>
      </c>
      <c r="L982" t="str">
        <f t="shared" si="171"/>
        <v/>
      </c>
      <c r="M982" t="str">
        <f t="shared" si="172"/>
        <v/>
      </c>
      <c r="N982" t="str">
        <f t="shared" si="173"/>
        <v/>
      </c>
      <c r="O982" t="str">
        <f t="shared" si="174"/>
        <v/>
      </c>
      <c r="P982" t="str" cm="1">
        <f t="array" ref="P982">IF($N982="","",IFERROR(IF(INDEX(geo_grid!$B$2:$JU$231,INT(($N982+40)/0.5)+1,INT(($O982+30)/0.5)+1)="","",INDEX(geo_grid!$B$2:$JU$231,INT(($N982+40)/0.5)+1,INT(($O982+30)/0.5)+1)),"OUTSIDE GRID"))</f>
        <v/>
      </c>
      <c r="Q982" t="str">
        <f t="shared" si="175"/>
        <v/>
      </c>
    </row>
    <row r="983" spans="1:17" x14ac:dyDescent="0.3">
      <c r="A983">
        <f t="shared" si="165"/>
        <v>7</v>
      </c>
      <c r="B983">
        <f t="shared" si="166"/>
        <v>75</v>
      </c>
      <c r="C983" t="str" cm="1">
        <f t="array" ref="C983">IFERROR(INDEX('TRIP MANAGER'!$O$18:$O$25,$A983),"")</f>
        <v/>
      </c>
      <c r="D983" t="str" cm="1">
        <f t="array" ref="D983">IFERROR(INDEX('TRIP MANAGER'!$P$18:$P$25,$A983),"")</f>
        <v/>
      </c>
      <c r="E983" t="str" cm="1">
        <f t="array" ref="E983">IFERROR(INDEX('TRIP MANAGER'!$Q$18:$Q$25,$A983),"")</f>
        <v/>
      </c>
      <c r="F983" t="str" cm="1">
        <f t="array" ref="F983">IFERROR(INDEX('TRIP MANAGER'!$R$18:$R$25,$A983),"")</f>
        <v/>
      </c>
      <c r="G983" t="str" cm="1">
        <f t="array" ref="G983">IFERROR(INDEX('TRIP MANAGER'!$S$18:$S$25,$A983),"")</f>
        <v/>
      </c>
      <c r="H983">
        <f t="shared" si="167"/>
        <v>0.5</v>
      </c>
      <c r="I983" t="str">
        <f t="shared" si="168"/>
        <v/>
      </c>
      <c r="J983" t="str">
        <f t="shared" si="169"/>
        <v/>
      </c>
      <c r="K983" t="str">
        <f t="shared" si="170"/>
        <v/>
      </c>
      <c r="L983" t="str">
        <f t="shared" si="171"/>
        <v/>
      </c>
      <c r="M983" t="str">
        <f t="shared" si="172"/>
        <v/>
      </c>
      <c r="N983" t="str">
        <f t="shared" si="173"/>
        <v/>
      </c>
      <c r="O983" t="str">
        <f t="shared" si="174"/>
        <v/>
      </c>
      <c r="P983" t="str" cm="1">
        <f t="array" ref="P983">IF($N983="","",IFERROR(IF(INDEX(geo_grid!$B$2:$JU$231,INT(($N983+40)/0.5)+1,INT(($O983+30)/0.5)+1)="","",INDEX(geo_grid!$B$2:$JU$231,INT(($N983+40)/0.5)+1,INT(($O983+30)/0.5)+1)),"OUTSIDE GRID"))</f>
        <v/>
      </c>
      <c r="Q983" t="str">
        <f t="shared" si="175"/>
        <v/>
      </c>
    </row>
    <row r="984" spans="1:17" x14ac:dyDescent="0.3">
      <c r="A984">
        <f t="shared" si="165"/>
        <v>7</v>
      </c>
      <c r="B984">
        <f t="shared" si="166"/>
        <v>76</v>
      </c>
      <c r="C984" t="str" cm="1">
        <f t="array" ref="C984">IFERROR(INDEX('TRIP MANAGER'!$O$18:$O$25,$A984),"")</f>
        <v/>
      </c>
      <c r="D984" t="str" cm="1">
        <f t="array" ref="D984">IFERROR(INDEX('TRIP MANAGER'!$P$18:$P$25,$A984),"")</f>
        <v/>
      </c>
      <c r="E984" t="str" cm="1">
        <f t="array" ref="E984">IFERROR(INDEX('TRIP MANAGER'!$Q$18:$Q$25,$A984),"")</f>
        <v/>
      </c>
      <c r="F984" t="str" cm="1">
        <f t="array" ref="F984">IFERROR(INDEX('TRIP MANAGER'!$R$18:$R$25,$A984),"")</f>
        <v/>
      </c>
      <c r="G984" t="str" cm="1">
        <f t="array" ref="G984">IFERROR(INDEX('TRIP MANAGER'!$S$18:$S$25,$A984),"")</f>
        <v/>
      </c>
      <c r="H984">
        <f t="shared" si="167"/>
        <v>0.50666666666666671</v>
      </c>
      <c r="I984" t="str">
        <f t="shared" si="168"/>
        <v/>
      </c>
      <c r="J984" t="str">
        <f t="shared" si="169"/>
        <v/>
      </c>
      <c r="K984" t="str">
        <f t="shared" si="170"/>
        <v/>
      </c>
      <c r="L984" t="str">
        <f t="shared" si="171"/>
        <v/>
      </c>
      <c r="M984" t="str">
        <f t="shared" si="172"/>
        <v/>
      </c>
      <c r="N984" t="str">
        <f t="shared" si="173"/>
        <v/>
      </c>
      <c r="O984" t="str">
        <f t="shared" si="174"/>
        <v/>
      </c>
      <c r="P984" t="str" cm="1">
        <f t="array" ref="P984">IF($N984="","",IFERROR(IF(INDEX(geo_grid!$B$2:$JU$231,INT(($N984+40)/0.5)+1,INT(($O984+30)/0.5)+1)="","",INDEX(geo_grid!$B$2:$JU$231,INT(($N984+40)/0.5)+1,INT(($O984+30)/0.5)+1)),"OUTSIDE GRID"))</f>
        <v/>
      </c>
      <c r="Q984" t="str">
        <f t="shared" si="175"/>
        <v/>
      </c>
    </row>
    <row r="985" spans="1:17" x14ac:dyDescent="0.3">
      <c r="A985">
        <f t="shared" si="165"/>
        <v>7</v>
      </c>
      <c r="B985">
        <f t="shared" si="166"/>
        <v>77</v>
      </c>
      <c r="C985" t="str" cm="1">
        <f t="array" ref="C985">IFERROR(INDEX('TRIP MANAGER'!$O$18:$O$25,$A985),"")</f>
        <v/>
      </c>
      <c r="D985" t="str" cm="1">
        <f t="array" ref="D985">IFERROR(INDEX('TRIP MANAGER'!$P$18:$P$25,$A985),"")</f>
        <v/>
      </c>
      <c r="E985" t="str" cm="1">
        <f t="array" ref="E985">IFERROR(INDEX('TRIP MANAGER'!$Q$18:$Q$25,$A985),"")</f>
        <v/>
      </c>
      <c r="F985" t="str" cm="1">
        <f t="array" ref="F985">IFERROR(INDEX('TRIP MANAGER'!$R$18:$R$25,$A985),"")</f>
        <v/>
      </c>
      <c r="G985" t="str" cm="1">
        <f t="array" ref="G985">IFERROR(INDEX('TRIP MANAGER'!$S$18:$S$25,$A985),"")</f>
        <v/>
      </c>
      <c r="H985">
        <f t="shared" si="167"/>
        <v>0.51333333333333331</v>
      </c>
      <c r="I985" t="str">
        <f t="shared" si="168"/>
        <v/>
      </c>
      <c r="J985" t="str">
        <f t="shared" si="169"/>
        <v/>
      </c>
      <c r="K985" t="str">
        <f t="shared" si="170"/>
        <v/>
      </c>
      <c r="L985" t="str">
        <f t="shared" si="171"/>
        <v/>
      </c>
      <c r="M985" t="str">
        <f t="shared" si="172"/>
        <v/>
      </c>
      <c r="N985" t="str">
        <f t="shared" si="173"/>
        <v/>
      </c>
      <c r="O985" t="str">
        <f t="shared" si="174"/>
        <v/>
      </c>
      <c r="P985" t="str" cm="1">
        <f t="array" ref="P985">IF($N985="","",IFERROR(IF(INDEX(geo_grid!$B$2:$JU$231,INT(($N985+40)/0.5)+1,INT(($O985+30)/0.5)+1)="","",INDEX(geo_grid!$B$2:$JU$231,INT(($N985+40)/0.5)+1,INT(($O985+30)/0.5)+1)),"OUTSIDE GRID"))</f>
        <v/>
      </c>
      <c r="Q985" t="str">
        <f t="shared" si="175"/>
        <v/>
      </c>
    </row>
    <row r="986" spans="1:17" x14ac:dyDescent="0.3">
      <c r="A986">
        <f t="shared" si="165"/>
        <v>7</v>
      </c>
      <c r="B986">
        <f t="shared" si="166"/>
        <v>78</v>
      </c>
      <c r="C986" t="str" cm="1">
        <f t="array" ref="C986">IFERROR(INDEX('TRIP MANAGER'!$O$18:$O$25,$A986),"")</f>
        <v/>
      </c>
      <c r="D986" t="str" cm="1">
        <f t="array" ref="D986">IFERROR(INDEX('TRIP MANAGER'!$P$18:$P$25,$A986),"")</f>
        <v/>
      </c>
      <c r="E986" t="str" cm="1">
        <f t="array" ref="E986">IFERROR(INDEX('TRIP MANAGER'!$Q$18:$Q$25,$A986),"")</f>
        <v/>
      </c>
      <c r="F986" t="str" cm="1">
        <f t="array" ref="F986">IFERROR(INDEX('TRIP MANAGER'!$R$18:$R$25,$A986),"")</f>
        <v/>
      </c>
      <c r="G986" t="str" cm="1">
        <f t="array" ref="G986">IFERROR(INDEX('TRIP MANAGER'!$S$18:$S$25,$A986),"")</f>
        <v/>
      </c>
      <c r="H986">
        <f t="shared" si="167"/>
        <v>0.52</v>
      </c>
      <c r="I986" t="str">
        <f t="shared" si="168"/>
        <v/>
      </c>
      <c r="J986" t="str">
        <f t="shared" si="169"/>
        <v/>
      </c>
      <c r="K986" t="str">
        <f t="shared" si="170"/>
        <v/>
      </c>
      <c r="L986" t="str">
        <f t="shared" si="171"/>
        <v/>
      </c>
      <c r="M986" t="str">
        <f t="shared" si="172"/>
        <v/>
      </c>
      <c r="N986" t="str">
        <f t="shared" si="173"/>
        <v/>
      </c>
      <c r="O986" t="str">
        <f t="shared" si="174"/>
        <v/>
      </c>
      <c r="P986" t="str" cm="1">
        <f t="array" ref="P986">IF($N986="","",IFERROR(IF(INDEX(geo_grid!$B$2:$JU$231,INT(($N986+40)/0.5)+1,INT(($O986+30)/0.5)+1)="","",INDEX(geo_grid!$B$2:$JU$231,INT(($N986+40)/0.5)+1,INT(($O986+30)/0.5)+1)),"OUTSIDE GRID"))</f>
        <v/>
      </c>
      <c r="Q986" t="str">
        <f t="shared" si="175"/>
        <v/>
      </c>
    </row>
    <row r="987" spans="1:17" x14ac:dyDescent="0.3">
      <c r="A987">
        <f t="shared" si="165"/>
        <v>7</v>
      </c>
      <c r="B987">
        <f t="shared" si="166"/>
        <v>79</v>
      </c>
      <c r="C987" t="str" cm="1">
        <f t="array" ref="C987">IFERROR(INDEX('TRIP MANAGER'!$O$18:$O$25,$A987),"")</f>
        <v/>
      </c>
      <c r="D987" t="str" cm="1">
        <f t="array" ref="D987">IFERROR(INDEX('TRIP MANAGER'!$P$18:$P$25,$A987),"")</f>
        <v/>
      </c>
      <c r="E987" t="str" cm="1">
        <f t="array" ref="E987">IFERROR(INDEX('TRIP MANAGER'!$Q$18:$Q$25,$A987),"")</f>
        <v/>
      </c>
      <c r="F987" t="str" cm="1">
        <f t="array" ref="F987">IFERROR(INDEX('TRIP MANAGER'!$R$18:$R$25,$A987),"")</f>
        <v/>
      </c>
      <c r="G987" t="str" cm="1">
        <f t="array" ref="G987">IFERROR(INDEX('TRIP MANAGER'!$S$18:$S$25,$A987),"")</f>
        <v/>
      </c>
      <c r="H987">
        <f t="shared" si="167"/>
        <v>0.52666666666666662</v>
      </c>
      <c r="I987" t="str">
        <f t="shared" si="168"/>
        <v/>
      </c>
      <c r="J987" t="str">
        <f t="shared" si="169"/>
        <v/>
      </c>
      <c r="K987" t="str">
        <f t="shared" si="170"/>
        <v/>
      </c>
      <c r="L987" t="str">
        <f t="shared" si="171"/>
        <v/>
      </c>
      <c r="M987" t="str">
        <f t="shared" si="172"/>
        <v/>
      </c>
      <c r="N987" t="str">
        <f t="shared" si="173"/>
        <v/>
      </c>
      <c r="O987" t="str">
        <f t="shared" si="174"/>
        <v/>
      </c>
      <c r="P987" t="str" cm="1">
        <f t="array" ref="P987">IF($N987="","",IFERROR(IF(INDEX(geo_grid!$B$2:$JU$231,INT(($N987+40)/0.5)+1,INT(($O987+30)/0.5)+1)="","",INDEX(geo_grid!$B$2:$JU$231,INT(($N987+40)/0.5)+1,INT(($O987+30)/0.5)+1)),"OUTSIDE GRID"))</f>
        <v/>
      </c>
      <c r="Q987" t="str">
        <f t="shared" si="175"/>
        <v/>
      </c>
    </row>
    <row r="988" spans="1:17" x14ac:dyDescent="0.3">
      <c r="A988">
        <f t="shared" si="165"/>
        <v>7</v>
      </c>
      <c r="B988">
        <f t="shared" si="166"/>
        <v>80</v>
      </c>
      <c r="C988" t="str" cm="1">
        <f t="array" ref="C988">IFERROR(INDEX('TRIP MANAGER'!$O$18:$O$25,$A988),"")</f>
        <v/>
      </c>
      <c r="D988" t="str" cm="1">
        <f t="array" ref="D988">IFERROR(INDEX('TRIP MANAGER'!$P$18:$P$25,$A988),"")</f>
        <v/>
      </c>
      <c r="E988" t="str" cm="1">
        <f t="array" ref="E988">IFERROR(INDEX('TRIP MANAGER'!$Q$18:$Q$25,$A988),"")</f>
        <v/>
      </c>
      <c r="F988" t="str" cm="1">
        <f t="array" ref="F988">IFERROR(INDEX('TRIP MANAGER'!$R$18:$R$25,$A988),"")</f>
        <v/>
      </c>
      <c r="G988" t="str" cm="1">
        <f t="array" ref="G988">IFERROR(INDEX('TRIP MANAGER'!$S$18:$S$25,$A988),"")</f>
        <v/>
      </c>
      <c r="H988">
        <f t="shared" si="167"/>
        <v>0.53333333333333333</v>
      </c>
      <c r="I988" t="str">
        <f t="shared" si="168"/>
        <v/>
      </c>
      <c r="J988" t="str">
        <f t="shared" si="169"/>
        <v/>
      </c>
      <c r="K988" t="str">
        <f t="shared" si="170"/>
        <v/>
      </c>
      <c r="L988" t="str">
        <f t="shared" si="171"/>
        <v/>
      </c>
      <c r="M988" t="str">
        <f t="shared" si="172"/>
        <v/>
      </c>
      <c r="N988" t="str">
        <f t="shared" si="173"/>
        <v/>
      </c>
      <c r="O988" t="str">
        <f t="shared" si="174"/>
        <v/>
      </c>
      <c r="P988" t="str" cm="1">
        <f t="array" ref="P988">IF($N988="","",IFERROR(IF(INDEX(geo_grid!$B$2:$JU$231,INT(($N988+40)/0.5)+1,INT(($O988+30)/0.5)+1)="","",INDEX(geo_grid!$B$2:$JU$231,INT(($N988+40)/0.5)+1,INT(($O988+30)/0.5)+1)),"OUTSIDE GRID"))</f>
        <v/>
      </c>
      <c r="Q988" t="str">
        <f t="shared" si="175"/>
        <v/>
      </c>
    </row>
    <row r="989" spans="1:17" x14ac:dyDescent="0.3">
      <c r="A989">
        <f t="shared" si="165"/>
        <v>7</v>
      </c>
      <c r="B989">
        <f t="shared" si="166"/>
        <v>81</v>
      </c>
      <c r="C989" t="str" cm="1">
        <f t="array" ref="C989">IFERROR(INDEX('TRIP MANAGER'!$O$18:$O$25,$A989),"")</f>
        <v/>
      </c>
      <c r="D989" t="str" cm="1">
        <f t="array" ref="D989">IFERROR(INDEX('TRIP MANAGER'!$P$18:$P$25,$A989),"")</f>
        <v/>
      </c>
      <c r="E989" t="str" cm="1">
        <f t="array" ref="E989">IFERROR(INDEX('TRIP MANAGER'!$Q$18:$Q$25,$A989),"")</f>
        <v/>
      </c>
      <c r="F989" t="str" cm="1">
        <f t="array" ref="F989">IFERROR(INDEX('TRIP MANAGER'!$R$18:$R$25,$A989),"")</f>
        <v/>
      </c>
      <c r="G989" t="str" cm="1">
        <f t="array" ref="G989">IFERROR(INDEX('TRIP MANAGER'!$S$18:$S$25,$A989),"")</f>
        <v/>
      </c>
      <c r="H989">
        <f t="shared" si="167"/>
        <v>0.54</v>
      </c>
      <c r="I989" t="str">
        <f t="shared" si="168"/>
        <v/>
      </c>
      <c r="J989" t="str">
        <f t="shared" si="169"/>
        <v/>
      </c>
      <c r="K989" t="str">
        <f t="shared" si="170"/>
        <v/>
      </c>
      <c r="L989" t="str">
        <f t="shared" si="171"/>
        <v/>
      </c>
      <c r="M989" t="str">
        <f t="shared" si="172"/>
        <v/>
      </c>
      <c r="N989" t="str">
        <f t="shared" si="173"/>
        <v/>
      </c>
      <c r="O989" t="str">
        <f t="shared" si="174"/>
        <v/>
      </c>
      <c r="P989" t="str" cm="1">
        <f t="array" ref="P989">IF($N989="","",IFERROR(IF(INDEX(geo_grid!$B$2:$JU$231,INT(($N989+40)/0.5)+1,INT(($O989+30)/0.5)+1)="","",INDEX(geo_grid!$B$2:$JU$231,INT(($N989+40)/0.5)+1,INT(($O989+30)/0.5)+1)),"OUTSIDE GRID"))</f>
        <v/>
      </c>
      <c r="Q989" t="str">
        <f t="shared" si="175"/>
        <v/>
      </c>
    </row>
    <row r="990" spans="1:17" x14ac:dyDescent="0.3">
      <c r="A990">
        <f t="shared" si="165"/>
        <v>7</v>
      </c>
      <c r="B990">
        <f t="shared" si="166"/>
        <v>82</v>
      </c>
      <c r="C990" t="str" cm="1">
        <f t="array" ref="C990">IFERROR(INDEX('TRIP MANAGER'!$O$18:$O$25,$A990),"")</f>
        <v/>
      </c>
      <c r="D990" t="str" cm="1">
        <f t="array" ref="D990">IFERROR(INDEX('TRIP MANAGER'!$P$18:$P$25,$A990),"")</f>
        <v/>
      </c>
      <c r="E990" t="str" cm="1">
        <f t="array" ref="E990">IFERROR(INDEX('TRIP MANAGER'!$Q$18:$Q$25,$A990),"")</f>
        <v/>
      </c>
      <c r="F990" t="str" cm="1">
        <f t="array" ref="F990">IFERROR(INDEX('TRIP MANAGER'!$R$18:$R$25,$A990),"")</f>
        <v/>
      </c>
      <c r="G990" t="str" cm="1">
        <f t="array" ref="G990">IFERROR(INDEX('TRIP MANAGER'!$S$18:$S$25,$A990),"")</f>
        <v/>
      </c>
      <c r="H990">
        <f t="shared" si="167"/>
        <v>0.54666666666666663</v>
      </c>
      <c r="I990" t="str">
        <f t="shared" si="168"/>
        <v/>
      </c>
      <c r="J990" t="str">
        <f t="shared" si="169"/>
        <v/>
      </c>
      <c r="K990" t="str">
        <f t="shared" si="170"/>
        <v/>
      </c>
      <c r="L990" t="str">
        <f t="shared" si="171"/>
        <v/>
      </c>
      <c r="M990" t="str">
        <f t="shared" si="172"/>
        <v/>
      </c>
      <c r="N990" t="str">
        <f t="shared" si="173"/>
        <v/>
      </c>
      <c r="O990" t="str">
        <f t="shared" si="174"/>
        <v/>
      </c>
      <c r="P990" t="str" cm="1">
        <f t="array" ref="P990">IF($N990="","",IFERROR(IF(INDEX(geo_grid!$B$2:$JU$231,INT(($N990+40)/0.5)+1,INT(($O990+30)/0.5)+1)="","",INDEX(geo_grid!$B$2:$JU$231,INT(($N990+40)/0.5)+1,INT(($O990+30)/0.5)+1)),"OUTSIDE GRID"))</f>
        <v/>
      </c>
      <c r="Q990" t="str">
        <f t="shared" si="175"/>
        <v/>
      </c>
    </row>
    <row r="991" spans="1:17" x14ac:dyDescent="0.3">
      <c r="A991">
        <f t="shared" si="165"/>
        <v>7</v>
      </c>
      <c r="B991">
        <f t="shared" si="166"/>
        <v>83</v>
      </c>
      <c r="C991" t="str" cm="1">
        <f t="array" ref="C991">IFERROR(INDEX('TRIP MANAGER'!$O$18:$O$25,$A991),"")</f>
        <v/>
      </c>
      <c r="D991" t="str" cm="1">
        <f t="array" ref="D991">IFERROR(INDEX('TRIP MANAGER'!$P$18:$P$25,$A991),"")</f>
        <v/>
      </c>
      <c r="E991" t="str" cm="1">
        <f t="array" ref="E991">IFERROR(INDEX('TRIP MANAGER'!$Q$18:$Q$25,$A991),"")</f>
        <v/>
      </c>
      <c r="F991" t="str" cm="1">
        <f t="array" ref="F991">IFERROR(INDEX('TRIP MANAGER'!$R$18:$R$25,$A991),"")</f>
        <v/>
      </c>
      <c r="G991" t="str" cm="1">
        <f t="array" ref="G991">IFERROR(INDEX('TRIP MANAGER'!$S$18:$S$25,$A991),"")</f>
        <v/>
      </c>
      <c r="H991">
        <f t="shared" si="167"/>
        <v>0.55333333333333334</v>
      </c>
      <c r="I991" t="str">
        <f t="shared" si="168"/>
        <v/>
      </c>
      <c r="J991" t="str">
        <f t="shared" si="169"/>
        <v/>
      </c>
      <c r="K991" t="str">
        <f t="shared" si="170"/>
        <v/>
      </c>
      <c r="L991" t="str">
        <f t="shared" si="171"/>
        <v/>
      </c>
      <c r="M991" t="str">
        <f t="shared" si="172"/>
        <v/>
      </c>
      <c r="N991" t="str">
        <f t="shared" si="173"/>
        <v/>
      </c>
      <c r="O991" t="str">
        <f t="shared" si="174"/>
        <v/>
      </c>
      <c r="P991" t="str" cm="1">
        <f t="array" ref="P991">IF($N991="","",IFERROR(IF(INDEX(geo_grid!$B$2:$JU$231,INT(($N991+40)/0.5)+1,INT(($O991+30)/0.5)+1)="","",INDEX(geo_grid!$B$2:$JU$231,INT(($N991+40)/0.5)+1,INT(($O991+30)/0.5)+1)),"OUTSIDE GRID"))</f>
        <v/>
      </c>
      <c r="Q991" t="str">
        <f t="shared" si="175"/>
        <v/>
      </c>
    </row>
    <row r="992" spans="1:17" x14ac:dyDescent="0.3">
      <c r="A992">
        <f t="shared" si="165"/>
        <v>7</v>
      </c>
      <c r="B992">
        <f t="shared" si="166"/>
        <v>84</v>
      </c>
      <c r="C992" t="str" cm="1">
        <f t="array" ref="C992">IFERROR(INDEX('TRIP MANAGER'!$O$18:$O$25,$A992),"")</f>
        <v/>
      </c>
      <c r="D992" t="str" cm="1">
        <f t="array" ref="D992">IFERROR(INDEX('TRIP MANAGER'!$P$18:$P$25,$A992),"")</f>
        <v/>
      </c>
      <c r="E992" t="str" cm="1">
        <f t="array" ref="E992">IFERROR(INDEX('TRIP MANAGER'!$Q$18:$Q$25,$A992),"")</f>
        <v/>
      </c>
      <c r="F992" t="str" cm="1">
        <f t="array" ref="F992">IFERROR(INDEX('TRIP MANAGER'!$R$18:$R$25,$A992),"")</f>
        <v/>
      </c>
      <c r="G992" t="str" cm="1">
        <f t="array" ref="G992">IFERROR(INDEX('TRIP MANAGER'!$S$18:$S$25,$A992),"")</f>
        <v/>
      </c>
      <c r="H992">
        <f t="shared" si="167"/>
        <v>0.56000000000000005</v>
      </c>
      <c r="I992" t="str">
        <f t="shared" si="168"/>
        <v/>
      </c>
      <c r="J992" t="str">
        <f t="shared" si="169"/>
        <v/>
      </c>
      <c r="K992" t="str">
        <f t="shared" si="170"/>
        <v/>
      </c>
      <c r="L992" t="str">
        <f t="shared" si="171"/>
        <v/>
      </c>
      <c r="M992" t="str">
        <f t="shared" si="172"/>
        <v/>
      </c>
      <c r="N992" t="str">
        <f t="shared" si="173"/>
        <v/>
      </c>
      <c r="O992" t="str">
        <f t="shared" si="174"/>
        <v/>
      </c>
      <c r="P992" t="str" cm="1">
        <f t="array" ref="P992">IF($N992="","",IFERROR(IF(INDEX(geo_grid!$B$2:$JU$231,INT(($N992+40)/0.5)+1,INT(($O992+30)/0.5)+1)="","",INDEX(geo_grid!$B$2:$JU$231,INT(($N992+40)/0.5)+1,INT(($O992+30)/0.5)+1)),"OUTSIDE GRID"))</f>
        <v/>
      </c>
      <c r="Q992" t="str">
        <f t="shared" si="175"/>
        <v/>
      </c>
    </row>
    <row r="993" spans="1:17" x14ac:dyDescent="0.3">
      <c r="A993">
        <f t="shared" si="165"/>
        <v>7</v>
      </c>
      <c r="B993">
        <f t="shared" si="166"/>
        <v>85</v>
      </c>
      <c r="C993" t="str" cm="1">
        <f t="array" ref="C993">IFERROR(INDEX('TRIP MANAGER'!$O$18:$O$25,$A993),"")</f>
        <v/>
      </c>
      <c r="D993" t="str" cm="1">
        <f t="array" ref="D993">IFERROR(INDEX('TRIP MANAGER'!$P$18:$P$25,$A993),"")</f>
        <v/>
      </c>
      <c r="E993" t="str" cm="1">
        <f t="array" ref="E993">IFERROR(INDEX('TRIP MANAGER'!$Q$18:$Q$25,$A993),"")</f>
        <v/>
      </c>
      <c r="F993" t="str" cm="1">
        <f t="array" ref="F993">IFERROR(INDEX('TRIP MANAGER'!$R$18:$R$25,$A993),"")</f>
        <v/>
      </c>
      <c r="G993" t="str" cm="1">
        <f t="array" ref="G993">IFERROR(INDEX('TRIP MANAGER'!$S$18:$S$25,$A993),"")</f>
        <v/>
      </c>
      <c r="H993">
        <f t="shared" si="167"/>
        <v>0.56666666666666665</v>
      </c>
      <c r="I993" t="str">
        <f t="shared" si="168"/>
        <v/>
      </c>
      <c r="J993" t="str">
        <f t="shared" si="169"/>
        <v/>
      </c>
      <c r="K993" t="str">
        <f t="shared" si="170"/>
        <v/>
      </c>
      <c r="L993" t="str">
        <f t="shared" si="171"/>
        <v/>
      </c>
      <c r="M993" t="str">
        <f t="shared" si="172"/>
        <v/>
      </c>
      <c r="N993" t="str">
        <f t="shared" si="173"/>
        <v/>
      </c>
      <c r="O993" t="str">
        <f t="shared" si="174"/>
        <v/>
      </c>
      <c r="P993" t="str" cm="1">
        <f t="array" ref="P993">IF($N993="","",IFERROR(IF(INDEX(geo_grid!$B$2:$JU$231,INT(($N993+40)/0.5)+1,INT(($O993+30)/0.5)+1)="","",INDEX(geo_grid!$B$2:$JU$231,INT(($N993+40)/0.5)+1,INT(($O993+30)/0.5)+1)),"OUTSIDE GRID"))</f>
        <v/>
      </c>
      <c r="Q993" t="str">
        <f t="shared" si="175"/>
        <v/>
      </c>
    </row>
    <row r="994" spans="1:17" x14ac:dyDescent="0.3">
      <c r="A994">
        <f t="shared" si="165"/>
        <v>7</v>
      </c>
      <c r="B994">
        <f t="shared" si="166"/>
        <v>86</v>
      </c>
      <c r="C994" t="str" cm="1">
        <f t="array" ref="C994">IFERROR(INDEX('TRIP MANAGER'!$O$18:$O$25,$A994),"")</f>
        <v/>
      </c>
      <c r="D994" t="str" cm="1">
        <f t="array" ref="D994">IFERROR(INDEX('TRIP MANAGER'!$P$18:$P$25,$A994),"")</f>
        <v/>
      </c>
      <c r="E994" t="str" cm="1">
        <f t="array" ref="E994">IFERROR(INDEX('TRIP MANAGER'!$Q$18:$Q$25,$A994),"")</f>
        <v/>
      </c>
      <c r="F994" t="str" cm="1">
        <f t="array" ref="F994">IFERROR(INDEX('TRIP MANAGER'!$R$18:$R$25,$A994),"")</f>
        <v/>
      </c>
      <c r="G994" t="str" cm="1">
        <f t="array" ref="G994">IFERROR(INDEX('TRIP MANAGER'!$S$18:$S$25,$A994),"")</f>
        <v/>
      </c>
      <c r="H994">
        <f t="shared" si="167"/>
        <v>0.57333333333333336</v>
      </c>
      <c r="I994" t="str">
        <f t="shared" si="168"/>
        <v/>
      </c>
      <c r="J994" t="str">
        <f t="shared" si="169"/>
        <v/>
      </c>
      <c r="K994" t="str">
        <f t="shared" si="170"/>
        <v/>
      </c>
      <c r="L994" t="str">
        <f t="shared" si="171"/>
        <v/>
      </c>
      <c r="M994" t="str">
        <f t="shared" si="172"/>
        <v/>
      </c>
      <c r="N994" t="str">
        <f t="shared" si="173"/>
        <v/>
      </c>
      <c r="O994" t="str">
        <f t="shared" si="174"/>
        <v/>
      </c>
      <c r="P994" t="str" cm="1">
        <f t="array" ref="P994">IF($N994="","",IFERROR(IF(INDEX(geo_grid!$B$2:$JU$231,INT(($N994+40)/0.5)+1,INT(($O994+30)/0.5)+1)="","",INDEX(geo_grid!$B$2:$JU$231,INT(($N994+40)/0.5)+1,INT(($O994+30)/0.5)+1)),"OUTSIDE GRID"))</f>
        <v/>
      </c>
      <c r="Q994" t="str">
        <f t="shared" si="175"/>
        <v/>
      </c>
    </row>
    <row r="995" spans="1:17" x14ac:dyDescent="0.3">
      <c r="A995">
        <f t="shared" si="165"/>
        <v>7</v>
      </c>
      <c r="B995">
        <f t="shared" si="166"/>
        <v>87</v>
      </c>
      <c r="C995" t="str" cm="1">
        <f t="array" ref="C995">IFERROR(INDEX('TRIP MANAGER'!$O$18:$O$25,$A995),"")</f>
        <v/>
      </c>
      <c r="D995" t="str" cm="1">
        <f t="array" ref="D995">IFERROR(INDEX('TRIP MANAGER'!$P$18:$P$25,$A995),"")</f>
        <v/>
      </c>
      <c r="E995" t="str" cm="1">
        <f t="array" ref="E995">IFERROR(INDEX('TRIP MANAGER'!$Q$18:$Q$25,$A995),"")</f>
        <v/>
      </c>
      <c r="F995" t="str" cm="1">
        <f t="array" ref="F995">IFERROR(INDEX('TRIP MANAGER'!$R$18:$R$25,$A995),"")</f>
        <v/>
      </c>
      <c r="G995" t="str" cm="1">
        <f t="array" ref="G995">IFERROR(INDEX('TRIP MANAGER'!$S$18:$S$25,$A995),"")</f>
        <v/>
      </c>
      <c r="H995">
        <f t="shared" si="167"/>
        <v>0.57999999999999996</v>
      </c>
      <c r="I995" t="str">
        <f t="shared" si="168"/>
        <v/>
      </c>
      <c r="J995" t="str">
        <f t="shared" si="169"/>
        <v/>
      </c>
      <c r="K995" t="str">
        <f t="shared" si="170"/>
        <v/>
      </c>
      <c r="L995" t="str">
        <f t="shared" si="171"/>
        <v/>
      </c>
      <c r="M995" t="str">
        <f t="shared" si="172"/>
        <v/>
      </c>
      <c r="N995" t="str">
        <f t="shared" si="173"/>
        <v/>
      </c>
      <c r="O995" t="str">
        <f t="shared" si="174"/>
        <v/>
      </c>
      <c r="P995" t="str" cm="1">
        <f t="array" ref="P995">IF($N995="","",IFERROR(IF(INDEX(geo_grid!$B$2:$JU$231,INT(($N995+40)/0.5)+1,INT(($O995+30)/0.5)+1)="","",INDEX(geo_grid!$B$2:$JU$231,INT(($N995+40)/0.5)+1,INT(($O995+30)/0.5)+1)),"OUTSIDE GRID"))</f>
        <v/>
      </c>
      <c r="Q995" t="str">
        <f t="shared" si="175"/>
        <v/>
      </c>
    </row>
    <row r="996" spans="1:17" x14ac:dyDescent="0.3">
      <c r="A996">
        <f t="shared" si="165"/>
        <v>7</v>
      </c>
      <c r="B996">
        <f t="shared" si="166"/>
        <v>88</v>
      </c>
      <c r="C996" t="str" cm="1">
        <f t="array" ref="C996">IFERROR(INDEX('TRIP MANAGER'!$O$18:$O$25,$A996),"")</f>
        <v/>
      </c>
      <c r="D996" t="str" cm="1">
        <f t="array" ref="D996">IFERROR(INDEX('TRIP MANAGER'!$P$18:$P$25,$A996),"")</f>
        <v/>
      </c>
      <c r="E996" t="str" cm="1">
        <f t="array" ref="E996">IFERROR(INDEX('TRIP MANAGER'!$Q$18:$Q$25,$A996),"")</f>
        <v/>
      </c>
      <c r="F996" t="str" cm="1">
        <f t="array" ref="F996">IFERROR(INDEX('TRIP MANAGER'!$R$18:$R$25,$A996),"")</f>
        <v/>
      </c>
      <c r="G996" t="str" cm="1">
        <f t="array" ref="G996">IFERROR(INDEX('TRIP MANAGER'!$S$18:$S$25,$A996),"")</f>
        <v/>
      </c>
      <c r="H996">
        <f t="shared" si="167"/>
        <v>0.58666666666666667</v>
      </c>
      <c r="I996" t="str">
        <f t="shared" si="168"/>
        <v/>
      </c>
      <c r="J996" t="str">
        <f t="shared" si="169"/>
        <v/>
      </c>
      <c r="K996" t="str">
        <f t="shared" si="170"/>
        <v/>
      </c>
      <c r="L996" t="str">
        <f t="shared" si="171"/>
        <v/>
      </c>
      <c r="M996" t="str">
        <f t="shared" si="172"/>
        <v/>
      </c>
      <c r="N996" t="str">
        <f t="shared" si="173"/>
        <v/>
      </c>
      <c r="O996" t="str">
        <f t="shared" si="174"/>
        <v/>
      </c>
      <c r="P996" t="str" cm="1">
        <f t="array" ref="P996">IF($N996="","",IFERROR(IF(INDEX(geo_grid!$B$2:$JU$231,INT(($N996+40)/0.5)+1,INT(($O996+30)/0.5)+1)="","",INDEX(geo_grid!$B$2:$JU$231,INT(($N996+40)/0.5)+1,INT(($O996+30)/0.5)+1)),"OUTSIDE GRID"))</f>
        <v/>
      </c>
      <c r="Q996" t="str">
        <f t="shared" si="175"/>
        <v/>
      </c>
    </row>
    <row r="997" spans="1:17" x14ac:dyDescent="0.3">
      <c r="A997">
        <f t="shared" si="165"/>
        <v>7</v>
      </c>
      <c r="B997">
        <f t="shared" si="166"/>
        <v>89</v>
      </c>
      <c r="C997" t="str" cm="1">
        <f t="array" ref="C997">IFERROR(INDEX('TRIP MANAGER'!$O$18:$O$25,$A997),"")</f>
        <v/>
      </c>
      <c r="D997" t="str" cm="1">
        <f t="array" ref="D997">IFERROR(INDEX('TRIP MANAGER'!$P$18:$P$25,$A997),"")</f>
        <v/>
      </c>
      <c r="E997" t="str" cm="1">
        <f t="array" ref="E997">IFERROR(INDEX('TRIP MANAGER'!$Q$18:$Q$25,$A997),"")</f>
        <v/>
      </c>
      <c r="F997" t="str" cm="1">
        <f t="array" ref="F997">IFERROR(INDEX('TRIP MANAGER'!$R$18:$R$25,$A997),"")</f>
        <v/>
      </c>
      <c r="G997" t="str" cm="1">
        <f t="array" ref="G997">IFERROR(INDEX('TRIP MANAGER'!$S$18:$S$25,$A997),"")</f>
        <v/>
      </c>
      <c r="H997">
        <f t="shared" si="167"/>
        <v>0.59333333333333338</v>
      </c>
      <c r="I997" t="str">
        <f t="shared" si="168"/>
        <v/>
      </c>
      <c r="J997" t="str">
        <f t="shared" si="169"/>
        <v/>
      </c>
      <c r="K997" t="str">
        <f t="shared" si="170"/>
        <v/>
      </c>
      <c r="L997" t="str">
        <f t="shared" si="171"/>
        <v/>
      </c>
      <c r="M997" t="str">
        <f t="shared" si="172"/>
        <v/>
      </c>
      <c r="N997" t="str">
        <f t="shared" si="173"/>
        <v/>
      </c>
      <c r="O997" t="str">
        <f t="shared" si="174"/>
        <v/>
      </c>
      <c r="P997" t="str" cm="1">
        <f t="array" ref="P997">IF($N997="","",IFERROR(IF(INDEX(geo_grid!$B$2:$JU$231,INT(($N997+40)/0.5)+1,INT(($O997+30)/0.5)+1)="","",INDEX(geo_grid!$B$2:$JU$231,INT(($N997+40)/0.5)+1,INT(($O997+30)/0.5)+1)),"OUTSIDE GRID"))</f>
        <v/>
      </c>
      <c r="Q997" t="str">
        <f t="shared" si="175"/>
        <v/>
      </c>
    </row>
    <row r="998" spans="1:17" x14ac:dyDescent="0.3">
      <c r="A998">
        <f t="shared" si="165"/>
        <v>7</v>
      </c>
      <c r="B998">
        <f t="shared" si="166"/>
        <v>90</v>
      </c>
      <c r="C998" t="str" cm="1">
        <f t="array" ref="C998">IFERROR(INDEX('TRIP MANAGER'!$O$18:$O$25,$A998),"")</f>
        <v/>
      </c>
      <c r="D998" t="str" cm="1">
        <f t="array" ref="D998">IFERROR(INDEX('TRIP MANAGER'!$P$18:$P$25,$A998),"")</f>
        <v/>
      </c>
      <c r="E998" t="str" cm="1">
        <f t="array" ref="E998">IFERROR(INDEX('TRIP MANAGER'!$Q$18:$Q$25,$A998),"")</f>
        <v/>
      </c>
      <c r="F998" t="str" cm="1">
        <f t="array" ref="F998">IFERROR(INDEX('TRIP MANAGER'!$R$18:$R$25,$A998),"")</f>
        <v/>
      </c>
      <c r="G998" t="str" cm="1">
        <f t="array" ref="G998">IFERROR(INDEX('TRIP MANAGER'!$S$18:$S$25,$A998),"")</f>
        <v/>
      </c>
      <c r="H998">
        <f t="shared" si="167"/>
        <v>0.6</v>
      </c>
      <c r="I998" t="str">
        <f t="shared" si="168"/>
        <v/>
      </c>
      <c r="J998" t="str">
        <f t="shared" si="169"/>
        <v/>
      </c>
      <c r="K998" t="str">
        <f t="shared" si="170"/>
        <v/>
      </c>
      <c r="L998" t="str">
        <f t="shared" si="171"/>
        <v/>
      </c>
      <c r="M998" t="str">
        <f t="shared" si="172"/>
        <v/>
      </c>
      <c r="N998" t="str">
        <f t="shared" si="173"/>
        <v/>
      </c>
      <c r="O998" t="str">
        <f t="shared" si="174"/>
        <v/>
      </c>
      <c r="P998" t="str" cm="1">
        <f t="array" ref="P998">IF($N998="","",IFERROR(IF(INDEX(geo_grid!$B$2:$JU$231,INT(($N998+40)/0.5)+1,INT(($O998+30)/0.5)+1)="","",INDEX(geo_grid!$B$2:$JU$231,INT(($N998+40)/0.5)+1,INT(($O998+30)/0.5)+1)),"OUTSIDE GRID"))</f>
        <v/>
      </c>
      <c r="Q998" t="str">
        <f t="shared" si="175"/>
        <v/>
      </c>
    </row>
    <row r="999" spans="1:17" x14ac:dyDescent="0.3">
      <c r="A999">
        <f t="shared" si="165"/>
        <v>7</v>
      </c>
      <c r="B999">
        <f t="shared" si="166"/>
        <v>91</v>
      </c>
      <c r="C999" t="str" cm="1">
        <f t="array" ref="C999">IFERROR(INDEX('TRIP MANAGER'!$O$18:$O$25,$A999),"")</f>
        <v/>
      </c>
      <c r="D999" t="str" cm="1">
        <f t="array" ref="D999">IFERROR(INDEX('TRIP MANAGER'!$P$18:$P$25,$A999),"")</f>
        <v/>
      </c>
      <c r="E999" t="str" cm="1">
        <f t="array" ref="E999">IFERROR(INDEX('TRIP MANAGER'!$Q$18:$Q$25,$A999),"")</f>
        <v/>
      </c>
      <c r="F999" t="str" cm="1">
        <f t="array" ref="F999">IFERROR(INDEX('TRIP MANAGER'!$R$18:$R$25,$A999),"")</f>
        <v/>
      </c>
      <c r="G999" t="str" cm="1">
        <f t="array" ref="G999">IFERROR(INDEX('TRIP MANAGER'!$S$18:$S$25,$A999),"")</f>
        <v/>
      </c>
      <c r="H999">
        <f t="shared" si="167"/>
        <v>0.60666666666666669</v>
      </c>
      <c r="I999" t="str">
        <f t="shared" si="168"/>
        <v/>
      </c>
      <c r="J999" t="str">
        <f t="shared" si="169"/>
        <v/>
      </c>
      <c r="K999" t="str">
        <f t="shared" si="170"/>
        <v/>
      </c>
      <c r="L999" t="str">
        <f t="shared" si="171"/>
        <v/>
      </c>
      <c r="M999" t="str">
        <f t="shared" si="172"/>
        <v/>
      </c>
      <c r="N999" t="str">
        <f t="shared" si="173"/>
        <v/>
      </c>
      <c r="O999" t="str">
        <f t="shared" si="174"/>
        <v/>
      </c>
      <c r="P999" t="str" cm="1">
        <f t="array" ref="P999">IF($N999="","",IFERROR(IF(INDEX(geo_grid!$B$2:$JU$231,INT(($N999+40)/0.5)+1,INT(($O999+30)/0.5)+1)="","",INDEX(geo_grid!$B$2:$JU$231,INT(($N999+40)/0.5)+1,INT(($O999+30)/0.5)+1)),"OUTSIDE GRID"))</f>
        <v/>
      </c>
      <c r="Q999" t="str">
        <f t="shared" si="175"/>
        <v/>
      </c>
    </row>
    <row r="1000" spans="1:17" x14ac:dyDescent="0.3">
      <c r="A1000">
        <f t="shared" si="165"/>
        <v>7</v>
      </c>
      <c r="B1000">
        <f t="shared" si="166"/>
        <v>92</v>
      </c>
      <c r="C1000" t="str" cm="1">
        <f t="array" ref="C1000">IFERROR(INDEX('TRIP MANAGER'!$O$18:$O$25,$A1000),"")</f>
        <v/>
      </c>
      <c r="D1000" t="str" cm="1">
        <f t="array" ref="D1000">IFERROR(INDEX('TRIP MANAGER'!$P$18:$P$25,$A1000),"")</f>
        <v/>
      </c>
      <c r="E1000" t="str" cm="1">
        <f t="array" ref="E1000">IFERROR(INDEX('TRIP MANAGER'!$Q$18:$Q$25,$A1000),"")</f>
        <v/>
      </c>
      <c r="F1000" t="str" cm="1">
        <f t="array" ref="F1000">IFERROR(INDEX('TRIP MANAGER'!$R$18:$R$25,$A1000),"")</f>
        <v/>
      </c>
      <c r="G1000" t="str" cm="1">
        <f t="array" ref="G1000">IFERROR(INDEX('TRIP MANAGER'!$S$18:$S$25,$A1000),"")</f>
        <v/>
      </c>
      <c r="H1000">
        <f t="shared" si="167"/>
        <v>0.61333333333333329</v>
      </c>
      <c r="I1000" t="str">
        <f t="shared" si="168"/>
        <v/>
      </c>
      <c r="J1000" t="str">
        <f t="shared" si="169"/>
        <v/>
      </c>
      <c r="K1000" t="str">
        <f t="shared" si="170"/>
        <v/>
      </c>
      <c r="L1000" t="str">
        <f t="shared" si="171"/>
        <v/>
      </c>
      <c r="M1000" t="str">
        <f t="shared" si="172"/>
        <v/>
      </c>
      <c r="N1000" t="str">
        <f t="shared" si="173"/>
        <v/>
      </c>
      <c r="O1000" t="str">
        <f t="shared" si="174"/>
        <v/>
      </c>
      <c r="P1000" t="str" cm="1">
        <f t="array" ref="P1000">IF($N1000="","",IFERROR(IF(INDEX(geo_grid!$B$2:$JU$231,INT(($N1000+40)/0.5)+1,INT(($O1000+30)/0.5)+1)="","",INDEX(geo_grid!$B$2:$JU$231,INT(($N1000+40)/0.5)+1,INT(($O1000+30)/0.5)+1)),"OUTSIDE GRID"))</f>
        <v/>
      </c>
      <c r="Q1000" t="str">
        <f t="shared" si="175"/>
        <v/>
      </c>
    </row>
    <row r="1001" spans="1:17" x14ac:dyDescent="0.3">
      <c r="A1001">
        <f t="shared" si="165"/>
        <v>7</v>
      </c>
      <c r="B1001">
        <f t="shared" si="166"/>
        <v>93</v>
      </c>
      <c r="C1001" t="str" cm="1">
        <f t="array" ref="C1001">IFERROR(INDEX('TRIP MANAGER'!$O$18:$O$25,$A1001),"")</f>
        <v/>
      </c>
      <c r="D1001" t="str" cm="1">
        <f t="array" ref="D1001">IFERROR(INDEX('TRIP MANAGER'!$P$18:$P$25,$A1001),"")</f>
        <v/>
      </c>
      <c r="E1001" t="str" cm="1">
        <f t="array" ref="E1001">IFERROR(INDEX('TRIP MANAGER'!$Q$18:$Q$25,$A1001),"")</f>
        <v/>
      </c>
      <c r="F1001" t="str" cm="1">
        <f t="array" ref="F1001">IFERROR(INDEX('TRIP MANAGER'!$R$18:$R$25,$A1001),"")</f>
        <v/>
      </c>
      <c r="G1001" t="str" cm="1">
        <f t="array" ref="G1001">IFERROR(INDEX('TRIP MANAGER'!$S$18:$S$25,$A1001),"")</f>
        <v/>
      </c>
      <c r="H1001">
        <f t="shared" si="167"/>
        <v>0.62</v>
      </c>
      <c r="I1001" t="str">
        <f t="shared" si="168"/>
        <v/>
      </c>
      <c r="J1001" t="str">
        <f t="shared" si="169"/>
        <v/>
      </c>
      <c r="K1001" t="str">
        <f t="shared" si="170"/>
        <v/>
      </c>
      <c r="L1001" t="str">
        <f t="shared" si="171"/>
        <v/>
      </c>
      <c r="M1001" t="str">
        <f t="shared" si="172"/>
        <v/>
      </c>
      <c r="N1001" t="str">
        <f t="shared" si="173"/>
        <v/>
      </c>
      <c r="O1001" t="str">
        <f t="shared" si="174"/>
        <v/>
      </c>
      <c r="P1001" t="str" cm="1">
        <f t="array" ref="P1001">IF($N1001="","",IFERROR(IF(INDEX(geo_grid!$B$2:$JU$231,INT(($N1001+40)/0.5)+1,INT(($O1001+30)/0.5)+1)="","",INDEX(geo_grid!$B$2:$JU$231,INT(($N1001+40)/0.5)+1,INT(($O1001+30)/0.5)+1)),"OUTSIDE GRID"))</f>
        <v/>
      </c>
      <c r="Q1001" t="str">
        <f t="shared" si="175"/>
        <v/>
      </c>
    </row>
    <row r="1002" spans="1:17" x14ac:dyDescent="0.3">
      <c r="A1002">
        <f t="shared" si="165"/>
        <v>7</v>
      </c>
      <c r="B1002">
        <f t="shared" si="166"/>
        <v>94</v>
      </c>
      <c r="C1002" t="str" cm="1">
        <f t="array" ref="C1002">IFERROR(INDEX('TRIP MANAGER'!$O$18:$O$25,$A1002),"")</f>
        <v/>
      </c>
      <c r="D1002" t="str" cm="1">
        <f t="array" ref="D1002">IFERROR(INDEX('TRIP MANAGER'!$P$18:$P$25,$A1002),"")</f>
        <v/>
      </c>
      <c r="E1002" t="str" cm="1">
        <f t="array" ref="E1002">IFERROR(INDEX('TRIP MANAGER'!$Q$18:$Q$25,$A1002),"")</f>
        <v/>
      </c>
      <c r="F1002" t="str" cm="1">
        <f t="array" ref="F1002">IFERROR(INDEX('TRIP MANAGER'!$R$18:$R$25,$A1002),"")</f>
        <v/>
      </c>
      <c r="G1002" t="str" cm="1">
        <f t="array" ref="G1002">IFERROR(INDEX('TRIP MANAGER'!$S$18:$S$25,$A1002),"")</f>
        <v/>
      </c>
      <c r="H1002">
        <f t="shared" si="167"/>
        <v>0.62666666666666671</v>
      </c>
      <c r="I1002" t="str">
        <f t="shared" si="168"/>
        <v/>
      </c>
      <c r="J1002" t="str">
        <f t="shared" si="169"/>
        <v/>
      </c>
      <c r="K1002" t="str">
        <f t="shared" si="170"/>
        <v/>
      </c>
      <c r="L1002" t="str">
        <f t="shared" si="171"/>
        <v/>
      </c>
      <c r="M1002" t="str">
        <f t="shared" si="172"/>
        <v/>
      </c>
      <c r="N1002" t="str">
        <f t="shared" si="173"/>
        <v/>
      </c>
      <c r="O1002" t="str">
        <f t="shared" si="174"/>
        <v/>
      </c>
      <c r="P1002" t="str" cm="1">
        <f t="array" ref="P1002">IF($N1002="","",IFERROR(IF(INDEX(geo_grid!$B$2:$JU$231,INT(($N1002+40)/0.5)+1,INT(($O1002+30)/0.5)+1)="","",INDEX(geo_grid!$B$2:$JU$231,INT(($N1002+40)/0.5)+1,INT(($O1002+30)/0.5)+1)),"OUTSIDE GRID"))</f>
        <v/>
      </c>
      <c r="Q1002" t="str">
        <f t="shared" si="175"/>
        <v/>
      </c>
    </row>
    <row r="1003" spans="1:17" x14ac:dyDescent="0.3">
      <c r="A1003">
        <f t="shared" si="165"/>
        <v>7</v>
      </c>
      <c r="B1003">
        <f t="shared" si="166"/>
        <v>95</v>
      </c>
      <c r="C1003" t="str" cm="1">
        <f t="array" ref="C1003">IFERROR(INDEX('TRIP MANAGER'!$O$18:$O$25,$A1003),"")</f>
        <v/>
      </c>
      <c r="D1003" t="str" cm="1">
        <f t="array" ref="D1003">IFERROR(INDEX('TRIP MANAGER'!$P$18:$P$25,$A1003),"")</f>
        <v/>
      </c>
      <c r="E1003" t="str" cm="1">
        <f t="array" ref="E1003">IFERROR(INDEX('TRIP MANAGER'!$Q$18:$Q$25,$A1003),"")</f>
        <v/>
      </c>
      <c r="F1003" t="str" cm="1">
        <f t="array" ref="F1003">IFERROR(INDEX('TRIP MANAGER'!$R$18:$R$25,$A1003),"")</f>
        <v/>
      </c>
      <c r="G1003" t="str" cm="1">
        <f t="array" ref="G1003">IFERROR(INDEX('TRIP MANAGER'!$S$18:$S$25,$A1003),"")</f>
        <v/>
      </c>
      <c r="H1003">
        <f t="shared" si="167"/>
        <v>0.6333333333333333</v>
      </c>
      <c r="I1003" t="str">
        <f t="shared" si="168"/>
        <v/>
      </c>
      <c r="J1003" t="str">
        <f t="shared" si="169"/>
        <v/>
      </c>
      <c r="K1003" t="str">
        <f t="shared" si="170"/>
        <v/>
      </c>
      <c r="L1003" t="str">
        <f t="shared" si="171"/>
        <v/>
      </c>
      <c r="M1003" t="str">
        <f t="shared" si="172"/>
        <v/>
      </c>
      <c r="N1003" t="str">
        <f t="shared" si="173"/>
        <v/>
      </c>
      <c r="O1003" t="str">
        <f t="shared" si="174"/>
        <v/>
      </c>
      <c r="P1003" t="str" cm="1">
        <f t="array" ref="P1003">IF($N1003="","",IFERROR(IF(INDEX(geo_grid!$B$2:$JU$231,INT(($N1003+40)/0.5)+1,INT(($O1003+30)/0.5)+1)="","",INDEX(geo_grid!$B$2:$JU$231,INT(($N1003+40)/0.5)+1,INT(($O1003+30)/0.5)+1)),"OUTSIDE GRID"))</f>
        <v/>
      </c>
      <c r="Q1003" t="str">
        <f t="shared" si="175"/>
        <v/>
      </c>
    </row>
    <row r="1004" spans="1:17" x14ac:dyDescent="0.3">
      <c r="A1004">
        <f t="shared" si="165"/>
        <v>7</v>
      </c>
      <c r="B1004">
        <f t="shared" si="166"/>
        <v>96</v>
      </c>
      <c r="C1004" t="str" cm="1">
        <f t="array" ref="C1004">IFERROR(INDEX('TRIP MANAGER'!$O$18:$O$25,$A1004),"")</f>
        <v/>
      </c>
      <c r="D1004" t="str" cm="1">
        <f t="array" ref="D1004">IFERROR(INDEX('TRIP MANAGER'!$P$18:$P$25,$A1004),"")</f>
        <v/>
      </c>
      <c r="E1004" t="str" cm="1">
        <f t="array" ref="E1004">IFERROR(INDEX('TRIP MANAGER'!$Q$18:$Q$25,$A1004),"")</f>
        <v/>
      </c>
      <c r="F1004" t="str" cm="1">
        <f t="array" ref="F1004">IFERROR(INDEX('TRIP MANAGER'!$R$18:$R$25,$A1004),"")</f>
        <v/>
      </c>
      <c r="G1004" t="str" cm="1">
        <f t="array" ref="G1004">IFERROR(INDEX('TRIP MANAGER'!$S$18:$S$25,$A1004),"")</f>
        <v/>
      </c>
      <c r="H1004">
        <f t="shared" si="167"/>
        <v>0.64</v>
      </c>
      <c r="I1004" t="str">
        <f t="shared" si="168"/>
        <v/>
      </c>
      <c r="J1004" t="str">
        <f t="shared" si="169"/>
        <v/>
      </c>
      <c r="K1004" t="str">
        <f t="shared" si="170"/>
        <v/>
      </c>
      <c r="L1004" t="str">
        <f t="shared" si="171"/>
        <v/>
      </c>
      <c r="M1004" t="str">
        <f t="shared" si="172"/>
        <v/>
      </c>
      <c r="N1004" t="str">
        <f t="shared" si="173"/>
        <v/>
      </c>
      <c r="O1004" t="str">
        <f t="shared" si="174"/>
        <v/>
      </c>
      <c r="P1004" t="str" cm="1">
        <f t="array" ref="P1004">IF($N1004="","",IFERROR(IF(INDEX(geo_grid!$B$2:$JU$231,INT(($N1004+40)/0.5)+1,INT(($O1004+30)/0.5)+1)="","",INDEX(geo_grid!$B$2:$JU$231,INT(($N1004+40)/0.5)+1,INT(($O1004+30)/0.5)+1)),"OUTSIDE GRID"))</f>
        <v/>
      </c>
      <c r="Q1004" t="str">
        <f t="shared" si="175"/>
        <v/>
      </c>
    </row>
    <row r="1005" spans="1:17" x14ac:dyDescent="0.3">
      <c r="A1005">
        <f t="shared" si="165"/>
        <v>7</v>
      </c>
      <c r="B1005">
        <f t="shared" si="166"/>
        <v>97</v>
      </c>
      <c r="C1005" t="str" cm="1">
        <f t="array" ref="C1005">IFERROR(INDEX('TRIP MANAGER'!$O$18:$O$25,$A1005),"")</f>
        <v/>
      </c>
      <c r="D1005" t="str" cm="1">
        <f t="array" ref="D1005">IFERROR(INDEX('TRIP MANAGER'!$P$18:$P$25,$A1005),"")</f>
        <v/>
      </c>
      <c r="E1005" t="str" cm="1">
        <f t="array" ref="E1005">IFERROR(INDEX('TRIP MANAGER'!$Q$18:$Q$25,$A1005),"")</f>
        <v/>
      </c>
      <c r="F1005" t="str" cm="1">
        <f t="array" ref="F1005">IFERROR(INDEX('TRIP MANAGER'!$R$18:$R$25,$A1005),"")</f>
        <v/>
      </c>
      <c r="G1005" t="str" cm="1">
        <f t="array" ref="G1005">IFERROR(INDEX('TRIP MANAGER'!$S$18:$S$25,$A1005),"")</f>
        <v/>
      </c>
      <c r="H1005">
        <f t="shared" si="167"/>
        <v>0.64666666666666661</v>
      </c>
      <c r="I1005" t="str">
        <f t="shared" si="168"/>
        <v/>
      </c>
      <c r="J1005" t="str">
        <f t="shared" si="169"/>
        <v/>
      </c>
      <c r="K1005" t="str">
        <f t="shared" si="170"/>
        <v/>
      </c>
      <c r="L1005" t="str">
        <f t="shared" si="171"/>
        <v/>
      </c>
      <c r="M1005" t="str">
        <f t="shared" si="172"/>
        <v/>
      </c>
      <c r="N1005" t="str">
        <f t="shared" si="173"/>
        <v/>
      </c>
      <c r="O1005" t="str">
        <f t="shared" si="174"/>
        <v/>
      </c>
      <c r="P1005" t="str" cm="1">
        <f t="array" ref="P1005">IF($N1005="","",IFERROR(IF(INDEX(geo_grid!$B$2:$JU$231,INT(($N1005+40)/0.5)+1,INT(($O1005+30)/0.5)+1)="","",INDEX(geo_grid!$B$2:$JU$231,INT(($N1005+40)/0.5)+1,INT(($O1005+30)/0.5)+1)),"OUTSIDE GRID"))</f>
        <v/>
      </c>
      <c r="Q1005" t="str">
        <f t="shared" si="175"/>
        <v/>
      </c>
    </row>
    <row r="1006" spans="1:17" x14ac:dyDescent="0.3">
      <c r="A1006">
        <f t="shared" si="165"/>
        <v>7</v>
      </c>
      <c r="B1006">
        <f t="shared" si="166"/>
        <v>98</v>
      </c>
      <c r="C1006" t="str" cm="1">
        <f t="array" ref="C1006">IFERROR(INDEX('TRIP MANAGER'!$O$18:$O$25,$A1006),"")</f>
        <v/>
      </c>
      <c r="D1006" t="str" cm="1">
        <f t="array" ref="D1006">IFERROR(INDEX('TRIP MANAGER'!$P$18:$P$25,$A1006),"")</f>
        <v/>
      </c>
      <c r="E1006" t="str" cm="1">
        <f t="array" ref="E1006">IFERROR(INDEX('TRIP MANAGER'!$Q$18:$Q$25,$A1006),"")</f>
        <v/>
      </c>
      <c r="F1006" t="str" cm="1">
        <f t="array" ref="F1006">IFERROR(INDEX('TRIP MANAGER'!$R$18:$R$25,$A1006),"")</f>
        <v/>
      </c>
      <c r="G1006" t="str" cm="1">
        <f t="array" ref="G1006">IFERROR(INDEX('TRIP MANAGER'!$S$18:$S$25,$A1006),"")</f>
        <v/>
      </c>
      <c r="H1006">
        <f t="shared" si="167"/>
        <v>0.65333333333333332</v>
      </c>
      <c r="I1006" t="str">
        <f t="shared" si="168"/>
        <v/>
      </c>
      <c r="J1006" t="str">
        <f t="shared" si="169"/>
        <v/>
      </c>
      <c r="K1006" t="str">
        <f t="shared" si="170"/>
        <v/>
      </c>
      <c r="L1006" t="str">
        <f t="shared" si="171"/>
        <v/>
      </c>
      <c r="M1006" t="str">
        <f t="shared" si="172"/>
        <v/>
      </c>
      <c r="N1006" t="str">
        <f t="shared" si="173"/>
        <v/>
      </c>
      <c r="O1006" t="str">
        <f t="shared" si="174"/>
        <v/>
      </c>
      <c r="P1006" t="str" cm="1">
        <f t="array" ref="P1006">IF($N1006="","",IFERROR(IF(INDEX(geo_grid!$B$2:$JU$231,INT(($N1006+40)/0.5)+1,INT(($O1006+30)/0.5)+1)="","",INDEX(geo_grid!$B$2:$JU$231,INT(($N1006+40)/0.5)+1,INT(($O1006+30)/0.5)+1)),"OUTSIDE GRID"))</f>
        <v/>
      </c>
      <c r="Q1006" t="str">
        <f t="shared" si="175"/>
        <v/>
      </c>
    </row>
    <row r="1007" spans="1:17" x14ac:dyDescent="0.3">
      <c r="A1007">
        <f t="shared" si="165"/>
        <v>7</v>
      </c>
      <c r="B1007">
        <f t="shared" si="166"/>
        <v>99</v>
      </c>
      <c r="C1007" t="str" cm="1">
        <f t="array" ref="C1007">IFERROR(INDEX('TRIP MANAGER'!$O$18:$O$25,$A1007),"")</f>
        <v/>
      </c>
      <c r="D1007" t="str" cm="1">
        <f t="array" ref="D1007">IFERROR(INDEX('TRIP MANAGER'!$P$18:$P$25,$A1007),"")</f>
        <v/>
      </c>
      <c r="E1007" t="str" cm="1">
        <f t="array" ref="E1007">IFERROR(INDEX('TRIP MANAGER'!$Q$18:$Q$25,$A1007),"")</f>
        <v/>
      </c>
      <c r="F1007" t="str" cm="1">
        <f t="array" ref="F1007">IFERROR(INDEX('TRIP MANAGER'!$R$18:$R$25,$A1007),"")</f>
        <v/>
      </c>
      <c r="G1007" t="str" cm="1">
        <f t="array" ref="G1007">IFERROR(INDEX('TRIP MANAGER'!$S$18:$S$25,$A1007),"")</f>
        <v/>
      </c>
      <c r="H1007">
        <f t="shared" si="167"/>
        <v>0.66</v>
      </c>
      <c r="I1007" t="str">
        <f t="shared" si="168"/>
        <v/>
      </c>
      <c r="J1007" t="str">
        <f t="shared" si="169"/>
        <v/>
      </c>
      <c r="K1007" t="str">
        <f t="shared" si="170"/>
        <v/>
      </c>
      <c r="L1007" t="str">
        <f t="shared" si="171"/>
        <v/>
      </c>
      <c r="M1007" t="str">
        <f t="shared" si="172"/>
        <v/>
      </c>
      <c r="N1007" t="str">
        <f t="shared" si="173"/>
        <v/>
      </c>
      <c r="O1007" t="str">
        <f t="shared" si="174"/>
        <v/>
      </c>
      <c r="P1007" t="str" cm="1">
        <f t="array" ref="P1007">IF($N1007="","",IFERROR(IF(INDEX(geo_grid!$B$2:$JU$231,INT(($N1007+40)/0.5)+1,INT(($O1007+30)/0.5)+1)="","",INDEX(geo_grid!$B$2:$JU$231,INT(($N1007+40)/0.5)+1,INT(($O1007+30)/0.5)+1)),"OUTSIDE GRID"))</f>
        <v/>
      </c>
      <c r="Q1007" t="str">
        <f t="shared" si="175"/>
        <v/>
      </c>
    </row>
    <row r="1008" spans="1:17" x14ac:dyDescent="0.3">
      <c r="A1008">
        <f t="shared" si="165"/>
        <v>7</v>
      </c>
      <c r="B1008">
        <f t="shared" si="166"/>
        <v>100</v>
      </c>
      <c r="C1008" t="str" cm="1">
        <f t="array" ref="C1008">IFERROR(INDEX('TRIP MANAGER'!$O$18:$O$25,$A1008),"")</f>
        <v/>
      </c>
      <c r="D1008" t="str" cm="1">
        <f t="array" ref="D1008">IFERROR(INDEX('TRIP MANAGER'!$P$18:$P$25,$A1008),"")</f>
        <v/>
      </c>
      <c r="E1008" t="str" cm="1">
        <f t="array" ref="E1008">IFERROR(INDEX('TRIP MANAGER'!$Q$18:$Q$25,$A1008),"")</f>
        <v/>
      </c>
      <c r="F1008" t="str" cm="1">
        <f t="array" ref="F1008">IFERROR(INDEX('TRIP MANAGER'!$R$18:$R$25,$A1008),"")</f>
        <v/>
      </c>
      <c r="G1008" t="str" cm="1">
        <f t="array" ref="G1008">IFERROR(INDEX('TRIP MANAGER'!$S$18:$S$25,$A1008),"")</f>
        <v/>
      </c>
      <c r="H1008">
        <f t="shared" si="167"/>
        <v>0.66666666666666663</v>
      </c>
      <c r="I1008" t="str">
        <f t="shared" si="168"/>
        <v/>
      </c>
      <c r="J1008" t="str">
        <f t="shared" si="169"/>
        <v/>
      </c>
      <c r="K1008" t="str">
        <f t="shared" si="170"/>
        <v/>
      </c>
      <c r="L1008" t="str">
        <f t="shared" si="171"/>
        <v/>
      </c>
      <c r="M1008" t="str">
        <f t="shared" si="172"/>
        <v/>
      </c>
      <c r="N1008" t="str">
        <f t="shared" si="173"/>
        <v/>
      </c>
      <c r="O1008" t="str">
        <f t="shared" si="174"/>
        <v/>
      </c>
      <c r="P1008" t="str" cm="1">
        <f t="array" ref="P1008">IF($N1008="","",IFERROR(IF(INDEX(geo_grid!$B$2:$JU$231,INT(($N1008+40)/0.5)+1,INT(($O1008+30)/0.5)+1)="","",INDEX(geo_grid!$B$2:$JU$231,INT(($N1008+40)/0.5)+1,INT(($O1008+30)/0.5)+1)),"OUTSIDE GRID"))</f>
        <v/>
      </c>
      <c r="Q1008" t="str">
        <f t="shared" si="175"/>
        <v/>
      </c>
    </row>
    <row r="1009" spans="1:17" x14ac:dyDescent="0.3">
      <c r="A1009">
        <f t="shared" si="165"/>
        <v>7</v>
      </c>
      <c r="B1009">
        <f t="shared" si="166"/>
        <v>101</v>
      </c>
      <c r="C1009" t="str" cm="1">
        <f t="array" ref="C1009">IFERROR(INDEX('TRIP MANAGER'!$O$18:$O$25,$A1009),"")</f>
        <v/>
      </c>
      <c r="D1009" t="str" cm="1">
        <f t="array" ref="D1009">IFERROR(INDEX('TRIP MANAGER'!$P$18:$P$25,$A1009),"")</f>
        <v/>
      </c>
      <c r="E1009" t="str" cm="1">
        <f t="array" ref="E1009">IFERROR(INDEX('TRIP MANAGER'!$Q$18:$Q$25,$A1009),"")</f>
        <v/>
      </c>
      <c r="F1009" t="str" cm="1">
        <f t="array" ref="F1009">IFERROR(INDEX('TRIP MANAGER'!$R$18:$R$25,$A1009),"")</f>
        <v/>
      </c>
      <c r="G1009" t="str" cm="1">
        <f t="array" ref="G1009">IFERROR(INDEX('TRIP MANAGER'!$S$18:$S$25,$A1009),"")</f>
        <v/>
      </c>
      <c r="H1009">
        <f t="shared" si="167"/>
        <v>0.67333333333333334</v>
      </c>
      <c r="I1009" t="str">
        <f t="shared" si="168"/>
        <v/>
      </c>
      <c r="J1009" t="str">
        <f t="shared" si="169"/>
        <v/>
      </c>
      <c r="K1009" t="str">
        <f t="shared" si="170"/>
        <v/>
      </c>
      <c r="L1009" t="str">
        <f t="shared" si="171"/>
        <v/>
      </c>
      <c r="M1009" t="str">
        <f t="shared" si="172"/>
        <v/>
      </c>
      <c r="N1009" t="str">
        <f t="shared" si="173"/>
        <v/>
      </c>
      <c r="O1009" t="str">
        <f t="shared" si="174"/>
        <v/>
      </c>
      <c r="P1009" t="str" cm="1">
        <f t="array" ref="P1009">IF($N1009="","",IFERROR(IF(INDEX(geo_grid!$B$2:$JU$231,INT(($N1009+40)/0.5)+1,INT(($O1009+30)/0.5)+1)="","",INDEX(geo_grid!$B$2:$JU$231,INT(($N1009+40)/0.5)+1,INT(($O1009+30)/0.5)+1)),"OUTSIDE GRID"))</f>
        <v/>
      </c>
      <c r="Q1009" t="str">
        <f t="shared" si="175"/>
        <v/>
      </c>
    </row>
    <row r="1010" spans="1:17" x14ac:dyDescent="0.3">
      <c r="A1010">
        <f t="shared" si="165"/>
        <v>7</v>
      </c>
      <c r="B1010">
        <f t="shared" si="166"/>
        <v>102</v>
      </c>
      <c r="C1010" t="str" cm="1">
        <f t="array" ref="C1010">IFERROR(INDEX('TRIP MANAGER'!$O$18:$O$25,$A1010),"")</f>
        <v/>
      </c>
      <c r="D1010" t="str" cm="1">
        <f t="array" ref="D1010">IFERROR(INDEX('TRIP MANAGER'!$P$18:$P$25,$A1010),"")</f>
        <v/>
      </c>
      <c r="E1010" t="str" cm="1">
        <f t="array" ref="E1010">IFERROR(INDEX('TRIP MANAGER'!$Q$18:$Q$25,$A1010),"")</f>
        <v/>
      </c>
      <c r="F1010" t="str" cm="1">
        <f t="array" ref="F1010">IFERROR(INDEX('TRIP MANAGER'!$R$18:$R$25,$A1010),"")</f>
        <v/>
      </c>
      <c r="G1010" t="str" cm="1">
        <f t="array" ref="G1010">IFERROR(INDEX('TRIP MANAGER'!$S$18:$S$25,$A1010),"")</f>
        <v/>
      </c>
      <c r="H1010">
        <f t="shared" si="167"/>
        <v>0.68</v>
      </c>
      <c r="I1010" t="str">
        <f t="shared" si="168"/>
        <v/>
      </c>
      <c r="J1010" t="str">
        <f t="shared" si="169"/>
        <v/>
      </c>
      <c r="K1010" t="str">
        <f t="shared" si="170"/>
        <v/>
      </c>
      <c r="L1010" t="str">
        <f t="shared" si="171"/>
        <v/>
      </c>
      <c r="M1010" t="str">
        <f t="shared" si="172"/>
        <v/>
      </c>
      <c r="N1010" t="str">
        <f t="shared" si="173"/>
        <v/>
      </c>
      <c r="O1010" t="str">
        <f t="shared" si="174"/>
        <v/>
      </c>
      <c r="P1010" t="str" cm="1">
        <f t="array" ref="P1010">IF($N1010="","",IFERROR(IF(INDEX(geo_grid!$B$2:$JU$231,INT(($N1010+40)/0.5)+1,INT(($O1010+30)/0.5)+1)="","",INDEX(geo_grid!$B$2:$JU$231,INT(($N1010+40)/0.5)+1,INT(($O1010+30)/0.5)+1)),"OUTSIDE GRID"))</f>
        <v/>
      </c>
      <c r="Q1010" t="str">
        <f t="shared" si="175"/>
        <v/>
      </c>
    </row>
    <row r="1011" spans="1:17" x14ac:dyDescent="0.3">
      <c r="A1011">
        <f t="shared" si="165"/>
        <v>7</v>
      </c>
      <c r="B1011">
        <f t="shared" si="166"/>
        <v>103</v>
      </c>
      <c r="C1011" t="str" cm="1">
        <f t="array" ref="C1011">IFERROR(INDEX('TRIP MANAGER'!$O$18:$O$25,$A1011),"")</f>
        <v/>
      </c>
      <c r="D1011" t="str" cm="1">
        <f t="array" ref="D1011">IFERROR(INDEX('TRIP MANAGER'!$P$18:$P$25,$A1011),"")</f>
        <v/>
      </c>
      <c r="E1011" t="str" cm="1">
        <f t="array" ref="E1011">IFERROR(INDEX('TRIP MANAGER'!$Q$18:$Q$25,$A1011),"")</f>
        <v/>
      </c>
      <c r="F1011" t="str" cm="1">
        <f t="array" ref="F1011">IFERROR(INDEX('TRIP MANAGER'!$R$18:$R$25,$A1011),"")</f>
        <v/>
      </c>
      <c r="G1011" t="str" cm="1">
        <f t="array" ref="G1011">IFERROR(INDEX('TRIP MANAGER'!$S$18:$S$25,$A1011),"")</f>
        <v/>
      </c>
      <c r="H1011">
        <f t="shared" si="167"/>
        <v>0.68666666666666665</v>
      </c>
      <c r="I1011" t="str">
        <f t="shared" si="168"/>
        <v/>
      </c>
      <c r="J1011" t="str">
        <f t="shared" si="169"/>
        <v/>
      </c>
      <c r="K1011" t="str">
        <f t="shared" si="170"/>
        <v/>
      </c>
      <c r="L1011" t="str">
        <f t="shared" si="171"/>
        <v/>
      </c>
      <c r="M1011" t="str">
        <f t="shared" si="172"/>
        <v/>
      </c>
      <c r="N1011" t="str">
        <f t="shared" si="173"/>
        <v/>
      </c>
      <c r="O1011" t="str">
        <f t="shared" si="174"/>
        <v/>
      </c>
      <c r="P1011" t="str" cm="1">
        <f t="array" ref="P1011">IF($N1011="","",IFERROR(IF(INDEX(geo_grid!$B$2:$JU$231,INT(($N1011+40)/0.5)+1,INT(($O1011+30)/0.5)+1)="","",INDEX(geo_grid!$B$2:$JU$231,INT(($N1011+40)/0.5)+1,INT(($O1011+30)/0.5)+1)),"OUTSIDE GRID"))</f>
        <v/>
      </c>
      <c r="Q1011" t="str">
        <f t="shared" si="175"/>
        <v/>
      </c>
    </row>
    <row r="1012" spans="1:17" x14ac:dyDescent="0.3">
      <c r="A1012">
        <f t="shared" si="165"/>
        <v>7</v>
      </c>
      <c r="B1012">
        <f t="shared" si="166"/>
        <v>104</v>
      </c>
      <c r="C1012" t="str" cm="1">
        <f t="array" ref="C1012">IFERROR(INDEX('TRIP MANAGER'!$O$18:$O$25,$A1012),"")</f>
        <v/>
      </c>
      <c r="D1012" t="str" cm="1">
        <f t="array" ref="D1012">IFERROR(INDEX('TRIP MANAGER'!$P$18:$P$25,$A1012),"")</f>
        <v/>
      </c>
      <c r="E1012" t="str" cm="1">
        <f t="array" ref="E1012">IFERROR(INDEX('TRIP MANAGER'!$Q$18:$Q$25,$A1012),"")</f>
        <v/>
      </c>
      <c r="F1012" t="str" cm="1">
        <f t="array" ref="F1012">IFERROR(INDEX('TRIP MANAGER'!$R$18:$R$25,$A1012),"")</f>
        <v/>
      </c>
      <c r="G1012" t="str" cm="1">
        <f t="array" ref="G1012">IFERROR(INDEX('TRIP MANAGER'!$S$18:$S$25,$A1012),"")</f>
        <v/>
      </c>
      <c r="H1012">
        <f t="shared" si="167"/>
        <v>0.69333333333333336</v>
      </c>
      <c r="I1012" t="str">
        <f t="shared" si="168"/>
        <v/>
      </c>
      <c r="J1012" t="str">
        <f t="shared" si="169"/>
        <v/>
      </c>
      <c r="K1012" t="str">
        <f t="shared" si="170"/>
        <v/>
      </c>
      <c r="L1012" t="str">
        <f t="shared" si="171"/>
        <v/>
      </c>
      <c r="M1012" t="str">
        <f t="shared" si="172"/>
        <v/>
      </c>
      <c r="N1012" t="str">
        <f t="shared" si="173"/>
        <v/>
      </c>
      <c r="O1012" t="str">
        <f t="shared" si="174"/>
        <v/>
      </c>
      <c r="P1012" t="str" cm="1">
        <f t="array" ref="P1012">IF($N1012="","",IFERROR(IF(INDEX(geo_grid!$B$2:$JU$231,INT(($N1012+40)/0.5)+1,INT(($O1012+30)/0.5)+1)="","",INDEX(geo_grid!$B$2:$JU$231,INT(($N1012+40)/0.5)+1,INT(($O1012+30)/0.5)+1)),"OUTSIDE GRID"))</f>
        <v/>
      </c>
      <c r="Q1012" t="str">
        <f t="shared" si="175"/>
        <v/>
      </c>
    </row>
    <row r="1013" spans="1:17" x14ac:dyDescent="0.3">
      <c r="A1013">
        <f t="shared" si="165"/>
        <v>7</v>
      </c>
      <c r="B1013">
        <f t="shared" si="166"/>
        <v>105</v>
      </c>
      <c r="C1013" t="str" cm="1">
        <f t="array" ref="C1013">IFERROR(INDEX('TRIP MANAGER'!$O$18:$O$25,$A1013),"")</f>
        <v/>
      </c>
      <c r="D1013" t="str" cm="1">
        <f t="array" ref="D1013">IFERROR(INDEX('TRIP MANAGER'!$P$18:$P$25,$A1013),"")</f>
        <v/>
      </c>
      <c r="E1013" t="str" cm="1">
        <f t="array" ref="E1013">IFERROR(INDEX('TRIP MANAGER'!$Q$18:$Q$25,$A1013),"")</f>
        <v/>
      </c>
      <c r="F1013" t="str" cm="1">
        <f t="array" ref="F1013">IFERROR(INDEX('TRIP MANAGER'!$R$18:$R$25,$A1013),"")</f>
        <v/>
      </c>
      <c r="G1013" t="str" cm="1">
        <f t="array" ref="G1013">IFERROR(INDEX('TRIP MANAGER'!$S$18:$S$25,$A1013),"")</f>
        <v/>
      </c>
      <c r="H1013">
        <f t="shared" si="167"/>
        <v>0.7</v>
      </c>
      <c r="I1013" t="str">
        <f t="shared" si="168"/>
        <v/>
      </c>
      <c r="J1013" t="str">
        <f t="shared" si="169"/>
        <v/>
      </c>
      <c r="K1013" t="str">
        <f t="shared" si="170"/>
        <v/>
      </c>
      <c r="L1013" t="str">
        <f t="shared" si="171"/>
        <v/>
      </c>
      <c r="M1013" t="str">
        <f t="shared" si="172"/>
        <v/>
      </c>
      <c r="N1013" t="str">
        <f t="shared" si="173"/>
        <v/>
      </c>
      <c r="O1013" t="str">
        <f t="shared" si="174"/>
        <v/>
      </c>
      <c r="P1013" t="str" cm="1">
        <f t="array" ref="P1013">IF($N1013="","",IFERROR(IF(INDEX(geo_grid!$B$2:$JU$231,INT(($N1013+40)/0.5)+1,INT(($O1013+30)/0.5)+1)="","",INDEX(geo_grid!$B$2:$JU$231,INT(($N1013+40)/0.5)+1,INT(($O1013+30)/0.5)+1)),"OUTSIDE GRID"))</f>
        <v/>
      </c>
      <c r="Q1013" t="str">
        <f t="shared" si="175"/>
        <v/>
      </c>
    </row>
    <row r="1014" spans="1:17" x14ac:dyDescent="0.3">
      <c r="A1014">
        <f t="shared" si="165"/>
        <v>7</v>
      </c>
      <c r="B1014">
        <f t="shared" si="166"/>
        <v>106</v>
      </c>
      <c r="C1014" t="str" cm="1">
        <f t="array" ref="C1014">IFERROR(INDEX('TRIP MANAGER'!$O$18:$O$25,$A1014),"")</f>
        <v/>
      </c>
      <c r="D1014" t="str" cm="1">
        <f t="array" ref="D1014">IFERROR(INDEX('TRIP MANAGER'!$P$18:$P$25,$A1014),"")</f>
        <v/>
      </c>
      <c r="E1014" t="str" cm="1">
        <f t="array" ref="E1014">IFERROR(INDEX('TRIP MANAGER'!$Q$18:$Q$25,$A1014),"")</f>
        <v/>
      </c>
      <c r="F1014" t="str" cm="1">
        <f t="array" ref="F1014">IFERROR(INDEX('TRIP MANAGER'!$R$18:$R$25,$A1014),"")</f>
        <v/>
      </c>
      <c r="G1014" t="str" cm="1">
        <f t="array" ref="G1014">IFERROR(INDEX('TRIP MANAGER'!$S$18:$S$25,$A1014),"")</f>
        <v/>
      </c>
      <c r="H1014">
        <f t="shared" si="167"/>
        <v>0.70666666666666667</v>
      </c>
      <c r="I1014" t="str">
        <f t="shared" si="168"/>
        <v/>
      </c>
      <c r="J1014" t="str">
        <f t="shared" si="169"/>
        <v/>
      </c>
      <c r="K1014" t="str">
        <f t="shared" si="170"/>
        <v/>
      </c>
      <c r="L1014" t="str">
        <f t="shared" si="171"/>
        <v/>
      </c>
      <c r="M1014" t="str">
        <f t="shared" si="172"/>
        <v/>
      </c>
      <c r="N1014" t="str">
        <f t="shared" si="173"/>
        <v/>
      </c>
      <c r="O1014" t="str">
        <f t="shared" si="174"/>
        <v/>
      </c>
      <c r="P1014" t="str" cm="1">
        <f t="array" ref="P1014">IF($N1014="","",IFERROR(IF(INDEX(geo_grid!$B$2:$JU$231,INT(($N1014+40)/0.5)+1,INT(($O1014+30)/0.5)+1)="","",INDEX(geo_grid!$B$2:$JU$231,INT(($N1014+40)/0.5)+1,INT(($O1014+30)/0.5)+1)),"OUTSIDE GRID"))</f>
        <v/>
      </c>
      <c r="Q1014" t="str">
        <f t="shared" si="175"/>
        <v/>
      </c>
    </row>
    <row r="1015" spans="1:17" x14ac:dyDescent="0.3">
      <c r="A1015">
        <f t="shared" si="165"/>
        <v>7</v>
      </c>
      <c r="B1015">
        <f t="shared" si="166"/>
        <v>107</v>
      </c>
      <c r="C1015" t="str" cm="1">
        <f t="array" ref="C1015">IFERROR(INDEX('TRIP MANAGER'!$O$18:$O$25,$A1015),"")</f>
        <v/>
      </c>
      <c r="D1015" t="str" cm="1">
        <f t="array" ref="D1015">IFERROR(INDEX('TRIP MANAGER'!$P$18:$P$25,$A1015),"")</f>
        <v/>
      </c>
      <c r="E1015" t="str" cm="1">
        <f t="array" ref="E1015">IFERROR(INDEX('TRIP MANAGER'!$Q$18:$Q$25,$A1015),"")</f>
        <v/>
      </c>
      <c r="F1015" t="str" cm="1">
        <f t="array" ref="F1015">IFERROR(INDEX('TRIP MANAGER'!$R$18:$R$25,$A1015),"")</f>
        <v/>
      </c>
      <c r="G1015" t="str" cm="1">
        <f t="array" ref="G1015">IFERROR(INDEX('TRIP MANAGER'!$S$18:$S$25,$A1015),"")</f>
        <v/>
      </c>
      <c r="H1015">
        <f t="shared" si="167"/>
        <v>0.71333333333333337</v>
      </c>
      <c r="I1015" t="str">
        <f t="shared" si="168"/>
        <v/>
      </c>
      <c r="J1015" t="str">
        <f t="shared" si="169"/>
        <v/>
      </c>
      <c r="K1015" t="str">
        <f t="shared" si="170"/>
        <v/>
      </c>
      <c r="L1015" t="str">
        <f t="shared" si="171"/>
        <v/>
      </c>
      <c r="M1015" t="str">
        <f t="shared" si="172"/>
        <v/>
      </c>
      <c r="N1015" t="str">
        <f t="shared" si="173"/>
        <v/>
      </c>
      <c r="O1015" t="str">
        <f t="shared" si="174"/>
        <v/>
      </c>
      <c r="P1015" t="str" cm="1">
        <f t="array" ref="P1015">IF($N1015="","",IFERROR(IF(INDEX(geo_grid!$B$2:$JU$231,INT(($N1015+40)/0.5)+1,INT(($O1015+30)/0.5)+1)="","",INDEX(geo_grid!$B$2:$JU$231,INT(($N1015+40)/0.5)+1,INT(($O1015+30)/0.5)+1)),"OUTSIDE GRID"))</f>
        <v/>
      </c>
      <c r="Q1015" t="str">
        <f t="shared" si="175"/>
        <v/>
      </c>
    </row>
    <row r="1016" spans="1:17" x14ac:dyDescent="0.3">
      <c r="A1016">
        <f t="shared" si="165"/>
        <v>7</v>
      </c>
      <c r="B1016">
        <f t="shared" si="166"/>
        <v>108</v>
      </c>
      <c r="C1016" t="str" cm="1">
        <f t="array" ref="C1016">IFERROR(INDEX('TRIP MANAGER'!$O$18:$O$25,$A1016),"")</f>
        <v/>
      </c>
      <c r="D1016" t="str" cm="1">
        <f t="array" ref="D1016">IFERROR(INDEX('TRIP MANAGER'!$P$18:$P$25,$A1016),"")</f>
        <v/>
      </c>
      <c r="E1016" t="str" cm="1">
        <f t="array" ref="E1016">IFERROR(INDEX('TRIP MANAGER'!$Q$18:$Q$25,$A1016),"")</f>
        <v/>
      </c>
      <c r="F1016" t="str" cm="1">
        <f t="array" ref="F1016">IFERROR(INDEX('TRIP MANAGER'!$R$18:$R$25,$A1016),"")</f>
        <v/>
      </c>
      <c r="G1016" t="str" cm="1">
        <f t="array" ref="G1016">IFERROR(INDEX('TRIP MANAGER'!$S$18:$S$25,$A1016),"")</f>
        <v/>
      </c>
      <c r="H1016">
        <f t="shared" si="167"/>
        <v>0.72</v>
      </c>
      <c r="I1016" t="str">
        <f t="shared" si="168"/>
        <v/>
      </c>
      <c r="J1016" t="str">
        <f t="shared" si="169"/>
        <v/>
      </c>
      <c r="K1016" t="str">
        <f t="shared" si="170"/>
        <v/>
      </c>
      <c r="L1016" t="str">
        <f t="shared" si="171"/>
        <v/>
      </c>
      <c r="M1016" t="str">
        <f t="shared" si="172"/>
        <v/>
      </c>
      <c r="N1016" t="str">
        <f t="shared" si="173"/>
        <v/>
      </c>
      <c r="O1016" t="str">
        <f t="shared" si="174"/>
        <v/>
      </c>
      <c r="P1016" t="str" cm="1">
        <f t="array" ref="P1016">IF($N1016="","",IFERROR(IF(INDEX(geo_grid!$B$2:$JU$231,INT(($N1016+40)/0.5)+1,INT(($O1016+30)/0.5)+1)="","",INDEX(geo_grid!$B$2:$JU$231,INT(($N1016+40)/0.5)+1,INT(($O1016+30)/0.5)+1)),"OUTSIDE GRID"))</f>
        <v/>
      </c>
      <c r="Q1016" t="str">
        <f t="shared" si="175"/>
        <v/>
      </c>
    </row>
    <row r="1017" spans="1:17" x14ac:dyDescent="0.3">
      <c r="A1017">
        <f t="shared" si="165"/>
        <v>7</v>
      </c>
      <c r="B1017">
        <f t="shared" si="166"/>
        <v>109</v>
      </c>
      <c r="C1017" t="str" cm="1">
        <f t="array" ref="C1017">IFERROR(INDEX('TRIP MANAGER'!$O$18:$O$25,$A1017),"")</f>
        <v/>
      </c>
      <c r="D1017" t="str" cm="1">
        <f t="array" ref="D1017">IFERROR(INDEX('TRIP MANAGER'!$P$18:$P$25,$A1017),"")</f>
        <v/>
      </c>
      <c r="E1017" t="str" cm="1">
        <f t="array" ref="E1017">IFERROR(INDEX('TRIP MANAGER'!$Q$18:$Q$25,$A1017),"")</f>
        <v/>
      </c>
      <c r="F1017" t="str" cm="1">
        <f t="array" ref="F1017">IFERROR(INDEX('TRIP MANAGER'!$R$18:$R$25,$A1017),"")</f>
        <v/>
      </c>
      <c r="G1017" t="str" cm="1">
        <f t="array" ref="G1017">IFERROR(INDEX('TRIP MANAGER'!$S$18:$S$25,$A1017),"")</f>
        <v/>
      </c>
      <c r="H1017">
        <f t="shared" si="167"/>
        <v>0.72666666666666668</v>
      </c>
      <c r="I1017" t="str">
        <f t="shared" si="168"/>
        <v/>
      </c>
      <c r="J1017" t="str">
        <f t="shared" si="169"/>
        <v/>
      </c>
      <c r="K1017" t="str">
        <f t="shared" si="170"/>
        <v/>
      </c>
      <c r="L1017" t="str">
        <f t="shared" si="171"/>
        <v/>
      </c>
      <c r="M1017" t="str">
        <f t="shared" si="172"/>
        <v/>
      </c>
      <c r="N1017" t="str">
        <f t="shared" si="173"/>
        <v/>
      </c>
      <c r="O1017" t="str">
        <f t="shared" si="174"/>
        <v/>
      </c>
      <c r="P1017" t="str" cm="1">
        <f t="array" ref="P1017">IF($N1017="","",IFERROR(IF(INDEX(geo_grid!$B$2:$JU$231,INT(($N1017+40)/0.5)+1,INT(($O1017+30)/0.5)+1)="","",INDEX(geo_grid!$B$2:$JU$231,INT(($N1017+40)/0.5)+1,INT(($O1017+30)/0.5)+1)),"OUTSIDE GRID"))</f>
        <v/>
      </c>
      <c r="Q1017" t="str">
        <f t="shared" si="175"/>
        <v/>
      </c>
    </row>
    <row r="1018" spans="1:17" x14ac:dyDescent="0.3">
      <c r="A1018">
        <f t="shared" si="165"/>
        <v>7</v>
      </c>
      <c r="B1018">
        <f t="shared" si="166"/>
        <v>110</v>
      </c>
      <c r="C1018" t="str" cm="1">
        <f t="array" ref="C1018">IFERROR(INDEX('TRIP MANAGER'!$O$18:$O$25,$A1018),"")</f>
        <v/>
      </c>
      <c r="D1018" t="str" cm="1">
        <f t="array" ref="D1018">IFERROR(INDEX('TRIP MANAGER'!$P$18:$P$25,$A1018),"")</f>
        <v/>
      </c>
      <c r="E1018" t="str" cm="1">
        <f t="array" ref="E1018">IFERROR(INDEX('TRIP MANAGER'!$Q$18:$Q$25,$A1018),"")</f>
        <v/>
      </c>
      <c r="F1018" t="str" cm="1">
        <f t="array" ref="F1018">IFERROR(INDEX('TRIP MANAGER'!$R$18:$R$25,$A1018),"")</f>
        <v/>
      </c>
      <c r="G1018" t="str" cm="1">
        <f t="array" ref="G1018">IFERROR(INDEX('TRIP MANAGER'!$S$18:$S$25,$A1018),"")</f>
        <v/>
      </c>
      <c r="H1018">
        <f t="shared" si="167"/>
        <v>0.73333333333333328</v>
      </c>
      <c r="I1018" t="str">
        <f t="shared" si="168"/>
        <v/>
      </c>
      <c r="J1018" t="str">
        <f t="shared" si="169"/>
        <v/>
      </c>
      <c r="K1018" t="str">
        <f t="shared" si="170"/>
        <v/>
      </c>
      <c r="L1018" t="str">
        <f t="shared" si="171"/>
        <v/>
      </c>
      <c r="M1018" t="str">
        <f t="shared" si="172"/>
        <v/>
      </c>
      <c r="N1018" t="str">
        <f t="shared" si="173"/>
        <v/>
      </c>
      <c r="O1018" t="str">
        <f t="shared" si="174"/>
        <v/>
      </c>
      <c r="P1018" t="str" cm="1">
        <f t="array" ref="P1018">IF($N1018="","",IFERROR(IF(INDEX(geo_grid!$B$2:$JU$231,INT(($N1018+40)/0.5)+1,INT(($O1018+30)/0.5)+1)="","",INDEX(geo_grid!$B$2:$JU$231,INT(($N1018+40)/0.5)+1,INT(($O1018+30)/0.5)+1)),"OUTSIDE GRID"))</f>
        <v/>
      </c>
      <c r="Q1018" t="str">
        <f t="shared" si="175"/>
        <v/>
      </c>
    </row>
    <row r="1019" spans="1:17" x14ac:dyDescent="0.3">
      <c r="A1019">
        <f t="shared" si="165"/>
        <v>7</v>
      </c>
      <c r="B1019">
        <f t="shared" si="166"/>
        <v>111</v>
      </c>
      <c r="C1019" t="str" cm="1">
        <f t="array" ref="C1019">IFERROR(INDEX('TRIP MANAGER'!$O$18:$O$25,$A1019),"")</f>
        <v/>
      </c>
      <c r="D1019" t="str" cm="1">
        <f t="array" ref="D1019">IFERROR(INDEX('TRIP MANAGER'!$P$18:$P$25,$A1019),"")</f>
        <v/>
      </c>
      <c r="E1019" t="str" cm="1">
        <f t="array" ref="E1019">IFERROR(INDEX('TRIP MANAGER'!$Q$18:$Q$25,$A1019),"")</f>
        <v/>
      </c>
      <c r="F1019" t="str" cm="1">
        <f t="array" ref="F1019">IFERROR(INDEX('TRIP MANAGER'!$R$18:$R$25,$A1019),"")</f>
        <v/>
      </c>
      <c r="G1019" t="str" cm="1">
        <f t="array" ref="G1019">IFERROR(INDEX('TRIP MANAGER'!$S$18:$S$25,$A1019),"")</f>
        <v/>
      </c>
      <c r="H1019">
        <f t="shared" si="167"/>
        <v>0.74</v>
      </c>
      <c r="I1019" t="str">
        <f t="shared" si="168"/>
        <v/>
      </c>
      <c r="J1019" t="str">
        <f t="shared" si="169"/>
        <v/>
      </c>
      <c r="K1019" t="str">
        <f t="shared" si="170"/>
        <v/>
      </c>
      <c r="L1019" t="str">
        <f t="shared" si="171"/>
        <v/>
      </c>
      <c r="M1019" t="str">
        <f t="shared" si="172"/>
        <v/>
      </c>
      <c r="N1019" t="str">
        <f t="shared" si="173"/>
        <v/>
      </c>
      <c r="O1019" t="str">
        <f t="shared" si="174"/>
        <v/>
      </c>
      <c r="P1019" t="str" cm="1">
        <f t="array" ref="P1019">IF($N1019="","",IFERROR(IF(INDEX(geo_grid!$B$2:$JU$231,INT(($N1019+40)/0.5)+1,INT(($O1019+30)/0.5)+1)="","",INDEX(geo_grid!$B$2:$JU$231,INT(($N1019+40)/0.5)+1,INT(($O1019+30)/0.5)+1)),"OUTSIDE GRID"))</f>
        <v/>
      </c>
      <c r="Q1019" t="str">
        <f t="shared" si="175"/>
        <v/>
      </c>
    </row>
    <row r="1020" spans="1:17" x14ac:dyDescent="0.3">
      <c r="A1020">
        <f t="shared" si="165"/>
        <v>7</v>
      </c>
      <c r="B1020">
        <f t="shared" si="166"/>
        <v>112</v>
      </c>
      <c r="C1020" t="str" cm="1">
        <f t="array" ref="C1020">IFERROR(INDEX('TRIP MANAGER'!$O$18:$O$25,$A1020),"")</f>
        <v/>
      </c>
      <c r="D1020" t="str" cm="1">
        <f t="array" ref="D1020">IFERROR(INDEX('TRIP MANAGER'!$P$18:$P$25,$A1020),"")</f>
        <v/>
      </c>
      <c r="E1020" t="str" cm="1">
        <f t="array" ref="E1020">IFERROR(INDEX('TRIP MANAGER'!$Q$18:$Q$25,$A1020),"")</f>
        <v/>
      </c>
      <c r="F1020" t="str" cm="1">
        <f t="array" ref="F1020">IFERROR(INDEX('TRIP MANAGER'!$R$18:$R$25,$A1020),"")</f>
        <v/>
      </c>
      <c r="G1020" t="str" cm="1">
        <f t="array" ref="G1020">IFERROR(INDEX('TRIP MANAGER'!$S$18:$S$25,$A1020),"")</f>
        <v/>
      </c>
      <c r="H1020">
        <f t="shared" si="167"/>
        <v>0.7466666666666667</v>
      </c>
      <c r="I1020" t="str">
        <f t="shared" si="168"/>
        <v/>
      </c>
      <c r="J1020" t="str">
        <f t="shared" si="169"/>
        <v/>
      </c>
      <c r="K1020" t="str">
        <f t="shared" si="170"/>
        <v/>
      </c>
      <c r="L1020" t="str">
        <f t="shared" si="171"/>
        <v/>
      </c>
      <c r="M1020" t="str">
        <f t="shared" si="172"/>
        <v/>
      </c>
      <c r="N1020" t="str">
        <f t="shared" si="173"/>
        <v/>
      </c>
      <c r="O1020" t="str">
        <f t="shared" si="174"/>
        <v/>
      </c>
      <c r="P1020" t="str" cm="1">
        <f t="array" ref="P1020">IF($N1020="","",IFERROR(IF(INDEX(geo_grid!$B$2:$JU$231,INT(($N1020+40)/0.5)+1,INT(($O1020+30)/0.5)+1)="","",INDEX(geo_grid!$B$2:$JU$231,INT(($N1020+40)/0.5)+1,INT(($O1020+30)/0.5)+1)),"OUTSIDE GRID"))</f>
        <v/>
      </c>
      <c r="Q1020" t="str">
        <f t="shared" si="175"/>
        <v/>
      </c>
    </row>
    <row r="1021" spans="1:17" x14ac:dyDescent="0.3">
      <c r="A1021">
        <f t="shared" si="165"/>
        <v>7</v>
      </c>
      <c r="B1021">
        <f t="shared" si="166"/>
        <v>113</v>
      </c>
      <c r="C1021" t="str" cm="1">
        <f t="array" ref="C1021">IFERROR(INDEX('TRIP MANAGER'!$O$18:$O$25,$A1021),"")</f>
        <v/>
      </c>
      <c r="D1021" t="str" cm="1">
        <f t="array" ref="D1021">IFERROR(INDEX('TRIP MANAGER'!$P$18:$P$25,$A1021),"")</f>
        <v/>
      </c>
      <c r="E1021" t="str" cm="1">
        <f t="array" ref="E1021">IFERROR(INDEX('TRIP MANAGER'!$Q$18:$Q$25,$A1021),"")</f>
        <v/>
      </c>
      <c r="F1021" t="str" cm="1">
        <f t="array" ref="F1021">IFERROR(INDEX('TRIP MANAGER'!$R$18:$R$25,$A1021),"")</f>
        <v/>
      </c>
      <c r="G1021" t="str" cm="1">
        <f t="array" ref="G1021">IFERROR(INDEX('TRIP MANAGER'!$S$18:$S$25,$A1021),"")</f>
        <v/>
      </c>
      <c r="H1021">
        <f t="shared" si="167"/>
        <v>0.7533333333333333</v>
      </c>
      <c r="I1021" t="str">
        <f t="shared" si="168"/>
        <v/>
      </c>
      <c r="J1021" t="str">
        <f t="shared" si="169"/>
        <v/>
      </c>
      <c r="K1021" t="str">
        <f t="shared" si="170"/>
        <v/>
      </c>
      <c r="L1021" t="str">
        <f t="shared" si="171"/>
        <v/>
      </c>
      <c r="M1021" t="str">
        <f t="shared" si="172"/>
        <v/>
      </c>
      <c r="N1021" t="str">
        <f t="shared" si="173"/>
        <v/>
      </c>
      <c r="O1021" t="str">
        <f t="shared" si="174"/>
        <v/>
      </c>
      <c r="P1021" t="str" cm="1">
        <f t="array" ref="P1021">IF($N1021="","",IFERROR(IF(INDEX(geo_grid!$B$2:$JU$231,INT(($N1021+40)/0.5)+1,INT(($O1021+30)/0.5)+1)="","",INDEX(geo_grid!$B$2:$JU$231,INT(($N1021+40)/0.5)+1,INT(($O1021+30)/0.5)+1)),"OUTSIDE GRID"))</f>
        <v/>
      </c>
      <c r="Q1021" t="str">
        <f t="shared" si="175"/>
        <v/>
      </c>
    </row>
    <row r="1022" spans="1:17" x14ac:dyDescent="0.3">
      <c r="A1022">
        <f t="shared" si="165"/>
        <v>7</v>
      </c>
      <c r="B1022">
        <f t="shared" si="166"/>
        <v>114</v>
      </c>
      <c r="C1022" t="str" cm="1">
        <f t="array" ref="C1022">IFERROR(INDEX('TRIP MANAGER'!$O$18:$O$25,$A1022),"")</f>
        <v/>
      </c>
      <c r="D1022" t="str" cm="1">
        <f t="array" ref="D1022">IFERROR(INDEX('TRIP MANAGER'!$P$18:$P$25,$A1022),"")</f>
        <v/>
      </c>
      <c r="E1022" t="str" cm="1">
        <f t="array" ref="E1022">IFERROR(INDEX('TRIP MANAGER'!$Q$18:$Q$25,$A1022),"")</f>
        <v/>
      </c>
      <c r="F1022" t="str" cm="1">
        <f t="array" ref="F1022">IFERROR(INDEX('TRIP MANAGER'!$R$18:$R$25,$A1022),"")</f>
        <v/>
      </c>
      <c r="G1022" t="str" cm="1">
        <f t="array" ref="G1022">IFERROR(INDEX('TRIP MANAGER'!$S$18:$S$25,$A1022),"")</f>
        <v/>
      </c>
      <c r="H1022">
        <f t="shared" si="167"/>
        <v>0.76</v>
      </c>
      <c r="I1022" t="str">
        <f t="shared" si="168"/>
        <v/>
      </c>
      <c r="J1022" t="str">
        <f t="shared" si="169"/>
        <v/>
      </c>
      <c r="K1022" t="str">
        <f t="shared" si="170"/>
        <v/>
      </c>
      <c r="L1022" t="str">
        <f t="shared" si="171"/>
        <v/>
      </c>
      <c r="M1022" t="str">
        <f t="shared" si="172"/>
        <v/>
      </c>
      <c r="N1022" t="str">
        <f t="shared" si="173"/>
        <v/>
      </c>
      <c r="O1022" t="str">
        <f t="shared" si="174"/>
        <v/>
      </c>
      <c r="P1022" t="str" cm="1">
        <f t="array" ref="P1022">IF($N1022="","",IFERROR(IF(INDEX(geo_grid!$B$2:$JU$231,INT(($N1022+40)/0.5)+1,INT(($O1022+30)/0.5)+1)="","",INDEX(geo_grid!$B$2:$JU$231,INT(($N1022+40)/0.5)+1,INT(($O1022+30)/0.5)+1)),"OUTSIDE GRID"))</f>
        <v/>
      </c>
      <c r="Q1022" t="str">
        <f t="shared" si="175"/>
        <v/>
      </c>
    </row>
    <row r="1023" spans="1:17" x14ac:dyDescent="0.3">
      <c r="A1023">
        <f t="shared" si="165"/>
        <v>7</v>
      </c>
      <c r="B1023">
        <f t="shared" si="166"/>
        <v>115</v>
      </c>
      <c r="C1023" t="str" cm="1">
        <f t="array" ref="C1023">IFERROR(INDEX('TRIP MANAGER'!$O$18:$O$25,$A1023),"")</f>
        <v/>
      </c>
      <c r="D1023" t="str" cm="1">
        <f t="array" ref="D1023">IFERROR(INDEX('TRIP MANAGER'!$P$18:$P$25,$A1023),"")</f>
        <v/>
      </c>
      <c r="E1023" t="str" cm="1">
        <f t="array" ref="E1023">IFERROR(INDEX('TRIP MANAGER'!$Q$18:$Q$25,$A1023),"")</f>
        <v/>
      </c>
      <c r="F1023" t="str" cm="1">
        <f t="array" ref="F1023">IFERROR(INDEX('TRIP MANAGER'!$R$18:$R$25,$A1023),"")</f>
        <v/>
      </c>
      <c r="G1023" t="str" cm="1">
        <f t="array" ref="G1023">IFERROR(INDEX('TRIP MANAGER'!$S$18:$S$25,$A1023),"")</f>
        <v/>
      </c>
      <c r="H1023">
        <f t="shared" si="167"/>
        <v>0.76666666666666672</v>
      </c>
      <c r="I1023" t="str">
        <f t="shared" si="168"/>
        <v/>
      </c>
      <c r="J1023" t="str">
        <f t="shared" si="169"/>
        <v/>
      </c>
      <c r="K1023" t="str">
        <f t="shared" si="170"/>
        <v/>
      </c>
      <c r="L1023" t="str">
        <f t="shared" si="171"/>
        <v/>
      </c>
      <c r="M1023" t="str">
        <f t="shared" si="172"/>
        <v/>
      </c>
      <c r="N1023" t="str">
        <f t="shared" si="173"/>
        <v/>
      </c>
      <c r="O1023" t="str">
        <f t="shared" si="174"/>
        <v/>
      </c>
      <c r="P1023" t="str" cm="1">
        <f t="array" ref="P1023">IF($N1023="","",IFERROR(IF(INDEX(geo_grid!$B$2:$JU$231,INT(($N1023+40)/0.5)+1,INT(($O1023+30)/0.5)+1)="","",INDEX(geo_grid!$B$2:$JU$231,INT(($N1023+40)/0.5)+1,INT(($O1023+30)/0.5)+1)),"OUTSIDE GRID"))</f>
        <v/>
      </c>
      <c r="Q1023" t="str">
        <f t="shared" si="175"/>
        <v/>
      </c>
    </row>
    <row r="1024" spans="1:17" x14ac:dyDescent="0.3">
      <c r="A1024">
        <f t="shared" si="165"/>
        <v>7</v>
      </c>
      <c r="B1024">
        <f t="shared" si="166"/>
        <v>116</v>
      </c>
      <c r="C1024" t="str" cm="1">
        <f t="array" ref="C1024">IFERROR(INDEX('TRIP MANAGER'!$O$18:$O$25,$A1024),"")</f>
        <v/>
      </c>
      <c r="D1024" t="str" cm="1">
        <f t="array" ref="D1024">IFERROR(INDEX('TRIP MANAGER'!$P$18:$P$25,$A1024),"")</f>
        <v/>
      </c>
      <c r="E1024" t="str" cm="1">
        <f t="array" ref="E1024">IFERROR(INDEX('TRIP MANAGER'!$Q$18:$Q$25,$A1024),"")</f>
        <v/>
      </c>
      <c r="F1024" t="str" cm="1">
        <f t="array" ref="F1024">IFERROR(INDEX('TRIP MANAGER'!$R$18:$R$25,$A1024),"")</f>
        <v/>
      </c>
      <c r="G1024" t="str" cm="1">
        <f t="array" ref="G1024">IFERROR(INDEX('TRIP MANAGER'!$S$18:$S$25,$A1024),"")</f>
        <v/>
      </c>
      <c r="H1024">
        <f t="shared" si="167"/>
        <v>0.77333333333333332</v>
      </c>
      <c r="I1024" t="str">
        <f t="shared" si="168"/>
        <v/>
      </c>
      <c r="J1024" t="str">
        <f t="shared" si="169"/>
        <v/>
      </c>
      <c r="K1024" t="str">
        <f t="shared" si="170"/>
        <v/>
      </c>
      <c r="L1024" t="str">
        <f t="shared" si="171"/>
        <v/>
      </c>
      <c r="M1024" t="str">
        <f t="shared" si="172"/>
        <v/>
      </c>
      <c r="N1024" t="str">
        <f t="shared" si="173"/>
        <v/>
      </c>
      <c r="O1024" t="str">
        <f t="shared" si="174"/>
        <v/>
      </c>
      <c r="P1024" t="str" cm="1">
        <f t="array" ref="P1024">IF($N1024="","",IFERROR(IF(INDEX(geo_grid!$B$2:$JU$231,INT(($N1024+40)/0.5)+1,INT(($O1024+30)/0.5)+1)="","",INDEX(geo_grid!$B$2:$JU$231,INT(($N1024+40)/0.5)+1,INT(($O1024+30)/0.5)+1)),"OUTSIDE GRID"))</f>
        <v/>
      </c>
      <c r="Q1024" t="str">
        <f t="shared" si="175"/>
        <v/>
      </c>
    </row>
    <row r="1025" spans="1:17" x14ac:dyDescent="0.3">
      <c r="A1025">
        <f t="shared" si="165"/>
        <v>7</v>
      </c>
      <c r="B1025">
        <f t="shared" si="166"/>
        <v>117</v>
      </c>
      <c r="C1025" t="str" cm="1">
        <f t="array" ref="C1025">IFERROR(INDEX('TRIP MANAGER'!$O$18:$O$25,$A1025),"")</f>
        <v/>
      </c>
      <c r="D1025" t="str" cm="1">
        <f t="array" ref="D1025">IFERROR(INDEX('TRIP MANAGER'!$P$18:$P$25,$A1025),"")</f>
        <v/>
      </c>
      <c r="E1025" t="str" cm="1">
        <f t="array" ref="E1025">IFERROR(INDEX('TRIP MANAGER'!$Q$18:$Q$25,$A1025),"")</f>
        <v/>
      </c>
      <c r="F1025" t="str" cm="1">
        <f t="array" ref="F1025">IFERROR(INDEX('TRIP MANAGER'!$R$18:$R$25,$A1025),"")</f>
        <v/>
      </c>
      <c r="G1025" t="str" cm="1">
        <f t="array" ref="G1025">IFERROR(INDEX('TRIP MANAGER'!$S$18:$S$25,$A1025),"")</f>
        <v/>
      </c>
      <c r="H1025">
        <f t="shared" si="167"/>
        <v>0.78</v>
      </c>
      <c r="I1025" t="str">
        <f t="shared" si="168"/>
        <v/>
      </c>
      <c r="J1025" t="str">
        <f t="shared" si="169"/>
        <v/>
      </c>
      <c r="K1025" t="str">
        <f t="shared" si="170"/>
        <v/>
      </c>
      <c r="L1025" t="str">
        <f t="shared" si="171"/>
        <v/>
      </c>
      <c r="M1025" t="str">
        <f t="shared" si="172"/>
        <v/>
      </c>
      <c r="N1025" t="str">
        <f t="shared" si="173"/>
        <v/>
      </c>
      <c r="O1025" t="str">
        <f t="shared" si="174"/>
        <v/>
      </c>
      <c r="P1025" t="str" cm="1">
        <f t="array" ref="P1025">IF($N1025="","",IFERROR(IF(INDEX(geo_grid!$B$2:$JU$231,INT(($N1025+40)/0.5)+1,INT(($O1025+30)/0.5)+1)="","",INDEX(geo_grid!$B$2:$JU$231,INT(($N1025+40)/0.5)+1,INT(($O1025+30)/0.5)+1)),"OUTSIDE GRID"))</f>
        <v/>
      </c>
      <c r="Q1025" t="str">
        <f t="shared" si="175"/>
        <v/>
      </c>
    </row>
    <row r="1026" spans="1:17" x14ac:dyDescent="0.3">
      <c r="A1026">
        <f t="shared" si="165"/>
        <v>7</v>
      </c>
      <c r="B1026">
        <f t="shared" si="166"/>
        <v>118</v>
      </c>
      <c r="C1026" t="str" cm="1">
        <f t="array" ref="C1026">IFERROR(INDEX('TRIP MANAGER'!$O$18:$O$25,$A1026),"")</f>
        <v/>
      </c>
      <c r="D1026" t="str" cm="1">
        <f t="array" ref="D1026">IFERROR(INDEX('TRIP MANAGER'!$P$18:$P$25,$A1026),"")</f>
        <v/>
      </c>
      <c r="E1026" t="str" cm="1">
        <f t="array" ref="E1026">IFERROR(INDEX('TRIP MANAGER'!$Q$18:$Q$25,$A1026),"")</f>
        <v/>
      </c>
      <c r="F1026" t="str" cm="1">
        <f t="array" ref="F1026">IFERROR(INDEX('TRIP MANAGER'!$R$18:$R$25,$A1026),"")</f>
        <v/>
      </c>
      <c r="G1026" t="str" cm="1">
        <f t="array" ref="G1026">IFERROR(INDEX('TRIP MANAGER'!$S$18:$S$25,$A1026),"")</f>
        <v/>
      </c>
      <c r="H1026">
        <f t="shared" si="167"/>
        <v>0.78666666666666663</v>
      </c>
      <c r="I1026" t="str">
        <f t="shared" si="168"/>
        <v/>
      </c>
      <c r="J1026" t="str">
        <f t="shared" si="169"/>
        <v/>
      </c>
      <c r="K1026" t="str">
        <f t="shared" si="170"/>
        <v/>
      </c>
      <c r="L1026" t="str">
        <f t="shared" si="171"/>
        <v/>
      </c>
      <c r="M1026" t="str">
        <f t="shared" si="172"/>
        <v/>
      </c>
      <c r="N1026" t="str">
        <f t="shared" si="173"/>
        <v/>
      </c>
      <c r="O1026" t="str">
        <f t="shared" si="174"/>
        <v/>
      </c>
      <c r="P1026" t="str" cm="1">
        <f t="array" ref="P1026">IF($N1026="","",IFERROR(IF(INDEX(geo_grid!$B$2:$JU$231,INT(($N1026+40)/0.5)+1,INT(($O1026+30)/0.5)+1)="","",INDEX(geo_grid!$B$2:$JU$231,INT(($N1026+40)/0.5)+1,INT(($O1026+30)/0.5)+1)),"OUTSIDE GRID"))</f>
        <v/>
      </c>
      <c r="Q1026" t="str">
        <f t="shared" si="175"/>
        <v/>
      </c>
    </row>
    <row r="1027" spans="1:17" x14ac:dyDescent="0.3">
      <c r="A1027">
        <f t="shared" ref="A1027:A1090" si="176">INT((ROW()-2)/151)+1</f>
        <v>7</v>
      </c>
      <c r="B1027">
        <f t="shared" ref="B1027:B1090" si="177">MOD(ROW()-2,151)</f>
        <v>119</v>
      </c>
      <c r="C1027" t="str" cm="1">
        <f t="array" ref="C1027">IFERROR(INDEX('TRIP MANAGER'!$O$18:$O$25,$A1027),"")</f>
        <v/>
      </c>
      <c r="D1027" t="str" cm="1">
        <f t="array" ref="D1027">IFERROR(INDEX('TRIP MANAGER'!$P$18:$P$25,$A1027),"")</f>
        <v/>
      </c>
      <c r="E1027" t="str" cm="1">
        <f t="array" ref="E1027">IFERROR(INDEX('TRIP MANAGER'!$Q$18:$Q$25,$A1027),"")</f>
        <v/>
      </c>
      <c r="F1027" t="str" cm="1">
        <f t="array" ref="F1027">IFERROR(INDEX('TRIP MANAGER'!$R$18:$R$25,$A1027),"")</f>
        <v/>
      </c>
      <c r="G1027" t="str" cm="1">
        <f t="array" ref="G1027">IFERROR(INDEX('TRIP MANAGER'!$S$18:$S$25,$A1027),"")</f>
        <v/>
      </c>
      <c r="H1027">
        <f t="shared" ref="H1027:H1090" si="178">$B1027/150</f>
        <v>0.79333333333333333</v>
      </c>
      <c r="I1027" t="str">
        <f t="shared" ref="I1027:I1090" si="179">IF(OR($G1027="",$G1027=0),"",SIN((1-$H1027)*$G1027)/SIN($G1027))</f>
        <v/>
      </c>
      <c r="J1027" t="str">
        <f t="shared" ref="J1027:J1090" si="180">IF($I1027="","",SIN($H1027*$G1027)/SIN($G1027))</f>
        <v/>
      </c>
      <c r="K1027" t="str">
        <f t="shared" ref="K1027:K1090" si="181">IF($I1027="","",$I1027*COS(RADIANS($C1027))*COS(RADIANS($D1027))+$J1027*COS(RADIANS($E1027))*COS(RADIANS($F1027)))</f>
        <v/>
      </c>
      <c r="L1027" t="str">
        <f t="shared" ref="L1027:L1090" si="182">IF($I1027="","",$I1027*COS(RADIANS($C1027))*SIN(RADIANS($D1027))+$J1027*COS(RADIANS($E1027))*SIN(RADIANS($F1027)))</f>
        <v/>
      </c>
      <c r="M1027" t="str">
        <f t="shared" ref="M1027:M1090" si="183">IF($I1027="","",$I1027*SIN(RADIANS($C1027))+$J1027*SIN(RADIANS($E1027)))</f>
        <v/>
      </c>
      <c r="N1027" t="str">
        <f t="shared" ref="N1027:N1090" si="184">IF($M1027="","",DEGREES(ATAN2(SQRT($K1027^2+$L1027^2),$M1027)))</f>
        <v/>
      </c>
      <c r="O1027" t="str">
        <f t="shared" ref="O1027:O1090" si="185">IF($M1027="","",DEGREES(ATAN2($K1027,$L1027)))</f>
        <v/>
      </c>
      <c r="P1027" t="str" cm="1">
        <f t="array" ref="P1027">IF($N1027="","",IFERROR(IF(INDEX(geo_grid!$B$2:$JU$231,INT(($N1027+40)/0.5)+1,INT(($O1027+30)/0.5)+1)="","",INDEX(geo_grid!$B$2:$JU$231,INT(($N1027+40)/0.5)+1,INT(($O1027+30)/0.5)+1)),"OUTSIDE GRID"))</f>
        <v/>
      </c>
      <c r="Q1027" t="str">
        <f t="shared" ref="Q1027:Q1090" si="186">IF($P1027="","",$A1027*1000+$B1027)</f>
        <v/>
      </c>
    </row>
    <row r="1028" spans="1:17" x14ac:dyDescent="0.3">
      <c r="A1028">
        <f t="shared" si="176"/>
        <v>7</v>
      </c>
      <c r="B1028">
        <f t="shared" si="177"/>
        <v>120</v>
      </c>
      <c r="C1028" t="str" cm="1">
        <f t="array" ref="C1028">IFERROR(INDEX('TRIP MANAGER'!$O$18:$O$25,$A1028),"")</f>
        <v/>
      </c>
      <c r="D1028" t="str" cm="1">
        <f t="array" ref="D1028">IFERROR(INDEX('TRIP MANAGER'!$P$18:$P$25,$A1028),"")</f>
        <v/>
      </c>
      <c r="E1028" t="str" cm="1">
        <f t="array" ref="E1028">IFERROR(INDEX('TRIP MANAGER'!$Q$18:$Q$25,$A1028),"")</f>
        <v/>
      </c>
      <c r="F1028" t="str" cm="1">
        <f t="array" ref="F1028">IFERROR(INDEX('TRIP MANAGER'!$R$18:$R$25,$A1028),"")</f>
        <v/>
      </c>
      <c r="G1028" t="str" cm="1">
        <f t="array" ref="G1028">IFERROR(INDEX('TRIP MANAGER'!$S$18:$S$25,$A1028),"")</f>
        <v/>
      </c>
      <c r="H1028">
        <f t="shared" si="178"/>
        <v>0.8</v>
      </c>
      <c r="I1028" t="str">
        <f t="shared" si="179"/>
        <v/>
      </c>
      <c r="J1028" t="str">
        <f t="shared" si="180"/>
        <v/>
      </c>
      <c r="K1028" t="str">
        <f t="shared" si="181"/>
        <v/>
      </c>
      <c r="L1028" t="str">
        <f t="shared" si="182"/>
        <v/>
      </c>
      <c r="M1028" t="str">
        <f t="shared" si="183"/>
        <v/>
      </c>
      <c r="N1028" t="str">
        <f t="shared" si="184"/>
        <v/>
      </c>
      <c r="O1028" t="str">
        <f t="shared" si="185"/>
        <v/>
      </c>
      <c r="P1028" t="str" cm="1">
        <f t="array" ref="P1028">IF($N1028="","",IFERROR(IF(INDEX(geo_grid!$B$2:$JU$231,INT(($N1028+40)/0.5)+1,INT(($O1028+30)/0.5)+1)="","",INDEX(geo_grid!$B$2:$JU$231,INT(($N1028+40)/0.5)+1,INT(($O1028+30)/0.5)+1)),"OUTSIDE GRID"))</f>
        <v/>
      </c>
      <c r="Q1028" t="str">
        <f t="shared" si="186"/>
        <v/>
      </c>
    </row>
    <row r="1029" spans="1:17" x14ac:dyDescent="0.3">
      <c r="A1029">
        <f t="shared" si="176"/>
        <v>7</v>
      </c>
      <c r="B1029">
        <f t="shared" si="177"/>
        <v>121</v>
      </c>
      <c r="C1029" t="str" cm="1">
        <f t="array" ref="C1029">IFERROR(INDEX('TRIP MANAGER'!$O$18:$O$25,$A1029),"")</f>
        <v/>
      </c>
      <c r="D1029" t="str" cm="1">
        <f t="array" ref="D1029">IFERROR(INDEX('TRIP MANAGER'!$P$18:$P$25,$A1029),"")</f>
        <v/>
      </c>
      <c r="E1029" t="str" cm="1">
        <f t="array" ref="E1029">IFERROR(INDEX('TRIP MANAGER'!$Q$18:$Q$25,$A1029),"")</f>
        <v/>
      </c>
      <c r="F1029" t="str" cm="1">
        <f t="array" ref="F1029">IFERROR(INDEX('TRIP MANAGER'!$R$18:$R$25,$A1029),"")</f>
        <v/>
      </c>
      <c r="G1029" t="str" cm="1">
        <f t="array" ref="G1029">IFERROR(INDEX('TRIP MANAGER'!$S$18:$S$25,$A1029),"")</f>
        <v/>
      </c>
      <c r="H1029">
        <f t="shared" si="178"/>
        <v>0.80666666666666664</v>
      </c>
      <c r="I1029" t="str">
        <f t="shared" si="179"/>
        <v/>
      </c>
      <c r="J1029" t="str">
        <f t="shared" si="180"/>
        <v/>
      </c>
      <c r="K1029" t="str">
        <f t="shared" si="181"/>
        <v/>
      </c>
      <c r="L1029" t="str">
        <f t="shared" si="182"/>
        <v/>
      </c>
      <c r="M1029" t="str">
        <f t="shared" si="183"/>
        <v/>
      </c>
      <c r="N1029" t="str">
        <f t="shared" si="184"/>
        <v/>
      </c>
      <c r="O1029" t="str">
        <f t="shared" si="185"/>
        <v/>
      </c>
      <c r="P1029" t="str" cm="1">
        <f t="array" ref="P1029">IF($N1029="","",IFERROR(IF(INDEX(geo_grid!$B$2:$JU$231,INT(($N1029+40)/0.5)+1,INT(($O1029+30)/0.5)+1)="","",INDEX(geo_grid!$B$2:$JU$231,INT(($N1029+40)/0.5)+1,INT(($O1029+30)/0.5)+1)),"OUTSIDE GRID"))</f>
        <v/>
      </c>
      <c r="Q1029" t="str">
        <f t="shared" si="186"/>
        <v/>
      </c>
    </row>
    <row r="1030" spans="1:17" x14ac:dyDescent="0.3">
      <c r="A1030">
        <f t="shared" si="176"/>
        <v>7</v>
      </c>
      <c r="B1030">
        <f t="shared" si="177"/>
        <v>122</v>
      </c>
      <c r="C1030" t="str" cm="1">
        <f t="array" ref="C1030">IFERROR(INDEX('TRIP MANAGER'!$O$18:$O$25,$A1030),"")</f>
        <v/>
      </c>
      <c r="D1030" t="str" cm="1">
        <f t="array" ref="D1030">IFERROR(INDEX('TRIP MANAGER'!$P$18:$P$25,$A1030),"")</f>
        <v/>
      </c>
      <c r="E1030" t="str" cm="1">
        <f t="array" ref="E1030">IFERROR(INDEX('TRIP MANAGER'!$Q$18:$Q$25,$A1030),"")</f>
        <v/>
      </c>
      <c r="F1030" t="str" cm="1">
        <f t="array" ref="F1030">IFERROR(INDEX('TRIP MANAGER'!$R$18:$R$25,$A1030),"")</f>
        <v/>
      </c>
      <c r="G1030" t="str" cm="1">
        <f t="array" ref="G1030">IFERROR(INDEX('TRIP MANAGER'!$S$18:$S$25,$A1030),"")</f>
        <v/>
      </c>
      <c r="H1030">
        <f t="shared" si="178"/>
        <v>0.81333333333333335</v>
      </c>
      <c r="I1030" t="str">
        <f t="shared" si="179"/>
        <v/>
      </c>
      <c r="J1030" t="str">
        <f t="shared" si="180"/>
        <v/>
      </c>
      <c r="K1030" t="str">
        <f t="shared" si="181"/>
        <v/>
      </c>
      <c r="L1030" t="str">
        <f t="shared" si="182"/>
        <v/>
      </c>
      <c r="M1030" t="str">
        <f t="shared" si="183"/>
        <v/>
      </c>
      <c r="N1030" t="str">
        <f t="shared" si="184"/>
        <v/>
      </c>
      <c r="O1030" t="str">
        <f t="shared" si="185"/>
        <v/>
      </c>
      <c r="P1030" t="str" cm="1">
        <f t="array" ref="P1030">IF($N1030="","",IFERROR(IF(INDEX(geo_grid!$B$2:$JU$231,INT(($N1030+40)/0.5)+1,INT(($O1030+30)/0.5)+1)="","",INDEX(geo_grid!$B$2:$JU$231,INT(($N1030+40)/0.5)+1,INT(($O1030+30)/0.5)+1)),"OUTSIDE GRID"))</f>
        <v/>
      </c>
      <c r="Q1030" t="str">
        <f t="shared" si="186"/>
        <v/>
      </c>
    </row>
    <row r="1031" spans="1:17" x14ac:dyDescent="0.3">
      <c r="A1031">
        <f t="shared" si="176"/>
        <v>7</v>
      </c>
      <c r="B1031">
        <f t="shared" si="177"/>
        <v>123</v>
      </c>
      <c r="C1031" t="str" cm="1">
        <f t="array" ref="C1031">IFERROR(INDEX('TRIP MANAGER'!$O$18:$O$25,$A1031),"")</f>
        <v/>
      </c>
      <c r="D1031" t="str" cm="1">
        <f t="array" ref="D1031">IFERROR(INDEX('TRIP MANAGER'!$P$18:$P$25,$A1031),"")</f>
        <v/>
      </c>
      <c r="E1031" t="str" cm="1">
        <f t="array" ref="E1031">IFERROR(INDEX('TRIP MANAGER'!$Q$18:$Q$25,$A1031),"")</f>
        <v/>
      </c>
      <c r="F1031" t="str" cm="1">
        <f t="array" ref="F1031">IFERROR(INDEX('TRIP MANAGER'!$R$18:$R$25,$A1031),"")</f>
        <v/>
      </c>
      <c r="G1031" t="str" cm="1">
        <f t="array" ref="G1031">IFERROR(INDEX('TRIP MANAGER'!$S$18:$S$25,$A1031),"")</f>
        <v/>
      </c>
      <c r="H1031">
        <f t="shared" si="178"/>
        <v>0.82</v>
      </c>
      <c r="I1031" t="str">
        <f t="shared" si="179"/>
        <v/>
      </c>
      <c r="J1031" t="str">
        <f t="shared" si="180"/>
        <v/>
      </c>
      <c r="K1031" t="str">
        <f t="shared" si="181"/>
        <v/>
      </c>
      <c r="L1031" t="str">
        <f t="shared" si="182"/>
        <v/>
      </c>
      <c r="M1031" t="str">
        <f t="shared" si="183"/>
        <v/>
      </c>
      <c r="N1031" t="str">
        <f t="shared" si="184"/>
        <v/>
      </c>
      <c r="O1031" t="str">
        <f t="shared" si="185"/>
        <v/>
      </c>
      <c r="P1031" t="str" cm="1">
        <f t="array" ref="P1031">IF($N1031="","",IFERROR(IF(INDEX(geo_grid!$B$2:$JU$231,INT(($N1031+40)/0.5)+1,INT(($O1031+30)/0.5)+1)="","",INDEX(geo_grid!$B$2:$JU$231,INT(($N1031+40)/0.5)+1,INT(($O1031+30)/0.5)+1)),"OUTSIDE GRID"))</f>
        <v/>
      </c>
      <c r="Q1031" t="str">
        <f t="shared" si="186"/>
        <v/>
      </c>
    </row>
    <row r="1032" spans="1:17" x14ac:dyDescent="0.3">
      <c r="A1032">
        <f t="shared" si="176"/>
        <v>7</v>
      </c>
      <c r="B1032">
        <f t="shared" si="177"/>
        <v>124</v>
      </c>
      <c r="C1032" t="str" cm="1">
        <f t="array" ref="C1032">IFERROR(INDEX('TRIP MANAGER'!$O$18:$O$25,$A1032),"")</f>
        <v/>
      </c>
      <c r="D1032" t="str" cm="1">
        <f t="array" ref="D1032">IFERROR(INDEX('TRIP MANAGER'!$P$18:$P$25,$A1032),"")</f>
        <v/>
      </c>
      <c r="E1032" t="str" cm="1">
        <f t="array" ref="E1032">IFERROR(INDEX('TRIP MANAGER'!$Q$18:$Q$25,$A1032),"")</f>
        <v/>
      </c>
      <c r="F1032" t="str" cm="1">
        <f t="array" ref="F1032">IFERROR(INDEX('TRIP MANAGER'!$R$18:$R$25,$A1032),"")</f>
        <v/>
      </c>
      <c r="G1032" t="str" cm="1">
        <f t="array" ref="G1032">IFERROR(INDEX('TRIP MANAGER'!$S$18:$S$25,$A1032),"")</f>
        <v/>
      </c>
      <c r="H1032">
        <f t="shared" si="178"/>
        <v>0.82666666666666666</v>
      </c>
      <c r="I1032" t="str">
        <f t="shared" si="179"/>
        <v/>
      </c>
      <c r="J1032" t="str">
        <f t="shared" si="180"/>
        <v/>
      </c>
      <c r="K1032" t="str">
        <f t="shared" si="181"/>
        <v/>
      </c>
      <c r="L1032" t="str">
        <f t="shared" si="182"/>
        <v/>
      </c>
      <c r="M1032" t="str">
        <f t="shared" si="183"/>
        <v/>
      </c>
      <c r="N1032" t="str">
        <f t="shared" si="184"/>
        <v/>
      </c>
      <c r="O1032" t="str">
        <f t="shared" si="185"/>
        <v/>
      </c>
      <c r="P1032" t="str" cm="1">
        <f t="array" ref="P1032">IF($N1032="","",IFERROR(IF(INDEX(geo_grid!$B$2:$JU$231,INT(($N1032+40)/0.5)+1,INT(($O1032+30)/0.5)+1)="","",INDEX(geo_grid!$B$2:$JU$231,INT(($N1032+40)/0.5)+1,INT(($O1032+30)/0.5)+1)),"OUTSIDE GRID"))</f>
        <v/>
      </c>
      <c r="Q1032" t="str">
        <f t="shared" si="186"/>
        <v/>
      </c>
    </row>
    <row r="1033" spans="1:17" x14ac:dyDescent="0.3">
      <c r="A1033">
        <f t="shared" si="176"/>
        <v>7</v>
      </c>
      <c r="B1033">
        <f t="shared" si="177"/>
        <v>125</v>
      </c>
      <c r="C1033" t="str" cm="1">
        <f t="array" ref="C1033">IFERROR(INDEX('TRIP MANAGER'!$O$18:$O$25,$A1033),"")</f>
        <v/>
      </c>
      <c r="D1033" t="str" cm="1">
        <f t="array" ref="D1033">IFERROR(INDEX('TRIP MANAGER'!$P$18:$P$25,$A1033),"")</f>
        <v/>
      </c>
      <c r="E1033" t="str" cm="1">
        <f t="array" ref="E1033">IFERROR(INDEX('TRIP MANAGER'!$Q$18:$Q$25,$A1033),"")</f>
        <v/>
      </c>
      <c r="F1033" t="str" cm="1">
        <f t="array" ref="F1033">IFERROR(INDEX('TRIP MANAGER'!$R$18:$R$25,$A1033),"")</f>
        <v/>
      </c>
      <c r="G1033" t="str" cm="1">
        <f t="array" ref="G1033">IFERROR(INDEX('TRIP MANAGER'!$S$18:$S$25,$A1033),"")</f>
        <v/>
      </c>
      <c r="H1033">
        <f t="shared" si="178"/>
        <v>0.83333333333333337</v>
      </c>
      <c r="I1033" t="str">
        <f t="shared" si="179"/>
        <v/>
      </c>
      <c r="J1033" t="str">
        <f t="shared" si="180"/>
        <v/>
      </c>
      <c r="K1033" t="str">
        <f t="shared" si="181"/>
        <v/>
      </c>
      <c r="L1033" t="str">
        <f t="shared" si="182"/>
        <v/>
      </c>
      <c r="M1033" t="str">
        <f t="shared" si="183"/>
        <v/>
      </c>
      <c r="N1033" t="str">
        <f t="shared" si="184"/>
        <v/>
      </c>
      <c r="O1033" t="str">
        <f t="shared" si="185"/>
        <v/>
      </c>
      <c r="P1033" t="str" cm="1">
        <f t="array" ref="P1033">IF($N1033="","",IFERROR(IF(INDEX(geo_grid!$B$2:$JU$231,INT(($N1033+40)/0.5)+1,INT(($O1033+30)/0.5)+1)="","",INDEX(geo_grid!$B$2:$JU$231,INT(($N1033+40)/0.5)+1,INT(($O1033+30)/0.5)+1)),"OUTSIDE GRID"))</f>
        <v/>
      </c>
      <c r="Q1033" t="str">
        <f t="shared" si="186"/>
        <v/>
      </c>
    </row>
    <row r="1034" spans="1:17" x14ac:dyDescent="0.3">
      <c r="A1034">
        <f t="shared" si="176"/>
        <v>7</v>
      </c>
      <c r="B1034">
        <f t="shared" si="177"/>
        <v>126</v>
      </c>
      <c r="C1034" t="str" cm="1">
        <f t="array" ref="C1034">IFERROR(INDEX('TRIP MANAGER'!$O$18:$O$25,$A1034),"")</f>
        <v/>
      </c>
      <c r="D1034" t="str" cm="1">
        <f t="array" ref="D1034">IFERROR(INDEX('TRIP MANAGER'!$P$18:$P$25,$A1034),"")</f>
        <v/>
      </c>
      <c r="E1034" t="str" cm="1">
        <f t="array" ref="E1034">IFERROR(INDEX('TRIP MANAGER'!$Q$18:$Q$25,$A1034),"")</f>
        <v/>
      </c>
      <c r="F1034" t="str" cm="1">
        <f t="array" ref="F1034">IFERROR(INDEX('TRIP MANAGER'!$R$18:$R$25,$A1034),"")</f>
        <v/>
      </c>
      <c r="G1034" t="str" cm="1">
        <f t="array" ref="G1034">IFERROR(INDEX('TRIP MANAGER'!$S$18:$S$25,$A1034),"")</f>
        <v/>
      </c>
      <c r="H1034">
        <f t="shared" si="178"/>
        <v>0.84</v>
      </c>
      <c r="I1034" t="str">
        <f t="shared" si="179"/>
        <v/>
      </c>
      <c r="J1034" t="str">
        <f t="shared" si="180"/>
        <v/>
      </c>
      <c r="K1034" t="str">
        <f t="shared" si="181"/>
        <v/>
      </c>
      <c r="L1034" t="str">
        <f t="shared" si="182"/>
        <v/>
      </c>
      <c r="M1034" t="str">
        <f t="shared" si="183"/>
        <v/>
      </c>
      <c r="N1034" t="str">
        <f t="shared" si="184"/>
        <v/>
      </c>
      <c r="O1034" t="str">
        <f t="shared" si="185"/>
        <v/>
      </c>
      <c r="P1034" t="str" cm="1">
        <f t="array" ref="P1034">IF($N1034="","",IFERROR(IF(INDEX(geo_grid!$B$2:$JU$231,INT(($N1034+40)/0.5)+1,INT(($O1034+30)/0.5)+1)="","",INDEX(geo_grid!$B$2:$JU$231,INT(($N1034+40)/0.5)+1,INT(($O1034+30)/0.5)+1)),"OUTSIDE GRID"))</f>
        <v/>
      </c>
      <c r="Q1034" t="str">
        <f t="shared" si="186"/>
        <v/>
      </c>
    </row>
    <row r="1035" spans="1:17" x14ac:dyDescent="0.3">
      <c r="A1035">
        <f t="shared" si="176"/>
        <v>7</v>
      </c>
      <c r="B1035">
        <f t="shared" si="177"/>
        <v>127</v>
      </c>
      <c r="C1035" t="str" cm="1">
        <f t="array" ref="C1035">IFERROR(INDEX('TRIP MANAGER'!$O$18:$O$25,$A1035),"")</f>
        <v/>
      </c>
      <c r="D1035" t="str" cm="1">
        <f t="array" ref="D1035">IFERROR(INDEX('TRIP MANAGER'!$P$18:$P$25,$A1035),"")</f>
        <v/>
      </c>
      <c r="E1035" t="str" cm="1">
        <f t="array" ref="E1035">IFERROR(INDEX('TRIP MANAGER'!$Q$18:$Q$25,$A1035),"")</f>
        <v/>
      </c>
      <c r="F1035" t="str" cm="1">
        <f t="array" ref="F1035">IFERROR(INDEX('TRIP MANAGER'!$R$18:$R$25,$A1035),"")</f>
        <v/>
      </c>
      <c r="G1035" t="str" cm="1">
        <f t="array" ref="G1035">IFERROR(INDEX('TRIP MANAGER'!$S$18:$S$25,$A1035),"")</f>
        <v/>
      </c>
      <c r="H1035">
        <f t="shared" si="178"/>
        <v>0.84666666666666668</v>
      </c>
      <c r="I1035" t="str">
        <f t="shared" si="179"/>
        <v/>
      </c>
      <c r="J1035" t="str">
        <f t="shared" si="180"/>
        <v/>
      </c>
      <c r="K1035" t="str">
        <f t="shared" si="181"/>
        <v/>
      </c>
      <c r="L1035" t="str">
        <f t="shared" si="182"/>
        <v/>
      </c>
      <c r="M1035" t="str">
        <f t="shared" si="183"/>
        <v/>
      </c>
      <c r="N1035" t="str">
        <f t="shared" si="184"/>
        <v/>
      </c>
      <c r="O1035" t="str">
        <f t="shared" si="185"/>
        <v/>
      </c>
      <c r="P1035" t="str" cm="1">
        <f t="array" ref="P1035">IF($N1035="","",IFERROR(IF(INDEX(geo_grid!$B$2:$JU$231,INT(($N1035+40)/0.5)+1,INT(($O1035+30)/0.5)+1)="","",INDEX(geo_grid!$B$2:$JU$231,INT(($N1035+40)/0.5)+1,INT(($O1035+30)/0.5)+1)),"OUTSIDE GRID"))</f>
        <v/>
      </c>
      <c r="Q1035" t="str">
        <f t="shared" si="186"/>
        <v/>
      </c>
    </row>
    <row r="1036" spans="1:17" x14ac:dyDescent="0.3">
      <c r="A1036">
        <f t="shared" si="176"/>
        <v>7</v>
      </c>
      <c r="B1036">
        <f t="shared" si="177"/>
        <v>128</v>
      </c>
      <c r="C1036" t="str" cm="1">
        <f t="array" ref="C1036">IFERROR(INDEX('TRIP MANAGER'!$O$18:$O$25,$A1036),"")</f>
        <v/>
      </c>
      <c r="D1036" t="str" cm="1">
        <f t="array" ref="D1036">IFERROR(INDEX('TRIP MANAGER'!$P$18:$P$25,$A1036),"")</f>
        <v/>
      </c>
      <c r="E1036" t="str" cm="1">
        <f t="array" ref="E1036">IFERROR(INDEX('TRIP MANAGER'!$Q$18:$Q$25,$A1036),"")</f>
        <v/>
      </c>
      <c r="F1036" t="str" cm="1">
        <f t="array" ref="F1036">IFERROR(INDEX('TRIP MANAGER'!$R$18:$R$25,$A1036),"")</f>
        <v/>
      </c>
      <c r="G1036" t="str" cm="1">
        <f t="array" ref="G1036">IFERROR(INDEX('TRIP MANAGER'!$S$18:$S$25,$A1036),"")</f>
        <v/>
      </c>
      <c r="H1036">
        <f t="shared" si="178"/>
        <v>0.85333333333333339</v>
      </c>
      <c r="I1036" t="str">
        <f t="shared" si="179"/>
        <v/>
      </c>
      <c r="J1036" t="str">
        <f t="shared" si="180"/>
        <v/>
      </c>
      <c r="K1036" t="str">
        <f t="shared" si="181"/>
        <v/>
      </c>
      <c r="L1036" t="str">
        <f t="shared" si="182"/>
        <v/>
      </c>
      <c r="M1036" t="str">
        <f t="shared" si="183"/>
        <v/>
      </c>
      <c r="N1036" t="str">
        <f t="shared" si="184"/>
        <v/>
      </c>
      <c r="O1036" t="str">
        <f t="shared" si="185"/>
        <v/>
      </c>
      <c r="P1036" t="str" cm="1">
        <f t="array" ref="P1036">IF($N1036="","",IFERROR(IF(INDEX(geo_grid!$B$2:$JU$231,INT(($N1036+40)/0.5)+1,INT(($O1036+30)/0.5)+1)="","",INDEX(geo_grid!$B$2:$JU$231,INT(($N1036+40)/0.5)+1,INT(($O1036+30)/0.5)+1)),"OUTSIDE GRID"))</f>
        <v/>
      </c>
      <c r="Q1036" t="str">
        <f t="shared" si="186"/>
        <v/>
      </c>
    </row>
    <row r="1037" spans="1:17" x14ac:dyDescent="0.3">
      <c r="A1037">
        <f t="shared" si="176"/>
        <v>7</v>
      </c>
      <c r="B1037">
        <f t="shared" si="177"/>
        <v>129</v>
      </c>
      <c r="C1037" t="str" cm="1">
        <f t="array" ref="C1037">IFERROR(INDEX('TRIP MANAGER'!$O$18:$O$25,$A1037),"")</f>
        <v/>
      </c>
      <c r="D1037" t="str" cm="1">
        <f t="array" ref="D1037">IFERROR(INDEX('TRIP MANAGER'!$P$18:$P$25,$A1037),"")</f>
        <v/>
      </c>
      <c r="E1037" t="str" cm="1">
        <f t="array" ref="E1037">IFERROR(INDEX('TRIP MANAGER'!$Q$18:$Q$25,$A1037),"")</f>
        <v/>
      </c>
      <c r="F1037" t="str" cm="1">
        <f t="array" ref="F1037">IFERROR(INDEX('TRIP MANAGER'!$R$18:$R$25,$A1037),"")</f>
        <v/>
      </c>
      <c r="G1037" t="str" cm="1">
        <f t="array" ref="G1037">IFERROR(INDEX('TRIP MANAGER'!$S$18:$S$25,$A1037),"")</f>
        <v/>
      </c>
      <c r="H1037">
        <f t="shared" si="178"/>
        <v>0.86</v>
      </c>
      <c r="I1037" t="str">
        <f t="shared" si="179"/>
        <v/>
      </c>
      <c r="J1037" t="str">
        <f t="shared" si="180"/>
        <v/>
      </c>
      <c r="K1037" t="str">
        <f t="shared" si="181"/>
        <v/>
      </c>
      <c r="L1037" t="str">
        <f t="shared" si="182"/>
        <v/>
      </c>
      <c r="M1037" t="str">
        <f t="shared" si="183"/>
        <v/>
      </c>
      <c r="N1037" t="str">
        <f t="shared" si="184"/>
        <v/>
      </c>
      <c r="O1037" t="str">
        <f t="shared" si="185"/>
        <v/>
      </c>
      <c r="P1037" t="str" cm="1">
        <f t="array" ref="P1037">IF($N1037="","",IFERROR(IF(INDEX(geo_grid!$B$2:$JU$231,INT(($N1037+40)/0.5)+1,INT(($O1037+30)/0.5)+1)="","",INDEX(geo_grid!$B$2:$JU$231,INT(($N1037+40)/0.5)+1,INT(($O1037+30)/0.5)+1)),"OUTSIDE GRID"))</f>
        <v/>
      </c>
      <c r="Q1037" t="str">
        <f t="shared" si="186"/>
        <v/>
      </c>
    </row>
    <row r="1038" spans="1:17" x14ac:dyDescent="0.3">
      <c r="A1038">
        <f t="shared" si="176"/>
        <v>7</v>
      </c>
      <c r="B1038">
        <f t="shared" si="177"/>
        <v>130</v>
      </c>
      <c r="C1038" t="str" cm="1">
        <f t="array" ref="C1038">IFERROR(INDEX('TRIP MANAGER'!$O$18:$O$25,$A1038),"")</f>
        <v/>
      </c>
      <c r="D1038" t="str" cm="1">
        <f t="array" ref="D1038">IFERROR(INDEX('TRIP MANAGER'!$P$18:$P$25,$A1038),"")</f>
        <v/>
      </c>
      <c r="E1038" t="str" cm="1">
        <f t="array" ref="E1038">IFERROR(INDEX('TRIP MANAGER'!$Q$18:$Q$25,$A1038),"")</f>
        <v/>
      </c>
      <c r="F1038" t="str" cm="1">
        <f t="array" ref="F1038">IFERROR(INDEX('TRIP MANAGER'!$R$18:$R$25,$A1038),"")</f>
        <v/>
      </c>
      <c r="G1038" t="str" cm="1">
        <f t="array" ref="G1038">IFERROR(INDEX('TRIP MANAGER'!$S$18:$S$25,$A1038),"")</f>
        <v/>
      </c>
      <c r="H1038">
        <f t="shared" si="178"/>
        <v>0.8666666666666667</v>
      </c>
      <c r="I1038" t="str">
        <f t="shared" si="179"/>
        <v/>
      </c>
      <c r="J1038" t="str">
        <f t="shared" si="180"/>
        <v/>
      </c>
      <c r="K1038" t="str">
        <f t="shared" si="181"/>
        <v/>
      </c>
      <c r="L1038" t="str">
        <f t="shared" si="182"/>
        <v/>
      </c>
      <c r="M1038" t="str">
        <f t="shared" si="183"/>
        <v/>
      </c>
      <c r="N1038" t="str">
        <f t="shared" si="184"/>
        <v/>
      </c>
      <c r="O1038" t="str">
        <f t="shared" si="185"/>
        <v/>
      </c>
      <c r="P1038" t="str" cm="1">
        <f t="array" ref="P1038">IF($N1038="","",IFERROR(IF(INDEX(geo_grid!$B$2:$JU$231,INT(($N1038+40)/0.5)+1,INT(($O1038+30)/0.5)+1)="","",INDEX(geo_grid!$B$2:$JU$231,INT(($N1038+40)/0.5)+1,INT(($O1038+30)/0.5)+1)),"OUTSIDE GRID"))</f>
        <v/>
      </c>
      <c r="Q1038" t="str">
        <f t="shared" si="186"/>
        <v/>
      </c>
    </row>
    <row r="1039" spans="1:17" x14ac:dyDescent="0.3">
      <c r="A1039">
        <f t="shared" si="176"/>
        <v>7</v>
      </c>
      <c r="B1039">
        <f t="shared" si="177"/>
        <v>131</v>
      </c>
      <c r="C1039" t="str" cm="1">
        <f t="array" ref="C1039">IFERROR(INDEX('TRIP MANAGER'!$O$18:$O$25,$A1039),"")</f>
        <v/>
      </c>
      <c r="D1039" t="str" cm="1">
        <f t="array" ref="D1039">IFERROR(INDEX('TRIP MANAGER'!$P$18:$P$25,$A1039),"")</f>
        <v/>
      </c>
      <c r="E1039" t="str" cm="1">
        <f t="array" ref="E1039">IFERROR(INDEX('TRIP MANAGER'!$Q$18:$Q$25,$A1039),"")</f>
        <v/>
      </c>
      <c r="F1039" t="str" cm="1">
        <f t="array" ref="F1039">IFERROR(INDEX('TRIP MANAGER'!$R$18:$R$25,$A1039),"")</f>
        <v/>
      </c>
      <c r="G1039" t="str" cm="1">
        <f t="array" ref="G1039">IFERROR(INDEX('TRIP MANAGER'!$S$18:$S$25,$A1039),"")</f>
        <v/>
      </c>
      <c r="H1039">
        <f t="shared" si="178"/>
        <v>0.87333333333333329</v>
      </c>
      <c r="I1039" t="str">
        <f t="shared" si="179"/>
        <v/>
      </c>
      <c r="J1039" t="str">
        <f t="shared" si="180"/>
        <v/>
      </c>
      <c r="K1039" t="str">
        <f t="shared" si="181"/>
        <v/>
      </c>
      <c r="L1039" t="str">
        <f t="shared" si="182"/>
        <v/>
      </c>
      <c r="M1039" t="str">
        <f t="shared" si="183"/>
        <v/>
      </c>
      <c r="N1039" t="str">
        <f t="shared" si="184"/>
        <v/>
      </c>
      <c r="O1039" t="str">
        <f t="shared" si="185"/>
        <v/>
      </c>
      <c r="P1039" t="str" cm="1">
        <f t="array" ref="P1039">IF($N1039="","",IFERROR(IF(INDEX(geo_grid!$B$2:$JU$231,INT(($N1039+40)/0.5)+1,INT(($O1039+30)/0.5)+1)="","",INDEX(geo_grid!$B$2:$JU$231,INT(($N1039+40)/0.5)+1,INT(($O1039+30)/0.5)+1)),"OUTSIDE GRID"))</f>
        <v/>
      </c>
      <c r="Q1039" t="str">
        <f t="shared" si="186"/>
        <v/>
      </c>
    </row>
    <row r="1040" spans="1:17" x14ac:dyDescent="0.3">
      <c r="A1040">
        <f t="shared" si="176"/>
        <v>7</v>
      </c>
      <c r="B1040">
        <f t="shared" si="177"/>
        <v>132</v>
      </c>
      <c r="C1040" t="str" cm="1">
        <f t="array" ref="C1040">IFERROR(INDEX('TRIP MANAGER'!$O$18:$O$25,$A1040),"")</f>
        <v/>
      </c>
      <c r="D1040" t="str" cm="1">
        <f t="array" ref="D1040">IFERROR(INDEX('TRIP MANAGER'!$P$18:$P$25,$A1040),"")</f>
        <v/>
      </c>
      <c r="E1040" t="str" cm="1">
        <f t="array" ref="E1040">IFERROR(INDEX('TRIP MANAGER'!$Q$18:$Q$25,$A1040),"")</f>
        <v/>
      </c>
      <c r="F1040" t="str" cm="1">
        <f t="array" ref="F1040">IFERROR(INDEX('TRIP MANAGER'!$R$18:$R$25,$A1040),"")</f>
        <v/>
      </c>
      <c r="G1040" t="str" cm="1">
        <f t="array" ref="G1040">IFERROR(INDEX('TRIP MANAGER'!$S$18:$S$25,$A1040),"")</f>
        <v/>
      </c>
      <c r="H1040">
        <f t="shared" si="178"/>
        <v>0.88</v>
      </c>
      <c r="I1040" t="str">
        <f t="shared" si="179"/>
        <v/>
      </c>
      <c r="J1040" t="str">
        <f t="shared" si="180"/>
        <v/>
      </c>
      <c r="K1040" t="str">
        <f t="shared" si="181"/>
        <v/>
      </c>
      <c r="L1040" t="str">
        <f t="shared" si="182"/>
        <v/>
      </c>
      <c r="M1040" t="str">
        <f t="shared" si="183"/>
        <v/>
      </c>
      <c r="N1040" t="str">
        <f t="shared" si="184"/>
        <v/>
      </c>
      <c r="O1040" t="str">
        <f t="shared" si="185"/>
        <v/>
      </c>
      <c r="P1040" t="str" cm="1">
        <f t="array" ref="P1040">IF($N1040="","",IFERROR(IF(INDEX(geo_grid!$B$2:$JU$231,INT(($N1040+40)/0.5)+1,INT(($O1040+30)/0.5)+1)="","",INDEX(geo_grid!$B$2:$JU$231,INT(($N1040+40)/0.5)+1,INT(($O1040+30)/0.5)+1)),"OUTSIDE GRID"))</f>
        <v/>
      </c>
      <c r="Q1040" t="str">
        <f t="shared" si="186"/>
        <v/>
      </c>
    </row>
    <row r="1041" spans="1:17" x14ac:dyDescent="0.3">
      <c r="A1041">
        <f t="shared" si="176"/>
        <v>7</v>
      </c>
      <c r="B1041">
        <f t="shared" si="177"/>
        <v>133</v>
      </c>
      <c r="C1041" t="str" cm="1">
        <f t="array" ref="C1041">IFERROR(INDEX('TRIP MANAGER'!$O$18:$O$25,$A1041),"")</f>
        <v/>
      </c>
      <c r="D1041" t="str" cm="1">
        <f t="array" ref="D1041">IFERROR(INDEX('TRIP MANAGER'!$P$18:$P$25,$A1041),"")</f>
        <v/>
      </c>
      <c r="E1041" t="str" cm="1">
        <f t="array" ref="E1041">IFERROR(INDEX('TRIP MANAGER'!$Q$18:$Q$25,$A1041),"")</f>
        <v/>
      </c>
      <c r="F1041" t="str" cm="1">
        <f t="array" ref="F1041">IFERROR(INDEX('TRIP MANAGER'!$R$18:$R$25,$A1041),"")</f>
        <v/>
      </c>
      <c r="G1041" t="str" cm="1">
        <f t="array" ref="G1041">IFERROR(INDEX('TRIP MANAGER'!$S$18:$S$25,$A1041),"")</f>
        <v/>
      </c>
      <c r="H1041">
        <f t="shared" si="178"/>
        <v>0.88666666666666671</v>
      </c>
      <c r="I1041" t="str">
        <f t="shared" si="179"/>
        <v/>
      </c>
      <c r="J1041" t="str">
        <f t="shared" si="180"/>
        <v/>
      </c>
      <c r="K1041" t="str">
        <f t="shared" si="181"/>
        <v/>
      </c>
      <c r="L1041" t="str">
        <f t="shared" si="182"/>
        <v/>
      </c>
      <c r="M1041" t="str">
        <f t="shared" si="183"/>
        <v/>
      </c>
      <c r="N1041" t="str">
        <f t="shared" si="184"/>
        <v/>
      </c>
      <c r="O1041" t="str">
        <f t="shared" si="185"/>
        <v/>
      </c>
      <c r="P1041" t="str" cm="1">
        <f t="array" ref="P1041">IF($N1041="","",IFERROR(IF(INDEX(geo_grid!$B$2:$JU$231,INT(($N1041+40)/0.5)+1,INT(($O1041+30)/0.5)+1)="","",INDEX(geo_grid!$B$2:$JU$231,INT(($N1041+40)/0.5)+1,INT(($O1041+30)/0.5)+1)),"OUTSIDE GRID"))</f>
        <v/>
      </c>
      <c r="Q1041" t="str">
        <f t="shared" si="186"/>
        <v/>
      </c>
    </row>
    <row r="1042" spans="1:17" x14ac:dyDescent="0.3">
      <c r="A1042">
        <f t="shared" si="176"/>
        <v>7</v>
      </c>
      <c r="B1042">
        <f t="shared" si="177"/>
        <v>134</v>
      </c>
      <c r="C1042" t="str" cm="1">
        <f t="array" ref="C1042">IFERROR(INDEX('TRIP MANAGER'!$O$18:$O$25,$A1042),"")</f>
        <v/>
      </c>
      <c r="D1042" t="str" cm="1">
        <f t="array" ref="D1042">IFERROR(INDEX('TRIP MANAGER'!$P$18:$P$25,$A1042),"")</f>
        <v/>
      </c>
      <c r="E1042" t="str" cm="1">
        <f t="array" ref="E1042">IFERROR(INDEX('TRIP MANAGER'!$Q$18:$Q$25,$A1042),"")</f>
        <v/>
      </c>
      <c r="F1042" t="str" cm="1">
        <f t="array" ref="F1042">IFERROR(INDEX('TRIP MANAGER'!$R$18:$R$25,$A1042),"")</f>
        <v/>
      </c>
      <c r="G1042" t="str" cm="1">
        <f t="array" ref="G1042">IFERROR(INDEX('TRIP MANAGER'!$S$18:$S$25,$A1042),"")</f>
        <v/>
      </c>
      <c r="H1042">
        <f t="shared" si="178"/>
        <v>0.89333333333333331</v>
      </c>
      <c r="I1042" t="str">
        <f t="shared" si="179"/>
        <v/>
      </c>
      <c r="J1042" t="str">
        <f t="shared" si="180"/>
        <v/>
      </c>
      <c r="K1042" t="str">
        <f t="shared" si="181"/>
        <v/>
      </c>
      <c r="L1042" t="str">
        <f t="shared" si="182"/>
        <v/>
      </c>
      <c r="M1042" t="str">
        <f t="shared" si="183"/>
        <v/>
      </c>
      <c r="N1042" t="str">
        <f t="shared" si="184"/>
        <v/>
      </c>
      <c r="O1042" t="str">
        <f t="shared" si="185"/>
        <v/>
      </c>
      <c r="P1042" t="str" cm="1">
        <f t="array" ref="P1042">IF($N1042="","",IFERROR(IF(INDEX(geo_grid!$B$2:$JU$231,INT(($N1042+40)/0.5)+1,INT(($O1042+30)/0.5)+1)="","",INDEX(geo_grid!$B$2:$JU$231,INT(($N1042+40)/0.5)+1,INT(($O1042+30)/0.5)+1)),"OUTSIDE GRID"))</f>
        <v/>
      </c>
      <c r="Q1042" t="str">
        <f t="shared" si="186"/>
        <v/>
      </c>
    </row>
    <row r="1043" spans="1:17" x14ac:dyDescent="0.3">
      <c r="A1043">
        <f t="shared" si="176"/>
        <v>7</v>
      </c>
      <c r="B1043">
        <f t="shared" si="177"/>
        <v>135</v>
      </c>
      <c r="C1043" t="str" cm="1">
        <f t="array" ref="C1043">IFERROR(INDEX('TRIP MANAGER'!$O$18:$O$25,$A1043),"")</f>
        <v/>
      </c>
      <c r="D1043" t="str" cm="1">
        <f t="array" ref="D1043">IFERROR(INDEX('TRIP MANAGER'!$P$18:$P$25,$A1043),"")</f>
        <v/>
      </c>
      <c r="E1043" t="str" cm="1">
        <f t="array" ref="E1043">IFERROR(INDEX('TRIP MANAGER'!$Q$18:$Q$25,$A1043),"")</f>
        <v/>
      </c>
      <c r="F1043" t="str" cm="1">
        <f t="array" ref="F1043">IFERROR(INDEX('TRIP MANAGER'!$R$18:$R$25,$A1043),"")</f>
        <v/>
      </c>
      <c r="G1043" t="str" cm="1">
        <f t="array" ref="G1043">IFERROR(INDEX('TRIP MANAGER'!$S$18:$S$25,$A1043),"")</f>
        <v/>
      </c>
      <c r="H1043">
        <f t="shared" si="178"/>
        <v>0.9</v>
      </c>
      <c r="I1043" t="str">
        <f t="shared" si="179"/>
        <v/>
      </c>
      <c r="J1043" t="str">
        <f t="shared" si="180"/>
        <v/>
      </c>
      <c r="K1043" t="str">
        <f t="shared" si="181"/>
        <v/>
      </c>
      <c r="L1043" t="str">
        <f t="shared" si="182"/>
        <v/>
      </c>
      <c r="M1043" t="str">
        <f t="shared" si="183"/>
        <v/>
      </c>
      <c r="N1043" t="str">
        <f t="shared" si="184"/>
        <v/>
      </c>
      <c r="O1043" t="str">
        <f t="shared" si="185"/>
        <v/>
      </c>
      <c r="P1043" t="str" cm="1">
        <f t="array" ref="P1043">IF($N1043="","",IFERROR(IF(INDEX(geo_grid!$B$2:$JU$231,INT(($N1043+40)/0.5)+1,INT(($O1043+30)/0.5)+1)="","",INDEX(geo_grid!$B$2:$JU$231,INT(($N1043+40)/0.5)+1,INT(($O1043+30)/0.5)+1)),"OUTSIDE GRID"))</f>
        <v/>
      </c>
      <c r="Q1043" t="str">
        <f t="shared" si="186"/>
        <v/>
      </c>
    </row>
    <row r="1044" spans="1:17" x14ac:dyDescent="0.3">
      <c r="A1044">
        <f t="shared" si="176"/>
        <v>7</v>
      </c>
      <c r="B1044">
        <f t="shared" si="177"/>
        <v>136</v>
      </c>
      <c r="C1044" t="str" cm="1">
        <f t="array" ref="C1044">IFERROR(INDEX('TRIP MANAGER'!$O$18:$O$25,$A1044),"")</f>
        <v/>
      </c>
      <c r="D1044" t="str" cm="1">
        <f t="array" ref="D1044">IFERROR(INDEX('TRIP MANAGER'!$P$18:$P$25,$A1044),"")</f>
        <v/>
      </c>
      <c r="E1044" t="str" cm="1">
        <f t="array" ref="E1044">IFERROR(INDEX('TRIP MANAGER'!$Q$18:$Q$25,$A1044),"")</f>
        <v/>
      </c>
      <c r="F1044" t="str" cm="1">
        <f t="array" ref="F1044">IFERROR(INDEX('TRIP MANAGER'!$R$18:$R$25,$A1044),"")</f>
        <v/>
      </c>
      <c r="G1044" t="str" cm="1">
        <f t="array" ref="G1044">IFERROR(INDEX('TRIP MANAGER'!$S$18:$S$25,$A1044),"")</f>
        <v/>
      </c>
      <c r="H1044">
        <f t="shared" si="178"/>
        <v>0.90666666666666662</v>
      </c>
      <c r="I1044" t="str">
        <f t="shared" si="179"/>
        <v/>
      </c>
      <c r="J1044" t="str">
        <f t="shared" si="180"/>
        <v/>
      </c>
      <c r="K1044" t="str">
        <f t="shared" si="181"/>
        <v/>
      </c>
      <c r="L1044" t="str">
        <f t="shared" si="182"/>
        <v/>
      </c>
      <c r="M1044" t="str">
        <f t="shared" si="183"/>
        <v/>
      </c>
      <c r="N1044" t="str">
        <f t="shared" si="184"/>
        <v/>
      </c>
      <c r="O1044" t="str">
        <f t="shared" si="185"/>
        <v/>
      </c>
      <c r="P1044" t="str" cm="1">
        <f t="array" ref="P1044">IF($N1044="","",IFERROR(IF(INDEX(geo_grid!$B$2:$JU$231,INT(($N1044+40)/0.5)+1,INT(($O1044+30)/0.5)+1)="","",INDEX(geo_grid!$B$2:$JU$231,INT(($N1044+40)/0.5)+1,INT(($O1044+30)/0.5)+1)),"OUTSIDE GRID"))</f>
        <v/>
      </c>
      <c r="Q1044" t="str">
        <f t="shared" si="186"/>
        <v/>
      </c>
    </row>
    <row r="1045" spans="1:17" x14ac:dyDescent="0.3">
      <c r="A1045">
        <f t="shared" si="176"/>
        <v>7</v>
      </c>
      <c r="B1045">
        <f t="shared" si="177"/>
        <v>137</v>
      </c>
      <c r="C1045" t="str" cm="1">
        <f t="array" ref="C1045">IFERROR(INDEX('TRIP MANAGER'!$O$18:$O$25,$A1045),"")</f>
        <v/>
      </c>
      <c r="D1045" t="str" cm="1">
        <f t="array" ref="D1045">IFERROR(INDEX('TRIP MANAGER'!$P$18:$P$25,$A1045),"")</f>
        <v/>
      </c>
      <c r="E1045" t="str" cm="1">
        <f t="array" ref="E1045">IFERROR(INDEX('TRIP MANAGER'!$Q$18:$Q$25,$A1045),"")</f>
        <v/>
      </c>
      <c r="F1045" t="str" cm="1">
        <f t="array" ref="F1045">IFERROR(INDEX('TRIP MANAGER'!$R$18:$R$25,$A1045),"")</f>
        <v/>
      </c>
      <c r="G1045" t="str" cm="1">
        <f t="array" ref="G1045">IFERROR(INDEX('TRIP MANAGER'!$S$18:$S$25,$A1045),"")</f>
        <v/>
      </c>
      <c r="H1045">
        <f t="shared" si="178"/>
        <v>0.91333333333333333</v>
      </c>
      <c r="I1045" t="str">
        <f t="shared" si="179"/>
        <v/>
      </c>
      <c r="J1045" t="str">
        <f t="shared" si="180"/>
        <v/>
      </c>
      <c r="K1045" t="str">
        <f t="shared" si="181"/>
        <v/>
      </c>
      <c r="L1045" t="str">
        <f t="shared" si="182"/>
        <v/>
      </c>
      <c r="M1045" t="str">
        <f t="shared" si="183"/>
        <v/>
      </c>
      <c r="N1045" t="str">
        <f t="shared" si="184"/>
        <v/>
      </c>
      <c r="O1045" t="str">
        <f t="shared" si="185"/>
        <v/>
      </c>
      <c r="P1045" t="str" cm="1">
        <f t="array" ref="P1045">IF($N1045="","",IFERROR(IF(INDEX(geo_grid!$B$2:$JU$231,INT(($N1045+40)/0.5)+1,INT(($O1045+30)/0.5)+1)="","",INDEX(geo_grid!$B$2:$JU$231,INT(($N1045+40)/0.5)+1,INT(($O1045+30)/0.5)+1)),"OUTSIDE GRID"))</f>
        <v/>
      </c>
      <c r="Q1045" t="str">
        <f t="shared" si="186"/>
        <v/>
      </c>
    </row>
    <row r="1046" spans="1:17" x14ac:dyDescent="0.3">
      <c r="A1046">
        <f t="shared" si="176"/>
        <v>7</v>
      </c>
      <c r="B1046">
        <f t="shared" si="177"/>
        <v>138</v>
      </c>
      <c r="C1046" t="str" cm="1">
        <f t="array" ref="C1046">IFERROR(INDEX('TRIP MANAGER'!$O$18:$O$25,$A1046),"")</f>
        <v/>
      </c>
      <c r="D1046" t="str" cm="1">
        <f t="array" ref="D1046">IFERROR(INDEX('TRIP MANAGER'!$P$18:$P$25,$A1046),"")</f>
        <v/>
      </c>
      <c r="E1046" t="str" cm="1">
        <f t="array" ref="E1046">IFERROR(INDEX('TRIP MANAGER'!$Q$18:$Q$25,$A1046),"")</f>
        <v/>
      </c>
      <c r="F1046" t="str" cm="1">
        <f t="array" ref="F1046">IFERROR(INDEX('TRIP MANAGER'!$R$18:$R$25,$A1046),"")</f>
        <v/>
      </c>
      <c r="G1046" t="str" cm="1">
        <f t="array" ref="G1046">IFERROR(INDEX('TRIP MANAGER'!$S$18:$S$25,$A1046),"")</f>
        <v/>
      </c>
      <c r="H1046">
        <f t="shared" si="178"/>
        <v>0.92</v>
      </c>
      <c r="I1046" t="str">
        <f t="shared" si="179"/>
        <v/>
      </c>
      <c r="J1046" t="str">
        <f t="shared" si="180"/>
        <v/>
      </c>
      <c r="K1046" t="str">
        <f t="shared" si="181"/>
        <v/>
      </c>
      <c r="L1046" t="str">
        <f t="shared" si="182"/>
        <v/>
      </c>
      <c r="M1046" t="str">
        <f t="shared" si="183"/>
        <v/>
      </c>
      <c r="N1046" t="str">
        <f t="shared" si="184"/>
        <v/>
      </c>
      <c r="O1046" t="str">
        <f t="shared" si="185"/>
        <v/>
      </c>
      <c r="P1046" t="str" cm="1">
        <f t="array" ref="P1046">IF($N1046="","",IFERROR(IF(INDEX(geo_grid!$B$2:$JU$231,INT(($N1046+40)/0.5)+1,INT(($O1046+30)/0.5)+1)="","",INDEX(geo_grid!$B$2:$JU$231,INT(($N1046+40)/0.5)+1,INT(($O1046+30)/0.5)+1)),"OUTSIDE GRID"))</f>
        <v/>
      </c>
      <c r="Q1046" t="str">
        <f t="shared" si="186"/>
        <v/>
      </c>
    </row>
    <row r="1047" spans="1:17" x14ac:dyDescent="0.3">
      <c r="A1047">
        <f t="shared" si="176"/>
        <v>7</v>
      </c>
      <c r="B1047">
        <f t="shared" si="177"/>
        <v>139</v>
      </c>
      <c r="C1047" t="str" cm="1">
        <f t="array" ref="C1047">IFERROR(INDEX('TRIP MANAGER'!$O$18:$O$25,$A1047),"")</f>
        <v/>
      </c>
      <c r="D1047" t="str" cm="1">
        <f t="array" ref="D1047">IFERROR(INDEX('TRIP MANAGER'!$P$18:$P$25,$A1047),"")</f>
        <v/>
      </c>
      <c r="E1047" t="str" cm="1">
        <f t="array" ref="E1047">IFERROR(INDEX('TRIP MANAGER'!$Q$18:$Q$25,$A1047),"")</f>
        <v/>
      </c>
      <c r="F1047" t="str" cm="1">
        <f t="array" ref="F1047">IFERROR(INDEX('TRIP MANAGER'!$R$18:$R$25,$A1047),"")</f>
        <v/>
      </c>
      <c r="G1047" t="str" cm="1">
        <f t="array" ref="G1047">IFERROR(INDEX('TRIP MANAGER'!$S$18:$S$25,$A1047),"")</f>
        <v/>
      </c>
      <c r="H1047">
        <f t="shared" si="178"/>
        <v>0.92666666666666664</v>
      </c>
      <c r="I1047" t="str">
        <f t="shared" si="179"/>
        <v/>
      </c>
      <c r="J1047" t="str">
        <f t="shared" si="180"/>
        <v/>
      </c>
      <c r="K1047" t="str">
        <f t="shared" si="181"/>
        <v/>
      </c>
      <c r="L1047" t="str">
        <f t="shared" si="182"/>
        <v/>
      </c>
      <c r="M1047" t="str">
        <f t="shared" si="183"/>
        <v/>
      </c>
      <c r="N1047" t="str">
        <f t="shared" si="184"/>
        <v/>
      </c>
      <c r="O1047" t="str">
        <f t="shared" si="185"/>
        <v/>
      </c>
      <c r="P1047" t="str" cm="1">
        <f t="array" ref="P1047">IF($N1047="","",IFERROR(IF(INDEX(geo_grid!$B$2:$JU$231,INT(($N1047+40)/0.5)+1,INT(($O1047+30)/0.5)+1)="","",INDEX(geo_grid!$B$2:$JU$231,INT(($N1047+40)/0.5)+1,INT(($O1047+30)/0.5)+1)),"OUTSIDE GRID"))</f>
        <v/>
      </c>
      <c r="Q1047" t="str">
        <f t="shared" si="186"/>
        <v/>
      </c>
    </row>
    <row r="1048" spans="1:17" x14ac:dyDescent="0.3">
      <c r="A1048">
        <f t="shared" si="176"/>
        <v>7</v>
      </c>
      <c r="B1048">
        <f t="shared" si="177"/>
        <v>140</v>
      </c>
      <c r="C1048" t="str" cm="1">
        <f t="array" ref="C1048">IFERROR(INDEX('TRIP MANAGER'!$O$18:$O$25,$A1048),"")</f>
        <v/>
      </c>
      <c r="D1048" t="str" cm="1">
        <f t="array" ref="D1048">IFERROR(INDEX('TRIP MANAGER'!$P$18:$P$25,$A1048),"")</f>
        <v/>
      </c>
      <c r="E1048" t="str" cm="1">
        <f t="array" ref="E1048">IFERROR(INDEX('TRIP MANAGER'!$Q$18:$Q$25,$A1048),"")</f>
        <v/>
      </c>
      <c r="F1048" t="str" cm="1">
        <f t="array" ref="F1048">IFERROR(INDEX('TRIP MANAGER'!$R$18:$R$25,$A1048),"")</f>
        <v/>
      </c>
      <c r="G1048" t="str" cm="1">
        <f t="array" ref="G1048">IFERROR(INDEX('TRIP MANAGER'!$S$18:$S$25,$A1048),"")</f>
        <v/>
      </c>
      <c r="H1048">
        <f t="shared" si="178"/>
        <v>0.93333333333333335</v>
      </c>
      <c r="I1048" t="str">
        <f t="shared" si="179"/>
        <v/>
      </c>
      <c r="J1048" t="str">
        <f t="shared" si="180"/>
        <v/>
      </c>
      <c r="K1048" t="str">
        <f t="shared" si="181"/>
        <v/>
      </c>
      <c r="L1048" t="str">
        <f t="shared" si="182"/>
        <v/>
      </c>
      <c r="M1048" t="str">
        <f t="shared" si="183"/>
        <v/>
      </c>
      <c r="N1048" t="str">
        <f t="shared" si="184"/>
        <v/>
      </c>
      <c r="O1048" t="str">
        <f t="shared" si="185"/>
        <v/>
      </c>
      <c r="P1048" t="str" cm="1">
        <f t="array" ref="P1048">IF($N1048="","",IFERROR(IF(INDEX(geo_grid!$B$2:$JU$231,INT(($N1048+40)/0.5)+1,INT(($O1048+30)/0.5)+1)="","",INDEX(geo_grid!$B$2:$JU$231,INT(($N1048+40)/0.5)+1,INT(($O1048+30)/0.5)+1)),"OUTSIDE GRID"))</f>
        <v/>
      </c>
      <c r="Q1048" t="str">
        <f t="shared" si="186"/>
        <v/>
      </c>
    </row>
    <row r="1049" spans="1:17" x14ac:dyDescent="0.3">
      <c r="A1049">
        <f t="shared" si="176"/>
        <v>7</v>
      </c>
      <c r="B1049">
        <f t="shared" si="177"/>
        <v>141</v>
      </c>
      <c r="C1049" t="str" cm="1">
        <f t="array" ref="C1049">IFERROR(INDEX('TRIP MANAGER'!$O$18:$O$25,$A1049),"")</f>
        <v/>
      </c>
      <c r="D1049" t="str" cm="1">
        <f t="array" ref="D1049">IFERROR(INDEX('TRIP MANAGER'!$P$18:$P$25,$A1049),"")</f>
        <v/>
      </c>
      <c r="E1049" t="str" cm="1">
        <f t="array" ref="E1049">IFERROR(INDEX('TRIP MANAGER'!$Q$18:$Q$25,$A1049),"")</f>
        <v/>
      </c>
      <c r="F1049" t="str" cm="1">
        <f t="array" ref="F1049">IFERROR(INDEX('TRIP MANAGER'!$R$18:$R$25,$A1049),"")</f>
        <v/>
      </c>
      <c r="G1049" t="str" cm="1">
        <f t="array" ref="G1049">IFERROR(INDEX('TRIP MANAGER'!$S$18:$S$25,$A1049),"")</f>
        <v/>
      </c>
      <c r="H1049">
        <f t="shared" si="178"/>
        <v>0.94</v>
      </c>
      <c r="I1049" t="str">
        <f t="shared" si="179"/>
        <v/>
      </c>
      <c r="J1049" t="str">
        <f t="shared" si="180"/>
        <v/>
      </c>
      <c r="K1049" t="str">
        <f t="shared" si="181"/>
        <v/>
      </c>
      <c r="L1049" t="str">
        <f t="shared" si="182"/>
        <v/>
      </c>
      <c r="M1049" t="str">
        <f t="shared" si="183"/>
        <v/>
      </c>
      <c r="N1049" t="str">
        <f t="shared" si="184"/>
        <v/>
      </c>
      <c r="O1049" t="str">
        <f t="shared" si="185"/>
        <v/>
      </c>
      <c r="P1049" t="str" cm="1">
        <f t="array" ref="P1049">IF($N1049="","",IFERROR(IF(INDEX(geo_grid!$B$2:$JU$231,INT(($N1049+40)/0.5)+1,INT(($O1049+30)/0.5)+1)="","",INDEX(geo_grid!$B$2:$JU$231,INT(($N1049+40)/0.5)+1,INT(($O1049+30)/0.5)+1)),"OUTSIDE GRID"))</f>
        <v/>
      </c>
      <c r="Q1049" t="str">
        <f t="shared" si="186"/>
        <v/>
      </c>
    </row>
    <row r="1050" spans="1:17" x14ac:dyDescent="0.3">
      <c r="A1050">
        <f t="shared" si="176"/>
        <v>7</v>
      </c>
      <c r="B1050">
        <f t="shared" si="177"/>
        <v>142</v>
      </c>
      <c r="C1050" t="str" cm="1">
        <f t="array" ref="C1050">IFERROR(INDEX('TRIP MANAGER'!$O$18:$O$25,$A1050),"")</f>
        <v/>
      </c>
      <c r="D1050" t="str" cm="1">
        <f t="array" ref="D1050">IFERROR(INDEX('TRIP MANAGER'!$P$18:$P$25,$A1050),"")</f>
        <v/>
      </c>
      <c r="E1050" t="str" cm="1">
        <f t="array" ref="E1050">IFERROR(INDEX('TRIP MANAGER'!$Q$18:$Q$25,$A1050),"")</f>
        <v/>
      </c>
      <c r="F1050" t="str" cm="1">
        <f t="array" ref="F1050">IFERROR(INDEX('TRIP MANAGER'!$R$18:$R$25,$A1050),"")</f>
        <v/>
      </c>
      <c r="G1050" t="str" cm="1">
        <f t="array" ref="G1050">IFERROR(INDEX('TRIP MANAGER'!$S$18:$S$25,$A1050),"")</f>
        <v/>
      </c>
      <c r="H1050">
        <f t="shared" si="178"/>
        <v>0.94666666666666666</v>
      </c>
      <c r="I1050" t="str">
        <f t="shared" si="179"/>
        <v/>
      </c>
      <c r="J1050" t="str">
        <f t="shared" si="180"/>
        <v/>
      </c>
      <c r="K1050" t="str">
        <f t="shared" si="181"/>
        <v/>
      </c>
      <c r="L1050" t="str">
        <f t="shared" si="182"/>
        <v/>
      </c>
      <c r="M1050" t="str">
        <f t="shared" si="183"/>
        <v/>
      </c>
      <c r="N1050" t="str">
        <f t="shared" si="184"/>
        <v/>
      </c>
      <c r="O1050" t="str">
        <f t="shared" si="185"/>
        <v/>
      </c>
      <c r="P1050" t="str" cm="1">
        <f t="array" ref="P1050">IF($N1050="","",IFERROR(IF(INDEX(geo_grid!$B$2:$JU$231,INT(($N1050+40)/0.5)+1,INT(($O1050+30)/0.5)+1)="","",INDEX(geo_grid!$B$2:$JU$231,INT(($N1050+40)/0.5)+1,INT(($O1050+30)/0.5)+1)),"OUTSIDE GRID"))</f>
        <v/>
      </c>
      <c r="Q1050" t="str">
        <f t="shared" si="186"/>
        <v/>
      </c>
    </row>
    <row r="1051" spans="1:17" x14ac:dyDescent="0.3">
      <c r="A1051">
        <f t="shared" si="176"/>
        <v>7</v>
      </c>
      <c r="B1051">
        <f t="shared" si="177"/>
        <v>143</v>
      </c>
      <c r="C1051" t="str" cm="1">
        <f t="array" ref="C1051">IFERROR(INDEX('TRIP MANAGER'!$O$18:$O$25,$A1051),"")</f>
        <v/>
      </c>
      <c r="D1051" t="str" cm="1">
        <f t="array" ref="D1051">IFERROR(INDEX('TRIP MANAGER'!$P$18:$P$25,$A1051),"")</f>
        <v/>
      </c>
      <c r="E1051" t="str" cm="1">
        <f t="array" ref="E1051">IFERROR(INDEX('TRIP MANAGER'!$Q$18:$Q$25,$A1051),"")</f>
        <v/>
      </c>
      <c r="F1051" t="str" cm="1">
        <f t="array" ref="F1051">IFERROR(INDEX('TRIP MANAGER'!$R$18:$R$25,$A1051),"")</f>
        <v/>
      </c>
      <c r="G1051" t="str" cm="1">
        <f t="array" ref="G1051">IFERROR(INDEX('TRIP MANAGER'!$S$18:$S$25,$A1051),"")</f>
        <v/>
      </c>
      <c r="H1051">
        <f t="shared" si="178"/>
        <v>0.95333333333333337</v>
      </c>
      <c r="I1051" t="str">
        <f t="shared" si="179"/>
        <v/>
      </c>
      <c r="J1051" t="str">
        <f t="shared" si="180"/>
        <v/>
      </c>
      <c r="K1051" t="str">
        <f t="shared" si="181"/>
        <v/>
      </c>
      <c r="L1051" t="str">
        <f t="shared" si="182"/>
        <v/>
      </c>
      <c r="M1051" t="str">
        <f t="shared" si="183"/>
        <v/>
      </c>
      <c r="N1051" t="str">
        <f t="shared" si="184"/>
        <v/>
      </c>
      <c r="O1051" t="str">
        <f t="shared" si="185"/>
        <v/>
      </c>
      <c r="P1051" t="str" cm="1">
        <f t="array" ref="P1051">IF($N1051="","",IFERROR(IF(INDEX(geo_grid!$B$2:$JU$231,INT(($N1051+40)/0.5)+1,INT(($O1051+30)/0.5)+1)="","",INDEX(geo_grid!$B$2:$JU$231,INT(($N1051+40)/0.5)+1,INT(($O1051+30)/0.5)+1)),"OUTSIDE GRID"))</f>
        <v/>
      </c>
      <c r="Q1051" t="str">
        <f t="shared" si="186"/>
        <v/>
      </c>
    </row>
    <row r="1052" spans="1:17" x14ac:dyDescent="0.3">
      <c r="A1052">
        <f t="shared" si="176"/>
        <v>7</v>
      </c>
      <c r="B1052">
        <f t="shared" si="177"/>
        <v>144</v>
      </c>
      <c r="C1052" t="str" cm="1">
        <f t="array" ref="C1052">IFERROR(INDEX('TRIP MANAGER'!$O$18:$O$25,$A1052),"")</f>
        <v/>
      </c>
      <c r="D1052" t="str" cm="1">
        <f t="array" ref="D1052">IFERROR(INDEX('TRIP MANAGER'!$P$18:$P$25,$A1052),"")</f>
        <v/>
      </c>
      <c r="E1052" t="str" cm="1">
        <f t="array" ref="E1052">IFERROR(INDEX('TRIP MANAGER'!$Q$18:$Q$25,$A1052),"")</f>
        <v/>
      </c>
      <c r="F1052" t="str" cm="1">
        <f t="array" ref="F1052">IFERROR(INDEX('TRIP MANAGER'!$R$18:$R$25,$A1052),"")</f>
        <v/>
      </c>
      <c r="G1052" t="str" cm="1">
        <f t="array" ref="G1052">IFERROR(INDEX('TRIP MANAGER'!$S$18:$S$25,$A1052),"")</f>
        <v/>
      </c>
      <c r="H1052">
        <f t="shared" si="178"/>
        <v>0.96</v>
      </c>
      <c r="I1052" t="str">
        <f t="shared" si="179"/>
        <v/>
      </c>
      <c r="J1052" t="str">
        <f t="shared" si="180"/>
        <v/>
      </c>
      <c r="K1052" t="str">
        <f t="shared" si="181"/>
        <v/>
      </c>
      <c r="L1052" t="str">
        <f t="shared" si="182"/>
        <v/>
      </c>
      <c r="M1052" t="str">
        <f t="shared" si="183"/>
        <v/>
      </c>
      <c r="N1052" t="str">
        <f t="shared" si="184"/>
        <v/>
      </c>
      <c r="O1052" t="str">
        <f t="shared" si="185"/>
        <v/>
      </c>
      <c r="P1052" t="str" cm="1">
        <f t="array" ref="P1052">IF($N1052="","",IFERROR(IF(INDEX(geo_grid!$B$2:$JU$231,INT(($N1052+40)/0.5)+1,INT(($O1052+30)/0.5)+1)="","",INDEX(geo_grid!$B$2:$JU$231,INT(($N1052+40)/0.5)+1,INT(($O1052+30)/0.5)+1)),"OUTSIDE GRID"))</f>
        <v/>
      </c>
      <c r="Q1052" t="str">
        <f t="shared" si="186"/>
        <v/>
      </c>
    </row>
    <row r="1053" spans="1:17" x14ac:dyDescent="0.3">
      <c r="A1053">
        <f t="shared" si="176"/>
        <v>7</v>
      </c>
      <c r="B1053">
        <f t="shared" si="177"/>
        <v>145</v>
      </c>
      <c r="C1053" t="str" cm="1">
        <f t="array" ref="C1053">IFERROR(INDEX('TRIP MANAGER'!$O$18:$O$25,$A1053),"")</f>
        <v/>
      </c>
      <c r="D1053" t="str" cm="1">
        <f t="array" ref="D1053">IFERROR(INDEX('TRIP MANAGER'!$P$18:$P$25,$A1053),"")</f>
        <v/>
      </c>
      <c r="E1053" t="str" cm="1">
        <f t="array" ref="E1053">IFERROR(INDEX('TRIP MANAGER'!$Q$18:$Q$25,$A1053),"")</f>
        <v/>
      </c>
      <c r="F1053" t="str" cm="1">
        <f t="array" ref="F1053">IFERROR(INDEX('TRIP MANAGER'!$R$18:$R$25,$A1053),"")</f>
        <v/>
      </c>
      <c r="G1053" t="str" cm="1">
        <f t="array" ref="G1053">IFERROR(INDEX('TRIP MANAGER'!$S$18:$S$25,$A1053),"")</f>
        <v/>
      </c>
      <c r="H1053">
        <f t="shared" si="178"/>
        <v>0.96666666666666667</v>
      </c>
      <c r="I1053" t="str">
        <f t="shared" si="179"/>
        <v/>
      </c>
      <c r="J1053" t="str">
        <f t="shared" si="180"/>
        <v/>
      </c>
      <c r="K1053" t="str">
        <f t="shared" si="181"/>
        <v/>
      </c>
      <c r="L1053" t="str">
        <f t="shared" si="182"/>
        <v/>
      </c>
      <c r="M1053" t="str">
        <f t="shared" si="183"/>
        <v/>
      </c>
      <c r="N1053" t="str">
        <f t="shared" si="184"/>
        <v/>
      </c>
      <c r="O1053" t="str">
        <f t="shared" si="185"/>
        <v/>
      </c>
      <c r="P1053" t="str" cm="1">
        <f t="array" ref="P1053">IF($N1053="","",IFERROR(IF(INDEX(geo_grid!$B$2:$JU$231,INT(($N1053+40)/0.5)+1,INT(($O1053+30)/0.5)+1)="","",INDEX(geo_grid!$B$2:$JU$231,INT(($N1053+40)/0.5)+1,INT(($O1053+30)/0.5)+1)),"OUTSIDE GRID"))</f>
        <v/>
      </c>
      <c r="Q1053" t="str">
        <f t="shared" si="186"/>
        <v/>
      </c>
    </row>
    <row r="1054" spans="1:17" x14ac:dyDescent="0.3">
      <c r="A1054">
        <f t="shared" si="176"/>
        <v>7</v>
      </c>
      <c r="B1054">
        <f t="shared" si="177"/>
        <v>146</v>
      </c>
      <c r="C1054" t="str" cm="1">
        <f t="array" ref="C1054">IFERROR(INDEX('TRIP MANAGER'!$O$18:$O$25,$A1054),"")</f>
        <v/>
      </c>
      <c r="D1054" t="str" cm="1">
        <f t="array" ref="D1054">IFERROR(INDEX('TRIP MANAGER'!$P$18:$P$25,$A1054),"")</f>
        <v/>
      </c>
      <c r="E1054" t="str" cm="1">
        <f t="array" ref="E1054">IFERROR(INDEX('TRIP MANAGER'!$Q$18:$Q$25,$A1054),"")</f>
        <v/>
      </c>
      <c r="F1054" t="str" cm="1">
        <f t="array" ref="F1054">IFERROR(INDEX('TRIP MANAGER'!$R$18:$R$25,$A1054),"")</f>
        <v/>
      </c>
      <c r="G1054" t="str" cm="1">
        <f t="array" ref="G1054">IFERROR(INDEX('TRIP MANAGER'!$S$18:$S$25,$A1054),"")</f>
        <v/>
      </c>
      <c r="H1054">
        <f t="shared" si="178"/>
        <v>0.97333333333333338</v>
      </c>
      <c r="I1054" t="str">
        <f t="shared" si="179"/>
        <v/>
      </c>
      <c r="J1054" t="str">
        <f t="shared" si="180"/>
        <v/>
      </c>
      <c r="K1054" t="str">
        <f t="shared" si="181"/>
        <v/>
      </c>
      <c r="L1054" t="str">
        <f t="shared" si="182"/>
        <v/>
      </c>
      <c r="M1054" t="str">
        <f t="shared" si="183"/>
        <v/>
      </c>
      <c r="N1054" t="str">
        <f t="shared" si="184"/>
        <v/>
      </c>
      <c r="O1054" t="str">
        <f t="shared" si="185"/>
        <v/>
      </c>
      <c r="P1054" t="str" cm="1">
        <f t="array" ref="P1054">IF($N1054="","",IFERROR(IF(INDEX(geo_grid!$B$2:$JU$231,INT(($N1054+40)/0.5)+1,INT(($O1054+30)/0.5)+1)="","",INDEX(geo_grid!$B$2:$JU$231,INT(($N1054+40)/0.5)+1,INT(($O1054+30)/0.5)+1)),"OUTSIDE GRID"))</f>
        <v/>
      </c>
      <c r="Q1054" t="str">
        <f t="shared" si="186"/>
        <v/>
      </c>
    </row>
    <row r="1055" spans="1:17" x14ac:dyDescent="0.3">
      <c r="A1055">
        <f t="shared" si="176"/>
        <v>7</v>
      </c>
      <c r="B1055">
        <f t="shared" si="177"/>
        <v>147</v>
      </c>
      <c r="C1055" t="str" cm="1">
        <f t="array" ref="C1055">IFERROR(INDEX('TRIP MANAGER'!$O$18:$O$25,$A1055),"")</f>
        <v/>
      </c>
      <c r="D1055" t="str" cm="1">
        <f t="array" ref="D1055">IFERROR(INDEX('TRIP MANAGER'!$P$18:$P$25,$A1055),"")</f>
        <v/>
      </c>
      <c r="E1055" t="str" cm="1">
        <f t="array" ref="E1055">IFERROR(INDEX('TRIP MANAGER'!$Q$18:$Q$25,$A1055),"")</f>
        <v/>
      </c>
      <c r="F1055" t="str" cm="1">
        <f t="array" ref="F1055">IFERROR(INDEX('TRIP MANAGER'!$R$18:$R$25,$A1055),"")</f>
        <v/>
      </c>
      <c r="G1055" t="str" cm="1">
        <f t="array" ref="G1055">IFERROR(INDEX('TRIP MANAGER'!$S$18:$S$25,$A1055),"")</f>
        <v/>
      </c>
      <c r="H1055">
        <f t="shared" si="178"/>
        <v>0.98</v>
      </c>
      <c r="I1055" t="str">
        <f t="shared" si="179"/>
        <v/>
      </c>
      <c r="J1055" t="str">
        <f t="shared" si="180"/>
        <v/>
      </c>
      <c r="K1055" t="str">
        <f t="shared" si="181"/>
        <v/>
      </c>
      <c r="L1055" t="str">
        <f t="shared" si="182"/>
        <v/>
      </c>
      <c r="M1055" t="str">
        <f t="shared" si="183"/>
        <v/>
      </c>
      <c r="N1055" t="str">
        <f t="shared" si="184"/>
        <v/>
      </c>
      <c r="O1055" t="str">
        <f t="shared" si="185"/>
        <v/>
      </c>
      <c r="P1055" t="str" cm="1">
        <f t="array" ref="P1055">IF($N1055="","",IFERROR(IF(INDEX(geo_grid!$B$2:$JU$231,INT(($N1055+40)/0.5)+1,INT(($O1055+30)/0.5)+1)="","",INDEX(geo_grid!$B$2:$JU$231,INT(($N1055+40)/0.5)+1,INT(($O1055+30)/0.5)+1)),"OUTSIDE GRID"))</f>
        <v/>
      </c>
      <c r="Q1055" t="str">
        <f t="shared" si="186"/>
        <v/>
      </c>
    </row>
    <row r="1056" spans="1:17" x14ac:dyDescent="0.3">
      <c r="A1056">
        <f t="shared" si="176"/>
        <v>7</v>
      </c>
      <c r="B1056">
        <f t="shared" si="177"/>
        <v>148</v>
      </c>
      <c r="C1056" t="str" cm="1">
        <f t="array" ref="C1056">IFERROR(INDEX('TRIP MANAGER'!$O$18:$O$25,$A1056),"")</f>
        <v/>
      </c>
      <c r="D1056" t="str" cm="1">
        <f t="array" ref="D1056">IFERROR(INDEX('TRIP MANAGER'!$P$18:$P$25,$A1056),"")</f>
        <v/>
      </c>
      <c r="E1056" t="str" cm="1">
        <f t="array" ref="E1056">IFERROR(INDEX('TRIP MANAGER'!$Q$18:$Q$25,$A1056),"")</f>
        <v/>
      </c>
      <c r="F1056" t="str" cm="1">
        <f t="array" ref="F1056">IFERROR(INDEX('TRIP MANAGER'!$R$18:$R$25,$A1056),"")</f>
        <v/>
      </c>
      <c r="G1056" t="str" cm="1">
        <f t="array" ref="G1056">IFERROR(INDEX('TRIP MANAGER'!$S$18:$S$25,$A1056),"")</f>
        <v/>
      </c>
      <c r="H1056">
        <f t="shared" si="178"/>
        <v>0.98666666666666669</v>
      </c>
      <c r="I1056" t="str">
        <f t="shared" si="179"/>
        <v/>
      </c>
      <c r="J1056" t="str">
        <f t="shared" si="180"/>
        <v/>
      </c>
      <c r="K1056" t="str">
        <f t="shared" si="181"/>
        <v/>
      </c>
      <c r="L1056" t="str">
        <f t="shared" si="182"/>
        <v/>
      </c>
      <c r="M1056" t="str">
        <f t="shared" si="183"/>
        <v/>
      </c>
      <c r="N1056" t="str">
        <f t="shared" si="184"/>
        <v/>
      </c>
      <c r="O1056" t="str">
        <f t="shared" si="185"/>
        <v/>
      </c>
      <c r="P1056" t="str" cm="1">
        <f t="array" ref="P1056">IF($N1056="","",IFERROR(IF(INDEX(geo_grid!$B$2:$JU$231,INT(($N1056+40)/0.5)+1,INT(($O1056+30)/0.5)+1)="","",INDEX(geo_grid!$B$2:$JU$231,INT(($N1056+40)/0.5)+1,INT(($O1056+30)/0.5)+1)),"OUTSIDE GRID"))</f>
        <v/>
      </c>
      <c r="Q1056" t="str">
        <f t="shared" si="186"/>
        <v/>
      </c>
    </row>
    <row r="1057" spans="1:17" x14ac:dyDescent="0.3">
      <c r="A1057">
        <f t="shared" si="176"/>
        <v>7</v>
      </c>
      <c r="B1057">
        <f t="shared" si="177"/>
        <v>149</v>
      </c>
      <c r="C1057" t="str" cm="1">
        <f t="array" ref="C1057">IFERROR(INDEX('TRIP MANAGER'!$O$18:$O$25,$A1057),"")</f>
        <v/>
      </c>
      <c r="D1057" t="str" cm="1">
        <f t="array" ref="D1057">IFERROR(INDEX('TRIP MANAGER'!$P$18:$P$25,$A1057),"")</f>
        <v/>
      </c>
      <c r="E1057" t="str" cm="1">
        <f t="array" ref="E1057">IFERROR(INDEX('TRIP MANAGER'!$Q$18:$Q$25,$A1057),"")</f>
        <v/>
      </c>
      <c r="F1057" t="str" cm="1">
        <f t="array" ref="F1057">IFERROR(INDEX('TRIP MANAGER'!$R$18:$R$25,$A1057),"")</f>
        <v/>
      </c>
      <c r="G1057" t="str" cm="1">
        <f t="array" ref="G1057">IFERROR(INDEX('TRIP MANAGER'!$S$18:$S$25,$A1057),"")</f>
        <v/>
      </c>
      <c r="H1057">
        <f t="shared" si="178"/>
        <v>0.99333333333333329</v>
      </c>
      <c r="I1057" t="str">
        <f t="shared" si="179"/>
        <v/>
      </c>
      <c r="J1057" t="str">
        <f t="shared" si="180"/>
        <v/>
      </c>
      <c r="K1057" t="str">
        <f t="shared" si="181"/>
        <v/>
      </c>
      <c r="L1057" t="str">
        <f t="shared" si="182"/>
        <v/>
      </c>
      <c r="M1057" t="str">
        <f t="shared" si="183"/>
        <v/>
      </c>
      <c r="N1057" t="str">
        <f t="shared" si="184"/>
        <v/>
      </c>
      <c r="O1057" t="str">
        <f t="shared" si="185"/>
        <v/>
      </c>
      <c r="P1057" t="str" cm="1">
        <f t="array" ref="P1057">IF($N1057="","",IFERROR(IF(INDEX(geo_grid!$B$2:$JU$231,INT(($N1057+40)/0.5)+1,INT(($O1057+30)/0.5)+1)="","",INDEX(geo_grid!$B$2:$JU$231,INT(($N1057+40)/0.5)+1,INT(($O1057+30)/0.5)+1)),"OUTSIDE GRID"))</f>
        <v/>
      </c>
      <c r="Q1057" t="str">
        <f t="shared" si="186"/>
        <v/>
      </c>
    </row>
    <row r="1058" spans="1:17" x14ac:dyDescent="0.3">
      <c r="A1058">
        <f t="shared" si="176"/>
        <v>7</v>
      </c>
      <c r="B1058">
        <f t="shared" si="177"/>
        <v>150</v>
      </c>
      <c r="C1058" t="str" cm="1">
        <f t="array" ref="C1058">IFERROR(INDEX('TRIP MANAGER'!$O$18:$O$25,$A1058),"")</f>
        <v/>
      </c>
      <c r="D1058" t="str" cm="1">
        <f t="array" ref="D1058">IFERROR(INDEX('TRIP MANAGER'!$P$18:$P$25,$A1058),"")</f>
        <v/>
      </c>
      <c r="E1058" t="str" cm="1">
        <f t="array" ref="E1058">IFERROR(INDEX('TRIP MANAGER'!$Q$18:$Q$25,$A1058),"")</f>
        <v/>
      </c>
      <c r="F1058" t="str" cm="1">
        <f t="array" ref="F1058">IFERROR(INDEX('TRIP MANAGER'!$R$18:$R$25,$A1058),"")</f>
        <v/>
      </c>
      <c r="G1058" t="str" cm="1">
        <f t="array" ref="G1058">IFERROR(INDEX('TRIP MANAGER'!$S$18:$S$25,$A1058),"")</f>
        <v/>
      </c>
      <c r="H1058">
        <f t="shared" si="178"/>
        <v>1</v>
      </c>
      <c r="I1058" t="str">
        <f t="shared" si="179"/>
        <v/>
      </c>
      <c r="J1058" t="str">
        <f t="shared" si="180"/>
        <v/>
      </c>
      <c r="K1058" t="str">
        <f t="shared" si="181"/>
        <v/>
      </c>
      <c r="L1058" t="str">
        <f t="shared" si="182"/>
        <v/>
      </c>
      <c r="M1058" t="str">
        <f t="shared" si="183"/>
        <v/>
      </c>
      <c r="N1058" t="str">
        <f t="shared" si="184"/>
        <v/>
      </c>
      <c r="O1058" t="str">
        <f t="shared" si="185"/>
        <v/>
      </c>
      <c r="P1058" t="str" cm="1">
        <f t="array" ref="P1058">IF($N1058="","",IFERROR(IF(INDEX(geo_grid!$B$2:$JU$231,INT(($N1058+40)/0.5)+1,INT(($O1058+30)/0.5)+1)="","",INDEX(geo_grid!$B$2:$JU$231,INT(($N1058+40)/0.5)+1,INT(($O1058+30)/0.5)+1)),"OUTSIDE GRID"))</f>
        <v/>
      </c>
      <c r="Q1058" t="str">
        <f t="shared" si="186"/>
        <v/>
      </c>
    </row>
    <row r="1059" spans="1:17" x14ac:dyDescent="0.3">
      <c r="A1059">
        <f t="shared" si="176"/>
        <v>8</v>
      </c>
      <c r="B1059">
        <f t="shared" si="177"/>
        <v>0</v>
      </c>
      <c r="C1059" t="str" cm="1">
        <f t="array" ref="C1059">IFERROR(INDEX('TRIP MANAGER'!$O$18:$O$25,$A1059),"")</f>
        <v/>
      </c>
      <c r="D1059" t="str" cm="1">
        <f t="array" ref="D1059">IFERROR(INDEX('TRIP MANAGER'!$P$18:$P$25,$A1059),"")</f>
        <v/>
      </c>
      <c r="E1059" t="str" cm="1">
        <f t="array" ref="E1059">IFERROR(INDEX('TRIP MANAGER'!$Q$18:$Q$25,$A1059),"")</f>
        <v/>
      </c>
      <c r="F1059" t="str" cm="1">
        <f t="array" ref="F1059">IFERROR(INDEX('TRIP MANAGER'!$R$18:$R$25,$A1059),"")</f>
        <v/>
      </c>
      <c r="G1059" t="str" cm="1">
        <f t="array" ref="G1059">IFERROR(INDEX('TRIP MANAGER'!$S$18:$S$25,$A1059),"")</f>
        <v/>
      </c>
      <c r="H1059">
        <f t="shared" si="178"/>
        <v>0</v>
      </c>
      <c r="I1059" t="str">
        <f t="shared" si="179"/>
        <v/>
      </c>
      <c r="J1059" t="str">
        <f t="shared" si="180"/>
        <v/>
      </c>
      <c r="K1059" t="str">
        <f t="shared" si="181"/>
        <v/>
      </c>
      <c r="L1059" t="str">
        <f t="shared" si="182"/>
        <v/>
      </c>
      <c r="M1059" t="str">
        <f t="shared" si="183"/>
        <v/>
      </c>
      <c r="N1059" t="str">
        <f t="shared" si="184"/>
        <v/>
      </c>
      <c r="O1059" t="str">
        <f t="shared" si="185"/>
        <v/>
      </c>
      <c r="P1059" t="str" cm="1">
        <f t="array" ref="P1059">IF($N1059="","",IFERROR(IF(INDEX(geo_grid!$B$2:$JU$231,INT(($N1059+40)/0.5)+1,INT(($O1059+30)/0.5)+1)="","",INDEX(geo_grid!$B$2:$JU$231,INT(($N1059+40)/0.5)+1,INT(($O1059+30)/0.5)+1)),"OUTSIDE GRID"))</f>
        <v/>
      </c>
      <c r="Q1059" t="str">
        <f t="shared" si="186"/>
        <v/>
      </c>
    </row>
    <row r="1060" spans="1:17" x14ac:dyDescent="0.3">
      <c r="A1060">
        <f t="shared" si="176"/>
        <v>8</v>
      </c>
      <c r="B1060">
        <f t="shared" si="177"/>
        <v>1</v>
      </c>
      <c r="C1060" t="str" cm="1">
        <f t="array" ref="C1060">IFERROR(INDEX('TRIP MANAGER'!$O$18:$O$25,$A1060),"")</f>
        <v/>
      </c>
      <c r="D1060" t="str" cm="1">
        <f t="array" ref="D1060">IFERROR(INDEX('TRIP MANAGER'!$P$18:$P$25,$A1060),"")</f>
        <v/>
      </c>
      <c r="E1060" t="str" cm="1">
        <f t="array" ref="E1060">IFERROR(INDEX('TRIP MANAGER'!$Q$18:$Q$25,$A1060),"")</f>
        <v/>
      </c>
      <c r="F1060" t="str" cm="1">
        <f t="array" ref="F1060">IFERROR(INDEX('TRIP MANAGER'!$R$18:$R$25,$A1060),"")</f>
        <v/>
      </c>
      <c r="G1060" t="str" cm="1">
        <f t="array" ref="G1060">IFERROR(INDEX('TRIP MANAGER'!$S$18:$S$25,$A1060),"")</f>
        <v/>
      </c>
      <c r="H1060">
        <f t="shared" si="178"/>
        <v>6.6666666666666671E-3</v>
      </c>
      <c r="I1060" t="str">
        <f t="shared" si="179"/>
        <v/>
      </c>
      <c r="J1060" t="str">
        <f t="shared" si="180"/>
        <v/>
      </c>
      <c r="K1060" t="str">
        <f t="shared" si="181"/>
        <v/>
      </c>
      <c r="L1060" t="str">
        <f t="shared" si="182"/>
        <v/>
      </c>
      <c r="M1060" t="str">
        <f t="shared" si="183"/>
        <v/>
      </c>
      <c r="N1060" t="str">
        <f t="shared" si="184"/>
        <v/>
      </c>
      <c r="O1060" t="str">
        <f t="shared" si="185"/>
        <v/>
      </c>
      <c r="P1060" t="str" cm="1">
        <f t="array" ref="P1060">IF($N1060="","",IFERROR(IF(INDEX(geo_grid!$B$2:$JU$231,INT(($N1060+40)/0.5)+1,INT(($O1060+30)/0.5)+1)="","",INDEX(geo_grid!$B$2:$JU$231,INT(($N1060+40)/0.5)+1,INT(($O1060+30)/0.5)+1)),"OUTSIDE GRID"))</f>
        <v/>
      </c>
      <c r="Q1060" t="str">
        <f t="shared" si="186"/>
        <v/>
      </c>
    </row>
    <row r="1061" spans="1:17" x14ac:dyDescent="0.3">
      <c r="A1061">
        <f t="shared" si="176"/>
        <v>8</v>
      </c>
      <c r="B1061">
        <f t="shared" si="177"/>
        <v>2</v>
      </c>
      <c r="C1061" t="str" cm="1">
        <f t="array" ref="C1061">IFERROR(INDEX('TRIP MANAGER'!$O$18:$O$25,$A1061),"")</f>
        <v/>
      </c>
      <c r="D1061" t="str" cm="1">
        <f t="array" ref="D1061">IFERROR(INDEX('TRIP MANAGER'!$P$18:$P$25,$A1061),"")</f>
        <v/>
      </c>
      <c r="E1061" t="str" cm="1">
        <f t="array" ref="E1061">IFERROR(INDEX('TRIP MANAGER'!$Q$18:$Q$25,$A1061),"")</f>
        <v/>
      </c>
      <c r="F1061" t="str" cm="1">
        <f t="array" ref="F1061">IFERROR(INDEX('TRIP MANAGER'!$R$18:$R$25,$A1061),"")</f>
        <v/>
      </c>
      <c r="G1061" t="str" cm="1">
        <f t="array" ref="G1061">IFERROR(INDEX('TRIP MANAGER'!$S$18:$S$25,$A1061),"")</f>
        <v/>
      </c>
      <c r="H1061">
        <f t="shared" si="178"/>
        <v>1.3333333333333334E-2</v>
      </c>
      <c r="I1061" t="str">
        <f t="shared" si="179"/>
        <v/>
      </c>
      <c r="J1061" t="str">
        <f t="shared" si="180"/>
        <v/>
      </c>
      <c r="K1061" t="str">
        <f t="shared" si="181"/>
        <v/>
      </c>
      <c r="L1061" t="str">
        <f t="shared" si="182"/>
        <v/>
      </c>
      <c r="M1061" t="str">
        <f t="shared" si="183"/>
        <v/>
      </c>
      <c r="N1061" t="str">
        <f t="shared" si="184"/>
        <v/>
      </c>
      <c r="O1061" t="str">
        <f t="shared" si="185"/>
        <v/>
      </c>
      <c r="P1061" t="str" cm="1">
        <f t="array" ref="P1061">IF($N1061="","",IFERROR(IF(INDEX(geo_grid!$B$2:$JU$231,INT(($N1061+40)/0.5)+1,INT(($O1061+30)/0.5)+1)="","",INDEX(geo_grid!$B$2:$JU$231,INT(($N1061+40)/0.5)+1,INT(($O1061+30)/0.5)+1)),"OUTSIDE GRID"))</f>
        <v/>
      </c>
      <c r="Q1061" t="str">
        <f t="shared" si="186"/>
        <v/>
      </c>
    </row>
    <row r="1062" spans="1:17" x14ac:dyDescent="0.3">
      <c r="A1062">
        <f t="shared" si="176"/>
        <v>8</v>
      </c>
      <c r="B1062">
        <f t="shared" si="177"/>
        <v>3</v>
      </c>
      <c r="C1062" t="str" cm="1">
        <f t="array" ref="C1062">IFERROR(INDEX('TRIP MANAGER'!$O$18:$O$25,$A1062),"")</f>
        <v/>
      </c>
      <c r="D1062" t="str" cm="1">
        <f t="array" ref="D1062">IFERROR(INDEX('TRIP MANAGER'!$P$18:$P$25,$A1062),"")</f>
        <v/>
      </c>
      <c r="E1062" t="str" cm="1">
        <f t="array" ref="E1062">IFERROR(INDEX('TRIP MANAGER'!$Q$18:$Q$25,$A1062),"")</f>
        <v/>
      </c>
      <c r="F1062" t="str" cm="1">
        <f t="array" ref="F1062">IFERROR(INDEX('TRIP MANAGER'!$R$18:$R$25,$A1062),"")</f>
        <v/>
      </c>
      <c r="G1062" t="str" cm="1">
        <f t="array" ref="G1062">IFERROR(INDEX('TRIP MANAGER'!$S$18:$S$25,$A1062),"")</f>
        <v/>
      </c>
      <c r="H1062">
        <f t="shared" si="178"/>
        <v>0.02</v>
      </c>
      <c r="I1062" t="str">
        <f t="shared" si="179"/>
        <v/>
      </c>
      <c r="J1062" t="str">
        <f t="shared" si="180"/>
        <v/>
      </c>
      <c r="K1062" t="str">
        <f t="shared" si="181"/>
        <v/>
      </c>
      <c r="L1062" t="str">
        <f t="shared" si="182"/>
        <v/>
      </c>
      <c r="M1062" t="str">
        <f t="shared" si="183"/>
        <v/>
      </c>
      <c r="N1062" t="str">
        <f t="shared" si="184"/>
        <v/>
      </c>
      <c r="O1062" t="str">
        <f t="shared" si="185"/>
        <v/>
      </c>
      <c r="P1062" t="str" cm="1">
        <f t="array" ref="P1062">IF($N1062="","",IFERROR(IF(INDEX(geo_grid!$B$2:$JU$231,INT(($N1062+40)/0.5)+1,INT(($O1062+30)/0.5)+1)="","",INDEX(geo_grid!$B$2:$JU$231,INT(($N1062+40)/0.5)+1,INT(($O1062+30)/0.5)+1)),"OUTSIDE GRID"))</f>
        <v/>
      </c>
      <c r="Q1062" t="str">
        <f t="shared" si="186"/>
        <v/>
      </c>
    </row>
    <row r="1063" spans="1:17" x14ac:dyDescent="0.3">
      <c r="A1063">
        <f t="shared" si="176"/>
        <v>8</v>
      </c>
      <c r="B1063">
        <f t="shared" si="177"/>
        <v>4</v>
      </c>
      <c r="C1063" t="str" cm="1">
        <f t="array" ref="C1063">IFERROR(INDEX('TRIP MANAGER'!$O$18:$O$25,$A1063),"")</f>
        <v/>
      </c>
      <c r="D1063" t="str" cm="1">
        <f t="array" ref="D1063">IFERROR(INDEX('TRIP MANAGER'!$P$18:$P$25,$A1063),"")</f>
        <v/>
      </c>
      <c r="E1063" t="str" cm="1">
        <f t="array" ref="E1063">IFERROR(INDEX('TRIP MANAGER'!$Q$18:$Q$25,$A1063),"")</f>
        <v/>
      </c>
      <c r="F1063" t="str" cm="1">
        <f t="array" ref="F1063">IFERROR(INDEX('TRIP MANAGER'!$R$18:$R$25,$A1063),"")</f>
        <v/>
      </c>
      <c r="G1063" t="str" cm="1">
        <f t="array" ref="G1063">IFERROR(INDEX('TRIP MANAGER'!$S$18:$S$25,$A1063),"")</f>
        <v/>
      </c>
      <c r="H1063">
        <f t="shared" si="178"/>
        <v>2.6666666666666668E-2</v>
      </c>
      <c r="I1063" t="str">
        <f t="shared" si="179"/>
        <v/>
      </c>
      <c r="J1063" t="str">
        <f t="shared" si="180"/>
        <v/>
      </c>
      <c r="K1063" t="str">
        <f t="shared" si="181"/>
        <v/>
      </c>
      <c r="L1063" t="str">
        <f t="shared" si="182"/>
        <v/>
      </c>
      <c r="M1063" t="str">
        <f t="shared" si="183"/>
        <v/>
      </c>
      <c r="N1063" t="str">
        <f t="shared" si="184"/>
        <v/>
      </c>
      <c r="O1063" t="str">
        <f t="shared" si="185"/>
        <v/>
      </c>
      <c r="P1063" t="str" cm="1">
        <f t="array" ref="P1063">IF($N1063="","",IFERROR(IF(INDEX(geo_grid!$B$2:$JU$231,INT(($N1063+40)/0.5)+1,INT(($O1063+30)/0.5)+1)="","",INDEX(geo_grid!$B$2:$JU$231,INT(($N1063+40)/0.5)+1,INT(($O1063+30)/0.5)+1)),"OUTSIDE GRID"))</f>
        <v/>
      </c>
      <c r="Q1063" t="str">
        <f t="shared" si="186"/>
        <v/>
      </c>
    </row>
    <row r="1064" spans="1:17" x14ac:dyDescent="0.3">
      <c r="A1064">
        <f t="shared" si="176"/>
        <v>8</v>
      </c>
      <c r="B1064">
        <f t="shared" si="177"/>
        <v>5</v>
      </c>
      <c r="C1064" t="str" cm="1">
        <f t="array" ref="C1064">IFERROR(INDEX('TRIP MANAGER'!$O$18:$O$25,$A1064),"")</f>
        <v/>
      </c>
      <c r="D1064" t="str" cm="1">
        <f t="array" ref="D1064">IFERROR(INDEX('TRIP MANAGER'!$P$18:$P$25,$A1064),"")</f>
        <v/>
      </c>
      <c r="E1064" t="str" cm="1">
        <f t="array" ref="E1064">IFERROR(INDEX('TRIP MANAGER'!$Q$18:$Q$25,$A1064),"")</f>
        <v/>
      </c>
      <c r="F1064" t="str" cm="1">
        <f t="array" ref="F1064">IFERROR(INDEX('TRIP MANAGER'!$R$18:$R$25,$A1064),"")</f>
        <v/>
      </c>
      <c r="G1064" t="str" cm="1">
        <f t="array" ref="G1064">IFERROR(INDEX('TRIP MANAGER'!$S$18:$S$25,$A1064),"")</f>
        <v/>
      </c>
      <c r="H1064">
        <f t="shared" si="178"/>
        <v>3.3333333333333333E-2</v>
      </c>
      <c r="I1064" t="str">
        <f t="shared" si="179"/>
        <v/>
      </c>
      <c r="J1064" t="str">
        <f t="shared" si="180"/>
        <v/>
      </c>
      <c r="K1064" t="str">
        <f t="shared" si="181"/>
        <v/>
      </c>
      <c r="L1064" t="str">
        <f t="shared" si="182"/>
        <v/>
      </c>
      <c r="M1064" t="str">
        <f t="shared" si="183"/>
        <v/>
      </c>
      <c r="N1064" t="str">
        <f t="shared" si="184"/>
        <v/>
      </c>
      <c r="O1064" t="str">
        <f t="shared" si="185"/>
        <v/>
      </c>
      <c r="P1064" t="str" cm="1">
        <f t="array" ref="P1064">IF($N1064="","",IFERROR(IF(INDEX(geo_grid!$B$2:$JU$231,INT(($N1064+40)/0.5)+1,INT(($O1064+30)/0.5)+1)="","",INDEX(geo_grid!$B$2:$JU$231,INT(($N1064+40)/0.5)+1,INT(($O1064+30)/0.5)+1)),"OUTSIDE GRID"))</f>
        <v/>
      </c>
      <c r="Q1064" t="str">
        <f t="shared" si="186"/>
        <v/>
      </c>
    </row>
    <row r="1065" spans="1:17" x14ac:dyDescent="0.3">
      <c r="A1065">
        <f t="shared" si="176"/>
        <v>8</v>
      </c>
      <c r="B1065">
        <f t="shared" si="177"/>
        <v>6</v>
      </c>
      <c r="C1065" t="str" cm="1">
        <f t="array" ref="C1065">IFERROR(INDEX('TRIP MANAGER'!$O$18:$O$25,$A1065),"")</f>
        <v/>
      </c>
      <c r="D1065" t="str" cm="1">
        <f t="array" ref="D1065">IFERROR(INDEX('TRIP MANAGER'!$P$18:$P$25,$A1065),"")</f>
        <v/>
      </c>
      <c r="E1065" t="str" cm="1">
        <f t="array" ref="E1065">IFERROR(INDEX('TRIP MANAGER'!$Q$18:$Q$25,$A1065),"")</f>
        <v/>
      </c>
      <c r="F1065" t="str" cm="1">
        <f t="array" ref="F1065">IFERROR(INDEX('TRIP MANAGER'!$R$18:$R$25,$A1065),"")</f>
        <v/>
      </c>
      <c r="G1065" t="str" cm="1">
        <f t="array" ref="G1065">IFERROR(INDEX('TRIP MANAGER'!$S$18:$S$25,$A1065),"")</f>
        <v/>
      </c>
      <c r="H1065">
        <f t="shared" si="178"/>
        <v>0.04</v>
      </c>
      <c r="I1065" t="str">
        <f t="shared" si="179"/>
        <v/>
      </c>
      <c r="J1065" t="str">
        <f t="shared" si="180"/>
        <v/>
      </c>
      <c r="K1065" t="str">
        <f t="shared" si="181"/>
        <v/>
      </c>
      <c r="L1065" t="str">
        <f t="shared" si="182"/>
        <v/>
      </c>
      <c r="M1065" t="str">
        <f t="shared" si="183"/>
        <v/>
      </c>
      <c r="N1065" t="str">
        <f t="shared" si="184"/>
        <v/>
      </c>
      <c r="O1065" t="str">
        <f t="shared" si="185"/>
        <v/>
      </c>
      <c r="P1065" t="str" cm="1">
        <f t="array" ref="P1065">IF($N1065="","",IFERROR(IF(INDEX(geo_grid!$B$2:$JU$231,INT(($N1065+40)/0.5)+1,INT(($O1065+30)/0.5)+1)="","",INDEX(geo_grid!$B$2:$JU$231,INT(($N1065+40)/0.5)+1,INT(($O1065+30)/0.5)+1)),"OUTSIDE GRID"))</f>
        <v/>
      </c>
      <c r="Q1065" t="str">
        <f t="shared" si="186"/>
        <v/>
      </c>
    </row>
    <row r="1066" spans="1:17" x14ac:dyDescent="0.3">
      <c r="A1066">
        <f t="shared" si="176"/>
        <v>8</v>
      </c>
      <c r="B1066">
        <f t="shared" si="177"/>
        <v>7</v>
      </c>
      <c r="C1066" t="str" cm="1">
        <f t="array" ref="C1066">IFERROR(INDEX('TRIP MANAGER'!$O$18:$O$25,$A1066),"")</f>
        <v/>
      </c>
      <c r="D1066" t="str" cm="1">
        <f t="array" ref="D1066">IFERROR(INDEX('TRIP MANAGER'!$P$18:$P$25,$A1066),"")</f>
        <v/>
      </c>
      <c r="E1066" t="str" cm="1">
        <f t="array" ref="E1066">IFERROR(INDEX('TRIP MANAGER'!$Q$18:$Q$25,$A1066),"")</f>
        <v/>
      </c>
      <c r="F1066" t="str" cm="1">
        <f t="array" ref="F1066">IFERROR(INDEX('TRIP MANAGER'!$R$18:$R$25,$A1066),"")</f>
        <v/>
      </c>
      <c r="G1066" t="str" cm="1">
        <f t="array" ref="G1066">IFERROR(INDEX('TRIP MANAGER'!$S$18:$S$25,$A1066),"")</f>
        <v/>
      </c>
      <c r="H1066">
        <f t="shared" si="178"/>
        <v>4.6666666666666669E-2</v>
      </c>
      <c r="I1066" t="str">
        <f t="shared" si="179"/>
        <v/>
      </c>
      <c r="J1066" t="str">
        <f t="shared" si="180"/>
        <v/>
      </c>
      <c r="K1066" t="str">
        <f t="shared" si="181"/>
        <v/>
      </c>
      <c r="L1066" t="str">
        <f t="shared" si="182"/>
        <v/>
      </c>
      <c r="M1066" t="str">
        <f t="shared" si="183"/>
        <v/>
      </c>
      <c r="N1066" t="str">
        <f t="shared" si="184"/>
        <v/>
      </c>
      <c r="O1066" t="str">
        <f t="shared" si="185"/>
        <v/>
      </c>
      <c r="P1066" t="str" cm="1">
        <f t="array" ref="P1066">IF($N1066="","",IFERROR(IF(INDEX(geo_grid!$B$2:$JU$231,INT(($N1066+40)/0.5)+1,INT(($O1066+30)/0.5)+1)="","",INDEX(geo_grid!$B$2:$JU$231,INT(($N1066+40)/0.5)+1,INT(($O1066+30)/0.5)+1)),"OUTSIDE GRID"))</f>
        <v/>
      </c>
      <c r="Q1066" t="str">
        <f t="shared" si="186"/>
        <v/>
      </c>
    </row>
    <row r="1067" spans="1:17" x14ac:dyDescent="0.3">
      <c r="A1067">
        <f t="shared" si="176"/>
        <v>8</v>
      </c>
      <c r="B1067">
        <f t="shared" si="177"/>
        <v>8</v>
      </c>
      <c r="C1067" t="str" cm="1">
        <f t="array" ref="C1067">IFERROR(INDEX('TRIP MANAGER'!$O$18:$O$25,$A1067),"")</f>
        <v/>
      </c>
      <c r="D1067" t="str" cm="1">
        <f t="array" ref="D1067">IFERROR(INDEX('TRIP MANAGER'!$P$18:$P$25,$A1067),"")</f>
        <v/>
      </c>
      <c r="E1067" t="str" cm="1">
        <f t="array" ref="E1067">IFERROR(INDEX('TRIP MANAGER'!$Q$18:$Q$25,$A1067),"")</f>
        <v/>
      </c>
      <c r="F1067" t="str" cm="1">
        <f t="array" ref="F1067">IFERROR(INDEX('TRIP MANAGER'!$R$18:$R$25,$A1067),"")</f>
        <v/>
      </c>
      <c r="G1067" t="str" cm="1">
        <f t="array" ref="G1067">IFERROR(INDEX('TRIP MANAGER'!$S$18:$S$25,$A1067),"")</f>
        <v/>
      </c>
      <c r="H1067">
        <f t="shared" si="178"/>
        <v>5.3333333333333337E-2</v>
      </c>
      <c r="I1067" t="str">
        <f t="shared" si="179"/>
        <v/>
      </c>
      <c r="J1067" t="str">
        <f t="shared" si="180"/>
        <v/>
      </c>
      <c r="K1067" t="str">
        <f t="shared" si="181"/>
        <v/>
      </c>
      <c r="L1067" t="str">
        <f t="shared" si="182"/>
        <v/>
      </c>
      <c r="M1067" t="str">
        <f t="shared" si="183"/>
        <v/>
      </c>
      <c r="N1067" t="str">
        <f t="shared" si="184"/>
        <v/>
      </c>
      <c r="O1067" t="str">
        <f t="shared" si="185"/>
        <v/>
      </c>
      <c r="P1067" t="str" cm="1">
        <f t="array" ref="P1067">IF($N1067="","",IFERROR(IF(INDEX(geo_grid!$B$2:$JU$231,INT(($N1067+40)/0.5)+1,INT(($O1067+30)/0.5)+1)="","",INDEX(geo_grid!$B$2:$JU$231,INT(($N1067+40)/0.5)+1,INT(($O1067+30)/0.5)+1)),"OUTSIDE GRID"))</f>
        <v/>
      </c>
      <c r="Q1067" t="str">
        <f t="shared" si="186"/>
        <v/>
      </c>
    </row>
    <row r="1068" spans="1:17" x14ac:dyDescent="0.3">
      <c r="A1068">
        <f t="shared" si="176"/>
        <v>8</v>
      </c>
      <c r="B1068">
        <f t="shared" si="177"/>
        <v>9</v>
      </c>
      <c r="C1068" t="str" cm="1">
        <f t="array" ref="C1068">IFERROR(INDEX('TRIP MANAGER'!$O$18:$O$25,$A1068),"")</f>
        <v/>
      </c>
      <c r="D1068" t="str" cm="1">
        <f t="array" ref="D1068">IFERROR(INDEX('TRIP MANAGER'!$P$18:$P$25,$A1068),"")</f>
        <v/>
      </c>
      <c r="E1068" t="str" cm="1">
        <f t="array" ref="E1068">IFERROR(INDEX('TRIP MANAGER'!$Q$18:$Q$25,$A1068),"")</f>
        <v/>
      </c>
      <c r="F1068" t="str" cm="1">
        <f t="array" ref="F1068">IFERROR(INDEX('TRIP MANAGER'!$R$18:$R$25,$A1068),"")</f>
        <v/>
      </c>
      <c r="G1068" t="str" cm="1">
        <f t="array" ref="G1068">IFERROR(INDEX('TRIP MANAGER'!$S$18:$S$25,$A1068),"")</f>
        <v/>
      </c>
      <c r="H1068">
        <f t="shared" si="178"/>
        <v>0.06</v>
      </c>
      <c r="I1068" t="str">
        <f t="shared" si="179"/>
        <v/>
      </c>
      <c r="J1068" t="str">
        <f t="shared" si="180"/>
        <v/>
      </c>
      <c r="K1068" t="str">
        <f t="shared" si="181"/>
        <v/>
      </c>
      <c r="L1068" t="str">
        <f t="shared" si="182"/>
        <v/>
      </c>
      <c r="M1068" t="str">
        <f t="shared" si="183"/>
        <v/>
      </c>
      <c r="N1068" t="str">
        <f t="shared" si="184"/>
        <v/>
      </c>
      <c r="O1068" t="str">
        <f t="shared" si="185"/>
        <v/>
      </c>
      <c r="P1068" t="str" cm="1">
        <f t="array" ref="P1068">IF($N1068="","",IFERROR(IF(INDEX(geo_grid!$B$2:$JU$231,INT(($N1068+40)/0.5)+1,INT(($O1068+30)/0.5)+1)="","",INDEX(geo_grid!$B$2:$JU$231,INT(($N1068+40)/0.5)+1,INT(($O1068+30)/0.5)+1)),"OUTSIDE GRID"))</f>
        <v/>
      </c>
      <c r="Q1068" t="str">
        <f t="shared" si="186"/>
        <v/>
      </c>
    </row>
    <row r="1069" spans="1:17" x14ac:dyDescent="0.3">
      <c r="A1069">
        <f t="shared" si="176"/>
        <v>8</v>
      </c>
      <c r="B1069">
        <f t="shared" si="177"/>
        <v>10</v>
      </c>
      <c r="C1069" t="str" cm="1">
        <f t="array" ref="C1069">IFERROR(INDEX('TRIP MANAGER'!$O$18:$O$25,$A1069),"")</f>
        <v/>
      </c>
      <c r="D1069" t="str" cm="1">
        <f t="array" ref="D1069">IFERROR(INDEX('TRIP MANAGER'!$P$18:$P$25,$A1069),"")</f>
        <v/>
      </c>
      <c r="E1069" t="str" cm="1">
        <f t="array" ref="E1069">IFERROR(INDEX('TRIP MANAGER'!$Q$18:$Q$25,$A1069),"")</f>
        <v/>
      </c>
      <c r="F1069" t="str" cm="1">
        <f t="array" ref="F1069">IFERROR(INDEX('TRIP MANAGER'!$R$18:$R$25,$A1069),"")</f>
        <v/>
      </c>
      <c r="G1069" t="str" cm="1">
        <f t="array" ref="G1069">IFERROR(INDEX('TRIP MANAGER'!$S$18:$S$25,$A1069),"")</f>
        <v/>
      </c>
      <c r="H1069">
        <f t="shared" si="178"/>
        <v>6.6666666666666666E-2</v>
      </c>
      <c r="I1069" t="str">
        <f t="shared" si="179"/>
        <v/>
      </c>
      <c r="J1069" t="str">
        <f t="shared" si="180"/>
        <v/>
      </c>
      <c r="K1069" t="str">
        <f t="shared" si="181"/>
        <v/>
      </c>
      <c r="L1069" t="str">
        <f t="shared" si="182"/>
        <v/>
      </c>
      <c r="M1069" t="str">
        <f t="shared" si="183"/>
        <v/>
      </c>
      <c r="N1069" t="str">
        <f t="shared" si="184"/>
        <v/>
      </c>
      <c r="O1069" t="str">
        <f t="shared" si="185"/>
        <v/>
      </c>
      <c r="P1069" t="str" cm="1">
        <f t="array" ref="P1069">IF($N1069="","",IFERROR(IF(INDEX(geo_grid!$B$2:$JU$231,INT(($N1069+40)/0.5)+1,INT(($O1069+30)/0.5)+1)="","",INDEX(geo_grid!$B$2:$JU$231,INT(($N1069+40)/0.5)+1,INT(($O1069+30)/0.5)+1)),"OUTSIDE GRID"))</f>
        <v/>
      </c>
      <c r="Q1069" t="str">
        <f t="shared" si="186"/>
        <v/>
      </c>
    </row>
    <row r="1070" spans="1:17" x14ac:dyDescent="0.3">
      <c r="A1070">
        <f t="shared" si="176"/>
        <v>8</v>
      </c>
      <c r="B1070">
        <f t="shared" si="177"/>
        <v>11</v>
      </c>
      <c r="C1070" t="str" cm="1">
        <f t="array" ref="C1070">IFERROR(INDEX('TRIP MANAGER'!$O$18:$O$25,$A1070),"")</f>
        <v/>
      </c>
      <c r="D1070" t="str" cm="1">
        <f t="array" ref="D1070">IFERROR(INDEX('TRIP MANAGER'!$P$18:$P$25,$A1070),"")</f>
        <v/>
      </c>
      <c r="E1070" t="str" cm="1">
        <f t="array" ref="E1070">IFERROR(INDEX('TRIP MANAGER'!$Q$18:$Q$25,$A1070),"")</f>
        <v/>
      </c>
      <c r="F1070" t="str" cm="1">
        <f t="array" ref="F1070">IFERROR(INDEX('TRIP MANAGER'!$R$18:$R$25,$A1070),"")</f>
        <v/>
      </c>
      <c r="G1070" t="str" cm="1">
        <f t="array" ref="G1070">IFERROR(INDEX('TRIP MANAGER'!$S$18:$S$25,$A1070),"")</f>
        <v/>
      </c>
      <c r="H1070">
        <f t="shared" si="178"/>
        <v>7.3333333333333334E-2</v>
      </c>
      <c r="I1070" t="str">
        <f t="shared" si="179"/>
        <v/>
      </c>
      <c r="J1070" t="str">
        <f t="shared" si="180"/>
        <v/>
      </c>
      <c r="K1070" t="str">
        <f t="shared" si="181"/>
        <v/>
      </c>
      <c r="L1070" t="str">
        <f t="shared" si="182"/>
        <v/>
      </c>
      <c r="M1070" t="str">
        <f t="shared" si="183"/>
        <v/>
      </c>
      <c r="N1070" t="str">
        <f t="shared" si="184"/>
        <v/>
      </c>
      <c r="O1070" t="str">
        <f t="shared" si="185"/>
        <v/>
      </c>
      <c r="P1070" t="str" cm="1">
        <f t="array" ref="P1070">IF($N1070="","",IFERROR(IF(INDEX(geo_grid!$B$2:$JU$231,INT(($N1070+40)/0.5)+1,INT(($O1070+30)/0.5)+1)="","",INDEX(geo_grid!$B$2:$JU$231,INT(($N1070+40)/0.5)+1,INT(($O1070+30)/0.5)+1)),"OUTSIDE GRID"))</f>
        <v/>
      </c>
      <c r="Q1070" t="str">
        <f t="shared" si="186"/>
        <v/>
      </c>
    </row>
    <row r="1071" spans="1:17" x14ac:dyDescent="0.3">
      <c r="A1071">
        <f t="shared" si="176"/>
        <v>8</v>
      </c>
      <c r="B1071">
        <f t="shared" si="177"/>
        <v>12</v>
      </c>
      <c r="C1071" t="str" cm="1">
        <f t="array" ref="C1071">IFERROR(INDEX('TRIP MANAGER'!$O$18:$O$25,$A1071),"")</f>
        <v/>
      </c>
      <c r="D1071" t="str" cm="1">
        <f t="array" ref="D1071">IFERROR(INDEX('TRIP MANAGER'!$P$18:$P$25,$A1071),"")</f>
        <v/>
      </c>
      <c r="E1071" t="str" cm="1">
        <f t="array" ref="E1071">IFERROR(INDEX('TRIP MANAGER'!$Q$18:$Q$25,$A1071),"")</f>
        <v/>
      </c>
      <c r="F1071" t="str" cm="1">
        <f t="array" ref="F1071">IFERROR(INDEX('TRIP MANAGER'!$R$18:$R$25,$A1071),"")</f>
        <v/>
      </c>
      <c r="G1071" t="str" cm="1">
        <f t="array" ref="G1071">IFERROR(INDEX('TRIP MANAGER'!$S$18:$S$25,$A1071),"")</f>
        <v/>
      </c>
      <c r="H1071">
        <f t="shared" si="178"/>
        <v>0.08</v>
      </c>
      <c r="I1071" t="str">
        <f t="shared" si="179"/>
        <v/>
      </c>
      <c r="J1071" t="str">
        <f t="shared" si="180"/>
        <v/>
      </c>
      <c r="K1071" t="str">
        <f t="shared" si="181"/>
        <v/>
      </c>
      <c r="L1071" t="str">
        <f t="shared" si="182"/>
        <v/>
      </c>
      <c r="M1071" t="str">
        <f t="shared" si="183"/>
        <v/>
      </c>
      <c r="N1071" t="str">
        <f t="shared" si="184"/>
        <v/>
      </c>
      <c r="O1071" t="str">
        <f t="shared" si="185"/>
        <v/>
      </c>
      <c r="P1071" t="str" cm="1">
        <f t="array" ref="P1071">IF($N1071="","",IFERROR(IF(INDEX(geo_grid!$B$2:$JU$231,INT(($N1071+40)/0.5)+1,INT(($O1071+30)/0.5)+1)="","",INDEX(geo_grid!$B$2:$JU$231,INT(($N1071+40)/0.5)+1,INT(($O1071+30)/0.5)+1)),"OUTSIDE GRID"))</f>
        <v/>
      </c>
      <c r="Q1071" t="str">
        <f t="shared" si="186"/>
        <v/>
      </c>
    </row>
    <row r="1072" spans="1:17" x14ac:dyDescent="0.3">
      <c r="A1072">
        <f t="shared" si="176"/>
        <v>8</v>
      </c>
      <c r="B1072">
        <f t="shared" si="177"/>
        <v>13</v>
      </c>
      <c r="C1072" t="str" cm="1">
        <f t="array" ref="C1072">IFERROR(INDEX('TRIP MANAGER'!$O$18:$O$25,$A1072),"")</f>
        <v/>
      </c>
      <c r="D1072" t="str" cm="1">
        <f t="array" ref="D1072">IFERROR(INDEX('TRIP MANAGER'!$P$18:$P$25,$A1072),"")</f>
        <v/>
      </c>
      <c r="E1072" t="str" cm="1">
        <f t="array" ref="E1072">IFERROR(INDEX('TRIP MANAGER'!$Q$18:$Q$25,$A1072),"")</f>
        <v/>
      </c>
      <c r="F1072" t="str" cm="1">
        <f t="array" ref="F1072">IFERROR(INDEX('TRIP MANAGER'!$R$18:$R$25,$A1072),"")</f>
        <v/>
      </c>
      <c r="G1072" t="str" cm="1">
        <f t="array" ref="G1072">IFERROR(INDEX('TRIP MANAGER'!$S$18:$S$25,$A1072),"")</f>
        <v/>
      </c>
      <c r="H1072">
        <f t="shared" si="178"/>
        <v>8.666666666666667E-2</v>
      </c>
      <c r="I1072" t="str">
        <f t="shared" si="179"/>
        <v/>
      </c>
      <c r="J1072" t="str">
        <f t="shared" si="180"/>
        <v/>
      </c>
      <c r="K1072" t="str">
        <f t="shared" si="181"/>
        <v/>
      </c>
      <c r="L1072" t="str">
        <f t="shared" si="182"/>
        <v/>
      </c>
      <c r="M1072" t="str">
        <f t="shared" si="183"/>
        <v/>
      </c>
      <c r="N1072" t="str">
        <f t="shared" si="184"/>
        <v/>
      </c>
      <c r="O1072" t="str">
        <f t="shared" si="185"/>
        <v/>
      </c>
      <c r="P1072" t="str" cm="1">
        <f t="array" ref="P1072">IF($N1072="","",IFERROR(IF(INDEX(geo_grid!$B$2:$JU$231,INT(($N1072+40)/0.5)+1,INT(($O1072+30)/0.5)+1)="","",INDEX(geo_grid!$B$2:$JU$231,INT(($N1072+40)/0.5)+1,INT(($O1072+30)/0.5)+1)),"OUTSIDE GRID"))</f>
        <v/>
      </c>
      <c r="Q1072" t="str">
        <f t="shared" si="186"/>
        <v/>
      </c>
    </row>
    <row r="1073" spans="1:17" x14ac:dyDescent="0.3">
      <c r="A1073">
        <f t="shared" si="176"/>
        <v>8</v>
      </c>
      <c r="B1073">
        <f t="shared" si="177"/>
        <v>14</v>
      </c>
      <c r="C1073" t="str" cm="1">
        <f t="array" ref="C1073">IFERROR(INDEX('TRIP MANAGER'!$O$18:$O$25,$A1073),"")</f>
        <v/>
      </c>
      <c r="D1073" t="str" cm="1">
        <f t="array" ref="D1073">IFERROR(INDEX('TRIP MANAGER'!$P$18:$P$25,$A1073),"")</f>
        <v/>
      </c>
      <c r="E1073" t="str" cm="1">
        <f t="array" ref="E1073">IFERROR(INDEX('TRIP MANAGER'!$Q$18:$Q$25,$A1073),"")</f>
        <v/>
      </c>
      <c r="F1073" t="str" cm="1">
        <f t="array" ref="F1073">IFERROR(INDEX('TRIP MANAGER'!$R$18:$R$25,$A1073),"")</f>
        <v/>
      </c>
      <c r="G1073" t="str" cm="1">
        <f t="array" ref="G1073">IFERROR(INDEX('TRIP MANAGER'!$S$18:$S$25,$A1073),"")</f>
        <v/>
      </c>
      <c r="H1073">
        <f t="shared" si="178"/>
        <v>9.3333333333333338E-2</v>
      </c>
      <c r="I1073" t="str">
        <f t="shared" si="179"/>
        <v/>
      </c>
      <c r="J1073" t="str">
        <f t="shared" si="180"/>
        <v/>
      </c>
      <c r="K1073" t="str">
        <f t="shared" si="181"/>
        <v/>
      </c>
      <c r="L1073" t="str">
        <f t="shared" si="182"/>
        <v/>
      </c>
      <c r="M1073" t="str">
        <f t="shared" si="183"/>
        <v/>
      </c>
      <c r="N1073" t="str">
        <f t="shared" si="184"/>
        <v/>
      </c>
      <c r="O1073" t="str">
        <f t="shared" si="185"/>
        <v/>
      </c>
      <c r="P1073" t="str" cm="1">
        <f t="array" ref="P1073">IF($N1073="","",IFERROR(IF(INDEX(geo_grid!$B$2:$JU$231,INT(($N1073+40)/0.5)+1,INT(($O1073+30)/0.5)+1)="","",INDEX(geo_grid!$B$2:$JU$231,INT(($N1073+40)/0.5)+1,INT(($O1073+30)/0.5)+1)),"OUTSIDE GRID"))</f>
        <v/>
      </c>
      <c r="Q1073" t="str">
        <f t="shared" si="186"/>
        <v/>
      </c>
    </row>
    <row r="1074" spans="1:17" x14ac:dyDescent="0.3">
      <c r="A1074">
        <f t="shared" si="176"/>
        <v>8</v>
      </c>
      <c r="B1074">
        <f t="shared" si="177"/>
        <v>15</v>
      </c>
      <c r="C1074" t="str" cm="1">
        <f t="array" ref="C1074">IFERROR(INDEX('TRIP MANAGER'!$O$18:$O$25,$A1074),"")</f>
        <v/>
      </c>
      <c r="D1074" t="str" cm="1">
        <f t="array" ref="D1074">IFERROR(INDEX('TRIP MANAGER'!$P$18:$P$25,$A1074),"")</f>
        <v/>
      </c>
      <c r="E1074" t="str" cm="1">
        <f t="array" ref="E1074">IFERROR(INDEX('TRIP MANAGER'!$Q$18:$Q$25,$A1074),"")</f>
        <v/>
      </c>
      <c r="F1074" t="str" cm="1">
        <f t="array" ref="F1074">IFERROR(INDEX('TRIP MANAGER'!$R$18:$R$25,$A1074),"")</f>
        <v/>
      </c>
      <c r="G1074" t="str" cm="1">
        <f t="array" ref="G1074">IFERROR(INDEX('TRIP MANAGER'!$S$18:$S$25,$A1074),"")</f>
        <v/>
      </c>
      <c r="H1074">
        <f t="shared" si="178"/>
        <v>0.1</v>
      </c>
      <c r="I1074" t="str">
        <f t="shared" si="179"/>
        <v/>
      </c>
      <c r="J1074" t="str">
        <f t="shared" si="180"/>
        <v/>
      </c>
      <c r="K1074" t="str">
        <f t="shared" si="181"/>
        <v/>
      </c>
      <c r="L1074" t="str">
        <f t="shared" si="182"/>
        <v/>
      </c>
      <c r="M1074" t="str">
        <f t="shared" si="183"/>
        <v/>
      </c>
      <c r="N1074" t="str">
        <f t="shared" si="184"/>
        <v/>
      </c>
      <c r="O1074" t="str">
        <f t="shared" si="185"/>
        <v/>
      </c>
      <c r="P1074" t="str" cm="1">
        <f t="array" ref="P1074">IF($N1074="","",IFERROR(IF(INDEX(geo_grid!$B$2:$JU$231,INT(($N1074+40)/0.5)+1,INT(($O1074+30)/0.5)+1)="","",INDEX(geo_grid!$B$2:$JU$231,INT(($N1074+40)/0.5)+1,INT(($O1074+30)/0.5)+1)),"OUTSIDE GRID"))</f>
        <v/>
      </c>
      <c r="Q1074" t="str">
        <f t="shared" si="186"/>
        <v/>
      </c>
    </row>
    <row r="1075" spans="1:17" x14ac:dyDescent="0.3">
      <c r="A1075">
        <f t="shared" si="176"/>
        <v>8</v>
      </c>
      <c r="B1075">
        <f t="shared" si="177"/>
        <v>16</v>
      </c>
      <c r="C1075" t="str" cm="1">
        <f t="array" ref="C1075">IFERROR(INDEX('TRIP MANAGER'!$O$18:$O$25,$A1075),"")</f>
        <v/>
      </c>
      <c r="D1075" t="str" cm="1">
        <f t="array" ref="D1075">IFERROR(INDEX('TRIP MANAGER'!$P$18:$P$25,$A1075),"")</f>
        <v/>
      </c>
      <c r="E1075" t="str" cm="1">
        <f t="array" ref="E1075">IFERROR(INDEX('TRIP MANAGER'!$Q$18:$Q$25,$A1075),"")</f>
        <v/>
      </c>
      <c r="F1075" t="str" cm="1">
        <f t="array" ref="F1075">IFERROR(INDEX('TRIP MANAGER'!$R$18:$R$25,$A1075),"")</f>
        <v/>
      </c>
      <c r="G1075" t="str" cm="1">
        <f t="array" ref="G1075">IFERROR(INDEX('TRIP MANAGER'!$S$18:$S$25,$A1075),"")</f>
        <v/>
      </c>
      <c r="H1075">
        <f t="shared" si="178"/>
        <v>0.10666666666666667</v>
      </c>
      <c r="I1075" t="str">
        <f t="shared" si="179"/>
        <v/>
      </c>
      <c r="J1075" t="str">
        <f t="shared" si="180"/>
        <v/>
      </c>
      <c r="K1075" t="str">
        <f t="shared" si="181"/>
        <v/>
      </c>
      <c r="L1075" t="str">
        <f t="shared" si="182"/>
        <v/>
      </c>
      <c r="M1075" t="str">
        <f t="shared" si="183"/>
        <v/>
      </c>
      <c r="N1075" t="str">
        <f t="shared" si="184"/>
        <v/>
      </c>
      <c r="O1075" t="str">
        <f t="shared" si="185"/>
        <v/>
      </c>
      <c r="P1075" t="str" cm="1">
        <f t="array" ref="P1075">IF($N1075="","",IFERROR(IF(INDEX(geo_grid!$B$2:$JU$231,INT(($N1075+40)/0.5)+1,INT(($O1075+30)/0.5)+1)="","",INDEX(geo_grid!$B$2:$JU$231,INT(($N1075+40)/0.5)+1,INT(($O1075+30)/0.5)+1)),"OUTSIDE GRID"))</f>
        <v/>
      </c>
      <c r="Q1075" t="str">
        <f t="shared" si="186"/>
        <v/>
      </c>
    </row>
    <row r="1076" spans="1:17" x14ac:dyDescent="0.3">
      <c r="A1076">
        <f t="shared" si="176"/>
        <v>8</v>
      </c>
      <c r="B1076">
        <f t="shared" si="177"/>
        <v>17</v>
      </c>
      <c r="C1076" t="str" cm="1">
        <f t="array" ref="C1076">IFERROR(INDEX('TRIP MANAGER'!$O$18:$O$25,$A1076),"")</f>
        <v/>
      </c>
      <c r="D1076" t="str" cm="1">
        <f t="array" ref="D1076">IFERROR(INDEX('TRIP MANAGER'!$P$18:$P$25,$A1076),"")</f>
        <v/>
      </c>
      <c r="E1076" t="str" cm="1">
        <f t="array" ref="E1076">IFERROR(INDEX('TRIP MANAGER'!$Q$18:$Q$25,$A1076),"")</f>
        <v/>
      </c>
      <c r="F1076" t="str" cm="1">
        <f t="array" ref="F1076">IFERROR(INDEX('TRIP MANAGER'!$R$18:$R$25,$A1076),"")</f>
        <v/>
      </c>
      <c r="G1076" t="str" cm="1">
        <f t="array" ref="G1076">IFERROR(INDEX('TRIP MANAGER'!$S$18:$S$25,$A1076),"")</f>
        <v/>
      </c>
      <c r="H1076">
        <f t="shared" si="178"/>
        <v>0.11333333333333333</v>
      </c>
      <c r="I1076" t="str">
        <f t="shared" si="179"/>
        <v/>
      </c>
      <c r="J1076" t="str">
        <f t="shared" si="180"/>
        <v/>
      </c>
      <c r="K1076" t="str">
        <f t="shared" si="181"/>
        <v/>
      </c>
      <c r="L1076" t="str">
        <f t="shared" si="182"/>
        <v/>
      </c>
      <c r="M1076" t="str">
        <f t="shared" si="183"/>
        <v/>
      </c>
      <c r="N1076" t="str">
        <f t="shared" si="184"/>
        <v/>
      </c>
      <c r="O1076" t="str">
        <f t="shared" si="185"/>
        <v/>
      </c>
      <c r="P1076" t="str" cm="1">
        <f t="array" ref="P1076">IF($N1076="","",IFERROR(IF(INDEX(geo_grid!$B$2:$JU$231,INT(($N1076+40)/0.5)+1,INT(($O1076+30)/0.5)+1)="","",INDEX(geo_grid!$B$2:$JU$231,INT(($N1076+40)/0.5)+1,INT(($O1076+30)/0.5)+1)),"OUTSIDE GRID"))</f>
        <v/>
      </c>
      <c r="Q1076" t="str">
        <f t="shared" si="186"/>
        <v/>
      </c>
    </row>
    <row r="1077" spans="1:17" x14ac:dyDescent="0.3">
      <c r="A1077">
        <f t="shared" si="176"/>
        <v>8</v>
      </c>
      <c r="B1077">
        <f t="shared" si="177"/>
        <v>18</v>
      </c>
      <c r="C1077" t="str" cm="1">
        <f t="array" ref="C1077">IFERROR(INDEX('TRIP MANAGER'!$O$18:$O$25,$A1077),"")</f>
        <v/>
      </c>
      <c r="D1077" t="str" cm="1">
        <f t="array" ref="D1077">IFERROR(INDEX('TRIP MANAGER'!$P$18:$P$25,$A1077),"")</f>
        <v/>
      </c>
      <c r="E1077" t="str" cm="1">
        <f t="array" ref="E1077">IFERROR(INDEX('TRIP MANAGER'!$Q$18:$Q$25,$A1077),"")</f>
        <v/>
      </c>
      <c r="F1077" t="str" cm="1">
        <f t="array" ref="F1077">IFERROR(INDEX('TRIP MANAGER'!$R$18:$R$25,$A1077),"")</f>
        <v/>
      </c>
      <c r="G1077" t="str" cm="1">
        <f t="array" ref="G1077">IFERROR(INDEX('TRIP MANAGER'!$S$18:$S$25,$A1077),"")</f>
        <v/>
      </c>
      <c r="H1077">
        <f t="shared" si="178"/>
        <v>0.12</v>
      </c>
      <c r="I1077" t="str">
        <f t="shared" si="179"/>
        <v/>
      </c>
      <c r="J1077" t="str">
        <f t="shared" si="180"/>
        <v/>
      </c>
      <c r="K1077" t="str">
        <f t="shared" si="181"/>
        <v/>
      </c>
      <c r="L1077" t="str">
        <f t="shared" si="182"/>
        <v/>
      </c>
      <c r="M1077" t="str">
        <f t="shared" si="183"/>
        <v/>
      </c>
      <c r="N1077" t="str">
        <f t="shared" si="184"/>
        <v/>
      </c>
      <c r="O1077" t="str">
        <f t="shared" si="185"/>
        <v/>
      </c>
      <c r="P1077" t="str" cm="1">
        <f t="array" ref="P1077">IF($N1077="","",IFERROR(IF(INDEX(geo_grid!$B$2:$JU$231,INT(($N1077+40)/0.5)+1,INT(($O1077+30)/0.5)+1)="","",INDEX(geo_grid!$B$2:$JU$231,INT(($N1077+40)/0.5)+1,INT(($O1077+30)/0.5)+1)),"OUTSIDE GRID"))</f>
        <v/>
      </c>
      <c r="Q1077" t="str">
        <f t="shared" si="186"/>
        <v/>
      </c>
    </row>
    <row r="1078" spans="1:17" x14ac:dyDescent="0.3">
      <c r="A1078">
        <f t="shared" si="176"/>
        <v>8</v>
      </c>
      <c r="B1078">
        <f t="shared" si="177"/>
        <v>19</v>
      </c>
      <c r="C1078" t="str" cm="1">
        <f t="array" ref="C1078">IFERROR(INDEX('TRIP MANAGER'!$O$18:$O$25,$A1078),"")</f>
        <v/>
      </c>
      <c r="D1078" t="str" cm="1">
        <f t="array" ref="D1078">IFERROR(INDEX('TRIP MANAGER'!$P$18:$P$25,$A1078),"")</f>
        <v/>
      </c>
      <c r="E1078" t="str" cm="1">
        <f t="array" ref="E1078">IFERROR(INDEX('TRIP MANAGER'!$Q$18:$Q$25,$A1078),"")</f>
        <v/>
      </c>
      <c r="F1078" t="str" cm="1">
        <f t="array" ref="F1078">IFERROR(INDEX('TRIP MANAGER'!$R$18:$R$25,$A1078),"")</f>
        <v/>
      </c>
      <c r="G1078" t="str" cm="1">
        <f t="array" ref="G1078">IFERROR(INDEX('TRIP MANAGER'!$S$18:$S$25,$A1078),"")</f>
        <v/>
      </c>
      <c r="H1078">
        <f t="shared" si="178"/>
        <v>0.12666666666666668</v>
      </c>
      <c r="I1078" t="str">
        <f t="shared" si="179"/>
        <v/>
      </c>
      <c r="J1078" t="str">
        <f t="shared" si="180"/>
        <v/>
      </c>
      <c r="K1078" t="str">
        <f t="shared" si="181"/>
        <v/>
      </c>
      <c r="L1078" t="str">
        <f t="shared" si="182"/>
        <v/>
      </c>
      <c r="M1078" t="str">
        <f t="shared" si="183"/>
        <v/>
      </c>
      <c r="N1078" t="str">
        <f t="shared" si="184"/>
        <v/>
      </c>
      <c r="O1078" t="str">
        <f t="shared" si="185"/>
        <v/>
      </c>
      <c r="P1078" t="str" cm="1">
        <f t="array" ref="P1078">IF($N1078="","",IFERROR(IF(INDEX(geo_grid!$B$2:$JU$231,INT(($N1078+40)/0.5)+1,INT(($O1078+30)/0.5)+1)="","",INDEX(geo_grid!$B$2:$JU$231,INT(($N1078+40)/0.5)+1,INT(($O1078+30)/0.5)+1)),"OUTSIDE GRID"))</f>
        <v/>
      </c>
      <c r="Q1078" t="str">
        <f t="shared" si="186"/>
        <v/>
      </c>
    </row>
    <row r="1079" spans="1:17" x14ac:dyDescent="0.3">
      <c r="A1079">
        <f t="shared" si="176"/>
        <v>8</v>
      </c>
      <c r="B1079">
        <f t="shared" si="177"/>
        <v>20</v>
      </c>
      <c r="C1079" t="str" cm="1">
        <f t="array" ref="C1079">IFERROR(INDEX('TRIP MANAGER'!$O$18:$O$25,$A1079),"")</f>
        <v/>
      </c>
      <c r="D1079" t="str" cm="1">
        <f t="array" ref="D1079">IFERROR(INDEX('TRIP MANAGER'!$P$18:$P$25,$A1079),"")</f>
        <v/>
      </c>
      <c r="E1079" t="str" cm="1">
        <f t="array" ref="E1079">IFERROR(INDEX('TRIP MANAGER'!$Q$18:$Q$25,$A1079),"")</f>
        <v/>
      </c>
      <c r="F1079" t="str" cm="1">
        <f t="array" ref="F1079">IFERROR(INDEX('TRIP MANAGER'!$R$18:$R$25,$A1079),"")</f>
        <v/>
      </c>
      <c r="G1079" t="str" cm="1">
        <f t="array" ref="G1079">IFERROR(INDEX('TRIP MANAGER'!$S$18:$S$25,$A1079),"")</f>
        <v/>
      </c>
      <c r="H1079">
        <f t="shared" si="178"/>
        <v>0.13333333333333333</v>
      </c>
      <c r="I1079" t="str">
        <f t="shared" si="179"/>
        <v/>
      </c>
      <c r="J1079" t="str">
        <f t="shared" si="180"/>
        <v/>
      </c>
      <c r="K1079" t="str">
        <f t="shared" si="181"/>
        <v/>
      </c>
      <c r="L1079" t="str">
        <f t="shared" si="182"/>
        <v/>
      </c>
      <c r="M1079" t="str">
        <f t="shared" si="183"/>
        <v/>
      </c>
      <c r="N1079" t="str">
        <f t="shared" si="184"/>
        <v/>
      </c>
      <c r="O1079" t="str">
        <f t="shared" si="185"/>
        <v/>
      </c>
      <c r="P1079" t="str" cm="1">
        <f t="array" ref="P1079">IF($N1079="","",IFERROR(IF(INDEX(geo_grid!$B$2:$JU$231,INT(($N1079+40)/0.5)+1,INT(($O1079+30)/0.5)+1)="","",INDEX(geo_grid!$B$2:$JU$231,INT(($N1079+40)/0.5)+1,INT(($O1079+30)/0.5)+1)),"OUTSIDE GRID"))</f>
        <v/>
      </c>
      <c r="Q1079" t="str">
        <f t="shared" si="186"/>
        <v/>
      </c>
    </row>
    <row r="1080" spans="1:17" x14ac:dyDescent="0.3">
      <c r="A1080">
        <f t="shared" si="176"/>
        <v>8</v>
      </c>
      <c r="B1080">
        <f t="shared" si="177"/>
        <v>21</v>
      </c>
      <c r="C1080" t="str" cm="1">
        <f t="array" ref="C1080">IFERROR(INDEX('TRIP MANAGER'!$O$18:$O$25,$A1080),"")</f>
        <v/>
      </c>
      <c r="D1080" t="str" cm="1">
        <f t="array" ref="D1080">IFERROR(INDEX('TRIP MANAGER'!$P$18:$P$25,$A1080),"")</f>
        <v/>
      </c>
      <c r="E1080" t="str" cm="1">
        <f t="array" ref="E1080">IFERROR(INDEX('TRIP MANAGER'!$Q$18:$Q$25,$A1080),"")</f>
        <v/>
      </c>
      <c r="F1080" t="str" cm="1">
        <f t="array" ref="F1080">IFERROR(INDEX('TRIP MANAGER'!$R$18:$R$25,$A1080),"")</f>
        <v/>
      </c>
      <c r="G1080" t="str" cm="1">
        <f t="array" ref="G1080">IFERROR(INDEX('TRIP MANAGER'!$S$18:$S$25,$A1080),"")</f>
        <v/>
      </c>
      <c r="H1080">
        <f t="shared" si="178"/>
        <v>0.14000000000000001</v>
      </c>
      <c r="I1080" t="str">
        <f t="shared" si="179"/>
        <v/>
      </c>
      <c r="J1080" t="str">
        <f t="shared" si="180"/>
        <v/>
      </c>
      <c r="K1080" t="str">
        <f t="shared" si="181"/>
        <v/>
      </c>
      <c r="L1080" t="str">
        <f t="shared" si="182"/>
        <v/>
      </c>
      <c r="M1080" t="str">
        <f t="shared" si="183"/>
        <v/>
      </c>
      <c r="N1080" t="str">
        <f t="shared" si="184"/>
        <v/>
      </c>
      <c r="O1080" t="str">
        <f t="shared" si="185"/>
        <v/>
      </c>
      <c r="P1080" t="str" cm="1">
        <f t="array" ref="P1080">IF($N1080="","",IFERROR(IF(INDEX(geo_grid!$B$2:$JU$231,INT(($N1080+40)/0.5)+1,INT(($O1080+30)/0.5)+1)="","",INDEX(geo_grid!$B$2:$JU$231,INT(($N1080+40)/0.5)+1,INT(($O1080+30)/0.5)+1)),"OUTSIDE GRID"))</f>
        <v/>
      </c>
      <c r="Q1080" t="str">
        <f t="shared" si="186"/>
        <v/>
      </c>
    </row>
    <row r="1081" spans="1:17" x14ac:dyDescent="0.3">
      <c r="A1081">
        <f t="shared" si="176"/>
        <v>8</v>
      </c>
      <c r="B1081">
        <f t="shared" si="177"/>
        <v>22</v>
      </c>
      <c r="C1081" t="str" cm="1">
        <f t="array" ref="C1081">IFERROR(INDEX('TRIP MANAGER'!$O$18:$O$25,$A1081),"")</f>
        <v/>
      </c>
      <c r="D1081" t="str" cm="1">
        <f t="array" ref="D1081">IFERROR(INDEX('TRIP MANAGER'!$P$18:$P$25,$A1081),"")</f>
        <v/>
      </c>
      <c r="E1081" t="str" cm="1">
        <f t="array" ref="E1081">IFERROR(INDEX('TRIP MANAGER'!$Q$18:$Q$25,$A1081),"")</f>
        <v/>
      </c>
      <c r="F1081" t="str" cm="1">
        <f t="array" ref="F1081">IFERROR(INDEX('TRIP MANAGER'!$R$18:$R$25,$A1081),"")</f>
        <v/>
      </c>
      <c r="G1081" t="str" cm="1">
        <f t="array" ref="G1081">IFERROR(INDEX('TRIP MANAGER'!$S$18:$S$25,$A1081),"")</f>
        <v/>
      </c>
      <c r="H1081">
        <f t="shared" si="178"/>
        <v>0.14666666666666667</v>
      </c>
      <c r="I1081" t="str">
        <f t="shared" si="179"/>
        <v/>
      </c>
      <c r="J1081" t="str">
        <f t="shared" si="180"/>
        <v/>
      </c>
      <c r="K1081" t="str">
        <f t="shared" si="181"/>
        <v/>
      </c>
      <c r="L1081" t="str">
        <f t="shared" si="182"/>
        <v/>
      </c>
      <c r="M1081" t="str">
        <f t="shared" si="183"/>
        <v/>
      </c>
      <c r="N1081" t="str">
        <f t="shared" si="184"/>
        <v/>
      </c>
      <c r="O1081" t="str">
        <f t="shared" si="185"/>
        <v/>
      </c>
      <c r="P1081" t="str" cm="1">
        <f t="array" ref="P1081">IF($N1081="","",IFERROR(IF(INDEX(geo_grid!$B$2:$JU$231,INT(($N1081+40)/0.5)+1,INT(($O1081+30)/0.5)+1)="","",INDEX(geo_grid!$B$2:$JU$231,INT(($N1081+40)/0.5)+1,INT(($O1081+30)/0.5)+1)),"OUTSIDE GRID"))</f>
        <v/>
      </c>
      <c r="Q1081" t="str">
        <f t="shared" si="186"/>
        <v/>
      </c>
    </row>
    <row r="1082" spans="1:17" x14ac:dyDescent="0.3">
      <c r="A1082">
        <f t="shared" si="176"/>
        <v>8</v>
      </c>
      <c r="B1082">
        <f t="shared" si="177"/>
        <v>23</v>
      </c>
      <c r="C1082" t="str" cm="1">
        <f t="array" ref="C1082">IFERROR(INDEX('TRIP MANAGER'!$O$18:$O$25,$A1082),"")</f>
        <v/>
      </c>
      <c r="D1082" t="str" cm="1">
        <f t="array" ref="D1082">IFERROR(INDEX('TRIP MANAGER'!$P$18:$P$25,$A1082),"")</f>
        <v/>
      </c>
      <c r="E1082" t="str" cm="1">
        <f t="array" ref="E1082">IFERROR(INDEX('TRIP MANAGER'!$Q$18:$Q$25,$A1082),"")</f>
        <v/>
      </c>
      <c r="F1082" t="str" cm="1">
        <f t="array" ref="F1082">IFERROR(INDEX('TRIP MANAGER'!$R$18:$R$25,$A1082),"")</f>
        <v/>
      </c>
      <c r="G1082" t="str" cm="1">
        <f t="array" ref="G1082">IFERROR(INDEX('TRIP MANAGER'!$S$18:$S$25,$A1082),"")</f>
        <v/>
      </c>
      <c r="H1082">
        <f t="shared" si="178"/>
        <v>0.15333333333333332</v>
      </c>
      <c r="I1082" t="str">
        <f t="shared" si="179"/>
        <v/>
      </c>
      <c r="J1082" t="str">
        <f t="shared" si="180"/>
        <v/>
      </c>
      <c r="K1082" t="str">
        <f t="shared" si="181"/>
        <v/>
      </c>
      <c r="L1082" t="str">
        <f t="shared" si="182"/>
        <v/>
      </c>
      <c r="M1082" t="str">
        <f t="shared" si="183"/>
        <v/>
      </c>
      <c r="N1082" t="str">
        <f t="shared" si="184"/>
        <v/>
      </c>
      <c r="O1082" t="str">
        <f t="shared" si="185"/>
        <v/>
      </c>
      <c r="P1082" t="str" cm="1">
        <f t="array" ref="P1082">IF($N1082="","",IFERROR(IF(INDEX(geo_grid!$B$2:$JU$231,INT(($N1082+40)/0.5)+1,INT(($O1082+30)/0.5)+1)="","",INDEX(geo_grid!$B$2:$JU$231,INT(($N1082+40)/0.5)+1,INT(($O1082+30)/0.5)+1)),"OUTSIDE GRID"))</f>
        <v/>
      </c>
      <c r="Q1082" t="str">
        <f t="shared" si="186"/>
        <v/>
      </c>
    </row>
    <row r="1083" spans="1:17" x14ac:dyDescent="0.3">
      <c r="A1083">
        <f t="shared" si="176"/>
        <v>8</v>
      </c>
      <c r="B1083">
        <f t="shared" si="177"/>
        <v>24</v>
      </c>
      <c r="C1083" t="str" cm="1">
        <f t="array" ref="C1083">IFERROR(INDEX('TRIP MANAGER'!$O$18:$O$25,$A1083),"")</f>
        <v/>
      </c>
      <c r="D1083" t="str" cm="1">
        <f t="array" ref="D1083">IFERROR(INDEX('TRIP MANAGER'!$P$18:$P$25,$A1083),"")</f>
        <v/>
      </c>
      <c r="E1083" t="str" cm="1">
        <f t="array" ref="E1083">IFERROR(INDEX('TRIP MANAGER'!$Q$18:$Q$25,$A1083),"")</f>
        <v/>
      </c>
      <c r="F1083" t="str" cm="1">
        <f t="array" ref="F1083">IFERROR(INDEX('TRIP MANAGER'!$R$18:$R$25,$A1083),"")</f>
        <v/>
      </c>
      <c r="G1083" t="str" cm="1">
        <f t="array" ref="G1083">IFERROR(INDEX('TRIP MANAGER'!$S$18:$S$25,$A1083),"")</f>
        <v/>
      </c>
      <c r="H1083">
        <f t="shared" si="178"/>
        <v>0.16</v>
      </c>
      <c r="I1083" t="str">
        <f t="shared" si="179"/>
        <v/>
      </c>
      <c r="J1083" t="str">
        <f t="shared" si="180"/>
        <v/>
      </c>
      <c r="K1083" t="str">
        <f t="shared" si="181"/>
        <v/>
      </c>
      <c r="L1083" t="str">
        <f t="shared" si="182"/>
        <v/>
      </c>
      <c r="M1083" t="str">
        <f t="shared" si="183"/>
        <v/>
      </c>
      <c r="N1083" t="str">
        <f t="shared" si="184"/>
        <v/>
      </c>
      <c r="O1083" t="str">
        <f t="shared" si="185"/>
        <v/>
      </c>
      <c r="P1083" t="str" cm="1">
        <f t="array" ref="P1083">IF($N1083="","",IFERROR(IF(INDEX(geo_grid!$B$2:$JU$231,INT(($N1083+40)/0.5)+1,INT(($O1083+30)/0.5)+1)="","",INDEX(geo_grid!$B$2:$JU$231,INT(($N1083+40)/0.5)+1,INT(($O1083+30)/0.5)+1)),"OUTSIDE GRID"))</f>
        <v/>
      </c>
      <c r="Q1083" t="str">
        <f t="shared" si="186"/>
        <v/>
      </c>
    </row>
    <row r="1084" spans="1:17" x14ac:dyDescent="0.3">
      <c r="A1084">
        <f t="shared" si="176"/>
        <v>8</v>
      </c>
      <c r="B1084">
        <f t="shared" si="177"/>
        <v>25</v>
      </c>
      <c r="C1084" t="str" cm="1">
        <f t="array" ref="C1084">IFERROR(INDEX('TRIP MANAGER'!$O$18:$O$25,$A1084),"")</f>
        <v/>
      </c>
      <c r="D1084" t="str" cm="1">
        <f t="array" ref="D1084">IFERROR(INDEX('TRIP MANAGER'!$P$18:$P$25,$A1084),"")</f>
        <v/>
      </c>
      <c r="E1084" t="str" cm="1">
        <f t="array" ref="E1084">IFERROR(INDEX('TRIP MANAGER'!$Q$18:$Q$25,$A1084),"")</f>
        <v/>
      </c>
      <c r="F1084" t="str" cm="1">
        <f t="array" ref="F1084">IFERROR(INDEX('TRIP MANAGER'!$R$18:$R$25,$A1084),"")</f>
        <v/>
      </c>
      <c r="G1084" t="str" cm="1">
        <f t="array" ref="G1084">IFERROR(INDEX('TRIP MANAGER'!$S$18:$S$25,$A1084),"")</f>
        <v/>
      </c>
      <c r="H1084">
        <f t="shared" si="178"/>
        <v>0.16666666666666666</v>
      </c>
      <c r="I1084" t="str">
        <f t="shared" si="179"/>
        <v/>
      </c>
      <c r="J1084" t="str">
        <f t="shared" si="180"/>
        <v/>
      </c>
      <c r="K1084" t="str">
        <f t="shared" si="181"/>
        <v/>
      </c>
      <c r="L1084" t="str">
        <f t="shared" si="182"/>
        <v/>
      </c>
      <c r="M1084" t="str">
        <f t="shared" si="183"/>
        <v/>
      </c>
      <c r="N1084" t="str">
        <f t="shared" si="184"/>
        <v/>
      </c>
      <c r="O1084" t="str">
        <f t="shared" si="185"/>
        <v/>
      </c>
      <c r="P1084" t="str" cm="1">
        <f t="array" ref="P1084">IF($N1084="","",IFERROR(IF(INDEX(geo_grid!$B$2:$JU$231,INT(($N1084+40)/0.5)+1,INT(($O1084+30)/0.5)+1)="","",INDEX(geo_grid!$B$2:$JU$231,INT(($N1084+40)/0.5)+1,INT(($O1084+30)/0.5)+1)),"OUTSIDE GRID"))</f>
        <v/>
      </c>
      <c r="Q1084" t="str">
        <f t="shared" si="186"/>
        <v/>
      </c>
    </row>
    <row r="1085" spans="1:17" x14ac:dyDescent="0.3">
      <c r="A1085">
        <f t="shared" si="176"/>
        <v>8</v>
      </c>
      <c r="B1085">
        <f t="shared" si="177"/>
        <v>26</v>
      </c>
      <c r="C1085" t="str" cm="1">
        <f t="array" ref="C1085">IFERROR(INDEX('TRIP MANAGER'!$O$18:$O$25,$A1085),"")</f>
        <v/>
      </c>
      <c r="D1085" t="str" cm="1">
        <f t="array" ref="D1085">IFERROR(INDEX('TRIP MANAGER'!$P$18:$P$25,$A1085),"")</f>
        <v/>
      </c>
      <c r="E1085" t="str" cm="1">
        <f t="array" ref="E1085">IFERROR(INDEX('TRIP MANAGER'!$Q$18:$Q$25,$A1085),"")</f>
        <v/>
      </c>
      <c r="F1085" t="str" cm="1">
        <f t="array" ref="F1085">IFERROR(INDEX('TRIP MANAGER'!$R$18:$R$25,$A1085),"")</f>
        <v/>
      </c>
      <c r="G1085" t="str" cm="1">
        <f t="array" ref="G1085">IFERROR(INDEX('TRIP MANAGER'!$S$18:$S$25,$A1085),"")</f>
        <v/>
      </c>
      <c r="H1085">
        <f t="shared" si="178"/>
        <v>0.17333333333333334</v>
      </c>
      <c r="I1085" t="str">
        <f t="shared" si="179"/>
        <v/>
      </c>
      <c r="J1085" t="str">
        <f t="shared" si="180"/>
        <v/>
      </c>
      <c r="K1085" t="str">
        <f t="shared" si="181"/>
        <v/>
      </c>
      <c r="L1085" t="str">
        <f t="shared" si="182"/>
        <v/>
      </c>
      <c r="M1085" t="str">
        <f t="shared" si="183"/>
        <v/>
      </c>
      <c r="N1085" t="str">
        <f t="shared" si="184"/>
        <v/>
      </c>
      <c r="O1085" t="str">
        <f t="shared" si="185"/>
        <v/>
      </c>
      <c r="P1085" t="str" cm="1">
        <f t="array" ref="P1085">IF($N1085="","",IFERROR(IF(INDEX(geo_grid!$B$2:$JU$231,INT(($N1085+40)/0.5)+1,INT(($O1085+30)/0.5)+1)="","",INDEX(geo_grid!$B$2:$JU$231,INT(($N1085+40)/0.5)+1,INT(($O1085+30)/0.5)+1)),"OUTSIDE GRID"))</f>
        <v/>
      </c>
      <c r="Q1085" t="str">
        <f t="shared" si="186"/>
        <v/>
      </c>
    </row>
    <row r="1086" spans="1:17" x14ac:dyDescent="0.3">
      <c r="A1086">
        <f t="shared" si="176"/>
        <v>8</v>
      </c>
      <c r="B1086">
        <f t="shared" si="177"/>
        <v>27</v>
      </c>
      <c r="C1086" t="str" cm="1">
        <f t="array" ref="C1086">IFERROR(INDEX('TRIP MANAGER'!$O$18:$O$25,$A1086),"")</f>
        <v/>
      </c>
      <c r="D1086" t="str" cm="1">
        <f t="array" ref="D1086">IFERROR(INDEX('TRIP MANAGER'!$P$18:$P$25,$A1086),"")</f>
        <v/>
      </c>
      <c r="E1086" t="str" cm="1">
        <f t="array" ref="E1086">IFERROR(INDEX('TRIP MANAGER'!$Q$18:$Q$25,$A1086),"")</f>
        <v/>
      </c>
      <c r="F1086" t="str" cm="1">
        <f t="array" ref="F1086">IFERROR(INDEX('TRIP MANAGER'!$R$18:$R$25,$A1086),"")</f>
        <v/>
      </c>
      <c r="G1086" t="str" cm="1">
        <f t="array" ref="G1086">IFERROR(INDEX('TRIP MANAGER'!$S$18:$S$25,$A1086),"")</f>
        <v/>
      </c>
      <c r="H1086">
        <f t="shared" si="178"/>
        <v>0.18</v>
      </c>
      <c r="I1086" t="str">
        <f t="shared" si="179"/>
        <v/>
      </c>
      <c r="J1086" t="str">
        <f t="shared" si="180"/>
        <v/>
      </c>
      <c r="K1086" t="str">
        <f t="shared" si="181"/>
        <v/>
      </c>
      <c r="L1086" t="str">
        <f t="shared" si="182"/>
        <v/>
      </c>
      <c r="M1086" t="str">
        <f t="shared" si="183"/>
        <v/>
      </c>
      <c r="N1086" t="str">
        <f t="shared" si="184"/>
        <v/>
      </c>
      <c r="O1086" t="str">
        <f t="shared" si="185"/>
        <v/>
      </c>
      <c r="P1086" t="str" cm="1">
        <f t="array" ref="P1086">IF($N1086="","",IFERROR(IF(INDEX(geo_grid!$B$2:$JU$231,INT(($N1086+40)/0.5)+1,INT(($O1086+30)/0.5)+1)="","",INDEX(geo_grid!$B$2:$JU$231,INT(($N1086+40)/0.5)+1,INT(($O1086+30)/0.5)+1)),"OUTSIDE GRID"))</f>
        <v/>
      </c>
      <c r="Q1086" t="str">
        <f t="shared" si="186"/>
        <v/>
      </c>
    </row>
    <row r="1087" spans="1:17" x14ac:dyDescent="0.3">
      <c r="A1087">
        <f t="shared" si="176"/>
        <v>8</v>
      </c>
      <c r="B1087">
        <f t="shared" si="177"/>
        <v>28</v>
      </c>
      <c r="C1087" t="str" cm="1">
        <f t="array" ref="C1087">IFERROR(INDEX('TRIP MANAGER'!$O$18:$O$25,$A1087),"")</f>
        <v/>
      </c>
      <c r="D1087" t="str" cm="1">
        <f t="array" ref="D1087">IFERROR(INDEX('TRIP MANAGER'!$P$18:$P$25,$A1087),"")</f>
        <v/>
      </c>
      <c r="E1087" t="str" cm="1">
        <f t="array" ref="E1087">IFERROR(INDEX('TRIP MANAGER'!$Q$18:$Q$25,$A1087),"")</f>
        <v/>
      </c>
      <c r="F1087" t="str" cm="1">
        <f t="array" ref="F1087">IFERROR(INDEX('TRIP MANAGER'!$R$18:$R$25,$A1087),"")</f>
        <v/>
      </c>
      <c r="G1087" t="str" cm="1">
        <f t="array" ref="G1087">IFERROR(INDEX('TRIP MANAGER'!$S$18:$S$25,$A1087),"")</f>
        <v/>
      </c>
      <c r="H1087">
        <f t="shared" si="178"/>
        <v>0.18666666666666668</v>
      </c>
      <c r="I1087" t="str">
        <f t="shared" si="179"/>
        <v/>
      </c>
      <c r="J1087" t="str">
        <f t="shared" si="180"/>
        <v/>
      </c>
      <c r="K1087" t="str">
        <f t="shared" si="181"/>
        <v/>
      </c>
      <c r="L1087" t="str">
        <f t="shared" si="182"/>
        <v/>
      </c>
      <c r="M1087" t="str">
        <f t="shared" si="183"/>
        <v/>
      </c>
      <c r="N1087" t="str">
        <f t="shared" si="184"/>
        <v/>
      </c>
      <c r="O1087" t="str">
        <f t="shared" si="185"/>
        <v/>
      </c>
      <c r="P1087" t="str" cm="1">
        <f t="array" ref="P1087">IF($N1087="","",IFERROR(IF(INDEX(geo_grid!$B$2:$JU$231,INT(($N1087+40)/0.5)+1,INT(($O1087+30)/0.5)+1)="","",INDEX(geo_grid!$B$2:$JU$231,INT(($N1087+40)/0.5)+1,INT(($O1087+30)/0.5)+1)),"OUTSIDE GRID"))</f>
        <v/>
      </c>
      <c r="Q1087" t="str">
        <f t="shared" si="186"/>
        <v/>
      </c>
    </row>
    <row r="1088" spans="1:17" x14ac:dyDescent="0.3">
      <c r="A1088">
        <f t="shared" si="176"/>
        <v>8</v>
      </c>
      <c r="B1088">
        <f t="shared" si="177"/>
        <v>29</v>
      </c>
      <c r="C1088" t="str" cm="1">
        <f t="array" ref="C1088">IFERROR(INDEX('TRIP MANAGER'!$O$18:$O$25,$A1088),"")</f>
        <v/>
      </c>
      <c r="D1088" t="str" cm="1">
        <f t="array" ref="D1088">IFERROR(INDEX('TRIP MANAGER'!$P$18:$P$25,$A1088),"")</f>
        <v/>
      </c>
      <c r="E1088" t="str" cm="1">
        <f t="array" ref="E1088">IFERROR(INDEX('TRIP MANAGER'!$Q$18:$Q$25,$A1088),"")</f>
        <v/>
      </c>
      <c r="F1088" t="str" cm="1">
        <f t="array" ref="F1088">IFERROR(INDEX('TRIP MANAGER'!$R$18:$R$25,$A1088),"")</f>
        <v/>
      </c>
      <c r="G1088" t="str" cm="1">
        <f t="array" ref="G1088">IFERROR(INDEX('TRIP MANAGER'!$S$18:$S$25,$A1088),"")</f>
        <v/>
      </c>
      <c r="H1088">
        <f t="shared" si="178"/>
        <v>0.19333333333333333</v>
      </c>
      <c r="I1088" t="str">
        <f t="shared" si="179"/>
        <v/>
      </c>
      <c r="J1088" t="str">
        <f t="shared" si="180"/>
        <v/>
      </c>
      <c r="K1088" t="str">
        <f t="shared" si="181"/>
        <v/>
      </c>
      <c r="L1088" t="str">
        <f t="shared" si="182"/>
        <v/>
      </c>
      <c r="M1088" t="str">
        <f t="shared" si="183"/>
        <v/>
      </c>
      <c r="N1088" t="str">
        <f t="shared" si="184"/>
        <v/>
      </c>
      <c r="O1088" t="str">
        <f t="shared" si="185"/>
        <v/>
      </c>
      <c r="P1088" t="str" cm="1">
        <f t="array" ref="P1088">IF($N1088="","",IFERROR(IF(INDEX(geo_grid!$B$2:$JU$231,INT(($N1088+40)/0.5)+1,INT(($O1088+30)/0.5)+1)="","",INDEX(geo_grid!$B$2:$JU$231,INT(($N1088+40)/0.5)+1,INT(($O1088+30)/0.5)+1)),"OUTSIDE GRID"))</f>
        <v/>
      </c>
      <c r="Q1088" t="str">
        <f t="shared" si="186"/>
        <v/>
      </c>
    </row>
    <row r="1089" spans="1:17" x14ac:dyDescent="0.3">
      <c r="A1089">
        <f t="shared" si="176"/>
        <v>8</v>
      </c>
      <c r="B1089">
        <f t="shared" si="177"/>
        <v>30</v>
      </c>
      <c r="C1089" t="str" cm="1">
        <f t="array" ref="C1089">IFERROR(INDEX('TRIP MANAGER'!$O$18:$O$25,$A1089),"")</f>
        <v/>
      </c>
      <c r="D1089" t="str" cm="1">
        <f t="array" ref="D1089">IFERROR(INDEX('TRIP MANAGER'!$P$18:$P$25,$A1089),"")</f>
        <v/>
      </c>
      <c r="E1089" t="str" cm="1">
        <f t="array" ref="E1089">IFERROR(INDEX('TRIP MANAGER'!$Q$18:$Q$25,$A1089),"")</f>
        <v/>
      </c>
      <c r="F1089" t="str" cm="1">
        <f t="array" ref="F1089">IFERROR(INDEX('TRIP MANAGER'!$R$18:$R$25,$A1089),"")</f>
        <v/>
      </c>
      <c r="G1089" t="str" cm="1">
        <f t="array" ref="G1089">IFERROR(INDEX('TRIP MANAGER'!$S$18:$S$25,$A1089),"")</f>
        <v/>
      </c>
      <c r="H1089">
        <f t="shared" si="178"/>
        <v>0.2</v>
      </c>
      <c r="I1089" t="str">
        <f t="shared" si="179"/>
        <v/>
      </c>
      <c r="J1089" t="str">
        <f t="shared" si="180"/>
        <v/>
      </c>
      <c r="K1089" t="str">
        <f t="shared" si="181"/>
        <v/>
      </c>
      <c r="L1089" t="str">
        <f t="shared" si="182"/>
        <v/>
      </c>
      <c r="M1089" t="str">
        <f t="shared" si="183"/>
        <v/>
      </c>
      <c r="N1089" t="str">
        <f t="shared" si="184"/>
        <v/>
      </c>
      <c r="O1089" t="str">
        <f t="shared" si="185"/>
        <v/>
      </c>
      <c r="P1089" t="str" cm="1">
        <f t="array" ref="P1089">IF($N1089="","",IFERROR(IF(INDEX(geo_grid!$B$2:$JU$231,INT(($N1089+40)/0.5)+1,INT(($O1089+30)/0.5)+1)="","",INDEX(geo_grid!$B$2:$JU$231,INT(($N1089+40)/0.5)+1,INT(($O1089+30)/0.5)+1)),"OUTSIDE GRID"))</f>
        <v/>
      </c>
      <c r="Q1089" t="str">
        <f t="shared" si="186"/>
        <v/>
      </c>
    </row>
    <row r="1090" spans="1:17" x14ac:dyDescent="0.3">
      <c r="A1090">
        <f t="shared" si="176"/>
        <v>8</v>
      </c>
      <c r="B1090">
        <f t="shared" si="177"/>
        <v>31</v>
      </c>
      <c r="C1090" t="str" cm="1">
        <f t="array" ref="C1090">IFERROR(INDEX('TRIP MANAGER'!$O$18:$O$25,$A1090),"")</f>
        <v/>
      </c>
      <c r="D1090" t="str" cm="1">
        <f t="array" ref="D1090">IFERROR(INDEX('TRIP MANAGER'!$P$18:$P$25,$A1090),"")</f>
        <v/>
      </c>
      <c r="E1090" t="str" cm="1">
        <f t="array" ref="E1090">IFERROR(INDEX('TRIP MANAGER'!$Q$18:$Q$25,$A1090),"")</f>
        <v/>
      </c>
      <c r="F1090" t="str" cm="1">
        <f t="array" ref="F1090">IFERROR(INDEX('TRIP MANAGER'!$R$18:$R$25,$A1090),"")</f>
        <v/>
      </c>
      <c r="G1090" t="str" cm="1">
        <f t="array" ref="G1090">IFERROR(INDEX('TRIP MANAGER'!$S$18:$S$25,$A1090),"")</f>
        <v/>
      </c>
      <c r="H1090">
        <f t="shared" si="178"/>
        <v>0.20666666666666667</v>
      </c>
      <c r="I1090" t="str">
        <f t="shared" si="179"/>
        <v/>
      </c>
      <c r="J1090" t="str">
        <f t="shared" si="180"/>
        <v/>
      </c>
      <c r="K1090" t="str">
        <f t="shared" si="181"/>
        <v/>
      </c>
      <c r="L1090" t="str">
        <f t="shared" si="182"/>
        <v/>
      </c>
      <c r="M1090" t="str">
        <f t="shared" si="183"/>
        <v/>
      </c>
      <c r="N1090" t="str">
        <f t="shared" si="184"/>
        <v/>
      </c>
      <c r="O1090" t="str">
        <f t="shared" si="185"/>
        <v/>
      </c>
      <c r="P1090" t="str" cm="1">
        <f t="array" ref="P1090">IF($N1090="","",IFERROR(IF(INDEX(geo_grid!$B$2:$JU$231,INT(($N1090+40)/0.5)+1,INT(($O1090+30)/0.5)+1)="","",INDEX(geo_grid!$B$2:$JU$231,INT(($N1090+40)/0.5)+1,INT(($O1090+30)/0.5)+1)),"OUTSIDE GRID"))</f>
        <v/>
      </c>
      <c r="Q1090" t="str">
        <f t="shared" si="186"/>
        <v/>
      </c>
    </row>
    <row r="1091" spans="1:17" x14ac:dyDescent="0.3">
      <c r="A1091">
        <f t="shared" ref="A1091:A1154" si="187">INT((ROW()-2)/151)+1</f>
        <v>8</v>
      </c>
      <c r="B1091">
        <f t="shared" ref="B1091:B1154" si="188">MOD(ROW()-2,151)</f>
        <v>32</v>
      </c>
      <c r="C1091" t="str" cm="1">
        <f t="array" ref="C1091">IFERROR(INDEX('TRIP MANAGER'!$O$18:$O$25,$A1091),"")</f>
        <v/>
      </c>
      <c r="D1091" t="str" cm="1">
        <f t="array" ref="D1091">IFERROR(INDEX('TRIP MANAGER'!$P$18:$P$25,$A1091),"")</f>
        <v/>
      </c>
      <c r="E1091" t="str" cm="1">
        <f t="array" ref="E1091">IFERROR(INDEX('TRIP MANAGER'!$Q$18:$Q$25,$A1091),"")</f>
        <v/>
      </c>
      <c r="F1091" t="str" cm="1">
        <f t="array" ref="F1091">IFERROR(INDEX('TRIP MANAGER'!$R$18:$R$25,$A1091),"")</f>
        <v/>
      </c>
      <c r="G1091" t="str" cm="1">
        <f t="array" ref="G1091">IFERROR(INDEX('TRIP MANAGER'!$S$18:$S$25,$A1091),"")</f>
        <v/>
      </c>
      <c r="H1091">
        <f t="shared" ref="H1091:H1154" si="189">$B1091/150</f>
        <v>0.21333333333333335</v>
      </c>
      <c r="I1091" t="str">
        <f t="shared" ref="I1091:I1154" si="190">IF(OR($G1091="",$G1091=0),"",SIN((1-$H1091)*$G1091)/SIN($G1091))</f>
        <v/>
      </c>
      <c r="J1091" t="str">
        <f t="shared" ref="J1091:J1154" si="191">IF($I1091="","",SIN($H1091*$G1091)/SIN($G1091))</f>
        <v/>
      </c>
      <c r="K1091" t="str">
        <f t="shared" ref="K1091:K1154" si="192">IF($I1091="","",$I1091*COS(RADIANS($C1091))*COS(RADIANS($D1091))+$J1091*COS(RADIANS($E1091))*COS(RADIANS($F1091)))</f>
        <v/>
      </c>
      <c r="L1091" t="str">
        <f t="shared" ref="L1091:L1154" si="193">IF($I1091="","",$I1091*COS(RADIANS($C1091))*SIN(RADIANS($D1091))+$J1091*COS(RADIANS($E1091))*SIN(RADIANS($F1091)))</f>
        <v/>
      </c>
      <c r="M1091" t="str">
        <f t="shared" ref="M1091:M1154" si="194">IF($I1091="","",$I1091*SIN(RADIANS($C1091))+$J1091*SIN(RADIANS($E1091)))</f>
        <v/>
      </c>
      <c r="N1091" t="str">
        <f t="shared" ref="N1091:N1154" si="195">IF($M1091="","",DEGREES(ATAN2(SQRT($K1091^2+$L1091^2),$M1091)))</f>
        <v/>
      </c>
      <c r="O1091" t="str">
        <f t="shared" ref="O1091:O1154" si="196">IF($M1091="","",DEGREES(ATAN2($K1091,$L1091)))</f>
        <v/>
      </c>
      <c r="P1091" t="str" cm="1">
        <f t="array" ref="P1091">IF($N1091="","",IFERROR(IF(INDEX(geo_grid!$B$2:$JU$231,INT(($N1091+40)/0.5)+1,INT(($O1091+30)/0.5)+1)="","",INDEX(geo_grid!$B$2:$JU$231,INT(($N1091+40)/0.5)+1,INT(($O1091+30)/0.5)+1)),"OUTSIDE GRID"))</f>
        <v/>
      </c>
      <c r="Q1091" t="str">
        <f t="shared" ref="Q1091:Q1154" si="197">IF($P1091="","",$A1091*1000+$B1091)</f>
        <v/>
      </c>
    </row>
    <row r="1092" spans="1:17" x14ac:dyDescent="0.3">
      <c r="A1092">
        <f t="shared" si="187"/>
        <v>8</v>
      </c>
      <c r="B1092">
        <f t="shared" si="188"/>
        <v>33</v>
      </c>
      <c r="C1092" t="str" cm="1">
        <f t="array" ref="C1092">IFERROR(INDEX('TRIP MANAGER'!$O$18:$O$25,$A1092),"")</f>
        <v/>
      </c>
      <c r="D1092" t="str" cm="1">
        <f t="array" ref="D1092">IFERROR(INDEX('TRIP MANAGER'!$P$18:$P$25,$A1092),"")</f>
        <v/>
      </c>
      <c r="E1092" t="str" cm="1">
        <f t="array" ref="E1092">IFERROR(INDEX('TRIP MANAGER'!$Q$18:$Q$25,$A1092),"")</f>
        <v/>
      </c>
      <c r="F1092" t="str" cm="1">
        <f t="array" ref="F1092">IFERROR(INDEX('TRIP MANAGER'!$R$18:$R$25,$A1092),"")</f>
        <v/>
      </c>
      <c r="G1092" t="str" cm="1">
        <f t="array" ref="G1092">IFERROR(INDEX('TRIP MANAGER'!$S$18:$S$25,$A1092),"")</f>
        <v/>
      </c>
      <c r="H1092">
        <f t="shared" si="189"/>
        <v>0.22</v>
      </c>
      <c r="I1092" t="str">
        <f t="shared" si="190"/>
        <v/>
      </c>
      <c r="J1092" t="str">
        <f t="shared" si="191"/>
        <v/>
      </c>
      <c r="K1092" t="str">
        <f t="shared" si="192"/>
        <v/>
      </c>
      <c r="L1092" t="str">
        <f t="shared" si="193"/>
        <v/>
      </c>
      <c r="M1092" t="str">
        <f t="shared" si="194"/>
        <v/>
      </c>
      <c r="N1092" t="str">
        <f t="shared" si="195"/>
        <v/>
      </c>
      <c r="O1092" t="str">
        <f t="shared" si="196"/>
        <v/>
      </c>
      <c r="P1092" t="str" cm="1">
        <f t="array" ref="P1092">IF($N1092="","",IFERROR(IF(INDEX(geo_grid!$B$2:$JU$231,INT(($N1092+40)/0.5)+1,INT(($O1092+30)/0.5)+1)="","",INDEX(geo_grid!$B$2:$JU$231,INT(($N1092+40)/0.5)+1,INT(($O1092+30)/0.5)+1)),"OUTSIDE GRID"))</f>
        <v/>
      </c>
      <c r="Q1092" t="str">
        <f t="shared" si="197"/>
        <v/>
      </c>
    </row>
    <row r="1093" spans="1:17" x14ac:dyDescent="0.3">
      <c r="A1093">
        <f t="shared" si="187"/>
        <v>8</v>
      </c>
      <c r="B1093">
        <f t="shared" si="188"/>
        <v>34</v>
      </c>
      <c r="C1093" t="str" cm="1">
        <f t="array" ref="C1093">IFERROR(INDEX('TRIP MANAGER'!$O$18:$O$25,$A1093),"")</f>
        <v/>
      </c>
      <c r="D1093" t="str" cm="1">
        <f t="array" ref="D1093">IFERROR(INDEX('TRIP MANAGER'!$P$18:$P$25,$A1093),"")</f>
        <v/>
      </c>
      <c r="E1093" t="str" cm="1">
        <f t="array" ref="E1093">IFERROR(INDEX('TRIP MANAGER'!$Q$18:$Q$25,$A1093),"")</f>
        <v/>
      </c>
      <c r="F1093" t="str" cm="1">
        <f t="array" ref="F1093">IFERROR(INDEX('TRIP MANAGER'!$R$18:$R$25,$A1093),"")</f>
        <v/>
      </c>
      <c r="G1093" t="str" cm="1">
        <f t="array" ref="G1093">IFERROR(INDEX('TRIP MANAGER'!$S$18:$S$25,$A1093),"")</f>
        <v/>
      </c>
      <c r="H1093">
        <f t="shared" si="189"/>
        <v>0.22666666666666666</v>
      </c>
      <c r="I1093" t="str">
        <f t="shared" si="190"/>
        <v/>
      </c>
      <c r="J1093" t="str">
        <f t="shared" si="191"/>
        <v/>
      </c>
      <c r="K1093" t="str">
        <f t="shared" si="192"/>
        <v/>
      </c>
      <c r="L1093" t="str">
        <f t="shared" si="193"/>
        <v/>
      </c>
      <c r="M1093" t="str">
        <f t="shared" si="194"/>
        <v/>
      </c>
      <c r="N1093" t="str">
        <f t="shared" si="195"/>
        <v/>
      </c>
      <c r="O1093" t="str">
        <f t="shared" si="196"/>
        <v/>
      </c>
      <c r="P1093" t="str" cm="1">
        <f t="array" ref="P1093">IF($N1093="","",IFERROR(IF(INDEX(geo_grid!$B$2:$JU$231,INT(($N1093+40)/0.5)+1,INT(($O1093+30)/0.5)+1)="","",INDEX(geo_grid!$B$2:$JU$231,INT(($N1093+40)/0.5)+1,INT(($O1093+30)/0.5)+1)),"OUTSIDE GRID"))</f>
        <v/>
      </c>
      <c r="Q1093" t="str">
        <f t="shared" si="197"/>
        <v/>
      </c>
    </row>
    <row r="1094" spans="1:17" x14ac:dyDescent="0.3">
      <c r="A1094">
        <f t="shared" si="187"/>
        <v>8</v>
      </c>
      <c r="B1094">
        <f t="shared" si="188"/>
        <v>35</v>
      </c>
      <c r="C1094" t="str" cm="1">
        <f t="array" ref="C1094">IFERROR(INDEX('TRIP MANAGER'!$O$18:$O$25,$A1094),"")</f>
        <v/>
      </c>
      <c r="D1094" t="str" cm="1">
        <f t="array" ref="D1094">IFERROR(INDEX('TRIP MANAGER'!$P$18:$P$25,$A1094),"")</f>
        <v/>
      </c>
      <c r="E1094" t="str" cm="1">
        <f t="array" ref="E1094">IFERROR(INDEX('TRIP MANAGER'!$Q$18:$Q$25,$A1094),"")</f>
        <v/>
      </c>
      <c r="F1094" t="str" cm="1">
        <f t="array" ref="F1094">IFERROR(INDEX('TRIP MANAGER'!$R$18:$R$25,$A1094),"")</f>
        <v/>
      </c>
      <c r="G1094" t="str" cm="1">
        <f t="array" ref="G1094">IFERROR(INDEX('TRIP MANAGER'!$S$18:$S$25,$A1094),"")</f>
        <v/>
      </c>
      <c r="H1094">
        <f t="shared" si="189"/>
        <v>0.23333333333333334</v>
      </c>
      <c r="I1094" t="str">
        <f t="shared" si="190"/>
        <v/>
      </c>
      <c r="J1094" t="str">
        <f t="shared" si="191"/>
        <v/>
      </c>
      <c r="K1094" t="str">
        <f t="shared" si="192"/>
        <v/>
      </c>
      <c r="L1094" t="str">
        <f t="shared" si="193"/>
        <v/>
      </c>
      <c r="M1094" t="str">
        <f t="shared" si="194"/>
        <v/>
      </c>
      <c r="N1094" t="str">
        <f t="shared" si="195"/>
        <v/>
      </c>
      <c r="O1094" t="str">
        <f t="shared" si="196"/>
        <v/>
      </c>
      <c r="P1094" t="str" cm="1">
        <f t="array" ref="P1094">IF($N1094="","",IFERROR(IF(INDEX(geo_grid!$B$2:$JU$231,INT(($N1094+40)/0.5)+1,INT(($O1094+30)/0.5)+1)="","",INDEX(geo_grid!$B$2:$JU$231,INT(($N1094+40)/0.5)+1,INT(($O1094+30)/0.5)+1)),"OUTSIDE GRID"))</f>
        <v/>
      </c>
      <c r="Q1094" t="str">
        <f t="shared" si="197"/>
        <v/>
      </c>
    </row>
    <row r="1095" spans="1:17" x14ac:dyDescent="0.3">
      <c r="A1095">
        <f t="shared" si="187"/>
        <v>8</v>
      </c>
      <c r="B1095">
        <f t="shared" si="188"/>
        <v>36</v>
      </c>
      <c r="C1095" t="str" cm="1">
        <f t="array" ref="C1095">IFERROR(INDEX('TRIP MANAGER'!$O$18:$O$25,$A1095),"")</f>
        <v/>
      </c>
      <c r="D1095" t="str" cm="1">
        <f t="array" ref="D1095">IFERROR(INDEX('TRIP MANAGER'!$P$18:$P$25,$A1095),"")</f>
        <v/>
      </c>
      <c r="E1095" t="str" cm="1">
        <f t="array" ref="E1095">IFERROR(INDEX('TRIP MANAGER'!$Q$18:$Q$25,$A1095),"")</f>
        <v/>
      </c>
      <c r="F1095" t="str" cm="1">
        <f t="array" ref="F1095">IFERROR(INDEX('TRIP MANAGER'!$R$18:$R$25,$A1095),"")</f>
        <v/>
      </c>
      <c r="G1095" t="str" cm="1">
        <f t="array" ref="G1095">IFERROR(INDEX('TRIP MANAGER'!$S$18:$S$25,$A1095),"")</f>
        <v/>
      </c>
      <c r="H1095">
        <f t="shared" si="189"/>
        <v>0.24</v>
      </c>
      <c r="I1095" t="str">
        <f t="shared" si="190"/>
        <v/>
      </c>
      <c r="J1095" t="str">
        <f t="shared" si="191"/>
        <v/>
      </c>
      <c r="K1095" t="str">
        <f t="shared" si="192"/>
        <v/>
      </c>
      <c r="L1095" t="str">
        <f t="shared" si="193"/>
        <v/>
      </c>
      <c r="M1095" t="str">
        <f t="shared" si="194"/>
        <v/>
      </c>
      <c r="N1095" t="str">
        <f t="shared" si="195"/>
        <v/>
      </c>
      <c r="O1095" t="str">
        <f t="shared" si="196"/>
        <v/>
      </c>
      <c r="P1095" t="str" cm="1">
        <f t="array" ref="P1095">IF($N1095="","",IFERROR(IF(INDEX(geo_grid!$B$2:$JU$231,INT(($N1095+40)/0.5)+1,INT(($O1095+30)/0.5)+1)="","",INDEX(geo_grid!$B$2:$JU$231,INT(($N1095+40)/0.5)+1,INT(($O1095+30)/0.5)+1)),"OUTSIDE GRID"))</f>
        <v/>
      </c>
      <c r="Q1095" t="str">
        <f t="shared" si="197"/>
        <v/>
      </c>
    </row>
    <row r="1096" spans="1:17" x14ac:dyDescent="0.3">
      <c r="A1096">
        <f t="shared" si="187"/>
        <v>8</v>
      </c>
      <c r="B1096">
        <f t="shared" si="188"/>
        <v>37</v>
      </c>
      <c r="C1096" t="str" cm="1">
        <f t="array" ref="C1096">IFERROR(INDEX('TRIP MANAGER'!$O$18:$O$25,$A1096),"")</f>
        <v/>
      </c>
      <c r="D1096" t="str" cm="1">
        <f t="array" ref="D1096">IFERROR(INDEX('TRIP MANAGER'!$P$18:$P$25,$A1096),"")</f>
        <v/>
      </c>
      <c r="E1096" t="str" cm="1">
        <f t="array" ref="E1096">IFERROR(INDEX('TRIP MANAGER'!$Q$18:$Q$25,$A1096),"")</f>
        <v/>
      </c>
      <c r="F1096" t="str" cm="1">
        <f t="array" ref="F1096">IFERROR(INDEX('TRIP MANAGER'!$R$18:$R$25,$A1096),"")</f>
        <v/>
      </c>
      <c r="G1096" t="str" cm="1">
        <f t="array" ref="G1096">IFERROR(INDEX('TRIP MANAGER'!$S$18:$S$25,$A1096),"")</f>
        <v/>
      </c>
      <c r="H1096">
        <f t="shared" si="189"/>
        <v>0.24666666666666667</v>
      </c>
      <c r="I1096" t="str">
        <f t="shared" si="190"/>
        <v/>
      </c>
      <c r="J1096" t="str">
        <f t="shared" si="191"/>
        <v/>
      </c>
      <c r="K1096" t="str">
        <f t="shared" si="192"/>
        <v/>
      </c>
      <c r="L1096" t="str">
        <f t="shared" si="193"/>
        <v/>
      </c>
      <c r="M1096" t="str">
        <f t="shared" si="194"/>
        <v/>
      </c>
      <c r="N1096" t="str">
        <f t="shared" si="195"/>
        <v/>
      </c>
      <c r="O1096" t="str">
        <f t="shared" si="196"/>
        <v/>
      </c>
      <c r="P1096" t="str" cm="1">
        <f t="array" ref="P1096">IF($N1096="","",IFERROR(IF(INDEX(geo_grid!$B$2:$JU$231,INT(($N1096+40)/0.5)+1,INT(($O1096+30)/0.5)+1)="","",INDEX(geo_grid!$B$2:$JU$231,INT(($N1096+40)/0.5)+1,INT(($O1096+30)/0.5)+1)),"OUTSIDE GRID"))</f>
        <v/>
      </c>
      <c r="Q1096" t="str">
        <f t="shared" si="197"/>
        <v/>
      </c>
    </row>
    <row r="1097" spans="1:17" x14ac:dyDescent="0.3">
      <c r="A1097">
        <f t="shared" si="187"/>
        <v>8</v>
      </c>
      <c r="B1097">
        <f t="shared" si="188"/>
        <v>38</v>
      </c>
      <c r="C1097" t="str" cm="1">
        <f t="array" ref="C1097">IFERROR(INDEX('TRIP MANAGER'!$O$18:$O$25,$A1097),"")</f>
        <v/>
      </c>
      <c r="D1097" t="str" cm="1">
        <f t="array" ref="D1097">IFERROR(INDEX('TRIP MANAGER'!$P$18:$P$25,$A1097),"")</f>
        <v/>
      </c>
      <c r="E1097" t="str" cm="1">
        <f t="array" ref="E1097">IFERROR(INDEX('TRIP MANAGER'!$Q$18:$Q$25,$A1097),"")</f>
        <v/>
      </c>
      <c r="F1097" t="str" cm="1">
        <f t="array" ref="F1097">IFERROR(INDEX('TRIP MANAGER'!$R$18:$R$25,$A1097),"")</f>
        <v/>
      </c>
      <c r="G1097" t="str" cm="1">
        <f t="array" ref="G1097">IFERROR(INDEX('TRIP MANAGER'!$S$18:$S$25,$A1097),"")</f>
        <v/>
      </c>
      <c r="H1097">
        <f t="shared" si="189"/>
        <v>0.25333333333333335</v>
      </c>
      <c r="I1097" t="str">
        <f t="shared" si="190"/>
        <v/>
      </c>
      <c r="J1097" t="str">
        <f t="shared" si="191"/>
        <v/>
      </c>
      <c r="K1097" t="str">
        <f t="shared" si="192"/>
        <v/>
      </c>
      <c r="L1097" t="str">
        <f t="shared" si="193"/>
        <v/>
      </c>
      <c r="M1097" t="str">
        <f t="shared" si="194"/>
        <v/>
      </c>
      <c r="N1097" t="str">
        <f t="shared" si="195"/>
        <v/>
      </c>
      <c r="O1097" t="str">
        <f t="shared" si="196"/>
        <v/>
      </c>
      <c r="P1097" t="str" cm="1">
        <f t="array" ref="P1097">IF($N1097="","",IFERROR(IF(INDEX(geo_grid!$B$2:$JU$231,INT(($N1097+40)/0.5)+1,INT(($O1097+30)/0.5)+1)="","",INDEX(geo_grid!$B$2:$JU$231,INT(($N1097+40)/0.5)+1,INT(($O1097+30)/0.5)+1)),"OUTSIDE GRID"))</f>
        <v/>
      </c>
      <c r="Q1097" t="str">
        <f t="shared" si="197"/>
        <v/>
      </c>
    </row>
    <row r="1098" spans="1:17" x14ac:dyDescent="0.3">
      <c r="A1098">
        <f t="shared" si="187"/>
        <v>8</v>
      </c>
      <c r="B1098">
        <f t="shared" si="188"/>
        <v>39</v>
      </c>
      <c r="C1098" t="str" cm="1">
        <f t="array" ref="C1098">IFERROR(INDEX('TRIP MANAGER'!$O$18:$O$25,$A1098),"")</f>
        <v/>
      </c>
      <c r="D1098" t="str" cm="1">
        <f t="array" ref="D1098">IFERROR(INDEX('TRIP MANAGER'!$P$18:$P$25,$A1098),"")</f>
        <v/>
      </c>
      <c r="E1098" t="str" cm="1">
        <f t="array" ref="E1098">IFERROR(INDEX('TRIP MANAGER'!$Q$18:$Q$25,$A1098),"")</f>
        <v/>
      </c>
      <c r="F1098" t="str" cm="1">
        <f t="array" ref="F1098">IFERROR(INDEX('TRIP MANAGER'!$R$18:$R$25,$A1098),"")</f>
        <v/>
      </c>
      <c r="G1098" t="str" cm="1">
        <f t="array" ref="G1098">IFERROR(INDEX('TRIP MANAGER'!$S$18:$S$25,$A1098),"")</f>
        <v/>
      </c>
      <c r="H1098">
        <f t="shared" si="189"/>
        <v>0.26</v>
      </c>
      <c r="I1098" t="str">
        <f t="shared" si="190"/>
        <v/>
      </c>
      <c r="J1098" t="str">
        <f t="shared" si="191"/>
        <v/>
      </c>
      <c r="K1098" t="str">
        <f t="shared" si="192"/>
        <v/>
      </c>
      <c r="L1098" t="str">
        <f t="shared" si="193"/>
        <v/>
      </c>
      <c r="M1098" t="str">
        <f t="shared" si="194"/>
        <v/>
      </c>
      <c r="N1098" t="str">
        <f t="shared" si="195"/>
        <v/>
      </c>
      <c r="O1098" t="str">
        <f t="shared" si="196"/>
        <v/>
      </c>
      <c r="P1098" t="str" cm="1">
        <f t="array" ref="P1098">IF($N1098="","",IFERROR(IF(INDEX(geo_grid!$B$2:$JU$231,INT(($N1098+40)/0.5)+1,INT(($O1098+30)/0.5)+1)="","",INDEX(geo_grid!$B$2:$JU$231,INT(($N1098+40)/0.5)+1,INT(($O1098+30)/0.5)+1)),"OUTSIDE GRID"))</f>
        <v/>
      </c>
      <c r="Q1098" t="str">
        <f t="shared" si="197"/>
        <v/>
      </c>
    </row>
    <row r="1099" spans="1:17" x14ac:dyDescent="0.3">
      <c r="A1099">
        <f t="shared" si="187"/>
        <v>8</v>
      </c>
      <c r="B1099">
        <f t="shared" si="188"/>
        <v>40</v>
      </c>
      <c r="C1099" t="str" cm="1">
        <f t="array" ref="C1099">IFERROR(INDEX('TRIP MANAGER'!$O$18:$O$25,$A1099),"")</f>
        <v/>
      </c>
      <c r="D1099" t="str" cm="1">
        <f t="array" ref="D1099">IFERROR(INDEX('TRIP MANAGER'!$P$18:$P$25,$A1099),"")</f>
        <v/>
      </c>
      <c r="E1099" t="str" cm="1">
        <f t="array" ref="E1099">IFERROR(INDEX('TRIP MANAGER'!$Q$18:$Q$25,$A1099),"")</f>
        <v/>
      </c>
      <c r="F1099" t="str" cm="1">
        <f t="array" ref="F1099">IFERROR(INDEX('TRIP MANAGER'!$R$18:$R$25,$A1099),"")</f>
        <v/>
      </c>
      <c r="G1099" t="str" cm="1">
        <f t="array" ref="G1099">IFERROR(INDEX('TRIP MANAGER'!$S$18:$S$25,$A1099),"")</f>
        <v/>
      </c>
      <c r="H1099">
        <f t="shared" si="189"/>
        <v>0.26666666666666666</v>
      </c>
      <c r="I1099" t="str">
        <f t="shared" si="190"/>
        <v/>
      </c>
      <c r="J1099" t="str">
        <f t="shared" si="191"/>
        <v/>
      </c>
      <c r="K1099" t="str">
        <f t="shared" si="192"/>
        <v/>
      </c>
      <c r="L1099" t="str">
        <f t="shared" si="193"/>
        <v/>
      </c>
      <c r="M1099" t="str">
        <f t="shared" si="194"/>
        <v/>
      </c>
      <c r="N1099" t="str">
        <f t="shared" si="195"/>
        <v/>
      </c>
      <c r="O1099" t="str">
        <f t="shared" si="196"/>
        <v/>
      </c>
      <c r="P1099" t="str" cm="1">
        <f t="array" ref="P1099">IF($N1099="","",IFERROR(IF(INDEX(geo_grid!$B$2:$JU$231,INT(($N1099+40)/0.5)+1,INT(($O1099+30)/0.5)+1)="","",INDEX(geo_grid!$B$2:$JU$231,INT(($N1099+40)/0.5)+1,INT(($O1099+30)/0.5)+1)),"OUTSIDE GRID"))</f>
        <v/>
      </c>
      <c r="Q1099" t="str">
        <f t="shared" si="197"/>
        <v/>
      </c>
    </row>
    <row r="1100" spans="1:17" x14ac:dyDescent="0.3">
      <c r="A1100">
        <f t="shared" si="187"/>
        <v>8</v>
      </c>
      <c r="B1100">
        <f t="shared" si="188"/>
        <v>41</v>
      </c>
      <c r="C1100" t="str" cm="1">
        <f t="array" ref="C1100">IFERROR(INDEX('TRIP MANAGER'!$O$18:$O$25,$A1100),"")</f>
        <v/>
      </c>
      <c r="D1100" t="str" cm="1">
        <f t="array" ref="D1100">IFERROR(INDEX('TRIP MANAGER'!$P$18:$P$25,$A1100),"")</f>
        <v/>
      </c>
      <c r="E1100" t="str" cm="1">
        <f t="array" ref="E1100">IFERROR(INDEX('TRIP MANAGER'!$Q$18:$Q$25,$A1100),"")</f>
        <v/>
      </c>
      <c r="F1100" t="str" cm="1">
        <f t="array" ref="F1100">IFERROR(INDEX('TRIP MANAGER'!$R$18:$R$25,$A1100),"")</f>
        <v/>
      </c>
      <c r="G1100" t="str" cm="1">
        <f t="array" ref="G1100">IFERROR(INDEX('TRIP MANAGER'!$S$18:$S$25,$A1100),"")</f>
        <v/>
      </c>
      <c r="H1100">
        <f t="shared" si="189"/>
        <v>0.27333333333333332</v>
      </c>
      <c r="I1100" t="str">
        <f t="shared" si="190"/>
        <v/>
      </c>
      <c r="J1100" t="str">
        <f t="shared" si="191"/>
        <v/>
      </c>
      <c r="K1100" t="str">
        <f t="shared" si="192"/>
        <v/>
      </c>
      <c r="L1100" t="str">
        <f t="shared" si="193"/>
        <v/>
      </c>
      <c r="M1100" t="str">
        <f t="shared" si="194"/>
        <v/>
      </c>
      <c r="N1100" t="str">
        <f t="shared" si="195"/>
        <v/>
      </c>
      <c r="O1100" t="str">
        <f t="shared" si="196"/>
        <v/>
      </c>
      <c r="P1100" t="str" cm="1">
        <f t="array" ref="P1100">IF($N1100="","",IFERROR(IF(INDEX(geo_grid!$B$2:$JU$231,INT(($N1100+40)/0.5)+1,INT(($O1100+30)/0.5)+1)="","",INDEX(geo_grid!$B$2:$JU$231,INT(($N1100+40)/0.5)+1,INT(($O1100+30)/0.5)+1)),"OUTSIDE GRID"))</f>
        <v/>
      </c>
      <c r="Q1100" t="str">
        <f t="shared" si="197"/>
        <v/>
      </c>
    </row>
    <row r="1101" spans="1:17" x14ac:dyDescent="0.3">
      <c r="A1101">
        <f t="shared" si="187"/>
        <v>8</v>
      </c>
      <c r="B1101">
        <f t="shared" si="188"/>
        <v>42</v>
      </c>
      <c r="C1101" t="str" cm="1">
        <f t="array" ref="C1101">IFERROR(INDEX('TRIP MANAGER'!$O$18:$O$25,$A1101),"")</f>
        <v/>
      </c>
      <c r="D1101" t="str" cm="1">
        <f t="array" ref="D1101">IFERROR(INDEX('TRIP MANAGER'!$P$18:$P$25,$A1101),"")</f>
        <v/>
      </c>
      <c r="E1101" t="str" cm="1">
        <f t="array" ref="E1101">IFERROR(INDEX('TRIP MANAGER'!$Q$18:$Q$25,$A1101),"")</f>
        <v/>
      </c>
      <c r="F1101" t="str" cm="1">
        <f t="array" ref="F1101">IFERROR(INDEX('TRIP MANAGER'!$R$18:$R$25,$A1101),"")</f>
        <v/>
      </c>
      <c r="G1101" t="str" cm="1">
        <f t="array" ref="G1101">IFERROR(INDEX('TRIP MANAGER'!$S$18:$S$25,$A1101),"")</f>
        <v/>
      </c>
      <c r="H1101">
        <f t="shared" si="189"/>
        <v>0.28000000000000003</v>
      </c>
      <c r="I1101" t="str">
        <f t="shared" si="190"/>
        <v/>
      </c>
      <c r="J1101" t="str">
        <f t="shared" si="191"/>
        <v/>
      </c>
      <c r="K1101" t="str">
        <f t="shared" si="192"/>
        <v/>
      </c>
      <c r="L1101" t="str">
        <f t="shared" si="193"/>
        <v/>
      </c>
      <c r="M1101" t="str">
        <f t="shared" si="194"/>
        <v/>
      </c>
      <c r="N1101" t="str">
        <f t="shared" si="195"/>
        <v/>
      </c>
      <c r="O1101" t="str">
        <f t="shared" si="196"/>
        <v/>
      </c>
      <c r="P1101" t="str" cm="1">
        <f t="array" ref="P1101">IF($N1101="","",IFERROR(IF(INDEX(geo_grid!$B$2:$JU$231,INT(($N1101+40)/0.5)+1,INT(($O1101+30)/0.5)+1)="","",INDEX(geo_grid!$B$2:$JU$231,INT(($N1101+40)/0.5)+1,INT(($O1101+30)/0.5)+1)),"OUTSIDE GRID"))</f>
        <v/>
      </c>
      <c r="Q1101" t="str">
        <f t="shared" si="197"/>
        <v/>
      </c>
    </row>
    <row r="1102" spans="1:17" x14ac:dyDescent="0.3">
      <c r="A1102">
        <f t="shared" si="187"/>
        <v>8</v>
      </c>
      <c r="B1102">
        <f t="shared" si="188"/>
        <v>43</v>
      </c>
      <c r="C1102" t="str" cm="1">
        <f t="array" ref="C1102">IFERROR(INDEX('TRIP MANAGER'!$O$18:$O$25,$A1102),"")</f>
        <v/>
      </c>
      <c r="D1102" t="str" cm="1">
        <f t="array" ref="D1102">IFERROR(INDEX('TRIP MANAGER'!$P$18:$P$25,$A1102),"")</f>
        <v/>
      </c>
      <c r="E1102" t="str" cm="1">
        <f t="array" ref="E1102">IFERROR(INDEX('TRIP MANAGER'!$Q$18:$Q$25,$A1102),"")</f>
        <v/>
      </c>
      <c r="F1102" t="str" cm="1">
        <f t="array" ref="F1102">IFERROR(INDEX('TRIP MANAGER'!$R$18:$R$25,$A1102),"")</f>
        <v/>
      </c>
      <c r="G1102" t="str" cm="1">
        <f t="array" ref="G1102">IFERROR(INDEX('TRIP MANAGER'!$S$18:$S$25,$A1102),"")</f>
        <v/>
      </c>
      <c r="H1102">
        <f t="shared" si="189"/>
        <v>0.28666666666666668</v>
      </c>
      <c r="I1102" t="str">
        <f t="shared" si="190"/>
        <v/>
      </c>
      <c r="J1102" t="str">
        <f t="shared" si="191"/>
        <v/>
      </c>
      <c r="K1102" t="str">
        <f t="shared" si="192"/>
        <v/>
      </c>
      <c r="L1102" t="str">
        <f t="shared" si="193"/>
        <v/>
      </c>
      <c r="M1102" t="str">
        <f t="shared" si="194"/>
        <v/>
      </c>
      <c r="N1102" t="str">
        <f t="shared" si="195"/>
        <v/>
      </c>
      <c r="O1102" t="str">
        <f t="shared" si="196"/>
        <v/>
      </c>
      <c r="P1102" t="str" cm="1">
        <f t="array" ref="P1102">IF($N1102="","",IFERROR(IF(INDEX(geo_grid!$B$2:$JU$231,INT(($N1102+40)/0.5)+1,INT(($O1102+30)/0.5)+1)="","",INDEX(geo_grid!$B$2:$JU$231,INT(($N1102+40)/0.5)+1,INT(($O1102+30)/0.5)+1)),"OUTSIDE GRID"))</f>
        <v/>
      </c>
      <c r="Q1102" t="str">
        <f t="shared" si="197"/>
        <v/>
      </c>
    </row>
    <row r="1103" spans="1:17" x14ac:dyDescent="0.3">
      <c r="A1103">
        <f t="shared" si="187"/>
        <v>8</v>
      </c>
      <c r="B1103">
        <f t="shared" si="188"/>
        <v>44</v>
      </c>
      <c r="C1103" t="str" cm="1">
        <f t="array" ref="C1103">IFERROR(INDEX('TRIP MANAGER'!$O$18:$O$25,$A1103),"")</f>
        <v/>
      </c>
      <c r="D1103" t="str" cm="1">
        <f t="array" ref="D1103">IFERROR(INDEX('TRIP MANAGER'!$P$18:$P$25,$A1103),"")</f>
        <v/>
      </c>
      <c r="E1103" t="str" cm="1">
        <f t="array" ref="E1103">IFERROR(INDEX('TRIP MANAGER'!$Q$18:$Q$25,$A1103),"")</f>
        <v/>
      </c>
      <c r="F1103" t="str" cm="1">
        <f t="array" ref="F1103">IFERROR(INDEX('TRIP MANAGER'!$R$18:$R$25,$A1103),"")</f>
        <v/>
      </c>
      <c r="G1103" t="str" cm="1">
        <f t="array" ref="G1103">IFERROR(INDEX('TRIP MANAGER'!$S$18:$S$25,$A1103),"")</f>
        <v/>
      </c>
      <c r="H1103">
        <f t="shared" si="189"/>
        <v>0.29333333333333333</v>
      </c>
      <c r="I1103" t="str">
        <f t="shared" si="190"/>
        <v/>
      </c>
      <c r="J1103" t="str">
        <f t="shared" si="191"/>
        <v/>
      </c>
      <c r="K1103" t="str">
        <f t="shared" si="192"/>
        <v/>
      </c>
      <c r="L1103" t="str">
        <f t="shared" si="193"/>
        <v/>
      </c>
      <c r="M1103" t="str">
        <f t="shared" si="194"/>
        <v/>
      </c>
      <c r="N1103" t="str">
        <f t="shared" si="195"/>
        <v/>
      </c>
      <c r="O1103" t="str">
        <f t="shared" si="196"/>
        <v/>
      </c>
      <c r="P1103" t="str" cm="1">
        <f t="array" ref="P1103">IF($N1103="","",IFERROR(IF(INDEX(geo_grid!$B$2:$JU$231,INT(($N1103+40)/0.5)+1,INT(($O1103+30)/0.5)+1)="","",INDEX(geo_grid!$B$2:$JU$231,INT(($N1103+40)/0.5)+1,INT(($O1103+30)/0.5)+1)),"OUTSIDE GRID"))</f>
        <v/>
      </c>
      <c r="Q1103" t="str">
        <f t="shared" si="197"/>
        <v/>
      </c>
    </row>
    <row r="1104" spans="1:17" x14ac:dyDescent="0.3">
      <c r="A1104">
        <f t="shared" si="187"/>
        <v>8</v>
      </c>
      <c r="B1104">
        <f t="shared" si="188"/>
        <v>45</v>
      </c>
      <c r="C1104" t="str" cm="1">
        <f t="array" ref="C1104">IFERROR(INDEX('TRIP MANAGER'!$O$18:$O$25,$A1104),"")</f>
        <v/>
      </c>
      <c r="D1104" t="str" cm="1">
        <f t="array" ref="D1104">IFERROR(INDEX('TRIP MANAGER'!$P$18:$P$25,$A1104),"")</f>
        <v/>
      </c>
      <c r="E1104" t="str" cm="1">
        <f t="array" ref="E1104">IFERROR(INDEX('TRIP MANAGER'!$Q$18:$Q$25,$A1104),"")</f>
        <v/>
      </c>
      <c r="F1104" t="str" cm="1">
        <f t="array" ref="F1104">IFERROR(INDEX('TRIP MANAGER'!$R$18:$R$25,$A1104),"")</f>
        <v/>
      </c>
      <c r="G1104" t="str" cm="1">
        <f t="array" ref="G1104">IFERROR(INDEX('TRIP MANAGER'!$S$18:$S$25,$A1104),"")</f>
        <v/>
      </c>
      <c r="H1104">
        <f t="shared" si="189"/>
        <v>0.3</v>
      </c>
      <c r="I1104" t="str">
        <f t="shared" si="190"/>
        <v/>
      </c>
      <c r="J1104" t="str">
        <f t="shared" si="191"/>
        <v/>
      </c>
      <c r="K1104" t="str">
        <f t="shared" si="192"/>
        <v/>
      </c>
      <c r="L1104" t="str">
        <f t="shared" si="193"/>
        <v/>
      </c>
      <c r="M1104" t="str">
        <f t="shared" si="194"/>
        <v/>
      </c>
      <c r="N1104" t="str">
        <f t="shared" si="195"/>
        <v/>
      </c>
      <c r="O1104" t="str">
        <f t="shared" si="196"/>
        <v/>
      </c>
      <c r="P1104" t="str" cm="1">
        <f t="array" ref="P1104">IF($N1104="","",IFERROR(IF(INDEX(geo_grid!$B$2:$JU$231,INT(($N1104+40)/0.5)+1,INT(($O1104+30)/0.5)+1)="","",INDEX(geo_grid!$B$2:$JU$231,INT(($N1104+40)/0.5)+1,INT(($O1104+30)/0.5)+1)),"OUTSIDE GRID"))</f>
        <v/>
      </c>
      <c r="Q1104" t="str">
        <f t="shared" si="197"/>
        <v/>
      </c>
    </row>
    <row r="1105" spans="1:17" x14ac:dyDescent="0.3">
      <c r="A1105">
        <f t="shared" si="187"/>
        <v>8</v>
      </c>
      <c r="B1105">
        <f t="shared" si="188"/>
        <v>46</v>
      </c>
      <c r="C1105" t="str" cm="1">
        <f t="array" ref="C1105">IFERROR(INDEX('TRIP MANAGER'!$O$18:$O$25,$A1105),"")</f>
        <v/>
      </c>
      <c r="D1105" t="str" cm="1">
        <f t="array" ref="D1105">IFERROR(INDEX('TRIP MANAGER'!$P$18:$P$25,$A1105),"")</f>
        <v/>
      </c>
      <c r="E1105" t="str" cm="1">
        <f t="array" ref="E1105">IFERROR(INDEX('TRIP MANAGER'!$Q$18:$Q$25,$A1105),"")</f>
        <v/>
      </c>
      <c r="F1105" t="str" cm="1">
        <f t="array" ref="F1105">IFERROR(INDEX('TRIP MANAGER'!$R$18:$R$25,$A1105),"")</f>
        <v/>
      </c>
      <c r="G1105" t="str" cm="1">
        <f t="array" ref="G1105">IFERROR(INDEX('TRIP MANAGER'!$S$18:$S$25,$A1105),"")</f>
        <v/>
      </c>
      <c r="H1105">
        <f t="shared" si="189"/>
        <v>0.30666666666666664</v>
      </c>
      <c r="I1105" t="str">
        <f t="shared" si="190"/>
        <v/>
      </c>
      <c r="J1105" t="str">
        <f t="shared" si="191"/>
        <v/>
      </c>
      <c r="K1105" t="str">
        <f t="shared" si="192"/>
        <v/>
      </c>
      <c r="L1105" t="str">
        <f t="shared" si="193"/>
        <v/>
      </c>
      <c r="M1105" t="str">
        <f t="shared" si="194"/>
        <v/>
      </c>
      <c r="N1105" t="str">
        <f t="shared" si="195"/>
        <v/>
      </c>
      <c r="O1105" t="str">
        <f t="shared" si="196"/>
        <v/>
      </c>
      <c r="P1105" t="str" cm="1">
        <f t="array" ref="P1105">IF($N1105="","",IFERROR(IF(INDEX(geo_grid!$B$2:$JU$231,INT(($N1105+40)/0.5)+1,INT(($O1105+30)/0.5)+1)="","",INDEX(geo_grid!$B$2:$JU$231,INT(($N1105+40)/0.5)+1,INT(($O1105+30)/0.5)+1)),"OUTSIDE GRID"))</f>
        <v/>
      </c>
      <c r="Q1105" t="str">
        <f t="shared" si="197"/>
        <v/>
      </c>
    </row>
    <row r="1106" spans="1:17" x14ac:dyDescent="0.3">
      <c r="A1106">
        <f t="shared" si="187"/>
        <v>8</v>
      </c>
      <c r="B1106">
        <f t="shared" si="188"/>
        <v>47</v>
      </c>
      <c r="C1106" t="str" cm="1">
        <f t="array" ref="C1106">IFERROR(INDEX('TRIP MANAGER'!$O$18:$O$25,$A1106),"")</f>
        <v/>
      </c>
      <c r="D1106" t="str" cm="1">
        <f t="array" ref="D1106">IFERROR(INDEX('TRIP MANAGER'!$P$18:$P$25,$A1106),"")</f>
        <v/>
      </c>
      <c r="E1106" t="str" cm="1">
        <f t="array" ref="E1106">IFERROR(INDEX('TRIP MANAGER'!$Q$18:$Q$25,$A1106),"")</f>
        <v/>
      </c>
      <c r="F1106" t="str" cm="1">
        <f t="array" ref="F1106">IFERROR(INDEX('TRIP MANAGER'!$R$18:$R$25,$A1106),"")</f>
        <v/>
      </c>
      <c r="G1106" t="str" cm="1">
        <f t="array" ref="G1106">IFERROR(INDEX('TRIP MANAGER'!$S$18:$S$25,$A1106),"")</f>
        <v/>
      </c>
      <c r="H1106">
        <f t="shared" si="189"/>
        <v>0.31333333333333335</v>
      </c>
      <c r="I1106" t="str">
        <f t="shared" si="190"/>
        <v/>
      </c>
      <c r="J1106" t="str">
        <f t="shared" si="191"/>
        <v/>
      </c>
      <c r="K1106" t="str">
        <f t="shared" si="192"/>
        <v/>
      </c>
      <c r="L1106" t="str">
        <f t="shared" si="193"/>
        <v/>
      </c>
      <c r="M1106" t="str">
        <f t="shared" si="194"/>
        <v/>
      </c>
      <c r="N1106" t="str">
        <f t="shared" si="195"/>
        <v/>
      </c>
      <c r="O1106" t="str">
        <f t="shared" si="196"/>
        <v/>
      </c>
      <c r="P1106" t="str" cm="1">
        <f t="array" ref="P1106">IF($N1106="","",IFERROR(IF(INDEX(geo_grid!$B$2:$JU$231,INT(($N1106+40)/0.5)+1,INT(($O1106+30)/0.5)+1)="","",INDEX(geo_grid!$B$2:$JU$231,INT(($N1106+40)/0.5)+1,INT(($O1106+30)/0.5)+1)),"OUTSIDE GRID"))</f>
        <v/>
      </c>
      <c r="Q1106" t="str">
        <f t="shared" si="197"/>
        <v/>
      </c>
    </row>
    <row r="1107" spans="1:17" x14ac:dyDescent="0.3">
      <c r="A1107">
        <f t="shared" si="187"/>
        <v>8</v>
      </c>
      <c r="B1107">
        <f t="shared" si="188"/>
        <v>48</v>
      </c>
      <c r="C1107" t="str" cm="1">
        <f t="array" ref="C1107">IFERROR(INDEX('TRIP MANAGER'!$O$18:$O$25,$A1107),"")</f>
        <v/>
      </c>
      <c r="D1107" t="str" cm="1">
        <f t="array" ref="D1107">IFERROR(INDEX('TRIP MANAGER'!$P$18:$P$25,$A1107),"")</f>
        <v/>
      </c>
      <c r="E1107" t="str" cm="1">
        <f t="array" ref="E1107">IFERROR(INDEX('TRIP MANAGER'!$Q$18:$Q$25,$A1107),"")</f>
        <v/>
      </c>
      <c r="F1107" t="str" cm="1">
        <f t="array" ref="F1107">IFERROR(INDEX('TRIP MANAGER'!$R$18:$R$25,$A1107),"")</f>
        <v/>
      </c>
      <c r="G1107" t="str" cm="1">
        <f t="array" ref="G1107">IFERROR(INDEX('TRIP MANAGER'!$S$18:$S$25,$A1107),"")</f>
        <v/>
      </c>
      <c r="H1107">
        <f t="shared" si="189"/>
        <v>0.32</v>
      </c>
      <c r="I1107" t="str">
        <f t="shared" si="190"/>
        <v/>
      </c>
      <c r="J1107" t="str">
        <f t="shared" si="191"/>
        <v/>
      </c>
      <c r="K1107" t="str">
        <f t="shared" si="192"/>
        <v/>
      </c>
      <c r="L1107" t="str">
        <f t="shared" si="193"/>
        <v/>
      </c>
      <c r="M1107" t="str">
        <f t="shared" si="194"/>
        <v/>
      </c>
      <c r="N1107" t="str">
        <f t="shared" si="195"/>
        <v/>
      </c>
      <c r="O1107" t="str">
        <f t="shared" si="196"/>
        <v/>
      </c>
      <c r="P1107" t="str" cm="1">
        <f t="array" ref="P1107">IF($N1107="","",IFERROR(IF(INDEX(geo_grid!$B$2:$JU$231,INT(($N1107+40)/0.5)+1,INT(($O1107+30)/0.5)+1)="","",INDEX(geo_grid!$B$2:$JU$231,INT(($N1107+40)/0.5)+1,INT(($O1107+30)/0.5)+1)),"OUTSIDE GRID"))</f>
        <v/>
      </c>
      <c r="Q1107" t="str">
        <f t="shared" si="197"/>
        <v/>
      </c>
    </row>
    <row r="1108" spans="1:17" x14ac:dyDescent="0.3">
      <c r="A1108">
        <f t="shared" si="187"/>
        <v>8</v>
      </c>
      <c r="B1108">
        <f t="shared" si="188"/>
        <v>49</v>
      </c>
      <c r="C1108" t="str" cm="1">
        <f t="array" ref="C1108">IFERROR(INDEX('TRIP MANAGER'!$O$18:$O$25,$A1108),"")</f>
        <v/>
      </c>
      <c r="D1108" t="str" cm="1">
        <f t="array" ref="D1108">IFERROR(INDEX('TRIP MANAGER'!$P$18:$P$25,$A1108),"")</f>
        <v/>
      </c>
      <c r="E1108" t="str" cm="1">
        <f t="array" ref="E1108">IFERROR(INDEX('TRIP MANAGER'!$Q$18:$Q$25,$A1108),"")</f>
        <v/>
      </c>
      <c r="F1108" t="str" cm="1">
        <f t="array" ref="F1108">IFERROR(INDEX('TRIP MANAGER'!$R$18:$R$25,$A1108),"")</f>
        <v/>
      </c>
      <c r="G1108" t="str" cm="1">
        <f t="array" ref="G1108">IFERROR(INDEX('TRIP MANAGER'!$S$18:$S$25,$A1108),"")</f>
        <v/>
      </c>
      <c r="H1108">
        <f t="shared" si="189"/>
        <v>0.32666666666666666</v>
      </c>
      <c r="I1108" t="str">
        <f t="shared" si="190"/>
        <v/>
      </c>
      <c r="J1108" t="str">
        <f t="shared" si="191"/>
        <v/>
      </c>
      <c r="K1108" t="str">
        <f t="shared" si="192"/>
        <v/>
      </c>
      <c r="L1108" t="str">
        <f t="shared" si="193"/>
        <v/>
      </c>
      <c r="M1108" t="str">
        <f t="shared" si="194"/>
        <v/>
      </c>
      <c r="N1108" t="str">
        <f t="shared" si="195"/>
        <v/>
      </c>
      <c r="O1108" t="str">
        <f t="shared" si="196"/>
        <v/>
      </c>
      <c r="P1108" t="str" cm="1">
        <f t="array" ref="P1108">IF($N1108="","",IFERROR(IF(INDEX(geo_grid!$B$2:$JU$231,INT(($N1108+40)/0.5)+1,INT(($O1108+30)/0.5)+1)="","",INDEX(geo_grid!$B$2:$JU$231,INT(($N1108+40)/0.5)+1,INT(($O1108+30)/0.5)+1)),"OUTSIDE GRID"))</f>
        <v/>
      </c>
      <c r="Q1108" t="str">
        <f t="shared" si="197"/>
        <v/>
      </c>
    </row>
    <row r="1109" spans="1:17" x14ac:dyDescent="0.3">
      <c r="A1109">
        <f t="shared" si="187"/>
        <v>8</v>
      </c>
      <c r="B1109">
        <f t="shared" si="188"/>
        <v>50</v>
      </c>
      <c r="C1109" t="str" cm="1">
        <f t="array" ref="C1109">IFERROR(INDEX('TRIP MANAGER'!$O$18:$O$25,$A1109),"")</f>
        <v/>
      </c>
      <c r="D1109" t="str" cm="1">
        <f t="array" ref="D1109">IFERROR(INDEX('TRIP MANAGER'!$P$18:$P$25,$A1109),"")</f>
        <v/>
      </c>
      <c r="E1109" t="str" cm="1">
        <f t="array" ref="E1109">IFERROR(INDEX('TRIP MANAGER'!$Q$18:$Q$25,$A1109),"")</f>
        <v/>
      </c>
      <c r="F1109" t="str" cm="1">
        <f t="array" ref="F1109">IFERROR(INDEX('TRIP MANAGER'!$R$18:$R$25,$A1109),"")</f>
        <v/>
      </c>
      <c r="G1109" t="str" cm="1">
        <f t="array" ref="G1109">IFERROR(INDEX('TRIP MANAGER'!$S$18:$S$25,$A1109),"")</f>
        <v/>
      </c>
      <c r="H1109">
        <f t="shared" si="189"/>
        <v>0.33333333333333331</v>
      </c>
      <c r="I1109" t="str">
        <f t="shared" si="190"/>
        <v/>
      </c>
      <c r="J1109" t="str">
        <f t="shared" si="191"/>
        <v/>
      </c>
      <c r="K1109" t="str">
        <f t="shared" si="192"/>
        <v/>
      </c>
      <c r="L1109" t="str">
        <f t="shared" si="193"/>
        <v/>
      </c>
      <c r="M1109" t="str">
        <f t="shared" si="194"/>
        <v/>
      </c>
      <c r="N1109" t="str">
        <f t="shared" si="195"/>
        <v/>
      </c>
      <c r="O1109" t="str">
        <f t="shared" si="196"/>
        <v/>
      </c>
      <c r="P1109" t="str" cm="1">
        <f t="array" ref="P1109">IF($N1109="","",IFERROR(IF(INDEX(geo_grid!$B$2:$JU$231,INT(($N1109+40)/0.5)+1,INT(($O1109+30)/0.5)+1)="","",INDEX(geo_grid!$B$2:$JU$231,INT(($N1109+40)/0.5)+1,INT(($O1109+30)/0.5)+1)),"OUTSIDE GRID"))</f>
        <v/>
      </c>
      <c r="Q1109" t="str">
        <f t="shared" si="197"/>
        <v/>
      </c>
    </row>
    <row r="1110" spans="1:17" x14ac:dyDescent="0.3">
      <c r="A1110">
        <f t="shared" si="187"/>
        <v>8</v>
      </c>
      <c r="B1110">
        <f t="shared" si="188"/>
        <v>51</v>
      </c>
      <c r="C1110" t="str" cm="1">
        <f t="array" ref="C1110">IFERROR(INDEX('TRIP MANAGER'!$O$18:$O$25,$A1110),"")</f>
        <v/>
      </c>
      <c r="D1110" t="str" cm="1">
        <f t="array" ref="D1110">IFERROR(INDEX('TRIP MANAGER'!$P$18:$P$25,$A1110),"")</f>
        <v/>
      </c>
      <c r="E1110" t="str" cm="1">
        <f t="array" ref="E1110">IFERROR(INDEX('TRIP MANAGER'!$Q$18:$Q$25,$A1110),"")</f>
        <v/>
      </c>
      <c r="F1110" t="str" cm="1">
        <f t="array" ref="F1110">IFERROR(INDEX('TRIP MANAGER'!$R$18:$R$25,$A1110),"")</f>
        <v/>
      </c>
      <c r="G1110" t="str" cm="1">
        <f t="array" ref="G1110">IFERROR(INDEX('TRIP MANAGER'!$S$18:$S$25,$A1110),"")</f>
        <v/>
      </c>
      <c r="H1110">
        <f t="shared" si="189"/>
        <v>0.34</v>
      </c>
      <c r="I1110" t="str">
        <f t="shared" si="190"/>
        <v/>
      </c>
      <c r="J1110" t="str">
        <f t="shared" si="191"/>
        <v/>
      </c>
      <c r="K1110" t="str">
        <f t="shared" si="192"/>
        <v/>
      </c>
      <c r="L1110" t="str">
        <f t="shared" si="193"/>
        <v/>
      </c>
      <c r="M1110" t="str">
        <f t="shared" si="194"/>
        <v/>
      </c>
      <c r="N1110" t="str">
        <f t="shared" si="195"/>
        <v/>
      </c>
      <c r="O1110" t="str">
        <f t="shared" si="196"/>
        <v/>
      </c>
      <c r="P1110" t="str" cm="1">
        <f t="array" ref="P1110">IF($N1110="","",IFERROR(IF(INDEX(geo_grid!$B$2:$JU$231,INT(($N1110+40)/0.5)+1,INT(($O1110+30)/0.5)+1)="","",INDEX(geo_grid!$B$2:$JU$231,INT(($N1110+40)/0.5)+1,INT(($O1110+30)/0.5)+1)),"OUTSIDE GRID"))</f>
        <v/>
      </c>
      <c r="Q1110" t="str">
        <f t="shared" si="197"/>
        <v/>
      </c>
    </row>
    <row r="1111" spans="1:17" x14ac:dyDescent="0.3">
      <c r="A1111">
        <f t="shared" si="187"/>
        <v>8</v>
      </c>
      <c r="B1111">
        <f t="shared" si="188"/>
        <v>52</v>
      </c>
      <c r="C1111" t="str" cm="1">
        <f t="array" ref="C1111">IFERROR(INDEX('TRIP MANAGER'!$O$18:$O$25,$A1111),"")</f>
        <v/>
      </c>
      <c r="D1111" t="str" cm="1">
        <f t="array" ref="D1111">IFERROR(INDEX('TRIP MANAGER'!$P$18:$P$25,$A1111),"")</f>
        <v/>
      </c>
      <c r="E1111" t="str" cm="1">
        <f t="array" ref="E1111">IFERROR(INDEX('TRIP MANAGER'!$Q$18:$Q$25,$A1111),"")</f>
        <v/>
      </c>
      <c r="F1111" t="str" cm="1">
        <f t="array" ref="F1111">IFERROR(INDEX('TRIP MANAGER'!$R$18:$R$25,$A1111),"")</f>
        <v/>
      </c>
      <c r="G1111" t="str" cm="1">
        <f t="array" ref="G1111">IFERROR(INDEX('TRIP MANAGER'!$S$18:$S$25,$A1111),"")</f>
        <v/>
      </c>
      <c r="H1111">
        <f t="shared" si="189"/>
        <v>0.34666666666666668</v>
      </c>
      <c r="I1111" t="str">
        <f t="shared" si="190"/>
        <v/>
      </c>
      <c r="J1111" t="str">
        <f t="shared" si="191"/>
        <v/>
      </c>
      <c r="K1111" t="str">
        <f t="shared" si="192"/>
        <v/>
      </c>
      <c r="L1111" t="str">
        <f t="shared" si="193"/>
        <v/>
      </c>
      <c r="M1111" t="str">
        <f t="shared" si="194"/>
        <v/>
      </c>
      <c r="N1111" t="str">
        <f t="shared" si="195"/>
        <v/>
      </c>
      <c r="O1111" t="str">
        <f t="shared" si="196"/>
        <v/>
      </c>
      <c r="P1111" t="str" cm="1">
        <f t="array" ref="P1111">IF($N1111="","",IFERROR(IF(INDEX(geo_grid!$B$2:$JU$231,INT(($N1111+40)/0.5)+1,INT(($O1111+30)/0.5)+1)="","",INDEX(geo_grid!$B$2:$JU$231,INT(($N1111+40)/0.5)+1,INT(($O1111+30)/0.5)+1)),"OUTSIDE GRID"))</f>
        <v/>
      </c>
      <c r="Q1111" t="str">
        <f t="shared" si="197"/>
        <v/>
      </c>
    </row>
    <row r="1112" spans="1:17" x14ac:dyDescent="0.3">
      <c r="A1112">
        <f t="shared" si="187"/>
        <v>8</v>
      </c>
      <c r="B1112">
        <f t="shared" si="188"/>
        <v>53</v>
      </c>
      <c r="C1112" t="str" cm="1">
        <f t="array" ref="C1112">IFERROR(INDEX('TRIP MANAGER'!$O$18:$O$25,$A1112),"")</f>
        <v/>
      </c>
      <c r="D1112" t="str" cm="1">
        <f t="array" ref="D1112">IFERROR(INDEX('TRIP MANAGER'!$P$18:$P$25,$A1112),"")</f>
        <v/>
      </c>
      <c r="E1112" t="str" cm="1">
        <f t="array" ref="E1112">IFERROR(INDEX('TRIP MANAGER'!$Q$18:$Q$25,$A1112),"")</f>
        <v/>
      </c>
      <c r="F1112" t="str" cm="1">
        <f t="array" ref="F1112">IFERROR(INDEX('TRIP MANAGER'!$R$18:$R$25,$A1112),"")</f>
        <v/>
      </c>
      <c r="G1112" t="str" cm="1">
        <f t="array" ref="G1112">IFERROR(INDEX('TRIP MANAGER'!$S$18:$S$25,$A1112),"")</f>
        <v/>
      </c>
      <c r="H1112">
        <f t="shared" si="189"/>
        <v>0.35333333333333333</v>
      </c>
      <c r="I1112" t="str">
        <f t="shared" si="190"/>
        <v/>
      </c>
      <c r="J1112" t="str">
        <f t="shared" si="191"/>
        <v/>
      </c>
      <c r="K1112" t="str">
        <f t="shared" si="192"/>
        <v/>
      </c>
      <c r="L1112" t="str">
        <f t="shared" si="193"/>
        <v/>
      </c>
      <c r="M1112" t="str">
        <f t="shared" si="194"/>
        <v/>
      </c>
      <c r="N1112" t="str">
        <f t="shared" si="195"/>
        <v/>
      </c>
      <c r="O1112" t="str">
        <f t="shared" si="196"/>
        <v/>
      </c>
      <c r="P1112" t="str" cm="1">
        <f t="array" ref="P1112">IF($N1112="","",IFERROR(IF(INDEX(geo_grid!$B$2:$JU$231,INT(($N1112+40)/0.5)+1,INT(($O1112+30)/0.5)+1)="","",INDEX(geo_grid!$B$2:$JU$231,INT(($N1112+40)/0.5)+1,INT(($O1112+30)/0.5)+1)),"OUTSIDE GRID"))</f>
        <v/>
      </c>
      <c r="Q1112" t="str">
        <f t="shared" si="197"/>
        <v/>
      </c>
    </row>
    <row r="1113" spans="1:17" x14ac:dyDescent="0.3">
      <c r="A1113">
        <f t="shared" si="187"/>
        <v>8</v>
      </c>
      <c r="B1113">
        <f t="shared" si="188"/>
        <v>54</v>
      </c>
      <c r="C1113" t="str" cm="1">
        <f t="array" ref="C1113">IFERROR(INDEX('TRIP MANAGER'!$O$18:$O$25,$A1113),"")</f>
        <v/>
      </c>
      <c r="D1113" t="str" cm="1">
        <f t="array" ref="D1113">IFERROR(INDEX('TRIP MANAGER'!$P$18:$P$25,$A1113),"")</f>
        <v/>
      </c>
      <c r="E1113" t="str" cm="1">
        <f t="array" ref="E1113">IFERROR(INDEX('TRIP MANAGER'!$Q$18:$Q$25,$A1113),"")</f>
        <v/>
      </c>
      <c r="F1113" t="str" cm="1">
        <f t="array" ref="F1113">IFERROR(INDEX('TRIP MANAGER'!$R$18:$R$25,$A1113),"")</f>
        <v/>
      </c>
      <c r="G1113" t="str" cm="1">
        <f t="array" ref="G1113">IFERROR(INDEX('TRIP MANAGER'!$S$18:$S$25,$A1113),"")</f>
        <v/>
      </c>
      <c r="H1113">
        <f t="shared" si="189"/>
        <v>0.36</v>
      </c>
      <c r="I1113" t="str">
        <f t="shared" si="190"/>
        <v/>
      </c>
      <c r="J1113" t="str">
        <f t="shared" si="191"/>
        <v/>
      </c>
      <c r="K1113" t="str">
        <f t="shared" si="192"/>
        <v/>
      </c>
      <c r="L1113" t="str">
        <f t="shared" si="193"/>
        <v/>
      </c>
      <c r="M1113" t="str">
        <f t="shared" si="194"/>
        <v/>
      </c>
      <c r="N1113" t="str">
        <f t="shared" si="195"/>
        <v/>
      </c>
      <c r="O1113" t="str">
        <f t="shared" si="196"/>
        <v/>
      </c>
      <c r="P1113" t="str" cm="1">
        <f t="array" ref="P1113">IF($N1113="","",IFERROR(IF(INDEX(geo_grid!$B$2:$JU$231,INT(($N1113+40)/0.5)+1,INT(($O1113+30)/0.5)+1)="","",INDEX(geo_grid!$B$2:$JU$231,INT(($N1113+40)/0.5)+1,INT(($O1113+30)/0.5)+1)),"OUTSIDE GRID"))</f>
        <v/>
      </c>
      <c r="Q1113" t="str">
        <f t="shared" si="197"/>
        <v/>
      </c>
    </row>
    <row r="1114" spans="1:17" x14ac:dyDescent="0.3">
      <c r="A1114">
        <f t="shared" si="187"/>
        <v>8</v>
      </c>
      <c r="B1114">
        <f t="shared" si="188"/>
        <v>55</v>
      </c>
      <c r="C1114" t="str" cm="1">
        <f t="array" ref="C1114">IFERROR(INDEX('TRIP MANAGER'!$O$18:$O$25,$A1114),"")</f>
        <v/>
      </c>
      <c r="D1114" t="str" cm="1">
        <f t="array" ref="D1114">IFERROR(INDEX('TRIP MANAGER'!$P$18:$P$25,$A1114),"")</f>
        <v/>
      </c>
      <c r="E1114" t="str" cm="1">
        <f t="array" ref="E1114">IFERROR(INDEX('TRIP MANAGER'!$Q$18:$Q$25,$A1114),"")</f>
        <v/>
      </c>
      <c r="F1114" t="str" cm="1">
        <f t="array" ref="F1114">IFERROR(INDEX('TRIP MANAGER'!$R$18:$R$25,$A1114),"")</f>
        <v/>
      </c>
      <c r="G1114" t="str" cm="1">
        <f t="array" ref="G1114">IFERROR(INDEX('TRIP MANAGER'!$S$18:$S$25,$A1114),"")</f>
        <v/>
      </c>
      <c r="H1114">
        <f t="shared" si="189"/>
        <v>0.36666666666666664</v>
      </c>
      <c r="I1114" t="str">
        <f t="shared" si="190"/>
        <v/>
      </c>
      <c r="J1114" t="str">
        <f t="shared" si="191"/>
        <v/>
      </c>
      <c r="K1114" t="str">
        <f t="shared" si="192"/>
        <v/>
      </c>
      <c r="L1114" t="str">
        <f t="shared" si="193"/>
        <v/>
      </c>
      <c r="M1114" t="str">
        <f t="shared" si="194"/>
        <v/>
      </c>
      <c r="N1114" t="str">
        <f t="shared" si="195"/>
        <v/>
      </c>
      <c r="O1114" t="str">
        <f t="shared" si="196"/>
        <v/>
      </c>
      <c r="P1114" t="str" cm="1">
        <f t="array" ref="P1114">IF($N1114="","",IFERROR(IF(INDEX(geo_grid!$B$2:$JU$231,INT(($N1114+40)/0.5)+1,INT(($O1114+30)/0.5)+1)="","",INDEX(geo_grid!$B$2:$JU$231,INT(($N1114+40)/0.5)+1,INT(($O1114+30)/0.5)+1)),"OUTSIDE GRID"))</f>
        <v/>
      </c>
      <c r="Q1114" t="str">
        <f t="shared" si="197"/>
        <v/>
      </c>
    </row>
    <row r="1115" spans="1:17" x14ac:dyDescent="0.3">
      <c r="A1115">
        <f t="shared" si="187"/>
        <v>8</v>
      </c>
      <c r="B1115">
        <f t="shared" si="188"/>
        <v>56</v>
      </c>
      <c r="C1115" t="str" cm="1">
        <f t="array" ref="C1115">IFERROR(INDEX('TRIP MANAGER'!$O$18:$O$25,$A1115),"")</f>
        <v/>
      </c>
      <c r="D1115" t="str" cm="1">
        <f t="array" ref="D1115">IFERROR(INDEX('TRIP MANAGER'!$P$18:$P$25,$A1115),"")</f>
        <v/>
      </c>
      <c r="E1115" t="str" cm="1">
        <f t="array" ref="E1115">IFERROR(INDEX('TRIP MANAGER'!$Q$18:$Q$25,$A1115),"")</f>
        <v/>
      </c>
      <c r="F1115" t="str" cm="1">
        <f t="array" ref="F1115">IFERROR(INDEX('TRIP MANAGER'!$R$18:$R$25,$A1115),"")</f>
        <v/>
      </c>
      <c r="G1115" t="str" cm="1">
        <f t="array" ref="G1115">IFERROR(INDEX('TRIP MANAGER'!$S$18:$S$25,$A1115),"")</f>
        <v/>
      </c>
      <c r="H1115">
        <f t="shared" si="189"/>
        <v>0.37333333333333335</v>
      </c>
      <c r="I1115" t="str">
        <f t="shared" si="190"/>
        <v/>
      </c>
      <c r="J1115" t="str">
        <f t="shared" si="191"/>
        <v/>
      </c>
      <c r="K1115" t="str">
        <f t="shared" si="192"/>
        <v/>
      </c>
      <c r="L1115" t="str">
        <f t="shared" si="193"/>
        <v/>
      </c>
      <c r="M1115" t="str">
        <f t="shared" si="194"/>
        <v/>
      </c>
      <c r="N1115" t="str">
        <f t="shared" si="195"/>
        <v/>
      </c>
      <c r="O1115" t="str">
        <f t="shared" si="196"/>
        <v/>
      </c>
      <c r="P1115" t="str" cm="1">
        <f t="array" ref="P1115">IF($N1115="","",IFERROR(IF(INDEX(geo_grid!$B$2:$JU$231,INT(($N1115+40)/0.5)+1,INT(($O1115+30)/0.5)+1)="","",INDEX(geo_grid!$B$2:$JU$231,INT(($N1115+40)/0.5)+1,INT(($O1115+30)/0.5)+1)),"OUTSIDE GRID"))</f>
        <v/>
      </c>
      <c r="Q1115" t="str">
        <f t="shared" si="197"/>
        <v/>
      </c>
    </row>
    <row r="1116" spans="1:17" x14ac:dyDescent="0.3">
      <c r="A1116">
        <f t="shared" si="187"/>
        <v>8</v>
      </c>
      <c r="B1116">
        <f t="shared" si="188"/>
        <v>57</v>
      </c>
      <c r="C1116" t="str" cm="1">
        <f t="array" ref="C1116">IFERROR(INDEX('TRIP MANAGER'!$O$18:$O$25,$A1116),"")</f>
        <v/>
      </c>
      <c r="D1116" t="str" cm="1">
        <f t="array" ref="D1116">IFERROR(INDEX('TRIP MANAGER'!$P$18:$P$25,$A1116),"")</f>
        <v/>
      </c>
      <c r="E1116" t="str" cm="1">
        <f t="array" ref="E1116">IFERROR(INDEX('TRIP MANAGER'!$Q$18:$Q$25,$A1116),"")</f>
        <v/>
      </c>
      <c r="F1116" t="str" cm="1">
        <f t="array" ref="F1116">IFERROR(INDEX('TRIP MANAGER'!$R$18:$R$25,$A1116),"")</f>
        <v/>
      </c>
      <c r="G1116" t="str" cm="1">
        <f t="array" ref="G1116">IFERROR(INDEX('TRIP MANAGER'!$S$18:$S$25,$A1116),"")</f>
        <v/>
      </c>
      <c r="H1116">
        <f t="shared" si="189"/>
        <v>0.38</v>
      </c>
      <c r="I1116" t="str">
        <f t="shared" si="190"/>
        <v/>
      </c>
      <c r="J1116" t="str">
        <f t="shared" si="191"/>
        <v/>
      </c>
      <c r="K1116" t="str">
        <f t="shared" si="192"/>
        <v/>
      </c>
      <c r="L1116" t="str">
        <f t="shared" si="193"/>
        <v/>
      </c>
      <c r="M1116" t="str">
        <f t="shared" si="194"/>
        <v/>
      </c>
      <c r="N1116" t="str">
        <f t="shared" si="195"/>
        <v/>
      </c>
      <c r="O1116" t="str">
        <f t="shared" si="196"/>
        <v/>
      </c>
      <c r="P1116" t="str" cm="1">
        <f t="array" ref="P1116">IF($N1116="","",IFERROR(IF(INDEX(geo_grid!$B$2:$JU$231,INT(($N1116+40)/0.5)+1,INT(($O1116+30)/0.5)+1)="","",INDEX(geo_grid!$B$2:$JU$231,INT(($N1116+40)/0.5)+1,INT(($O1116+30)/0.5)+1)),"OUTSIDE GRID"))</f>
        <v/>
      </c>
      <c r="Q1116" t="str">
        <f t="shared" si="197"/>
        <v/>
      </c>
    </row>
    <row r="1117" spans="1:17" x14ac:dyDescent="0.3">
      <c r="A1117">
        <f t="shared" si="187"/>
        <v>8</v>
      </c>
      <c r="B1117">
        <f t="shared" si="188"/>
        <v>58</v>
      </c>
      <c r="C1117" t="str" cm="1">
        <f t="array" ref="C1117">IFERROR(INDEX('TRIP MANAGER'!$O$18:$O$25,$A1117),"")</f>
        <v/>
      </c>
      <c r="D1117" t="str" cm="1">
        <f t="array" ref="D1117">IFERROR(INDEX('TRIP MANAGER'!$P$18:$P$25,$A1117),"")</f>
        <v/>
      </c>
      <c r="E1117" t="str" cm="1">
        <f t="array" ref="E1117">IFERROR(INDEX('TRIP MANAGER'!$Q$18:$Q$25,$A1117),"")</f>
        <v/>
      </c>
      <c r="F1117" t="str" cm="1">
        <f t="array" ref="F1117">IFERROR(INDEX('TRIP MANAGER'!$R$18:$R$25,$A1117),"")</f>
        <v/>
      </c>
      <c r="G1117" t="str" cm="1">
        <f t="array" ref="G1117">IFERROR(INDEX('TRIP MANAGER'!$S$18:$S$25,$A1117),"")</f>
        <v/>
      </c>
      <c r="H1117">
        <f t="shared" si="189"/>
        <v>0.38666666666666666</v>
      </c>
      <c r="I1117" t="str">
        <f t="shared" si="190"/>
        <v/>
      </c>
      <c r="J1117" t="str">
        <f t="shared" si="191"/>
        <v/>
      </c>
      <c r="K1117" t="str">
        <f t="shared" si="192"/>
        <v/>
      </c>
      <c r="L1117" t="str">
        <f t="shared" si="193"/>
        <v/>
      </c>
      <c r="M1117" t="str">
        <f t="shared" si="194"/>
        <v/>
      </c>
      <c r="N1117" t="str">
        <f t="shared" si="195"/>
        <v/>
      </c>
      <c r="O1117" t="str">
        <f t="shared" si="196"/>
        <v/>
      </c>
      <c r="P1117" t="str" cm="1">
        <f t="array" ref="P1117">IF($N1117="","",IFERROR(IF(INDEX(geo_grid!$B$2:$JU$231,INT(($N1117+40)/0.5)+1,INT(($O1117+30)/0.5)+1)="","",INDEX(geo_grid!$B$2:$JU$231,INT(($N1117+40)/0.5)+1,INT(($O1117+30)/0.5)+1)),"OUTSIDE GRID"))</f>
        <v/>
      </c>
      <c r="Q1117" t="str">
        <f t="shared" si="197"/>
        <v/>
      </c>
    </row>
    <row r="1118" spans="1:17" x14ac:dyDescent="0.3">
      <c r="A1118">
        <f t="shared" si="187"/>
        <v>8</v>
      </c>
      <c r="B1118">
        <f t="shared" si="188"/>
        <v>59</v>
      </c>
      <c r="C1118" t="str" cm="1">
        <f t="array" ref="C1118">IFERROR(INDEX('TRIP MANAGER'!$O$18:$O$25,$A1118),"")</f>
        <v/>
      </c>
      <c r="D1118" t="str" cm="1">
        <f t="array" ref="D1118">IFERROR(INDEX('TRIP MANAGER'!$P$18:$P$25,$A1118),"")</f>
        <v/>
      </c>
      <c r="E1118" t="str" cm="1">
        <f t="array" ref="E1118">IFERROR(INDEX('TRIP MANAGER'!$Q$18:$Q$25,$A1118),"")</f>
        <v/>
      </c>
      <c r="F1118" t="str" cm="1">
        <f t="array" ref="F1118">IFERROR(INDEX('TRIP MANAGER'!$R$18:$R$25,$A1118),"")</f>
        <v/>
      </c>
      <c r="G1118" t="str" cm="1">
        <f t="array" ref="G1118">IFERROR(INDEX('TRIP MANAGER'!$S$18:$S$25,$A1118),"")</f>
        <v/>
      </c>
      <c r="H1118">
        <f t="shared" si="189"/>
        <v>0.39333333333333331</v>
      </c>
      <c r="I1118" t="str">
        <f t="shared" si="190"/>
        <v/>
      </c>
      <c r="J1118" t="str">
        <f t="shared" si="191"/>
        <v/>
      </c>
      <c r="K1118" t="str">
        <f t="shared" si="192"/>
        <v/>
      </c>
      <c r="L1118" t="str">
        <f t="shared" si="193"/>
        <v/>
      </c>
      <c r="M1118" t="str">
        <f t="shared" si="194"/>
        <v/>
      </c>
      <c r="N1118" t="str">
        <f t="shared" si="195"/>
        <v/>
      </c>
      <c r="O1118" t="str">
        <f t="shared" si="196"/>
        <v/>
      </c>
      <c r="P1118" t="str" cm="1">
        <f t="array" ref="P1118">IF($N1118="","",IFERROR(IF(INDEX(geo_grid!$B$2:$JU$231,INT(($N1118+40)/0.5)+1,INT(($O1118+30)/0.5)+1)="","",INDEX(geo_grid!$B$2:$JU$231,INT(($N1118+40)/0.5)+1,INT(($O1118+30)/0.5)+1)),"OUTSIDE GRID"))</f>
        <v/>
      </c>
      <c r="Q1118" t="str">
        <f t="shared" si="197"/>
        <v/>
      </c>
    </row>
    <row r="1119" spans="1:17" x14ac:dyDescent="0.3">
      <c r="A1119">
        <f t="shared" si="187"/>
        <v>8</v>
      </c>
      <c r="B1119">
        <f t="shared" si="188"/>
        <v>60</v>
      </c>
      <c r="C1119" t="str" cm="1">
        <f t="array" ref="C1119">IFERROR(INDEX('TRIP MANAGER'!$O$18:$O$25,$A1119),"")</f>
        <v/>
      </c>
      <c r="D1119" t="str" cm="1">
        <f t="array" ref="D1119">IFERROR(INDEX('TRIP MANAGER'!$P$18:$P$25,$A1119),"")</f>
        <v/>
      </c>
      <c r="E1119" t="str" cm="1">
        <f t="array" ref="E1119">IFERROR(INDEX('TRIP MANAGER'!$Q$18:$Q$25,$A1119),"")</f>
        <v/>
      </c>
      <c r="F1119" t="str" cm="1">
        <f t="array" ref="F1119">IFERROR(INDEX('TRIP MANAGER'!$R$18:$R$25,$A1119),"")</f>
        <v/>
      </c>
      <c r="G1119" t="str" cm="1">
        <f t="array" ref="G1119">IFERROR(INDEX('TRIP MANAGER'!$S$18:$S$25,$A1119),"")</f>
        <v/>
      </c>
      <c r="H1119">
        <f t="shared" si="189"/>
        <v>0.4</v>
      </c>
      <c r="I1119" t="str">
        <f t="shared" si="190"/>
        <v/>
      </c>
      <c r="J1119" t="str">
        <f t="shared" si="191"/>
        <v/>
      </c>
      <c r="K1119" t="str">
        <f t="shared" si="192"/>
        <v/>
      </c>
      <c r="L1119" t="str">
        <f t="shared" si="193"/>
        <v/>
      </c>
      <c r="M1119" t="str">
        <f t="shared" si="194"/>
        <v/>
      </c>
      <c r="N1119" t="str">
        <f t="shared" si="195"/>
        <v/>
      </c>
      <c r="O1119" t="str">
        <f t="shared" si="196"/>
        <v/>
      </c>
      <c r="P1119" t="str" cm="1">
        <f t="array" ref="P1119">IF($N1119="","",IFERROR(IF(INDEX(geo_grid!$B$2:$JU$231,INT(($N1119+40)/0.5)+1,INT(($O1119+30)/0.5)+1)="","",INDEX(geo_grid!$B$2:$JU$231,INT(($N1119+40)/0.5)+1,INT(($O1119+30)/0.5)+1)),"OUTSIDE GRID"))</f>
        <v/>
      </c>
      <c r="Q1119" t="str">
        <f t="shared" si="197"/>
        <v/>
      </c>
    </row>
    <row r="1120" spans="1:17" x14ac:dyDescent="0.3">
      <c r="A1120">
        <f t="shared" si="187"/>
        <v>8</v>
      </c>
      <c r="B1120">
        <f t="shared" si="188"/>
        <v>61</v>
      </c>
      <c r="C1120" t="str" cm="1">
        <f t="array" ref="C1120">IFERROR(INDEX('TRIP MANAGER'!$O$18:$O$25,$A1120),"")</f>
        <v/>
      </c>
      <c r="D1120" t="str" cm="1">
        <f t="array" ref="D1120">IFERROR(INDEX('TRIP MANAGER'!$P$18:$P$25,$A1120),"")</f>
        <v/>
      </c>
      <c r="E1120" t="str" cm="1">
        <f t="array" ref="E1120">IFERROR(INDEX('TRIP MANAGER'!$Q$18:$Q$25,$A1120),"")</f>
        <v/>
      </c>
      <c r="F1120" t="str" cm="1">
        <f t="array" ref="F1120">IFERROR(INDEX('TRIP MANAGER'!$R$18:$R$25,$A1120),"")</f>
        <v/>
      </c>
      <c r="G1120" t="str" cm="1">
        <f t="array" ref="G1120">IFERROR(INDEX('TRIP MANAGER'!$S$18:$S$25,$A1120),"")</f>
        <v/>
      </c>
      <c r="H1120">
        <f t="shared" si="189"/>
        <v>0.40666666666666668</v>
      </c>
      <c r="I1120" t="str">
        <f t="shared" si="190"/>
        <v/>
      </c>
      <c r="J1120" t="str">
        <f t="shared" si="191"/>
        <v/>
      </c>
      <c r="K1120" t="str">
        <f t="shared" si="192"/>
        <v/>
      </c>
      <c r="L1120" t="str">
        <f t="shared" si="193"/>
        <v/>
      </c>
      <c r="M1120" t="str">
        <f t="shared" si="194"/>
        <v/>
      </c>
      <c r="N1120" t="str">
        <f t="shared" si="195"/>
        <v/>
      </c>
      <c r="O1120" t="str">
        <f t="shared" si="196"/>
        <v/>
      </c>
      <c r="P1120" t="str" cm="1">
        <f t="array" ref="P1120">IF($N1120="","",IFERROR(IF(INDEX(geo_grid!$B$2:$JU$231,INT(($N1120+40)/0.5)+1,INT(($O1120+30)/0.5)+1)="","",INDEX(geo_grid!$B$2:$JU$231,INT(($N1120+40)/0.5)+1,INT(($O1120+30)/0.5)+1)),"OUTSIDE GRID"))</f>
        <v/>
      </c>
      <c r="Q1120" t="str">
        <f t="shared" si="197"/>
        <v/>
      </c>
    </row>
    <row r="1121" spans="1:17" x14ac:dyDescent="0.3">
      <c r="A1121">
        <f t="shared" si="187"/>
        <v>8</v>
      </c>
      <c r="B1121">
        <f t="shared" si="188"/>
        <v>62</v>
      </c>
      <c r="C1121" t="str" cm="1">
        <f t="array" ref="C1121">IFERROR(INDEX('TRIP MANAGER'!$O$18:$O$25,$A1121),"")</f>
        <v/>
      </c>
      <c r="D1121" t="str" cm="1">
        <f t="array" ref="D1121">IFERROR(INDEX('TRIP MANAGER'!$P$18:$P$25,$A1121),"")</f>
        <v/>
      </c>
      <c r="E1121" t="str" cm="1">
        <f t="array" ref="E1121">IFERROR(INDEX('TRIP MANAGER'!$Q$18:$Q$25,$A1121),"")</f>
        <v/>
      </c>
      <c r="F1121" t="str" cm="1">
        <f t="array" ref="F1121">IFERROR(INDEX('TRIP MANAGER'!$R$18:$R$25,$A1121),"")</f>
        <v/>
      </c>
      <c r="G1121" t="str" cm="1">
        <f t="array" ref="G1121">IFERROR(INDEX('TRIP MANAGER'!$S$18:$S$25,$A1121),"")</f>
        <v/>
      </c>
      <c r="H1121">
        <f t="shared" si="189"/>
        <v>0.41333333333333333</v>
      </c>
      <c r="I1121" t="str">
        <f t="shared" si="190"/>
        <v/>
      </c>
      <c r="J1121" t="str">
        <f t="shared" si="191"/>
        <v/>
      </c>
      <c r="K1121" t="str">
        <f t="shared" si="192"/>
        <v/>
      </c>
      <c r="L1121" t="str">
        <f t="shared" si="193"/>
        <v/>
      </c>
      <c r="M1121" t="str">
        <f t="shared" si="194"/>
        <v/>
      </c>
      <c r="N1121" t="str">
        <f t="shared" si="195"/>
        <v/>
      </c>
      <c r="O1121" t="str">
        <f t="shared" si="196"/>
        <v/>
      </c>
      <c r="P1121" t="str" cm="1">
        <f t="array" ref="P1121">IF($N1121="","",IFERROR(IF(INDEX(geo_grid!$B$2:$JU$231,INT(($N1121+40)/0.5)+1,INT(($O1121+30)/0.5)+1)="","",INDEX(geo_grid!$B$2:$JU$231,INT(($N1121+40)/0.5)+1,INT(($O1121+30)/0.5)+1)),"OUTSIDE GRID"))</f>
        <v/>
      </c>
      <c r="Q1121" t="str">
        <f t="shared" si="197"/>
        <v/>
      </c>
    </row>
    <row r="1122" spans="1:17" x14ac:dyDescent="0.3">
      <c r="A1122">
        <f t="shared" si="187"/>
        <v>8</v>
      </c>
      <c r="B1122">
        <f t="shared" si="188"/>
        <v>63</v>
      </c>
      <c r="C1122" t="str" cm="1">
        <f t="array" ref="C1122">IFERROR(INDEX('TRIP MANAGER'!$O$18:$O$25,$A1122),"")</f>
        <v/>
      </c>
      <c r="D1122" t="str" cm="1">
        <f t="array" ref="D1122">IFERROR(INDEX('TRIP MANAGER'!$P$18:$P$25,$A1122),"")</f>
        <v/>
      </c>
      <c r="E1122" t="str" cm="1">
        <f t="array" ref="E1122">IFERROR(INDEX('TRIP MANAGER'!$Q$18:$Q$25,$A1122),"")</f>
        <v/>
      </c>
      <c r="F1122" t="str" cm="1">
        <f t="array" ref="F1122">IFERROR(INDEX('TRIP MANAGER'!$R$18:$R$25,$A1122),"")</f>
        <v/>
      </c>
      <c r="G1122" t="str" cm="1">
        <f t="array" ref="G1122">IFERROR(INDEX('TRIP MANAGER'!$S$18:$S$25,$A1122),"")</f>
        <v/>
      </c>
      <c r="H1122">
        <f t="shared" si="189"/>
        <v>0.42</v>
      </c>
      <c r="I1122" t="str">
        <f t="shared" si="190"/>
        <v/>
      </c>
      <c r="J1122" t="str">
        <f t="shared" si="191"/>
        <v/>
      </c>
      <c r="K1122" t="str">
        <f t="shared" si="192"/>
        <v/>
      </c>
      <c r="L1122" t="str">
        <f t="shared" si="193"/>
        <v/>
      </c>
      <c r="M1122" t="str">
        <f t="shared" si="194"/>
        <v/>
      </c>
      <c r="N1122" t="str">
        <f t="shared" si="195"/>
        <v/>
      </c>
      <c r="O1122" t="str">
        <f t="shared" si="196"/>
        <v/>
      </c>
      <c r="P1122" t="str" cm="1">
        <f t="array" ref="P1122">IF($N1122="","",IFERROR(IF(INDEX(geo_grid!$B$2:$JU$231,INT(($N1122+40)/0.5)+1,INT(($O1122+30)/0.5)+1)="","",INDEX(geo_grid!$B$2:$JU$231,INT(($N1122+40)/0.5)+1,INT(($O1122+30)/0.5)+1)),"OUTSIDE GRID"))</f>
        <v/>
      </c>
      <c r="Q1122" t="str">
        <f t="shared" si="197"/>
        <v/>
      </c>
    </row>
    <row r="1123" spans="1:17" x14ac:dyDescent="0.3">
      <c r="A1123">
        <f t="shared" si="187"/>
        <v>8</v>
      </c>
      <c r="B1123">
        <f t="shared" si="188"/>
        <v>64</v>
      </c>
      <c r="C1123" t="str" cm="1">
        <f t="array" ref="C1123">IFERROR(INDEX('TRIP MANAGER'!$O$18:$O$25,$A1123),"")</f>
        <v/>
      </c>
      <c r="D1123" t="str" cm="1">
        <f t="array" ref="D1123">IFERROR(INDEX('TRIP MANAGER'!$P$18:$P$25,$A1123),"")</f>
        <v/>
      </c>
      <c r="E1123" t="str" cm="1">
        <f t="array" ref="E1123">IFERROR(INDEX('TRIP MANAGER'!$Q$18:$Q$25,$A1123),"")</f>
        <v/>
      </c>
      <c r="F1123" t="str" cm="1">
        <f t="array" ref="F1123">IFERROR(INDEX('TRIP MANAGER'!$R$18:$R$25,$A1123),"")</f>
        <v/>
      </c>
      <c r="G1123" t="str" cm="1">
        <f t="array" ref="G1123">IFERROR(INDEX('TRIP MANAGER'!$S$18:$S$25,$A1123),"")</f>
        <v/>
      </c>
      <c r="H1123">
        <f t="shared" si="189"/>
        <v>0.42666666666666669</v>
      </c>
      <c r="I1123" t="str">
        <f t="shared" si="190"/>
        <v/>
      </c>
      <c r="J1123" t="str">
        <f t="shared" si="191"/>
        <v/>
      </c>
      <c r="K1123" t="str">
        <f t="shared" si="192"/>
        <v/>
      </c>
      <c r="L1123" t="str">
        <f t="shared" si="193"/>
        <v/>
      </c>
      <c r="M1123" t="str">
        <f t="shared" si="194"/>
        <v/>
      </c>
      <c r="N1123" t="str">
        <f t="shared" si="195"/>
        <v/>
      </c>
      <c r="O1123" t="str">
        <f t="shared" si="196"/>
        <v/>
      </c>
      <c r="P1123" t="str" cm="1">
        <f t="array" ref="P1123">IF($N1123="","",IFERROR(IF(INDEX(geo_grid!$B$2:$JU$231,INT(($N1123+40)/0.5)+1,INT(($O1123+30)/0.5)+1)="","",INDEX(geo_grid!$B$2:$JU$231,INT(($N1123+40)/0.5)+1,INT(($O1123+30)/0.5)+1)),"OUTSIDE GRID"))</f>
        <v/>
      </c>
      <c r="Q1123" t="str">
        <f t="shared" si="197"/>
        <v/>
      </c>
    </row>
    <row r="1124" spans="1:17" x14ac:dyDescent="0.3">
      <c r="A1124">
        <f t="shared" si="187"/>
        <v>8</v>
      </c>
      <c r="B1124">
        <f t="shared" si="188"/>
        <v>65</v>
      </c>
      <c r="C1124" t="str" cm="1">
        <f t="array" ref="C1124">IFERROR(INDEX('TRIP MANAGER'!$O$18:$O$25,$A1124),"")</f>
        <v/>
      </c>
      <c r="D1124" t="str" cm="1">
        <f t="array" ref="D1124">IFERROR(INDEX('TRIP MANAGER'!$P$18:$P$25,$A1124),"")</f>
        <v/>
      </c>
      <c r="E1124" t="str" cm="1">
        <f t="array" ref="E1124">IFERROR(INDEX('TRIP MANAGER'!$Q$18:$Q$25,$A1124),"")</f>
        <v/>
      </c>
      <c r="F1124" t="str" cm="1">
        <f t="array" ref="F1124">IFERROR(INDEX('TRIP MANAGER'!$R$18:$R$25,$A1124),"")</f>
        <v/>
      </c>
      <c r="G1124" t="str" cm="1">
        <f t="array" ref="G1124">IFERROR(INDEX('TRIP MANAGER'!$S$18:$S$25,$A1124),"")</f>
        <v/>
      </c>
      <c r="H1124">
        <f t="shared" si="189"/>
        <v>0.43333333333333335</v>
      </c>
      <c r="I1124" t="str">
        <f t="shared" si="190"/>
        <v/>
      </c>
      <c r="J1124" t="str">
        <f t="shared" si="191"/>
        <v/>
      </c>
      <c r="K1124" t="str">
        <f t="shared" si="192"/>
        <v/>
      </c>
      <c r="L1124" t="str">
        <f t="shared" si="193"/>
        <v/>
      </c>
      <c r="M1124" t="str">
        <f t="shared" si="194"/>
        <v/>
      </c>
      <c r="N1124" t="str">
        <f t="shared" si="195"/>
        <v/>
      </c>
      <c r="O1124" t="str">
        <f t="shared" si="196"/>
        <v/>
      </c>
      <c r="P1124" t="str" cm="1">
        <f t="array" ref="P1124">IF($N1124="","",IFERROR(IF(INDEX(geo_grid!$B$2:$JU$231,INT(($N1124+40)/0.5)+1,INT(($O1124+30)/0.5)+1)="","",INDEX(geo_grid!$B$2:$JU$231,INT(($N1124+40)/0.5)+1,INT(($O1124+30)/0.5)+1)),"OUTSIDE GRID"))</f>
        <v/>
      </c>
      <c r="Q1124" t="str">
        <f t="shared" si="197"/>
        <v/>
      </c>
    </row>
    <row r="1125" spans="1:17" x14ac:dyDescent="0.3">
      <c r="A1125">
        <f t="shared" si="187"/>
        <v>8</v>
      </c>
      <c r="B1125">
        <f t="shared" si="188"/>
        <v>66</v>
      </c>
      <c r="C1125" t="str" cm="1">
        <f t="array" ref="C1125">IFERROR(INDEX('TRIP MANAGER'!$O$18:$O$25,$A1125),"")</f>
        <v/>
      </c>
      <c r="D1125" t="str" cm="1">
        <f t="array" ref="D1125">IFERROR(INDEX('TRIP MANAGER'!$P$18:$P$25,$A1125),"")</f>
        <v/>
      </c>
      <c r="E1125" t="str" cm="1">
        <f t="array" ref="E1125">IFERROR(INDEX('TRIP MANAGER'!$Q$18:$Q$25,$A1125),"")</f>
        <v/>
      </c>
      <c r="F1125" t="str" cm="1">
        <f t="array" ref="F1125">IFERROR(INDEX('TRIP MANAGER'!$R$18:$R$25,$A1125),"")</f>
        <v/>
      </c>
      <c r="G1125" t="str" cm="1">
        <f t="array" ref="G1125">IFERROR(INDEX('TRIP MANAGER'!$S$18:$S$25,$A1125),"")</f>
        <v/>
      </c>
      <c r="H1125">
        <f t="shared" si="189"/>
        <v>0.44</v>
      </c>
      <c r="I1125" t="str">
        <f t="shared" si="190"/>
        <v/>
      </c>
      <c r="J1125" t="str">
        <f t="shared" si="191"/>
        <v/>
      </c>
      <c r="K1125" t="str">
        <f t="shared" si="192"/>
        <v/>
      </c>
      <c r="L1125" t="str">
        <f t="shared" si="193"/>
        <v/>
      </c>
      <c r="M1125" t="str">
        <f t="shared" si="194"/>
        <v/>
      </c>
      <c r="N1125" t="str">
        <f t="shared" si="195"/>
        <v/>
      </c>
      <c r="O1125" t="str">
        <f t="shared" si="196"/>
        <v/>
      </c>
      <c r="P1125" t="str" cm="1">
        <f t="array" ref="P1125">IF($N1125="","",IFERROR(IF(INDEX(geo_grid!$B$2:$JU$231,INT(($N1125+40)/0.5)+1,INT(($O1125+30)/0.5)+1)="","",INDEX(geo_grid!$B$2:$JU$231,INT(($N1125+40)/0.5)+1,INT(($O1125+30)/0.5)+1)),"OUTSIDE GRID"))</f>
        <v/>
      </c>
      <c r="Q1125" t="str">
        <f t="shared" si="197"/>
        <v/>
      </c>
    </row>
    <row r="1126" spans="1:17" x14ac:dyDescent="0.3">
      <c r="A1126">
        <f t="shared" si="187"/>
        <v>8</v>
      </c>
      <c r="B1126">
        <f t="shared" si="188"/>
        <v>67</v>
      </c>
      <c r="C1126" t="str" cm="1">
        <f t="array" ref="C1126">IFERROR(INDEX('TRIP MANAGER'!$O$18:$O$25,$A1126),"")</f>
        <v/>
      </c>
      <c r="D1126" t="str" cm="1">
        <f t="array" ref="D1126">IFERROR(INDEX('TRIP MANAGER'!$P$18:$P$25,$A1126),"")</f>
        <v/>
      </c>
      <c r="E1126" t="str" cm="1">
        <f t="array" ref="E1126">IFERROR(INDEX('TRIP MANAGER'!$Q$18:$Q$25,$A1126),"")</f>
        <v/>
      </c>
      <c r="F1126" t="str" cm="1">
        <f t="array" ref="F1126">IFERROR(INDEX('TRIP MANAGER'!$R$18:$R$25,$A1126),"")</f>
        <v/>
      </c>
      <c r="G1126" t="str" cm="1">
        <f t="array" ref="G1126">IFERROR(INDEX('TRIP MANAGER'!$S$18:$S$25,$A1126),"")</f>
        <v/>
      </c>
      <c r="H1126">
        <f t="shared" si="189"/>
        <v>0.44666666666666666</v>
      </c>
      <c r="I1126" t="str">
        <f t="shared" si="190"/>
        <v/>
      </c>
      <c r="J1126" t="str">
        <f t="shared" si="191"/>
        <v/>
      </c>
      <c r="K1126" t="str">
        <f t="shared" si="192"/>
        <v/>
      </c>
      <c r="L1126" t="str">
        <f t="shared" si="193"/>
        <v/>
      </c>
      <c r="M1126" t="str">
        <f t="shared" si="194"/>
        <v/>
      </c>
      <c r="N1126" t="str">
        <f t="shared" si="195"/>
        <v/>
      </c>
      <c r="O1126" t="str">
        <f t="shared" si="196"/>
        <v/>
      </c>
      <c r="P1126" t="str" cm="1">
        <f t="array" ref="P1126">IF($N1126="","",IFERROR(IF(INDEX(geo_grid!$B$2:$JU$231,INT(($N1126+40)/0.5)+1,INT(($O1126+30)/0.5)+1)="","",INDEX(geo_grid!$B$2:$JU$231,INT(($N1126+40)/0.5)+1,INT(($O1126+30)/0.5)+1)),"OUTSIDE GRID"))</f>
        <v/>
      </c>
      <c r="Q1126" t="str">
        <f t="shared" si="197"/>
        <v/>
      </c>
    </row>
    <row r="1127" spans="1:17" x14ac:dyDescent="0.3">
      <c r="A1127">
        <f t="shared" si="187"/>
        <v>8</v>
      </c>
      <c r="B1127">
        <f t="shared" si="188"/>
        <v>68</v>
      </c>
      <c r="C1127" t="str" cm="1">
        <f t="array" ref="C1127">IFERROR(INDEX('TRIP MANAGER'!$O$18:$O$25,$A1127),"")</f>
        <v/>
      </c>
      <c r="D1127" t="str" cm="1">
        <f t="array" ref="D1127">IFERROR(INDEX('TRIP MANAGER'!$P$18:$P$25,$A1127),"")</f>
        <v/>
      </c>
      <c r="E1127" t="str" cm="1">
        <f t="array" ref="E1127">IFERROR(INDEX('TRIP MANAGER'!$Q$18:$Q$25,$A1127),"")</f>
        <v/>
      </c>
      <c r="F1127" t="str" cm="1">
        <f t="array" ref="F1127">IFERROR(INDEX('TRIP MANAGER'!$R$18:$R$25,$A1127),"")</f>
        <v/>
      </c>
      <c r="G1127" t="str" cm="1">
        <f t="array" ref="G1127">IFERROR(INDEX('TRIP MANAGER'!$S$18:$S$25,$A1127),"")</f>
        <v/>
      </c>
      <c r="H1127">
        <f t="shared" si="189"/>
        <v>0.45333333333333331</v>
      </c>
      <c r="I1127" t="str">
        <f t="shared" si="190"/>
        <v/>
      </c>
      <c r="J1127" t="str">
        <f t="shared" si="191"/>
        <v/>
      </c>
      <c r="K1127" t="str">
        <f t="shared" si="192"/>
        <v/>
      </c>
      <c r="L1127" t="str">
        <f t="shared" si="193"/>
        <v/>
      </c>
      <c r="M1127" t="str">
        <f t="shared" si="194"/>
        <v/>
      </c>
      <c r="N1127" t="str">
        <f t="shared" si="195"/>
        <v/>
      </c>
      <c r="O1127" t="str">
        <f t="shared" si="196"/>
        <v/>
      </c>
      <c r="P1127" t="str" cm="1">
        <f t="array" ref="P1127">IF($N1127="","",IFERROR(IF(INDEX(geo_grid!$B$2:$JU$231,INT(($N1127+40)/0.5)+1,INT(($O1127+30)/0.5)+1)="","",INDEX(geo_grid!$B$2:$JU$231,INT(($N1127+40)/0.5)+1,INT(($O1127+30)/0.5)+1)),"OUTSIDE GRID"))</f>
        <v/>
      </c>
      <c r="Q1127" t="str">
        <f t="shared" si="197"/>
        <v/>
      </c>
    </row>
    <row r="1128" spans="1:17" x14ac:dyDescent="0.3">
      <c r="A1128">
        <f t="shared" si="187"/>
        <v>8</v>
      </c>
      <c r="B1128">
        <f t="shared" si="188"/>
        <v>69</v>
      </c>
      <c r="C1128" t="str" cm="1">
        <f t="array" ref="C1128">IFERROR(INDEX('TRIP MANAGER'!$O$18:$O$25,$A1128),"")</f>
        <v/>
      </c>
      <c r="D1128" t="str" cm="1">
        <f t="array" ref="D1128">IFERROR(INDEX('TRIP MANAGER'!$P$18:$P$25,$A1128),"")</f>
        <v/>
      </c>
      <c r="E1128" t="str" cm="1">
        <f t="array" ref="E1128">IFERROR(INDEX('TRIP MANAGER'!$Q$18:$Q$25,$A1128),"")</f>
        <v/>
      </c>
      <c r="F1128" t="str" cm="1">
        <f t="array" ref="F1128">IFERROR(INDEX('TRIP MANAGER'!$R$18:$R$25,$A1128),"")</f>
        <v/>
      </c>
      <c r="G1128" t="str" cm="1">
        <f t="array" ref="G1128">IFERROR(INDEX('TRIP MANAGER'!$S$18:$S$25,$A1128),"")</f>
        <v/>
      </c>
      <c r="H1128">
        <f t="shared" si="189"/>
        <v>0.46</v>
      </c>
      <c r="I1128" t="str">
        <f t="shared" si="190"/>
        <v/>
      </c>
      <c r="J1128" t="str">
        <f t="shared" si="191"/>
        <v/>
      </c>
      <c r="K1128" t="str">
        <f t="shared" si="192"/>
        <v/>
      </c>
      <c r="L1128" t="str">
        <f t="shared" si="193"/>
        <v/>
      </c>
      <c r="M1128" t="str">
        <f t="shared" si="194"/>
        <v/>
      </c>
      <c r="N1128" t="str">
        <f t="shared" si="195"/>
        <v/>
      </c>
      <c r="O1128" t="str">
        <f t="shared" si="196"/>
        <v/>
      </c>
      <c r="P1128" t="str" cm="1">
        <f t="array" ref="P1128">IF($N1128="","",IFERROR(IF(INDEX(geo_grid!$B$2:$JU$231,INT(($N1128+40)/0.5)+1,INT(($O1128+30)/0.5)+1)="","",INDEX(geo_grid!$B$2:$JU$231,INT(($N1128+40)/0.5)+1,INT(($O1128+30)/0.5)+1)),"OUTSIDE GRID"))</f>
        <v/>
      </c>
      <c r="Q1128" t="str">
        <f t="shared" si="197"/>
        <v/>
      </c>
    </row>
    <row r="1129" spans="1:17" x14ac:dyDescent="0.3">
      <c r="A1129">
        <f t="shared" si="187"/>
        <v>8</v>
      </c>
      <c r="B1129">
        <f t="shared" si="188"/>
        <v>70</v>
      </c>
      <c r="C1129" t="str" cm="1">
        <f t="array" ref="C1129">IFERROR(INDEX('TRIP MANAGER'!$O$18:$O$25,$A1129),"")</f>
        <v/>
      </c>
      <c r="D1129" t="str" cm="1">
        <f t="array" ref="D1129">IFERROR(INDEX('TRIP MANAGER'!$P$18:$P$25,$A1129),"")</f>
        <v/>
      </c>
      <c r="E1129" t="str" cm="1">
        <f t="array" ref="E1129">IFERROR(INDEX('TRIP MANAGER'!$Q$18:$Q$25,$A1129),"")</f>
        <v/>
      </c>
      <c r="F1129" t="str" cm="1">
        <f t="array" ref="F1129">IFERROR(INDEX('TRIP MANAGER'!$R$18:$R$25,$A1129),"")</f>
        <v/>
      </c>
      <c r="G1129" t="str" cm="1">
        <f t="array" ref="G1129">IFERROR(INDEX('TRIP MANAGER'!$S$18:$S$25,$A1129),"")</f>
        <v/>
      </c>
      <c r="H1129">
        <f t="shared" si="189"/>
        <v>0.46666666666666667</v>
      </c>
      <c r="I1129" t="str">
        <f t="shared" si="190"/>
        <v/>
      </c>
      <c r="J1129" t="str">
        <f t="shared" si="191"/>
        <v/>
      </c>
      <c r="K1129" t="str">
        <f t="shared" si="192"/>
        <v/>
      </c>
      <c r="L1129" t="str">
        <f t="shared" si="193"/>
        <v/>
      </c>
      <c r="M1129" t="str">
        <f t="shared" si="194"/>
        <v/>
      </c>
      <c r="N1129" t="str">
        <f t="shared" si="195"/>
        <v/>
      </c>
      <c r="O1129" t="str">
        <f t="shared" si="196"/>
        <v/>
      </c>
      <c r="P1129" t="str" cm="1">
        <f t="array" ref="P1129">IF($N1129="","",IFERROR(IF(INDEX(geo_grid!$B$2:$JU$231,INT(($N1129+40)/0.5)+1,INT(($O1129+30)/0.5)+1)="","",INDEX(geo_grid!$B$2:$JU$231,INT(($N1129+40)/0.5)+1,INT(($O1129+30)/0.5)+1)),"OUTSIDE GRID"))</f>
        <v/>
      </c>
      <c r="Q1129" t="str">
        <f t="shared" si="197"/>
        <v/>
      </c>
    </row>
    <row r="1130" spans="1:17" x14ac:dyDescent="0.3">
      <c r="A1130">
        <f t="shared" si="187"/>
        <v>8</v>
      </c>
      <c r="B1130">
        <f t="shared" si="188"/>
        <v>71</v>
      </c>
      <c r="C1130" t="str" cm="1">
        <f t="array" ref="C1130">IFERROR(INDEX('TRIP MANAGER'!$O$18:$O$25,$A1130),"")</f>
        <v/>
      </c>
      <c r="D1130" t="str" cm="1">
        <f t="array" ref="D1130">IFERROR(INDEX('TRIP MANAGER'!$P$18:$P$25,$A1130),"")</f>
        <v/>
      </c>
      <c r="E1130" t="str" cm="1">
        <f t="array" ref="E1130">IFERROR(INDEX('TRIP MANAGER'!$Q$18:$Q$25,$A1130),"")</f>
        <v/>
      </c>
      <c r="F1130" t="str" cm="1">
        <f t="array" ref="F1130">IFERROR(INDEX('TRIP MANAGER'!$R$18:$R$25,$A1130),"")</f>
        <v/>
      </c>
      <c r="G1130" t="str" cm="1">
        <f t="array" ref="G1130">IFERROR(INDEX('TRIP MANAGER'!$S$18:$S$25,$A1130),"")</f>
        <v/>
      </c>
      <c r="H1130">
        <f t="shared" si="189"/>
        <v>0.47333333333333333</v>
      </c>
      <c r="I1130" t="str">
        <f t="shared" si="190"/>
        <v/>
      </c>
      <c r="J1130" t="str">
        <f t="shared" si="191"/>
        <v/>
      </c>
      <c r="K1130" t="str">
        <f t="shared" si="192"/>
        <v/>
      </c>
      <c r="L1130" t="str">
        <f t="shared" si="193"/>
        <v/>
      </c>
      <c r="M1130" t="str">
        <f t="shared" si="194"/>
        <v/>
      </c>
      <c r="N1130" t="str">
        <f t="shared" si="195"/>
        <v/>
      </c>
      <c r="O1130" t="str">
        <f t="shared" si="196"/>
        <v/>
      </c>
      <c r="P1130" t="str" cm="1">
        <f t="array" ref="P1130">IF($N1130="","",IFERROR(IF(INDEX(geo_grid!$B$2:$JU$231,INT(($N1130+40)/0.5)+1,INT(($O1130+30)/0.5)+1)="","",INDEX(geo_grid!$B$2:$JU$231,INT(($N1130+40)/0.5)+1,INT(($O1130+30)/0.5)+1)),"OUTSIDE GRID"))</f>
        <v/>
      </c>
      <c r="Q1130" t="str">
        <f t="shared" si="197"/>
        <v/>
      </c>
    </row>
    <row r="1131" spans="1:17" x14ac:dyDescent="0.3">
      <c r="A1131">
        <f t="shared" si="187"/>
        <v>8</v>
      </c>
      <c r="B1131">
        <f t="shared" si="188"/>
        <v>72</v>
      </c>
      <c r="C1131" t="str" cm="1">
        <f t="array" ref="C1131">IFERROR(INDEX('TRIP MANAGER'!$O$18:$O$25,$A1131),"")</f>
        <v/>
      </c>
      <c r="D1131" t="str" cm="1">
        <f t="array" ref="D1131">IFERROR(INDEX('TRIP MANAGER'!$P$18:$P$25,$A1131),"")</f>
        <v/>
      </c>
      <c r="E1131" t="str" cm="1">
        <f t="array" ref="E1131">IFERROR(INDEX('TRIP MANAGER'!$Q$18:$Q$25,$A1131),"")</f>
        <v/>
      </c>
      <c r="F1131" t="str" cm="1">
        <f t="array" ref="F1131">IFERROR(INDEX('TRIP MANAGER'!$R$18:$R$25,$A1131),"")</f>
        <v/>
      </c>
      <c r="G1131" t="str" cm="1">
        <f t="array" ref="G1131">IFERROR(INDEX('TRIP MANAGER'!$S$18:$S$25,$A1131),"")</f>
        <v/>
      </c>
      <c r="H1131">
        <f t="shared" si="189"/>
        <v>0.48</v>
      </c>
      <c r="I1131" t="str">
        <f t="shared" si="190"/>
        <v/>
      </c>
      <c r="J1131" t="str">
        <f t="shared" si="191"/>
        <v/>
      </c>
      <c r="K1131" t="str">
        <f t="shared" si="192"/>
        <v/>
      </c>
      <c r="L1131" t="str">
        <f t="shared" si="193"/>
        <v/>
      </c>
      <c r="M1131" t="str">
        <f t="shared" si="194"/>
        <v/>
      </c>
      <c r="N1131" t="str">
        <f t="shared" si="195"/>
        <v/>
      </c>
      <c r="O1131" t="str">
        <f t="shared" si="196"/>
        <v/>
      </c>
      <c r="P1131" t="str" cm="1">
        <f t="array" ref="P1131">IF($N1131="","",IFERROR(IF(INDEX(geo_grid!$B$2:$JU$231,INT(($N1131+40)/0.5)+1,INT(($O1131+30)/0.5)+1)="","",INDEX(geo_grid!$B$2:$JU$231,INT(($N1131+40)/0.5)+1,INT(($O1131+30)/0.5)+1)),"OUTSIDE GRID"))</f>
        <v/>
      </c>
      <c r="Q1131" t="str">
        <f t="shared" si="197"/>
        <v/>
      </c>
    </row>
    <row r="1132" spans="1:17" x14ac:dyDescent="0.3">
      <c r="A1132">
        <f t="shared" si="187"/>
        <v>8</v>
      </c>
      <c r="B1132">
        <f t="shared" si="188"/>
        <v>73</v>
      </c>
      <c r="C1132" t="str" cm="1">
        <f t="array" ref="C1132">IFERROR(INDEX('TRIP MANAGER'!$O$18:$O$25,$A1132),"")</f>
        <v/>
      </c>
      <c r="D1132" t="str" cm="1">
        <f t="array" ref="D1132">IFERROR(INDEX('TRIP MANAGER'!$P$18:$P$25,$A1132),"")</f>
        <v/>
      </c>
      <c r="E1132" t="str" cm="1">
        <f t="array" ref="E1132">IFERROR(INDEX('TRIP MANAGER'!$Q$18:$Q$25,$A1132),"")</f>
        <v/>
      </c>
      <c r="F1132" t="str" cm="1">
        <f t="array" ref="F1132">IFERROR(INDEX('TRIP MANAGER'!$R$18:$R$25,$A1132),"")</f>
        <v/>
      </c>
      <c r="G1132" t="str" cm="1">
        <f t="array" ref="G1132">IFERROR(INDEX('TRIP MANAGER'!$S$18:$S$25,$A1132),"")</f>
        <v/>
      </c>
      <c r="H1132">
        <f t="shared" si="189"/>
        <v>0.48666666666666669</v>
      </c>
      <c r="I1132" t="str">
        <f t="shared" si="190"/>
        <v/>
      </c>
      <c r="J1132" t="str">
        <f t="shared" si="191"/>
        <v/>
      </c>
      <c r="K1132" t="str">
        <f t="shared" si="192"/>
        <v/>
      </c>
      <c r="L1132" t="str">
        <f t="shared" si="193"/>
        <v/>
      </c>
      <c r="M1132" t="str">
        <f t="shared" si="194"/>
        <v/>
      </c>
      <c r="N1132" t="str">
        <f t="shared" si="195"/>
        <v/>
      </c>
      <c r="O1132" t="str">
        <f t="shared" si="196"/>
        <v/>
      </c>
      <c r="P1132" t="str" cm="1">
        <f t="array" ref="P1132">IF($N1132="","",IFERROR(IF(INDEX(geo_grid!$B$2:$JU$231,INT(($N1132+40)/0.5)+1,INT(($O1132+30)/0.5)+1)="","",INDEX(geo_grid!$B$2:$JU$231,INT(($N1132+40)/0.5)+1,INT(($O1132+30)/0.5)+1)),"OUTSIDE GRID"))</f>
        <v/>
      </c>
      <c r="Q1132" t="str">
        <f t="shared" si="197"/>
        <v/>
      </c>
    </row>
    <row r="1133" spans="1:17" x14ac:dyDescent="0.3">
      <c r="A1133">
        <f t="shared" si="187"/>
        <v>8</v>
      </c>
      <c r="B1133">
        <f t="shared" si="188"/>
        <v>74</v>
      </c>
      <c r="C1133" t="str" cm="1">
        <f t="array" ref="C1133">IFERROR(INDEX('TRIP MANAGER'!$O$18:$O$25,$A1133),"")</f>
        <v/>
      </c>
      <c r="D1133" t="str" cm="1">
        <f t="array" ref="D1133">IFERROR(INDEX('TRIP MANAGER'!$P$18:$P$25,$A1133),"")</f>
        <v/>
      </c>
      <c r="E1133" t="str" cm="1">
        <f t="array" ref="E1133">IFERROR(INDEX('TRIP MANAGER'!$Q$18:$Q$25,$A1133),"")</f>
        <v/>
      </c>
      <c r="F1133" t="str" cm="1">
        <f t="array" ref="F1133">IFERROR(INDEX('TRIP MANAGER'!$R$18:$R$25,$A1133),"")</f>
        <v/>
      </c>
      <c r="G1133" t="str" cm="1">
        <f t="array" ref="G1133">IFERROR(INDEX('TRIP MANAGER'!$S$18:$S$25,$A1133),"")</f>
        <v/>
      </c>
      <c r="H1133">
        <f t="shared" si="189"/>
        <v>0.49333333333333335</v>
      </c>
      <c r="I1133" t="str">
        <f t="shared" si="190"/>
        <v/>
      </c>
      <c r="J1133" t="str">
        <f t="shared" si="191"/>
        <v/>
      </c>
      <c r="K1133" t="str">
        <f t="shared" si="192"/>
        <v/>
      </c>
      <c r="L1133" t="str">
        <f t="shared" si="193"/>
        <v/>
      </c>
      <c r="M1133" t="str">
        <f t="shared" si="194"/>
        <v/>
      </c>
      <c r="N1133" t="str">
        <f t="shared" si="195"/>
        <v/>
      </c>
      <c r="O1133" t="str">
        <f t="shared" si="196"/>
        <v/>
      </c>
      <c r="P1133" t="str" cm="1">
        <f t="array" ref="P1133">IF($N1133="","",IFERROR(IF(INDEX(geo_grid!$B$2:$JU$231,INT(($N1133+40)/0.5)+1,INT(($O1133+30)/0.5)+1)="","",INDEX(geo_grid!$B$2:$JU$231,INT(($N1133+40)/0.5)+1,INT(($O1133+30)/0.5)+1)),"OUTSIDE GRID"))</f>
        <v/>
      </c>
      <c r="Q1133" t="str">
        <f t="shared" si="197"/>
        <v/>
      </c>
    </row>
    <row r="1134" spans="1:17" x14ac:dyDescent="0.3">
      <c r="A1134">
        <f t="shared" si="187"/>
        <v>8</v>
      </c>
      <c r="B1134">
        <f t="shared" si="188"/>
        <v>75</v>
      </c>
      <c r="C1134" t="str" cm="1">
        <f t="array" ref="C1134">IFERROR(INDEX('TRIP MANAGER'!$O$18:$O$25,$A1134),"")</f>
        <v/>
      </c>
      <c r="D1134" t="str" cm="1">
        <f t="array" ref="D1134">IFERROR(INDEX('TRIP MANAGER'!$P$18:$P$25,$A1134),"")</f>
        <v/>
      </c>
      <c r="E1134" t="str" cm="1">
        <f t="array" ref="E1134">IFERROR(INDEX('TRIP MANAGER'!$Q$18:$Q$25,$A1134),"")</f>
        <v/>
      </c>
      <c r="F1134" t="str" cm="1">
        <f t="array" ref="F1134">IFERROR(INDEX('TRIP MANAGER'!$R$18:$R$25,$A1134),"")</f>
        <v/>
      </c>
      <c r="G1134" t="str" cm="1">
        <f t="array" ref="G1134">IFERROR(INDEX('TRIP MANAGER'!$S$18:$S$25,$A1134),"")</f>
        <v/>
      </c>
      <c r="H1134">
        <f t="shared" si="189"/>
        <v>0.5</v>
      </c>
      <c r="I1134" t="str">
        <f t="shared" si="190"/>
        <v/>
      </c>
      <c r="J1134" t="str">
        <f t="shared" si="191"/>
        <v/>
      </c>
      <c r="K1134" t="str">
        <f t="shared" si="192"/>
        <v/>
      </c>
      <c r="L1134" t="str">
        <f t="shared" si="193"/>
        <v/>
      </c>
      <c r="M1134" t="str">
        <f t="shared" si="194"/>
        <v/>
      </c>
      <c r="N1134" t="str">
        <f t="shared" si="195"/>
        <v/>
      </c>
      <c r="O1134" t="str">
        <f t="shared" si="196"/>
        <v/>
      </c>
      <c r="P1134" t="str" cm="1">
        <f t="array" ref="P1134">IF($N1134="","",IFERROR(IF(INDEX(geo_grid!$B$2:$JU$231,INT(($N1134+40)/0.5)+1,INT(($O1134+30)/0.5)+1)="","",INDEX(geo_grid!$B$2:$JU$231,INT(($N1134+40)/0.5)+1,INT(($O1134+30)/0.5)+1)),"OUTSIDE GRID"))</f>
        <v/>
      </c>
      <c r="Q1134" t="str">
        <f t="shared" si="197"/>
        <v/>
      </c>
    </row>
    <row r="1135" spans="1:17" x14ac:dyDescent="0.3">
      <c r="A1135">
        <f t="shared" si="187"/>
        <v>8</v>
      </c>
      <c r="B1135">
        <f t="shared" si="188"/>
        <v>76</v>
      </c>
      <c r="C1135" t="str" cm="1">
        <f t="array" ref="C1135">IFERROR(INDEX('TRIP MANAGER'!$O$18:$O$25,$A1135),"")</f>
        <v/>
      </c>
      <c r="D1135" t="str" cm="1">
        <f t="array" ref="D1135">IFERROR(INDEX('TRIP MANAGER'!$P$18:$P$25,$A1135),"")</f>
        <v/>
      </c>
      <c r="E1135" t="str" cm="1">
        <f t="array" ref="E1135">IFERROR(INDEX('TRIP MANAGER'!$Q$18:$Q$25,$A1135),"")</f>
        <v/>
      </c>
      <c r="F1135" t="str" cm="1">
        <f t="array" ref="F1135">IFERROR(INDEX('TRIP MANAGER'!$R$18:$R$25,$A1135),"")</f>
        <v/>
      </c>
      <c r="G1135" t="str" cm="1">
        <f t="array" ref="G1135">IFERROR(INDEX('TRIP MANAGER'!$S$18:$S$25,$A1135),"")</f>
        <v/>
      </c>
      <c r="H1135">
        <f t="shared" si="189"/>
        <v>0.50666666666666671</v>
      </c>
      <c r="I1135" t="str">
        <f t="shared" si="190"/>
        <v/>
      </c>
      <c r="J1135" t="str">
        <f t="shared" si="191"/>
        <v/>
      </c>
      <c r="K1135" t="str">
        <f t="shared" si="192"/>
        <v/>
      </c>
      <c r="L1135" t="str">
        <f t="shared" si="193"/>
        <v/>
      </c>
      <c r="M1135" t="str">
        <f t="shared" si="194"/>
        <v/>
      </c>
      <c r="N1135" t="str">
        <f t="shared" si="195"/>
        <v/>
      </c>
      <c r="O1135" t="str">
        <f t="shared" si="196"/>
        <v/>
      </c>
      <c r="P1135" t="str" cm="1">
        <f t="array" ref="P1135">IF($N1135="","",IFERROR(IF(INDEX(geo_grid!$B$2:$JU$231,INT(($N1135+40)/0.5)+1,INT(($O1135+30)/0.5)+1)="","",INDEX(geo_grid!$B$2:$JU$231,INT(($N1135+40)/0.5)+1,INT(($O1135+30)/0.5)+1)),"OUTSIDE GRID"))</f>
        <v/>
      </c>
      <c r="Q1135" t="str">
        <f t="shared" si="197"/>
        <v/>
      </c>
    </row>
    <row r="1136" spans="1:17" x14ac:dyDescent="0.3">
      <c r="A1136">
        <f t="shared" si="187"/>
        <v>8</v>
      </c>
      <c r="B1136">
        <f t="shared" si="188"/>
        <v>77</v>
      </c>
      <c r="C1136" t="str" cm="1">
        <f t="array" ref="C1136">IFERROR(INDEX('TRIP MANAGER'!$O$18:$O$25,$A1136),"")</f>
        <v/>
      </c>
      <c r="D1136" t="str" cm="1">
        <f t="array" ref="D1136">IFERROR(INDEX('TRIP MANAGER'!$P$18:$P$25,$A1136),"")</f>
        <v/>
      </c>
      <c r="E1136" t="str" cm="1">
        <f t="array" ref="E1136">IFERROR(INDEX('TRIP MANAGER'!$Q$18:$Q$25,$A1136),"")</f>
        <v/>
      </c>
      <c r="F1136" t="str" cm="1">
        <f t="array" ref="F1136">IFERROR(INDEX('TRIP MANAGER'!$R$18:$R$25,$A1136),"")</f>
        <v/>
      </c>
      <c r="G1136" t="str" cm="1">
        <f t="array" ref="G1136">IFERROR(INDEX('TRIP MANAGER'!$S$18:$S$25,$A1136),"")</f>
        <v/>
      </c>
      <c r="H1136">
        <f t="shared" si="189"/>
        <v>0.51333333333333331</v>
      </c>
      <c r="I1136" t="str">
        <f t="shared" si="190"/>
        <v/>
      </c>
      <c r="J1136" t="str">
        <f t="shared" si="191"/>
        <v/>
      </c>
      <c r="K1136" t="str">
        <f t="shared" si="192"/>
        <v/>
      </c>
      <c r="L1136" t="str">
        <f t="shared" si="193"/>
        <v/>
      </c>
      <c r="M1136" t="str">
        <f t="shared" si="194"/>
        <v/>
      </c>
      <c r="N1136" t="str">
        <f t="shared" si="195"/>
        <v/>
      </c>
      <c r="O1136" t="str">
        <f t="shared" si="196"/>
        <v/>
      </c>
      <c r="P1136" t="str" cm="1">
        <f t="array" ref="P1136">IF($N1136="","",IFERROR(IF(INDEX(geo_grid!$B$2:$JU$231,INT(($N1136+40)/0.5)+1,INT(($O1136+30)/0.5)+1)="","",INDEX(geo_grid!$B$2:$JU$231,INT(($N1136+40)/0.5)+1,INT(($O1136+30)/0.5)+1)),"OUTSIDE GRID"))</f>
        <v/>
      </c>
      <c r="Q1136" t="str">
        <f t="shared" si="197"/>
        <v/>
      </c>
    </row>
    <row r="1137" spans="1:17" x14ac:dyDescent="0.3">
      <c r="A1137">
        <f t="shared" si="187"/>
        <v>8</v>
      </c>
      <c r="B1137">
        <f t="shared" si="188"/>
        <v>78</v>
      </c>
      <c r="C1137" t="str" cm="1">
        <f t="array" ref="C1137">IFERROR(INDEX('TRIP MANAGER'!$O$18:$O$25,$A1137),"")</f>
        <v/>
      </c>
      <c r="D1137" t="str" cm="1">
        <f t="array" ref="D1137">IFERROR(INDEX('TRIP MANAGER'!$P$18:$P$25,$A1137),"")</f>
        <v/>
      </c>
      <c r="E1137" t="str" cm="1">
        <f t="array" ref="E1137">IFERROR(INDEX('TRIP MANAGER'!$Q$18:$Q$25,$A1137),"")</f>
        <v/>
      </c>
      <c r="F1137" t="str" cm="1">
        <f t="array" ref="F1137">IFERROR(INDEX('TRIP MANAGER'!$R$18:$R$25,$A1137),"")</f>
        <v/>
      </c>
      <c r="G1137" t="str" cm="1">
        <f t="array" ref="G1137">IFERROR(INDEX('TRIP MANAGER'!$S$18:$S$25,$A1137),"")</f>
        <v/>
      </c>
      <c r="H1137">
        <f t="shared" si="189"/>
        <v>0.52</v>
      </c>
      <c r="I1137" t="str">
        <f t="shared" si="190"/>
        <v/>
      </c>
      <c r="J1137" t="str">
        <f t="shared" si="191"/>
        <v/>
      </c>
      <c r="K1137" t="str">
        <f t="shared" si="192"/>
        <v/>
      </c>
      <c r="L1137" t="str">
        <f t="shared" si="193"/>
        <v/>
      </c>
      <c r="M1137" t="str">
        <f t="shared" si="194"/>
        <v/>
      </c>
      <c r="N1137" t="str">
        <f t="shared" si="195"/>
        <v/>
      </c>
      <c r="O1137" t="str">
        <f t="shared" si="196"/>
        <v/>
      </c>
      <c r="P1137" t="str" cm="1">
        <f t="array" ref="P1137">IF($N1137="","",IFERROR(IF(INDEX(geo_grid!$B$2:$JU$231,INT(($N1137+40)/0.5)+1,INT(($O1137+30)/0.5)+1)="","",INDEX(geo_grid!$B$2:$JU$231,INT(($N1137+40)/0.5)+1,INT(($O1137+30)/0.5)+1)),"OUTSIDE GRID"))</f>
        <v/>
      </c>
      <c r="Q1137" t="str">
        <f t="shared" si="197"/>
        <v/>
      </c>
    </row>
    <row r="1138" spans="1:17" x14ac:dyDescent="0.3">
      <c r="A1138">
        <f t="shared" si="187"/>
        <v>8</v>
      </c>
      <c r="B1138">
        <f t="shared" si="188"/>
        <v>79</v>
      </c>
      <c r="C1138" t="str" cm="1">
        <f t="array" ref="C1138">IFERROR(INDEX('TRIP MANAGER'!$O$18:$O$25,$A1138),"")</f>
        <v/>
      </c>
      <c r="D1138" t="str" cm="1">
        <f t="array" ref="D1138">IFERROR(INDEX('TRIP MANAGER'!$P$18:$P$25,$A1138),"")</f>
        <v/>
      </c>
      <c r="E1138" t="str" cm="1">
        <f t="array" ref="E1138">IFERROR(INDEX('TRIP MANAGER'!$Q$18:$Q$25,$A1138),"")</f>
        <v/>
      </c>
      <c r="F1138" t="str" cm="1">
        <f t="array" ref="F1138">IFERROR(INDEX('TRIP MANAGER'!$R$18:$R$25,$A1138),"")</f>
        <v/>
      </c>
      <c r="G1138" t="str" cm="1">
        <f t="array" ref="G1138">IFERROR(INDEX('TRIP MANAGER'!$S$18:$S$25,$A1138),"")</f>
        <v/>
      </c>
      <c r="H1138">
        <f t="shared" si="189"/>
        <v>0.52666666666666662</v>
      </c>
      <c r="I1138" t="str">
        <f t="shared" si="190"/>
        <v/>
      </c>
      <c r="J1138" t="str">
        <f t="shared" si="191"/>
        <v/>
      </c>
      <c r="K1138" t="str">
        <f t="shared" si="192"/>
        <v/>
      </c>
      <c r="L1138" t="str">
        <f t="shared" si="193"/>
        <v/>
      </c>
      <c r="M1138" t="str">
        <f t="shared" si="194"/>
        <v/>
      </c>
      <c r="N1138" t="str">
        <f t="shared" si="195"/>
        <v/>
      </c>
      <c r="O1138" t="str">
        <f t="shared" si="196"/>
        <v/>
      </c>
      <c r="P1138" t="str" cm="1">
        <f t="array" ref="P1138">IF($N1138="","",IFERROR(IF(INDEX(geo_grid!$B$2:$JU$231,INT(($N1138+40)/0.5)+1,INT(($O1138+30)/0.5)+1)="","",INDEX(geo_grid!$B$2:$JU$231,INT(($N1138+40)/0.5)+1,INT(($O1138+30)/0.5)+1)),"OUTSIDE GRID"))</f>
        <v/>
      </c>
      <c r="Q1138" t="str">
        <f t="shared" si="197"/>
        <v/>
      </c>
    </row>
    <row r="1139" spans="1:17" x14ac:dyDescent="0.3">
      <c r="A1139">
        <f t="shared" si="187"/>
        <v>8</v>
      </c>
      <c r="B1139">
        <f t="shared" si="188"/>
        <v>80</v>
      </c>
      <c r="C1139" t="str" cm="1">
        <f t="array" ref="C1139">IFERROR(INDEX('TRIP MANAGER'!$O$18:$O$25,$A1139),"")</f>
        <v/>
      </c>
      <c r="D1139" t="str" cm="1">
        <f t="array" ref="D1139">IFERROR(INDEX('TRIP MANAGER'!$P$18:$P$25,$A1139),"")</f>
        <v/>
      </c>
      <c r="E1139" t="str" cm="1">
        <f t="array" ref="E1139">IFERROR(INDEX('TRIP MANAGER'!$Q$18:$Q$25,$A1139),"")</f>
        <v/>
      </c>
      <c r="F1139" t="str" cm="1">
        <f t="array" ref="F1139">IFERROR(INDEX('TRIP MANAGER'!$R$18:$R$25,$A1139),"")</f>
        <v/>
      </c>
      <c r="G1139" t="str" cm="1">
        <f t="array" ref="G1139">IFERROR(INDEX('TRIP MANAGER'!$S$18:$S$25,$A1139),"")</f>
        <v/>
      </c>
      <c r="H1139">
        <f t="shared" si="189"/>
        <v>0.53333333333333333</v>
      </c>
      <c r="I1139" t="str">
        <f t="shared" si="190"/>
        <v/>
      </c>
      <c r="J1139" t="str">
        <f t="shared" si="191"/>
        <v/>
      </c>
      <c r="K1139" t="str">
        <f t="shared" si="192"/>
        <v/>
      </c>
      <c r="L1139" t="str">
        <f t="shared" si="193"/>
        <v/>
      </c>
      <c r="M1139" t="str">
        <f t="shared" si="194"/>
        <v/>
      </c>
      <c r="N1139" t="str">
        <f t="shared" si="195"/>
        <v/>
      </c>
      <c r="O1139" t="str">
        <f t="shared" si="196"/>
        <v/>
      </c>
      <c r="P1139" t="str" cm="1">
        <f t="array" ref="P1139">IF($N1139="","",IFERROR(IF(INDEX(geo_grid!$B$2:$JU$231,INT(($N1139+40)/0.5)+1,INT(($O1139+30)/0.5)+1)="","",INDEX(geo_grid!$B$2:$JU$231,INT(($N1139+40)/0.5)+1,INT(($O1139+30)/0.5)+1)),"OUTSIDE GRID"))</f>
        <v/>
      </c>
      <c r="Q1139" t="str">
        <f t="shared" si="197"/>
        <v/>
      </c>
    </row>
    <row r="1140" spans="1:17" x14ac:dyDescent="0.3">
      <c r="A1140">
        <f t="shared" si="187"/>
        <v>8</v>
      </c>
      <c r="B1140">
        <f t="shared" si="188"/>
        <v>81</v>
      </c>
      <c r="C1140" t="str" cm="1">
        <f t="array" ref="C1140">IFERROR(INDEX('TRIP MANAGER'!$O$18:$O$25,$A1140),"")</f>
        <v/>
      </c>
      <c r="D1140" t="str" cm="1">
        <f t="array" ref="D1140">IFERROR(INDEX('TRIP MANAGER'!$P$18:$P$25,$A1140),"")</f>
        <v/>
      </c>
      <c r="E1140" t="str" cm="1">
        <f t="array" ref="E1140">IFERROR(INDEX('TRIP MANAGER'!$Q$18:$Q$25,$A1140),"")</f>
        <v/>
      </c>
      <c r="F1140" t="str" cm="1">
        <f t="array" ref="F1140">IFERROR(INDEX('TRIP MANAGER'!$R$18:$R$25,$A1140),"")</f>
        <v/>
      </c>
      <c r="G1140" t="str" cm="1">
        <f t="array" ref="G1140">IFERROR(INDEX('TRIP MANAGER'!$S$18:$S$25,$A1140),"")</f>
        <v/>
      </c>
      <c r="H1140">
        <f t="shared" si="189"/>
        <v>0.54</v>
      </c>
      <c r="I1140" t="str">
        <f t="shared" si="190"/>
        <v/>
      </c>
      <c r="J1140" t="str">
        <f t="shared" si="191"/>
        <v/>
      </c>
      <c r="K1140" t="str">
        <f t="shared" si="192"/>
        <v/>
      </c>
      <c r="L1140" t="str">
        <f t="shared" si="193"/>
        <v/>
      </c>
      <c r="M1140" t="str">
        <f t="shared" si="194"/>
        <v/>
      </c>
      <c r="N1140" t="str">
        <f t="shared" si="195"/>
        <v/>
      </c>
      <c r="O1140" t="str">
        <f t="shared" si="196"/>
        <v/>
      </c>
      <c r="P1140" t="str" cm="1">
        <f t="array" ref="P1140">IF($N1140="","",IFERROR(IF(INDEX(geo_grid!$B$2:$JU$231,INT(($N1140+40)/0.5)+1,INT(($O1140+30)/0.5)+1)="","",INDEX(geo_grid!$B$2:$JU$231,INT(($N1140+40)/0.5)+1,INT(($O1140+30)/0.5)+1)),"OUTSIDE GRID"))</f>
        <v/>
      </c>
      <c r="Q1140" t="str">
        <f t="shared" si="197"/>
        <v/>
      </c>
    </row>
    <row r="1141" spans="1:17" x14ac:dyDescent="0.3">
      <c r="A1141">
        <f t="shared" si="187"/>
        <v>8</v>
      </c>
      <c r="B1141">
        <f t="shared" si="188"/>
        <v>82</v>
      </c>
      <c r="C1141" t="str" cm="1">
        <f t="array" ref="C1141">IFERROR(INDEX('TRIP MANAGER'!$O$18:$O$25,$A1141),"")</f>
        <v/>
      </c>
      <c r="D1141" t="str" cm="1">
        <f t="array" ref="D1141">IFERROR(INDEX('TRIP MANAGER'!$P$18:$P$25,$A1141),"")</f>
        <v/>
      </c>
      <c r="E1141" t="str" cm="1">
        <f t="array" ref="E1141">IFERROR(INDEX('TRIP MANAGER'!$Q$18:$Q$25,$A1141),"")</f>
        <v/>
      </c>
      <c r="F1141" t="str" cm="1">
        <f t="array" ref="F1141">IFERROR(INDEX('TRIP MANAGER'!$R$18:$R$25,$A1141),"")</f>
        <v/>
      </c>
      <c r="G1141" t="str" cm="1">
        <f t="array" ref="G1141">IFERROR(INDEX('TRIP MANAGER'!$S$18:$S$25,$A1141),"")</f>
        <v/>
      </c>
      <c r="H1141">
        <f t="shared" si="189"/>
        <v>0.54666666666666663</v>
      </c>
      <c r="I1141" t="str">
        <f t="shared" si="190"/>
        <v/>
      </c>
      <c r="J1141" t="str">
        <f t="shared" si="191"/>
        <v/>
      </c>
      <c r="K1141" t="str">
        <f t="shared" si="192"/>
        <v/>
      </c>
      <c r="L1141" t="str">
        <f t="shared" si="193"/>
        <v/>
      </c>
      <c r="M1141" t="str">
        <f t="shared" si="194"/>
        <v/>
      </c>
      <c r="N1141" t="str">
        <f t="shared" si="195"/>
        <v/>
      </c>
      <c r="O1141" t="str">
        <f t="shared" si="196"/>
        <v/>
      </c>
      <c r="P1141" t="str" cm="1">
        <f t="array" ref="P1141">IF($N1141="","",IFERROR(IF(INDEX(geo_grid!$B$2:$JU$231,INT(($N1141+40)/0.5)+1,INT(($O1141+30)/0.5)+1)="","",INDEX(geo_grid!$B$2:$JU$231,INT(($N1141+40)/0.5)+1,INT(($O1141+30)/0.5)+1)),"OUTSIDE GRID"))</f>
        <v/>
      </c>
      <c r="Q1141" t="str">
        <f t="shared" si="197"/>
        <v/>
      </c>
    </row>
    <row r="1142" spans="1:17" x14ac:dyDescent="0.3">
      <c r="A1142">
        <f t="shared" si="187"/>
        <v>8</v>
      </c>
      <c r="B1142">
        <f t="shared" si="188"/>
        <v>83</v>
      </c>
      <c r="C1142" t="str" cm="1">
        <f t="array" ref="C1142">IFERROR(INDEX('TRIP MANAGER'!$O$18:$O$25,$A1142),"")</f>
        <v/>
      </c>
      <c r="D1142" t="str" cm="1">
        <f t="array" ref="D1142">IFERROR(INDEX('TRIP MANAGER'!$P$18:$P$25,$A1142),"")</f>
        <v/>
      </c>
      <c r="E1142" t="str" cm="1">
        <f t="array" ref="E1142">IFERROR(INDEX('TRIP MANAGER'!$Q$18:$Q$25,$A1142),"")</f>
        <v/>
      </c>
      <c r="F1142" t="str" cm="1">
        <f t="array" ref="F1142">IFERROR(INDEX('TRIP MANAGER'!$R$18:$R$25,$A1142),"")</f>
        <v/>
      </c>
      <c r="G1142" t="str" cm="1">
        <f t="array" ref="G1142">IFERROR(INDEX('TRIP MANAGER'!$S$18:$S$25,$A1142),"")</f>
        <v/>
      </c>
      <c r="H1142">
        <f t="shared" si="189"/>
        <v>0.55333333333333334</v>
      </c>
      <c r="I1142" t="str">
        <f t="shared" si="190"/>
        <v/>
      </c>
      <c r="J1142" t="str">
        <f t="shared" si="191"/>
        <v/>
      </c>
      <c r="K1142" t="str">
        <f t="shared" si="192"/>
        <v/>
      </c>
      <c r="L1142" t="str">
        <f t="shared" si="193"/>
        <v/>
      </c>
      <c r="M1142" t="str">
        <f t="shared" si="194"/>
        <v/>
      </c>
      <c r="N1142" t="str">
        <f t="shared" si="195"/>
        <v/>
      </c>
      <c r="O1142" t="str">
        <f t="shared" si="196"/>
        <v/>
      </c>
      <c r="P1142" t="str" cm="1">
        <f t="array" ref="P1142">IF($N1142="","",IFERROR(IF(INDEX(geo_grid!$B$2:$JU$231,INT(($N1142+40)/0.5)+1,INT(($O1142+30)/0.5)+1)="","",INDEX(geo_grid!$B$2:$JU$231,INT(($N1142+40)/0.5)+1,INT(($O1142+30)/0.5)+1)),"OUTSIDE GRID"))</f>
        <v/>
      </c>
      <c r="Q1142" t="str">
        <f t="shared" si="197"/>
        <v/>
      </c>
    </row>
    <row r="1143" spans="1:17" x14ac:dyDescent="0.3">
      <c r="A1143">
        <f t="shared" si="187"/>
        <v>8</v>
      </c>
      <c r="B1143">
        <f t="shared" si="188"/>
        <v>84</v>
      </c>
      <c r="C1143" t="str" cm="1">
        <f t="array" ref="C1143">IFERROR(INDEX('TRIP MANAGER'!$O$18:$O$25,$A1143),"")</f>
        <v/>
      </c>
      <c r="D1143" t="str" cm="1">
        <f t="array" ref="D1143">IFERROR(INDEX('TRIP MANAGER'!$P$18:$P$25,$A1143),"")</f>
        <v/>
      </c>
      <c r="E1143" t="str" cm="1">
        <f t="array" ref="E1143">IFERROR(INDEX('TRIP MANAGER'!$Q$18:$Q$25,$A1143),"")</f>
        <v/>
      </c>
      <c r="F1143" t="str" cm="1">
        <f t="array" ref="F1143">IFERROR(INDEX('TRIP MANAGER'!$R$18:$R$25,$A1143),"")</f>
        <v/>
      </c>
      <c r="G1143" t="str" cm="1">
        <f t="array" ref="G1143">IFERROR(INDEX('TRIP MANAGER'!$S$18:$S$25,$A1143),"")</f>
        <v/>
      </c>
      <c r="H1143">
        <f t="shared" si="189"/>
        <v>0.56000000000000005</v>
      </c>
      <c r="I1143" t="str">
        <f t="shared" si="190"/>
        <v/>
      </c>
      <c r="J1143" t="str">
        <f t="shared" si="191"/>
        <v/>
      </c>
      <c r="K1143" t="str">
        <f t="shared" si="192"/>
        <v/>
      </c>
      <c r="L1143" t="str">
        <f t="shared" si="193"/>
        <v/>
      </c>
      <c r="M1143" t="str">
        <f t="shared" si="194"/>
        <v/>
      </c>
      <c r="N1143" t="str">
        <f t="shared" si="195"/>
        <v/>
      </c>
      <c r="O1143" t="str">
        <f t="shared" si="196"/>
        <v/>
      </c>
      <c r="P1143" t="str" cm="1">
        <f t="array" ref="P1143">IF($N1143="","",IFERROR(IF(INDEX(geo_grid!$B$2:$JU$231,INT(($N1143+40)/0.5)+1,INT(($O1143+30)/0.5)+1)="","",INDEX(geo_grid!$B$2:$JU$231,INT(($N1143+40)/0.5)+1,INT(($O1143+30)/0.5)+1)),"OUTSIDE GRID"))</f>
        <v/>
      </c>
      <c r="Q1143" t="str">
        <f t="shared" si="197"/>
        <v/>
      </c>
    </row>
    <row r="1144" spans="1:17" x14ac:dyDescent="0.3">
      <c r="A1144">
        <f t="shared" si="187"/>
        <v>8</v>
      </c>
      <c r="B1144">
        <f t="shared" si="188"/>
        <v>85</v>
      </c>
      <c r="C1144" t="str" cm="1">
        <f t="array" ref="C1144">IFERROR(INDEX('TRIP MANAGER'!$O$18:$O$25,$A1144),"")</f>
        <v/>
      </c>
      <c r="D1144" t="str" cm="1">
        <f t="array" ref="D1144">IFERROR(INDEX('TRIP MANAGER'!$P$18:$P$25,$A1144),"")</f>
        <v/>
      </c>
      <c r="E1144" t="str" cm="1">
        <f t="array" ref="E1144">IFERROR(INDEX('TRIP MANAGER'!$Q$18:$Q$25,$A1144),"")</f>
        <v/>
      </c>
      <c r="F1144" t="str" cm="1">
        <f t="array" ref="F1144">IFERROR(INDEX('TRIP MANAGER'!$R$18:$R$25,$A1144),"")</f>
        <v/>
      </c>
      <c r="G1144" t="str" cm="1">
        <f t="array" ref="G1144">IFERROR(INDEX('TRIP MANAGER'!$S$18:$S$25,$A1144),"")</f>
        <v/>
      </c>
      <c r="H1144">
        <f t="shared" si="189"/>
        <v>0.56666666666666665</v>
      </c>
      <c r="I1144" t="str">
        <f t="shared" si="190"/>
        <v/>
      </c>
      <c r="J1144" t="str">
        <f t="shared" si="191"/>
        <v/>
      </c>
      <c r="K1144" t="str">
        <f t="shared" si="192"/>
        <v/>
      </c>
      <c r="L1144" t="str">
        <f t="shared" si="193"/>
        <v/>
      </c>
      <c r="M1144" t="str">
        <f t="shared" si="194"/>
        <v/>
      </c>
      <c r="N1144" t="str">
        <f t="shared" si="195"/>
        <v/>
      </c>
      <c r="O1144" t="str">
        <f t="shared" si="196"/>
        <v/>
      </c>
      <c r="P1144" t="str" cm="1">
        <f t="array" ref="P1144">IF($N1144="","",IFERROR(IF(INDEX(geo_grid!$B$2:$JU$231,INT(($N1144+40)/0.5)+1,INT(($O1144+30)/0.5)+1)="","",INDEX(geo_grid!$B$2:$JU$231,INT(($N1144+40)/0.5)+1,INT(($O1144+30)/0.5)+1)),"OUTSIDE GRID"))</f>
        <v/>
      </c>
      <c r="Q1144" t="str">
        <f t="shared" si="197"/>
        <v/>
      </c>
    </row>
    <row r="1145" spans="1:17" x14ac:dyDescent="0.3">
      <c r="A1145">
        <f t="shared" si="187"/>
        <v>8</v>
      </c>
      <c r="B1145">
        <f t="shared" si="188"/>
        <v>86</v>
      </c>
      <c r="C1145" t="str" cm="1">
        <f t="array" ref="C1145">IFERROR(INDEX('TRIP MANAGER'!$O$18:$O$25,$A1145),"")</f>
        <v/>
      </c>
      <c r="D1145" t="str" cm="1">
        <f t="array" ref="D1145">IFERROR(INDEX('TRIP MANAGER'!$P$18:$P$25,$A1145),"")</f>
        <v/>
      </c>
      <c r="E1145" t="str" cm="1">
        <f t="array" ref="E1145">IFERROR(INDEX('TRIP MANAGER'!$Q$18:$Q$25,$A1145),"")</f>
        <v/>
      </c>
      <c r="F1145" t="str" cm="1">
        <f t="array" ref="F1145">IFERROR(INDEX('TRIP MANAGER'!$R$18:$R$25,$A1145),"")</f>
        <v/>
      </c>
      <c r="G1145" t="str" cm="1">
        <f t="array" ref="G1145">IFERROR(INDEX('TRIP MANAGER'!$S$18:$S$25,$A1145),"")</f>
        <v/>
      </c>
      <c r="H1145">
        <f t="shared" si="189"/>
        <v>0.57333333333333336</v>
      </c>
      <c r="I1145" t="str">
        <f t="shared" si="190"/>
        <v/>
      </c>
      <c r="J1145" t="str">
        <f t="shared" si="191"/>
        <v/>
      </c>
      <c r="K1145" t="str">
        <f t="shared" si="192"/>
        <v/>
      </c>
      <c r="L1145" t="str">
        <f t="shared" si="193"/>
        <v/>
      </c>
      <c r="M1145" t="str">
        <f t="shared" si="194"/>
        <v/>
      </c>
      <c r="N1145" t="str">
        <f t="shared" si="195"/>
        <v/>
      </c>
      <c r="O1145" t="str">
        <f t="shared" si="196"/>
        <v/>
      </c>
      <c r="P1145" t="str" cm="1">
        <f t="array" ref="P1145">IF($N1145="","",IFERROR(IF(INDEX(geo_grid!$B$2:$JU$231,INT(($N1145+40)/0.5)+1,INT(($O1145+30)/0.5)+1)="","",INDEX(geo_grid!$B$2:$JU$231,INT(($N1145+40)/0.5)+1,INT(($O1145+30)/0.5)+1)),"OUTSIDE GRID"))</f>
        <v/>
      </c>
      <c r="Q1145" t="str">
        <f t="shared" si="197"/>
        <v/>
      </c>
    </row>
    <row r="1146" spans="1:17" x14ac:dyDescent="0.3">
      <c r="A1146">
        <f t="shared" si="187"/>
        <v>8</v>
      </c>
      <c r="B1146">
        <f t="shared" si="188"/>
        <v>87</v>
      </c>
      <c r="C1146" t="str" cm="1">
        <f t="array" ref="C1146">IFERROR(INDEX('TRIP MANAGER'!$O$18:$O$25,$A1146),"")</f>
        <v/>
      </c>
      <c r="D1146" t="str" cm="1">
        <f t="array" ref="D1146">IFERROR(INDEX('TRIP MANAGER'!$P$18:$P$25,$A1146),"")</f>
        <v/>
      </c>
      <c r="E1146" t="str" cm="1">
        <f t="array" ref="E1146">IFERROR(INDEX('TRIP MANAGER'!$Q$18:$Q$25,$A1146),"")</f>
        <v/>
      </c>
      <c r="F1146" t="str" cm="1">
        <f t="array" ref="F1146">IFERROR(INDEX('TRIP MANAGER'!$R$18:$R$25,$A1146),"")</f>
        <v/>
      </c>
      <c r="G1146" t="str" cm="1">
        <f t="array" ref="G1146">IFERROR(INDEX('TRIP MANAGER'!$S$18:$S$25,$A1146),"")</f>
        <v/>
      </c>
      <c r="H1146">
        <f t="shared" si="189"/>
        <v>0.57999999999999996</v>
      </c>
      <c r="I1146" t="str">
        <f t="shared" si="190"/>
        <v/>
      </c>
      <c r="J1146" t="str">
        <f t="shared" si="191"/>
        <v/>
      </c>
      <c r="K1146" t="str">
        <f t="shared" si="192"/>
        <v/>
      </c>
      <c r="L1146" t="str">
        <f t="shared" si="193"/>
        <v/>
      </c>
      <c r="M1146" t="str">
        <f t="shared" si="194"/>
        <v/>
      </c>
      <c r="N1146" t="str">
        <f t="shared" si="195"/>
        <v/>
      </c>
      <c r="O1146" t="str">
        <f t="shared" si="196"/>
        <v/>
      </c>
      <c r="P1146" t="str" cm="1">
        <f t="array" ref="P1146">IF($N1146="","",IFERROR(IF(INDEX(geo_grid!$B$2:$JU$231,INT(($N1146+40)/0.5)+1,INT(($O1146+30)/0.5)+1)="","",INDEX(geo_grid!$B$2:$JU$231,INT(($N1146+40)/0.5)+1,INT(($O1146+30)/0.5)+1)),"OUTSIDE GRID"))</f>
        <v/>
      </c>
      <c r="Q1146" t="str">
        <f t="shared" si="197"/>
        <v/>
      </c>
    </row>
    <row r="1147" spans="1:17" x14ac:dyDescent="0.3">
      <c r="A1147">
        <f t="shared" si="187"/>
        <v>8</v>
      </c>
      <c r="B1147">
        <f t="shared" si="188"/>
        <v>88</v>
      </c>
      <c r="C1147" t="str" cm="1">
        <f t="array" ref="C1147">IFERROR(INDEX('TRIP MANAGER'!$O$18:$O$25,$A1147),"")</f>
        <v/>
      </c>
      <c r="D1147" t="str" cm="1">
        <f t="array" ref="D1147">IFERROR(INDEX('TRIP MANAGER'!$P$18:$P$25,$A1147),"")</f>
        <v/>
      </c>
      <c r="E1147" t="str" cm="1">
        <f t="array" ref="E1147">IFERROR(INDEX('TRIP MANAGER'!$Q$18:$Q$25,$A1147),"")</f>
        <v/>
      </c>
      <c r="F1147" t="str" cm="1">
        <f t="array" ref="F1147">IFERROR(INDEX('TRIP MANAGER'!$R$18:$R$25,$A1147),"")</f>
        <v/>
      </c>
      <c r="G1147" t="str" cm="1">
        <f t="array" ref="G1147">IFERROR(INDEX('TRIP MANAGER'!$S$18:$S$25,$A1147),"")</f>
        <v/>
      </c>
      <c r="H1147">
        <f t="shared" si="189"/>
        <v>0.58666666666666667</v>
      </c>
      <c r="I1147" t="str">
        <f t="shared" si="190"/>
        <v/>
      </c>
      <c r="J1147" t="str">
        <f t="shared" si="191"/>
        <v/>
      </c>
      <c r="K1147" t="str">
        <f t="shared" si="192"/>
        <v/>
      </c>
      <c r="L1147" t="str">
        <f t="shared" si="193"/>
        <v/>
      </c>
      <c r="M1147" t="str">
        <f t="shared" si="194"/>
        <v/>
      </c>
      <c r="N1147" t="str">
        <f t="shared" si="195"/>
        <v/>
      </c>
      <c r="O1147" t="str">
        <f t="shared" si="196"/>
        <v/>
      </c>
      <c r="P1147" t="str" cm="1">
        <f t="array" ref="P1147">IF($N1147="","",IFERROR(IF(INDEX(geo_grid!$B$2:$JU$231,INT(($N1147+40)/0.5)+1,INT(($O1147+30)/0.5)+1)="","",INDEX(geo_grid!$B$2:$JU$231,INT(($N1147+40)/0.5)+1,INT(($O1147+30)/0.5)+1)),"OUTSIDE GRID"))</f>
        <v/>
      </c>
      <c r="Q1147" t="str">
        <f t="shared" si="197"/>
        <v/>
      </c>
    </row>
    <row r="1148" spans="1:17" x14ac:dyDescent="0.3">
      <c r="A1148">
        <f t="shared" si="187"/>
        <v>8</v>
      </c>
      <c r="B1148">
        <f t="shared" si="188"/>
        <v>89</v>
      </c>
      <c r="C1148" t="str" cm="1">
        <f t="array" ref="C1148">IFERROR(INDEX('TRIP MANAGER'!$O$18:$O$25,$A1148),"")</f>
        <v/>
      </c>
      <c r="D1148" t="str" cm="1">
        <f t="array" ref="D1148">IFERROR(INDEX('TRIP MANAGER'!$P$18:$P$25,$A1148),"")</f>
        <v/>
      </c>
      <c r="E1148" t="str" cm="1">
        <f t="array" ref="E1148">IFERROR(INDEX('TRIP MANAGER'!$Q$18:$Q$25,$A1148),"")</f>
        <v/>
      </c>
      <c r="F1148" t="str" cm="1">
        <f t="array" ref="F1148">IFERROR(INDEX('TRIP MANAGER'!$R$18:$R$25,$A1148),"")</f>
        <v/>
      </c>
      <c r="G1148" t="str" cm="1">
        <f t="array" ref="G1148">IFERROR(INDEX('TRIP MANAGER'!$S$18:$S$25,$A1148),"")</f>
        <v/>
      </c>
      <c r="H1148">
        <f t="shared" si="189"/>
        <v>0.59333333333333338</v>
      </c>
      <c r="I1148" t="str">
        <f t="shared" si="190"/>
        <v/>
      </c>
      <c r="J1148" t="str">
        <f t="shared" si="191"/>
        <v/>
      </c>
      <c r="K1148" t="str">
        <f t="shared" si="192"/>
        <v/>
      </c>
      <c r="L1148" t="str">
        <f t="shared" si="193"/>
        <v/>
      </c>
      <c r="M1148" t="str">
        <f t="shared" si="194"/>
        <v/>
      </c>
      <c r="N1148" t="str">
        <f t="shared" si="195"/>
        <v/>
      </c>
      <c r="O1148" t="str">
        <f t="shared" si="196"/>
        <v/>
      </c>
      <c r="P1148" t="str" cm="1">
        <f t="array" ref="P1148">IF($N1148="","",IFERROR(IF(INDEX(geo_grid!$B$2:$JU$231,INT(($N1148+40)/0.5)+1,INT(($O1148+30)/0.5)+1)="","",INDEX(geo_grid!$B$2:$JU$231,INT(($N1148+40)/0.5)+1,INT(($O1148+30)/0.5)+1)),"OUTSIDE GRID"))</f>
        <v/>
      </c>
      <c r="Q1148" t="str">
        <f t="shared" si="197"/>
        <v/>
      </c>
    </row>
    <row r="1149" spans="1:17" x14ac:dyDescent="0.3">
      <c r="A1149">
        <f t="shared" si="187"/>
        <v>8</v>
      </c>
      <c r="B1149">
        <f t="shared" si="188"/>
        <v>90</v>
      </c>
      <c r="C1149" t="str" cm="1">
        <f t="array" ref="C1149">IFERROR(INDEX('TRIP MANAGER'!$O$18:$O$25,$A1149),"")</f>
        <v/>
      </c>
      <c r="D1149" t="str" cm="1">
        <f t="array" ref="D1149">IFERROR(INDEX('TRIP MANAGER'!$P$18:$P$25,$A1149),"")</f>
        <v/>
      </c>
      <c r="E1149" t="str" cm="1">
        <f t="array" ref="E1149">IFERROR(INDEX('TRIP MANAGER'!$Q$18:$Q$25,$A1149),"")</f>
        <v/>
      </c>
      <c r="F1149" t="str" cm="1">
        <f t="array" ref="F1149">IFERROR(INDEX('TRIP MANAGER'!$R$18:$R$25,$A1149),"")</f>
        <v/>
      </c>
      <c r="G1149" t="str" cm="1">
        <f t="array" ref="G1149">IFERROR(INDEX('TRIP MANAGER'!$S$18:$S$25,$A1149),"")</f>
        <v/>
      </c>
      <c r="H1149">
        <f t="shared" si="189"/>
        <v>0.6</v>
      </c>
      <c r="I1149" t="str">
        <f t="shared" si="190"/>
        <v/>
      </c>
      <c r="J1149" t="str">
        <f t="shared" si="191"/>
        <v/>
      </c>
      <c r="K1149" t="str">
        <f t="shared" si="192"/>
        <v/>
      </c>
      <c r="L1149" t="str">
        <f t="shared" si="193"/>
        <v/>
      </c>
      <c r="M1149" t="str">
        <f t="shared" si="194"/>
        <v/>
      </c>
      <c r="N1149" t="str">
        <f t="shared" si="195"/>
        <v/>
      </c>
      <c r="O1149" t="str">
        <f t="shared" si="196"/>
        <v/>
      </c>
      <c r="P1149" t="str" cm="1">
        <f t="array" ref="P1149">IF($N1149="","",IFERROR(IF(INDEX(geo_grid!$B$2:$JU$231,INT(($N1149+40)/0.5)+1,INT(($O1149+30)/0.5)+1)="","",INDEX(geo_grid!$B$2:$JU$231,INT(($N1149+40)/0.5)+1,INT(($O1149+30)/0.5)+1)),"OUTSIDE GRID"))</f>
        <v/>
      </c>
      <c r="Q1149" t="str">
        <f t="shared" si="197"/>
        <v/>
      </c>
    </row>
    <row r="1150" spans="1:17" x14ac:dyDescent="0.3">
      <c r="A1150">
        <f t="shared" si="187"/>
        <v>8</v>
      </c>
      <c r="B1150">
        <f t="shared" si="188"/>
        <v>91</v>
      </c>
      <c r="C1150" t="str" cm="1">
        <f t="array" ref="C1150">IFERROR(INDEX('TRIP MANAGER'!$O$18:$O$25,$A1150),"")</f>
        <v/>
      </c>
      <c r="D1150" t="str" cm="1">
        <f t="array" ref="D1150">IFERROR(INDEX('TRIP MANAGER'!$P$18:$P$25,$A1150),"")</f>
        <v/>
      </c>
      <c r="E1150" t="str" cm="1">
        <f t="array" ref="E1150">IFERROR(INDEX('TRIP MANAGER'!$Q$18:$Q$25,$A1150),"")</f>
        <v/>
      </c>
      <c r="F1150" t="str" cm="1">
        <f t="array" ref="F1150">IFERROR(INDEX('TRIP MANAGER'!$R$18:$R$25,$A1150),"")</f>
        <v/>
      </c>
      <c r="G1150" t="str" cm="1">
        <f t="array" ref="G1150">IFERROR(INDEX('TRIP MANAGER'!$S$18:$S$25,$A1150),"")</f>
        <v/>
      </c>
      <c r="H1150">
        <f t="shared" si="189"/>
        <v>0.60666666666666669</v>
      </c>
      <c r="I1150" t="str">
        <f t="shared" si="190"/>
        <v/>
      </c>
      <c r="J1150" t="str">
        <f t="shared" si="191"/>
        <v/>
      </c>
      <c r="K1150" t="str">
        <f t="shared" si="192"/>
        <v/>
      </c>
      <c r="L1150" t="str">
        <f t="shared" si="193"/>
        <v/>
      </c>
      <c r="M1150" t="str">
        <f t="shared" si="194"/>
        <v/>
      </c>
      <c r="N1150" t="str">
        <f t="shared" si="195"/>
        <v/>
      </c>
      <c r="O1150" t="str">
        <f t="shared" si="196"/>
        <v/>
      </c>
      <c r="P1150" t="str" cm="1">
        <f t="array" ref="P1150">IF($N1150="","",IFERROR(IF(INDEX(geo_grid!$B$2:$JU$231,INT(($N1150+40)/0.5)+1,INT(($O1150+30)/0.5)+1)="","",INDEX(geo_grid!$B$2:$JU$231,INT(($N1150+40)/0.5)+1,INT(($O1150+30)/0.5)+1)),"OUTSIDE GRID"))</f>
        <v/>
      </c>
      <c r="Q1150" t="str">
        <f t="shared" si="197"/>
        <v/>
      </c>
    </row>
    <row r="1151" spans="1:17" x14ac:dyDescent="0.3">
      <c r="A1151">
        <f t="shared" si="187"/>
        <v>8</v>
      </c>
      <c r="B1151">
        <f t="shared" si="188"/>
        <v>92</v>
      </c>
      <c r="C1151" t="str" cm="1">
        <f t="array" ref="C1151">IFERROR(INDEX('TRIP MANAGER'!$O$18:$O$25,$A1151),"")</f>
        <v/>
      </c>
      <c r="D1151" t="str" cm="1">
        <f t="array" ref="D1151">IFERROR(INDEX('TRIP MANAGER'!$P$18:$P$25,$A1151),"")</f>
        <v/>
      </c>
      <c r="E1151" t="str" cm="1">
        <f t="array" ref="E1151">IFERROR(INDEX('TRIP MANAGER'!$Q$18:$Q$25,$A1151),"")</f>
        <v/>
      </c>
      <c r="F1151" t="str" cm="1">
        <f t="array" ref="F1151">IFERROR(INDEX('TRIP MANAGER'!$R$18:$R$25,$A1151),"")</f>
        <v/>
      </c>
      <c r="G1151" t="str" cm="1">
        <f t="array" ref="G1151">IFERROR(INDEX('TRIP MANAGER'!$S$18:$S$25,$A1151),"")</f>
        <v/>
      </c>
      <c r="H1151">
        <f t="shared" si="189"/>
        <v>0.61333333333333329</v>
      </c>
      <c r="I1151" t="str">
        <f t="shared" si="190"/>
        <v/>
      </c>
      <c r="J1151" t="str">
        <f t="shared" si="191"/>
        <v/>
      </c>
      <c r="K1151" t="str">
        <f t="shared" si="192"/>
        <v/>
      </c>
      <c r="L1151" t="str">
        <f t="shared" si="193"/>
        <v/>
      </c>
      <c r="M1151" t="str">
        <f t="shared" si="194"/>
        <v/>
      </c>
      <c r="N1151" t="str">
        <f t="shared" si="195"/>
        <v/>
      </c>
      <c r="O1151" t="str">
        <f t="shared" si="196"/>
        <v/>
      </c>
      <c r="P1151" t="str" cm="1">
        <f t="array" ref="P1151">IF($N1151="","",IFERROR(IF(INDEX(geo_grid!$B$2:$JU$231,INT(($N1151+40)/0.5)+1,INT(($O1151+30)/0.5)+1)="","",INDEX(geo_grid!$B$2:$JU$231,INT(($N1151+40)/0.5)+1,INT(($O1151+30)/0.5)+1)),"OUTSIDE GRID"))</f>
        <v/>
      </c>
      <c r="Q1151" t="str">
        <f t="shared" si="197"/>
        <v/>
      </c>
    </row>
    <row r="1152" spans="1:17" x14ac:dyDescent="0.3">
      <c r="A1152">
        <f t="shared" si="187"/>
        <v>8</v>
      </c>
      <c r="B1152">
        <f t="shared" si="188"/>
        <v>93</v>
      </c>
      <c r="C1152" t="str" cm="1">
        <f t="array" ref="C1152">IFERROR(INDEX('TRIP MANAGER'!$O$18:$O$25,$A1152),"")</f>
        <v/>
      </c>
      <c r="D1152" t="str" cm="1">
        <f t="array" ref="D1152">IFERROR(INDEX('TRIP MANAGER'!$P$18:$P$25,$A1152),"")</f>
        <v/>
      </c>
      <c r="E1152" t="str" cm="1">
        <f t="array" ref="E1152">IFERROR(INDEX('TRIP MANAGER'!$Q$18:$Q$25,$A1152),"")</f>
        <v/>
      </c>
      <c r="F1152" t="str" cm="1">
        <f t="array" ref="F1152">IFERROR(INDEX('TRIP MANAGER'!$R$18:$R$25,$A1152),"")</f>
        <v/>
      </c>
      <c r="G1152" t="str" cm="1">
        <f t="array" ref="G1152">IFERROR(INDEX('TRIP MANAGER'!$S$18:$S$25,$A1152),"")</f>
        <v/>
      </c>
      <c r="H1152">
        <f t="shared" si="189"/>
        <v>0.62</v>
      </c>
      <c r="I1152" t="str">
        <f t="shared" si="190"/>
        <v/>
      </c>
      <c r="J1152" t="str">
        <f t="shared" si="191"/>
        <v/>
      </c>
      <c r="K1152" t="str">
        <f t="shared" si="192"/>
        <v/>
      </c>
      <c r="L1152" t="str">
        <f t="shared" si="193"/>
        <v/>
      </c>
      <c r="M1152" t="str">
        <f t="shared" si="194"/>
        <v/>
      </c>
      <c r="N1152" t="str">
        <f t="shared" si="195"/>
        <v/>
      </c>
      <c r="O1152" t="str">
        <f t="shared" si="196"/>
        <v/>
      </c>
      <c r="P1152" t="str" cm="1">
        <f t="array" ref="P1152">IF($N1152="","",IFERROR(IF(INDEX(geo_grid!$B$2:$JU$231,INT(($N1152+40)/0.5)+1,INT(($O1152+30)/0.5)+1)="","",INDEX(geo_grid!$B$2:$JU$231,INT(($N1152+40)/0.5)+1,INT(($O1152+30)/0.5)+1)),"OUTSIDE GRID"))</f>
        <v/>
      </c>
      <c r="Q1152" t="str">
        <f t="shared" si="197"/>
        <v/>
      </c>
    </row>
    <row r="1153" spans="1:17" x14ac:dyDescent="0.3">
      <c r="A1153">
        <f t="shared" si="187"/>
        <v>8</v>
      </c>
      <c r="B1153">
        <f t="shared" si="188"/>
        <v>94</v>
      </c>
      <c r="C1153" t="str" cm="1">
        <f t="array" ref="C1153">IFERROR(INDEX('TRIP MANAGER'!$O$18:$O$25,$A1153),"")</f>
        <v/>
      </c>
      <c r="D1153" t="str" cm="1">
        <f t="array" ref="D1153">IFERROR(INDEX('TRIP MANAGER'!$P$18:$P$25,$A1153),"")</f>
        <v/>
      </c>
      <c r="E1153" t="str" cm="1">
        <f t="array" ref="E1153">IFERROR(INDEX('TRIP MANAGER'!$Q$18:$Q$25,$A1153),"")</f>
        <v/>
      </c>
      <c r="F1153" t="str" cm="1">
        <f t="array" ref="F1153">IFERROR(INDEX('TRIP MANAGER'!$R$18:$R$25,$A1153),"")</f>
        <v/>
      </c>
      <c r="G1153" t="str" cm="1">
        <f t="array" ref="G1153">IFERROR(INDEX('TRIP MANAGER'!$S$18:$S$25,$A1153),"")</f>
        <v/>
      </c>
      <c r="H1153">
        <f t="shared" si="189"/>
        <v>0.62666666666666671</v>
      </c>
      <c r="I1153" t="str">
        <f t="shared" si="190"/>
        <v/>
      </c>
      <c r="J1153" t="str">
        <f t="shared" si="191"/>
        <v/>
      </c>
      <c r="K1153" t="str">
        <f t="shared" si="192"/>
        <v/>
      </c>
      <c r="L1153" t="str">
        <f t="shared" si="193"/>
        <v/>
      </c>
      <c r="M1153" t="str">
        <f t="shared" si="194"/>
        <v/>
      </c>
      <c r="N1153" t="str">
        <f t="shared" si="195"/>
        <v/>
      </c>
      <c r="O1153" t="str">
        <f t="shared" si="196"/>
        <v/>
      </c>
      <c r="P1153" t="str" cm="1">
        <f t="array" ref="P1153">IF($N1153="","",IFERROR(IF(INDEX(geo_grid!$B$2:$JU$231,INT(($N1153+40)/0.5)+1,INT(($O1153+30)/0.5)+1)="","",INDEX(geo_grid!$B$2:$JU$231,INT(($N1153+40)/0.5)+1,INT(($O1153+30)/0.5)+1)),"OUTSIDE GRID"))</f>
        <v/>
      </c>
      <c r="Q1153" t="str">
        <f t="shared" si="197"/>
        <v/>
      </c>
    </row>
    <row r="1154" spans="1:17" x14ac:dyDescent="0.3">
      <c r="A1154">
        <f t="shared" si="187"/>
        <v>8</v>
      </c>
      <c r="B1154">
        <f t="shared" si="188"/>
        <v>95</v>
      </c>
      <c r="C1154" t="str" cm="1">
        <f t="array" ref="C1154">IFERROR(INDEX('TRIP MANAGER'!$O$18:$O$25,$A1154),"")</f>
        <v/>
      </c>
      <c r="D1154" t="str" cm="1">
        <f t="array" ref="D1154">IFERROR(INDEX('TRIP MANAGER'!$P$18:$P$25,$A1154),"")</f>
        <v/>
      </c>
      <c r="E1154" t="str" cm="1">
        <f t="array" ref="E1154">IFERROR(INDEX('TRIP MANAGER'!$Q$18:$Q$25,$A1154),"")</f>
        <v/>
      </c>
      <c r="F1154" t="str" cm="1">
        <f t="array" ref="F1154">IFERROR(INDEX('TRIP MANAGER'!$R$18:$R$25,$A1154),"")</f>
        <v/>
      </c>
      <c r="G1154" t="str" cm="1">
        <f t="array" ref="G1154">IFERROR(INDEX('TRIP MANAGER'!$S$18:$S$25,$A1154),"")</f>
        <v/>
      </c>
      <c r="H1154">
        <f t="shared" si="189"/>
        <v>0.6333333333333333</v>
      </c>
      <c r="I1154" t="str">
        <f t="shared" si="190"/>
        <v/>
      </c>
      <c r="J1154" t="str">
        <f t="shared" si="191"/>
        <v/>
      </c>
      <c r="K1154" t="str">
        <f t="shared" si="192"/>
        <v/>
      </c>
      <c r="L1154" t="str">
        <f t="shared" si="193"/>
        <v/>
      </c>
      <c r="M1154" t="str">
        <f t="shared" si="194"/>
        <v/>
      </c>
      <c r="N1154" t="str">
        <f t="shared" si="195"/>
        <v/>
      </c>
      <c r="O1154" t="str">
        <f t="shared" si="196"/>
        <v/>
      </c>
      <c r="P1154" t="str" cm="1">
        <f t="array" ref="P1154">IF($N1154="","",IFERROR(IF(INDEX(geo_grid!$B$2:$JU$231,INT(($N1154+40)/0.5)+1,INT(($O1154+30)/0.5)+1)="","",INDEX(geo_grid!$B$2:$JU$231,INT(($N1154+40)/0.5)+1,INT(($O1154+30)/0.5)+1)),"OUTSIDE GRID"))</f>
        <v/>
      </c>
      <c r="Q1154" t="str">
        <f t="shared" si="197"/>
        <v/>
      </c>
    </row>
    <row r="1155" spans="1:17" x14ac:dyDescent="0.3">
      <c r="A1155">
        <f t="shared" ref="A1155:A1209" si="198">INT((ROW()-2)/151)+1</f>
        <v>8</v>
      </c>
      <c r="B1155">
        <f t="shared" ref="B1155:B1209" si="199">MOD(ROW()-2,151)</f>
        <v>96</v>
      </c>
      <c r="C1155" t="str" cm="1">
        <f t="array" ref="C1155">IFERROR(INDEX('TRIP MANAGER'!$O$18:$O$25,$A1155),"")</f>
        <v/>
      </c>
      <c r="D1155" t="str" cm="1">
        <f t="array" ref="D1155">IFERROR(INDEX('TRIP MANAGER'!$P$18:$P$25,$A1155),"")</f>
        <v/>
      </c>
      <c r="E1155" t="str" cm="1">
        <f t="array" ref="E1155">IFERROR(INDEX('TRIP MANAGER'!$Q$18:$Q$25,$A1155),"")</f>
        <v/>
      </c>
      <c r="F1155" t="str" cm="1">
        <f t="array" ref="F1155">IFERROR(INDEX('TRIP MANAGER'!$R$18:$R$25,$A1155),"")</f>
        <v/>
      </c>
      <c r="G1155" t="str" cm="1">
        <f t="array" ref="G1155">IFERROR(INDEX('TRIP MANAGER'!$S$18:$S$25,$A1155),"")</f>
        <v/>
      </c>
      <c r="H1155">
        <f t="shared" ref="H1155:H1209" si="200">$B1155/150</f>
        <v>0.64</v>
      </c>
      <c r="I1155" t="str">
        <f t="shared" ref="I1155:I1209" si="201">IF(OR($G1155="",$G1155=0),"",SIN((1-$H1155)*$G1155)/SIN($G1155))</f>
        <v/>
      </c>
      <c r="J1155" t="str">
        <f t="shared" ref="J1155:J1209" si="202">IF($I1155="","",SIN($H1155*$G1155)/SIN($G1155))</f>
        <v/>
      </c>
      <c r="K1155" t="str">
        <f t="shared" ref="K1155:K1209" si="203">IF($I1155="","",$I1155*COS(RADIANS($C1155))*COS(RADIANS($D1155))+$J1155*COS(RADIANS($E1155))*COS(RADIANS($F1155)))</f>
        <v/>
      </c>
      <c r="L1155" t="str">
        <f t="shared" ref="L1155:L1209" si="204">IF($I1155="","",$I1155*COS(RADIANS($C1155))*SIN(RADIANS($D1155))+$J1155*COS(RADIANS($E1155))*SIN(RADIANS($F1155)))</f>
        <v/>
      </c>
      <c r="M1155" t="str">
        <f t="shared" ref="M1155:M1209" si="205">IF($I1155="","",$I1155*SIN(RADIANS($C1155))+$J1155*SIN(RADIANS($E1155)))</f>
        <v/>
      </c>
      <c r="N1155" t="str">
        <f t="shared" ref="N1155:N1209" si="206">IF($M1155="","",DEGREES(ATAN2(SQRT($K1155^2+$L1155^2),$M1155)))</f>
        <v/>
      </c>
      <c r="O1155" t="str">
        <f t="shared" ref="O1155:O1209" si="207">IF($M1155="","",DEGREES(ATAN2($K1155,$L1155)))</f>
        <v/>
      </c>
      <c r="P1155" t="str" cm="1">
        <f t="array" ref="P1155">IF($N1155="","",IFERROR(IF(INDEX(geo_grid!$B$2:$JU$231,INT(($N1155+40)/0.5)+1,INT(($O1155+30)/0.5)+1)="","",INDEX(geo_grid!$B$2:$JU$231,INT(($N1155+40)/0.5)+1,INT(($O1155+30)/0.5)+1)),"OUTSIDE GRID"))</f>
        <v/>
      </c>
      <c r="Q1155" t="str">
        <f t="shared" ref="Q1155:Q1209" si="208">IF($P1155="","",$A1155*1000+$B1155)</f>
        <v/>
      </c>
    </row>
    <row r="1156" spans="1:17" x14ac:dyDescent="0.3">
      <c r="A1156">
        <f t="shared" si="198"/>
        <v>8</v>
      </c>
      <c r="B1156">
        <f t="shared" si="199"/>
        <v>97</v>
      </c>
      <c r="C1156" t="str" cm="1">
        <f t="array" ref="C1156">IFERROR(INDEX('TRIP MANAGER'!$O$18:$O$25,$A1156),"")</f>
        <v/>
      </c>
      <c r="D1156" t="str" cm="1">
        <f t="array" ref="D1156">IFERROR(INDEX('TRIP MANAGER'!$P$18:$P$25,$A1156),"")</f>
        <v/>
      </c>
      <c r="E1156" t="str" cm="1">
        <f t="array" ref="E1156">IFERROR(INDEX('TRIP MANAGER'!$Q$18:$Q$25,$A1156),"")</f>
        <v/>
      </c>
      <c r="F1156" t="str" cm="1">
        <f t="array" ref="F1156">IFERROR(INDEX('TRIP MANAGER'!$R$18:$R$25,$A1156),"")</f>
        <v/>
      </c>
      <c r="G1156" t="str" cm="1">
        <f t="array" ref="G1156">IFERROR(INDEX('TRIP MANAGER'!$S$18:$S$25,$A1156),"")</f>
        <v/>
      </c>
      <c r="H1156">
        <f t="shared" si="200"/>
        <v>0.64666666666666661</v>
      </c>
      <c r="I1156" t="str">
        <f t="shared" si="201"/>
        <v/>
      </c>
      <c r="J1156" t="str">
        <f t="shared" si="202"/>
        <v/>
      </c>
      <c r="K1156" t="str">
        <f t="shared" si="203"/>
        <v/>
      </c>
      <c r="L1156" t="str">
        <f t="shared" si="204"/>
        <v/>
      </c>
      <c r="M1156" t="str">
        <f t="shared" si="205"/>
        <v/>
      </c>
      <c r="N1156" t="str">
        <f t="shared" si="206"/>
        <v/>
      </c>
      <c r="O1156" t="str">
        <f t="shared" si="207"/>
        <v/>
      </c>
      <c r="P1156" t="str" cm="1">
        <f t="array" ref="P1156">IF($N1156="","",IFERROR(IF(INDEX(geo_grid!$B$2:$JU$231,INT(($N1156+40)/0.5)+1,INT(($O1156+30)/0.5)+1)="","",INDEX(geo_grid!$B$2:$JU$231,INT(($N1156+40)/0.5)+1,INT(($O1156+30)/0.5)+1)),"OUTSIDE GRID"))</f>
        <v/>
      </c>
      <c r="Q1156" t="str">
        <f t="shared" si="208"/>
        <v/>
      </c>
    </row>
    <row r="1157" spans="1:17" x14ac:dyDescent="0.3">
      <c r="A1157">
        <f t="shared" si="198"/>
        <v>8</v>
      </c>
      <c r="B1157">
        <f t="shared" si="199"/>
        <v>98</v>
      </c>
      <c r="C1157" t="str" cm="1">
        <f t="array" ref="C1157">IFERROR(INDEX('TRIP MANAGER'!$O$18:$O$25,$A1157),"")</f>
        <v/>
      </c>
      <c r="D1157" t="str" cm="1">
        <f t="array" ref="D1157">IFERROR(INDEX('TRIP MANAGER'!$P$18:$P$25,$A1157),"")</f>
        <v/>
      </c>
      <c r="E1157" t="str" cm="1">
        <f t="array" ref="E1157">IFERROR(INDEX('TRIP MANAGER'!$Q$18:$Q$25,$A1157),"")</f>
        <v/>
      </c>
      <c r="F1157" t="str" cm="1">
        <f t="array" ref="F1157">IFERROR(INDEX('TRIP MANAGER'!$R$18:$R$25,$A1157),"")</f>
        <v/>
      </c>
      <c r="G1157" t="str" cm="1">
        <f t="array" ref="G1157">IFERROR(INDEX('TRIP MANAGER'!$S$18:$S$25,$A1157),"")</f>
        <v/>
      </c>
      <c r="H1157">
        <f t="shared" si="200"/>
        <v>0.65333333333333332</v>
      </c>
      <c r="I1157" t="str">
        <f t="shared" si="201"/>
        <v/>
      </c>
      <c r="J1157" t="str">
        <f t="shared" si="202"/>
        <v/>
      </c>
      <c r="K1157" t="str">
        <f t="shared" si="203"/>
        <v/>
      </c>
      <c r="L1157" t="str">
        <f t="shared" si="204"/>
        <v/>
      </c>
      <c r="M1157" t="str">
        <f t="shared" si="205"/>
        <v/>
      </c>
      <c r="N1157" t="str">
        <f t="shared" si="206"/>
        <v/>
      </c>
      <c r="O1157" t="str">
        <f t="shared" si="207"/>
        <v/>
      </c>
      <c r="P1157" t="str" cm="1">
        <f t="array" ref="P1157">IF($N1157="","",IFERROR(IF(INDEX(geo_grid!$B$2:$JU$231,INT(($N1157+40)/0.5)+1,INT(($O1157+30)/0.5)+1)="","",INDEX(geo_grid!$B$2:$JU$231,INT(($N1157+40)/0.5)+1,INT(($O1157+30)/0.5)+1)),"OUTSIDE GRID"))</f>
        <v/>
      </c>
      <c r="Q1157" t="str">
        <f t="shared" si="208"/>
        <v/>
      </c>
    </row>
    <row r="1158" spans="1:17" x14ac:dyDescent="0.3">
      <c r="A1158">
        <f t="shared" si="198"/>
        <v>8</v>
      </c>
      <c r="B1158">
        <f t="shared" si="199"/>
        <v>99</v>
      </c>
      <c r="C1158" t="str" cm="1">
        <f t="array" ref="C1158">IFERROR(INDEX('TRIP MANAGER'!$O$18:$O$25,$A1158),"")</f>
        <v/>
      </c>
      <c r="D1158" t="str" cm="1">
        <f t="array" ref="D1158">IFERROR(INDEX('TRIP MANAGER'!$P$18:$P$25,$A1158),"")</f>
        <v/>
      </c>
      <c r="E1158" t="str" cm="1">
        <f t="array" ref="E1158">IFERROR(INDEX('TRIP MANAGER'!$Q$18:$Q$25,$A1158),"")</f>
        <v/>
      </c>
      <c r="F1158" t="str" cm="1">
        <f t="array" ref="F1158">IFERROR(INDEX('TRIP MANAGER'!$R$18:$R$25,$A1158),"")</f>
        <v/>
      </c>
      <c r="G1158" t="str" cm="1">
        <f t="array" ref="G1158">IFERROR(INDEX('TRIP MANAGER'!$S$18:$S$25,$A1158),"")</f>
        <v/>
      </c>
      <c r="H1158">
        <f t="shared" si="200"/>
        <v>0.66</v>
      </c>
      <c r="I1158" t="str">
        <f t="shared" si="201"/>
        <v/>
      </c>
      <c r="J1158" t="str">
        <f t="shared" si="202"/>
        <v/>
      </c>
      <c r="K1158" t="str">
        <f t="shared" si="203"/>
        <v/>
      </c>
      <c r="L1158" t="str">
        <f t="shared" si="204"/>
        <v/>
      </c>
      <c r="M1158" t="str">
        <f t="shared" si="205"/>
        <v/>
      </c>
      <c r="N1158" t="str">
        <f t="shared" si="206"/>
        <v/>
      </c>
      <c r="O1158" t="str">
        <f t="shared" si="207"/>
        <v/>
      </c>
      <c r="P1158" t="str" cm="1">
        <f t="array" ref="P1158">IF($N1158="","",IFERROR(IF(INDEX(geo_grid!$B$2:$JU$231,INT(($N1158+40)/0.5)+1,INT(($O1158+30)/0.5)+1)="","",INDEX(geo_grid!$B$2:$JU$231,INT(($N1158+40)/0.5)+1,INT(($O1158+30)/0.5)+1)),"OUTSIDE GRID"))</f>
        <v/>
      </c>
      <c r="Q1158" t="str">
        <f t="shared" si="208"/>
        <v/>
      </c>
    </row>
    <row r="1159" spans="1:17" x14ac:dyDescent="0.3">
      <c r="A1159">
        <f t="shared" si="198"/>
        <v>8</v>
      </c>
      <c r="B1159">
        <f t="shared" si="199"/>
        <v>100</v>
      </c>
      <c r="C1159" t="str" cm="1">
        <f t="array" ref="C1159">IFERROR(INDEX('TRIP MANAGER'!$O$18:$O$25,$A1159),"")</f>
        <v/>
      </c>
      <c r="D1159" t="str" cm="1">
        <f t="array" ref="D1159">IFERROR(INDEX('TRIP MANAGER'!$P$18:$P$25,$A1159),"")</f>
        <v/>
      </c>
      <c r="E1159" t="str" cm="1">
        <f t="array" ref="E1159">IFERROR(INDEX('TRIP MANAGER'!$Q$18:$Q$25,$A1159),"")</f>
        <v/>
      </c>
      <c r="F1159" t="str" cm="1">
        <f t="array" ref="F1159">IFERROR(INDEX('TRIP MANAGER'!$R$18:$R$25,$A1159),"")</f>
        <v/>
      </c>
      <c r="G1159" t="str" cm="1">
        <f t="array" ref="G1159">IFERROR(INDEX('TRIP MANAGER'!$S$18:$S$25,$A1159),"")</f>
        <v/>
      </c>
      <c r="H1159">
        <f t="shared" si="200"/>
        <v>0.66666666666666663</v>
      </c>
      <c r="I1159" t="str">
        <f t="shared" si="201"/>
        <v/>
      </c>
      <c r="J1159" t="str">
        <f t="shared" si="202"/>
        <v/>
      </c>
      <c r="K1159" t="str">
        <f t="shared" si="203"/>
        <v/>
      </c>
      <c r="L1159" t="str">
        <f t="shared" si="204"/>
        <v/>
      </c>
      <c r="M1159" t="str">
        <f t="shared" si="205"/>
        <v/>
      </c>
      <c r="N1159" t="str">
        <f t="shared" si="206"/>
        <v/>
      </c>
      <c r="O1159" t="str">
        <f t="shared" si="207"/>
        <v/>
      </c>
      <c r="P1159" t="str" cm="1">
        <f t="array" ref="P1159">IF($N1159="","",IFERROR(IF(INDEX(geo_grid!$B$2:$JU$231,INT(($N1159+40)/0.5)+1,INT(($O1159+30)/0.5)+1)="","",INDEX(geo_grid!$B$2:$JU$231,INT(($N1159+40)/0.5)+1,INT(($O1159+30)/0.5)+1)),"OUTSIDE GRID"))</f>
        <v/>
      </c>
      <c r="Q1159" t="str">
        <f t="shared" si="208"/>
        <v/>
      </c>
    </row>
    <row r="1160" spans="1:17" x14ac:dyDescent="0.3">
      <c r="A1160">
        <f t="shared" si="198"/>
        <v>8</v>
      </c>
      <c r="B1160">
        <f t="shared" si="199"/>
        <v>101</v>
      </c>
      <c r="C1160" t="str" cm="1">
        <f t="array" ref="C1160">IFERROR(INDEX('TRIP MANAGER'!$O$18:$O$25,$A1160),"")</f>
        <v/>
      </c>
      <c r="D1160" t="str" cm="1">
        <f t="array" ref="D1160">IFERROR(INDEX('TRIP MANAGER'!$P$18:$P$25,$A1160),"")</f>
        <v/>
      </c>
      <c r="E1160" t="str" cm="1">
        <f t="array" ref="E1160">IFERROR(INDEX('TRIP MANAGER'!$Q$18:$Q$25,$A1160),"")</f>
        <v/>
      </c>
      <c r="F1160" t="str" cm="1">
        <f t="array" ref="F1160">IFERROR(INDEX('TRIP MANAGER'!$R$18:$R$25,$A1160),"")</f>
        <v/>
      </c>
      <c r="G1160" t="str" cm="1">
        <f t="array" ref="G1160">IFERROR(INDEX('TRIP MANAGER'!$S$18:$S$25,$A1160),"")</f>
        <v/>
      </c>
      <c r="H1160">
        <f t="shared" si="200"/>
        <v>0.67333333333333334</v>
      </c>
      <c r="I1160" t="str">
        <f t="shared" si="201"/>
        <v/>
      </c>
      <c r="J1160" t="str">
        <f t="shared" si="202"/>
        <v/>
      </c>
      <c r="K1160" t="str">
        <f t="shared" si="203"/>
        <v/>
      </c>
      <c r="L1160" t="str">
        <f t="shared" si="204"/>
        <v/>
      </c>
      <c r="M1160" t="str">
        <f t="shared" si="205"/>
        <v/>
      </c>
      <c r="N1160" t="str">
        <f t="shared" si="206"/>
        <v/>
      </c>
      <c r="O1160" t="str">
        <f t="shared" si="207"/>
        <v/>
      </c>
      <c r="P1160" t="str" cm="1">
        <f t="array" ref="P1160">IF($N1160="","",IFERROR(IF(INDEX(geo_grid!$B$2:$JU$231,INT(($N1160+40)/0.5)+1,INT(($O1160+30)/0.5)+1)="","",INDEX(geo_grid!$B$2:$JU$231,INT(($N1160+40)/0.5)+1,INT(($O1160+30)/0.5)+1)),"OUTSIDE GRID"))</f>
        <v/>
      </c>
      <c r="Q1160" t="str">
        <f t="shared" si="208"/>
        <v/>
      </c>
    </row>
    <row r="1161" spans="1:17" x14ac:dyDescent="0.3">
      <c r="A1161">
        <f t="shared" si="198"/>
        <v>8</v>
      </c>
      <c r="B1161">
        <f t="shared" si="199"/>
        <v>102</v>
      </c>
      <c r="C1161" t="str" cm="1">
        <f t="array" ref="C1161">IFERROR(INDEX('TRIP MANAGER'!$O$18:$O$25,$A1161),"")</f>
        <v/>
      </c>
      <c r="D1161" t="str" cm="1">
        <f t="array" ref="D1161">IFERROR(INDEX('TRIP MANAGER'!$P$18:$P$25,$A1161),"")</f>
        <v/>
      </c>
      <c r="E1161" t="str" cm="1">
        <f t="array" ref="E1161">IFERROR(INDEX('TRIP MANAGER'!$Q$18:$Q$25,$A1161),"")</f>
        <v/>
      </c>
      <c r="F1161" t="str" cm="1">
        <f t="array" ref="F1161">IFERROR(INDEX('TRIP MANAGER'!$R$18:$R$25,$A1161),"")</f>
        <v/>
      </c>
      <c r="G1161" t="str" cm="1">
        <f t="array" ref="G1161">IFERROR(INDEX('TRIP MANAGER'!$S$18:$S$25,$A1161),"")</f>
        <v/>
      </c>
      <c r="H1161">
        <f t="shared" si="200"/>
        <v>0.68</v>
      </c>
      <c r="I1161" t="str">
        <f t="shared" si="201"/>
        <v/>
      </c>
      <c r="J1161" t="str">
        <f t="shared" si="202"/>
        <v/>
      </c>
      <c r="K1161" t="str">
        <f t="shared" si="203"/>
        <v/>
      </c>
      <c r="L1161" t="str">
        <f t="shared" si="204"/>
        <v/>
      </c>
      <c r="M1161" t="str">
        <f t="shared" si="205"/>
        <v/>
      </c>
      <c r="N1161" t="str">
        <f t="shared" si="206"/>
        <v/>
      </c>
      <c r="O1161" t="str">
        <f t="shared" si="207"/>
        <v/>
      </c>
      <c r="P1161" t="str" cm="1">
        <f t="array" ref="P1161">IF($N1161="","",IFERROR(IF(INDEX(geo_grid!$B$2:$JU$231,INT(($N1161+40)/0.5)+1,INT(($O1161+30)/0.5)+1)="","",INDEX(geo_grid!$B$2:$JU$231,INT(($N1161+40)/0.5)+1,INT(($O1161+30)/0.5)+1)),"OUTSIDE GRID"))</f>
        <v/>
      </c>
      <c r="Q1161" t="str">
        <f t="shared" si="208"/>
        <v/>
      </c>
    </row>
    <row r="1162" spans="1:17" x14ac:dyDescent="0.3">
      <c r="A1162">
        <f t="shared" si="198"/>
        <v>8</v>
      </c>
      <c r="B1162">
        <f t="shared" si="199"/>
        <v>103</v>
      </c>
      <c r="C1162" t="str" cm="1">
        <f t="array" ref="C1162">IFERROR(INDEX('TRIP MANAGER'!$O$18:$O$25,$A1162),"")</f>
        <v/>
      </c>
      <c r="D1162" t="str" cm="1">
        <f t="array" ref="D1162">IFERROR(INDEX('TRIP MANAGER'!$P$18:$P$25,$A1162),"")</f>
        <v/>
      </c>
      <c r="E1162" t="str" cm="1">
        <f t="array" ref="E1162">IFERROR(INDEX('TRIP MANAGER'!$Q$18:$Q$25,$A1162),"")</f>
        <v/>
      </c>
      <c r="F1162" t="str" cm="1">
        <f t="array" ref="F1162">IFERROR(INDEX('TRIP MANAGER'!$R$18:$R$25,$A1162),"")</f>
        <v/>
      </c>
      <c r="G1162" t="str" cm="1">
        <f t="array" ref="G1162">IFERROR(INDEX('TRIP MANAGER'!$S$18:$S$25,$A1162),"")</f>
        <v/>
      </c>
      <c r="H1162">
        <f t="shared" si="200"/>
        <v>0.68666666666666665</v>
      </c>
      <c r="I1162" t="str">
        <f t="shared" si="201"/>
        <v/>
      </c>
      <c r="J1162" t="str">
        <f t="shared" si="202"/>
        <v/>
      </c>
      <c r="K1162" t="str">
        <f t="shared" si="203"/>
        <v/>
      </c>
      <c r="L1162" t="str">
        <f t="shared" si="204"/>
        <v/>
      </c>
      <c r="M1162" t="str">
        <f t="shared" si="205"/>
        <v/>
      </c>
      <c r="N1162" t="str">
        <f t="shared" si="206"/>
        <v/>
      </c>
      <c r="O1162" t="str">
        <f t="shared" si="207"/>
        <v/>
      </c>
      <c r="P1162" t="str" cm="1">
        <f t="array" ref="P1162">IF($N1162="","",IFERROR(IF(INDEX(geo_grid!$B$2:$JU$231,INT(($N1162+40)/0.5)+1,INT(($O1162+30)/0.5)+1)="","",INDEX(geo_grid!$B$2:$JU$231,INT(($N1162+40)/0.5)+1,INT(($O1162+30)/0.5)+1)),"OUTSIDE GRID"))</f>
        <v/>
      </c>
      <c r="Q1162" t="str">
        <f t="shared" si="208"/>
        <v/>
      </c>
    </row>
    <row r="1163" spans="1:17" x14ac:dyDescent="0.3">
      <c r="A1163">
        <f t="shared" si="198"/>
        <v>8</v>
      </c>
      <c r="B1163">
        <f t="shared" si="199"/>
        <v>104</v>
      </c>
      <c r="C1163" t="str" cm="1">
        <f t="array" ref="C1163">IFERROR(INDEX('TRIP MANAGER'!$O$18:$O$25,$A1163),"")</f>
        <v/>
      </c>
      <c r="D1163" t="str" cm="1">
        <f t="array" ref="D1163">IFERROR(INDEX('TRIP MANAGER'!$P$18:$P$25,$A1163),"")</f>
        <v/>
      </c>
      <c r="E1163" t="str" cm="1">
        <f t="array" ref="E1163">IFERROR(INDEX('TRIP MANAGER'!$Q$18:$Q$25,$A1163),"")</f>
        <v/>
      </c>
      <c r="F1163" t="str" cm="1">
        <f t="array" ref="F1163">IFERROR(INDEX('TRIP MANAGER'!$R$18:$R$25,$A1163),"")</f>
        <v/>
      </c>
      <c r="G1163" t="str" cm="1">
        <f t="array" ref="G1163">IFERROR(INDEX('TRIP MANAGER'!$S$18:$S$25,$A1163),"")</f>
        <v/>
      </c>
      <c r="H1163">
        <f t="shared" si="200"/>
        <v>0.69333333333333336</v>
      </c>
      <c r="I1163" t="str">
        <f t="shared" si="201"/>
        <v/>
      </c>
      <c r="J1163" t="str">
        <f t="shared" si="202"/>
        <v/>
      </c>
      <c r="K1163" t="str">
        <f t="shared" si="203"/>
        <v/>
      </c>
      <c r="L1163" t="str">
        <f t="shared" si="204"/>
        <v/>
      </c>
      <c r="M1163" t="str">
        <f t="shared" si="205"/>
        <v/>
      </c>
      <c r="N1163" t="str">
        <f t="shared" si="206"/>
        <v/>
      </c>
      <c r="O1163" t="str">
        <f t="shared" si="207"/>
        <v/>
      </c>
      <c r="P1163" t="str" cm="1">
        <f t="array" ref="P1163">IF($N1163="","",IFERROR(IF(INDEX(geo_grid!$B$2:$JU$231,INT(($N1163+40)/0.5)+1,INT(($O1163+30)/0.5)+1)="","",INDEX(geo_grid!$B$2:$JU$231,INT(($N1163+40)/0.5)+1,INT(($O1163+30)/0.5)+1)),"OUTSIDE GRID"))</f>
        <v/>
      </c>
      <c r="Q1163" t="str">
        <f t="shared" si="208"/>
        <v/>
      </c>
    </row>
    <row r="1164" spans="1:17" x14ac:dyDescent="0.3">
      <c r="A1164">
        <f t="shared" si="198"/>
        <v>8</v>
      </c>
      <c r="B1164">
        <f t="shared" si="199"/>
        <v>105</v>
      </c>
      <c r="C1164" t="str" cm="1">
        <f t="array" ref="C1164">IFERROR(INDEX('TRIP MANAGER'!$O$18:$O$25,$A1164),"")</f>
        <v/>
      </c>
      <c r="D1164" t="str" cm="1">
        <f t="array" ref="D1164">IFERROR(INDEX('TRIP MANAGER'!$P$18:$P$25,$A1164),"")</f>
        <v/>
      </c>
      <c r="E1164" t="str" cm="1">
        <f t="array" ref="E1164">IFERROR(INDEX('TRIP MANAGER'!$Q$18:$Q$25,$A1164),"")</f>
        <v/>
      </c>
      <c r="F1164" t="str" cm="1">
        <f t="array" ref="F1164">IFERROR(INDEX('TRIP MANAGER'!$R$18:$R$25,$A1164),"")</f>
        <v/>
      </c>
      <c r="G1164" t="str" cm="1">
        <f t="array" ref="G1164">IFERROR(INDEX('TRIP MANAGER'!$S$18:$S$25,$A1164),"")</f>
        <v/>
      </c>
      <c r="H1164">
        <f t="shared" si="200"/>
        <v>0.7</v>
      </c>
      <c r="I1164" t="str">
        <f t="shared" si="201"/>
        <v/>
      </c>
      <c r="J1164" t="str">
        <f t="shared" si="202"/>
        <v/>
      </c>
      <c r="K1164" t="str">
        <f t="shared" si="203"/>
        <v/>
      </c>
      <c r="L1164" t="str">
        <f t="shared" si="204"/>
        <v/>
      </c>
      <c r="M1164" t="str">
        <f t="shared" si="205"/>
        <v/>
      </c>
      <c r="N1164" t="str">
        <f t="shared" si="206"/>
        <v/>
      </c>
      <c r="O1164" t="str">
        <f t="shared" si="207"/>
        <v/>
      </c>
      <c r="P1164" t="str" cm="1">
        <f t="array" ref="P1164">IF($N1164="","",IFERROR(IF(INDEX(geo_grid!$B$2:$JU$231,INT(($N1164+40)/0.5)+1,INT(($O1164+30)/0.5)+1)="","",INDEX(geo_grid!$B$2:$JU$231,INT(($N1164+40)/0.5)+1,INT(($O1164+30)/0.5)+1)),"OUTSIDE GRID"))</f>
        <v/>
      </c>
      <c r="Q1164" t="str">
        <f t="shared" si="208"/>
        <v/>
      </c>
    </row>
    <row r="1165" spans="1:17" x14ac:dyDescent="0.3">
      <c r="A1165">
        <f t="shared" si="198"/>
        <v>8</v>
      </c>
      <c r="B1165">
        <f t="shared" si="199"/>
        <v>106</v>
      </c>
      <c r="C1165" t="str" cm="1">
        <f t="array" ref="C1165">IFERROR(INDEX('TRIP MANAGER'!$O$18:$O$25,$A1165),"")</f>
        <v/>
      </c>
      <c r="D1165" t="str" cm="1">
        <f t="array" ref="D1165">IFERROR(INDEX('TRIP MANAGER'!$P$18:$P$25,$A1165),"")</f>
        <v/>
      </c>
      <c r="E1165" t="str" cm="1">
        <f t="array" ref="E1165">IFERROR(INDEX('TRIP MANAGER'!$Q$18:$Q$25,$A1165),"")</f>
        <v/>
      </c>
      <c r="F1165" t="str" cm="1">
        <f t="array" ref="F1165">IFERROR(INDEX('TRIP MANAGER'!$R$18:$R$25,$A1165),"")</f>
        <v/>
      </c>
      <c r="G1165" t="str" cm="1">
        <f t="array" ref="G1165">IFERROR(INDEX('TRIP MANAGER'!$S$18:$S$25,$A1165),"")</f>
        <v/>
      </c>
      <c r="H1165">
        <f t="shared" si="200"/>
        <v>0.70666666666666667</v>
      </c>
      <c r="I1165" t="str">
        <f t="shared" si="201"/>
        <v/>
      </c>
      <c r="J1165" t="str">
        <f t="shared" si="202"/>
        <v/>
      </c>
      <c r="K1165" t="str">
        <f t="shared" si="203"/>
        <v/>
      </c>
      <c r="L1165" t="str">
        <f t="shared" si="204"/>
        <v/>
      </c>
      <c r="M1165" t="str">
        <f t="shared" si="205"/>
        <v/>
      </c>
      <c r="N1165" t="str">
        <f t="shared" si="206"/>
        <v/>
      </c>
      <c r="O1165" t="str">
        <f t="shared" si="207"/>
        <v/>
      </c>
      <c r="P1165" t="str" cm="1">
        <f t="array" ref="P1165">IF($N1165="","",IFERROR(IF(INDEX(geo_grid!$B$2:$JU$231,INT(($N1165+40)/0.5)+1,INT(($O1165+30)/0.5)+1)="","",INDEX(geo_grid!$B$2:$JU$231,INT(($N1165+40)/0.5)+1,INT(($O1165+30)/0.5)+1)),"OUTSIDE GRID"))</f>
        <v/>
      </c>
      <c r="Q1165" t="str">
        <f t="shared" si="208"/>
        <v/>
      </c>
    </row>
    <row r="1166" spans="1:17" x14ac:dyDescent="0.3">
      <c r="A1166">
        <f t="shared" si="198"/>
        <v>8</v>
      </c>
      <c r="B1166">
        <f t="shared" si="199"/>
        <v>107</v>
      </c>
      <c r="C1166" t="str" cm="1">
        <f t="array" ref="C1166">IFERROR(INDEX('TRIP MANAGER'!$O$18:$O$25,$A1166),"")</f>
        <v/>
      </c>
      <c r="D1166" t="str" cm="1">
        <f t="array" ref="D1166">IFERROR(INDEX('TRIP MANAGER'!$P$18:$P$25,$A1166),"")</f>
        <v/>
      </c>
      <c r="E1166" t="str" cm="1">
        <f t="array" ref="E1166">IFERROR(INDEX('TRIP MANAGER'!$Q$18:$Q$25,$A1166),"")</f>
        <v/>
      </c>
      <c r="F1166" t="str" cm="1">
        <f t="array" ref="F1166">IFERROR(INDEX('TRIP MANAGER'!$R$18:$R$25,$A1166),"")</f>
        <v/>
      </c>
      <c r="G1166" t="str" cm="1">
        <f t="array" ref="G1166">IFERROR(INDEX('TRIP MANAGER'!$S$18:$S$25,$A1166),"")</f>
        <v/>
      </c>
      <c r="H1166">
        <f t="shared" si="200"/>
        <v>0.71333333333333337</v>
      </c>
      <c r="I1166" t="str">
        <f t="shared" si="201"/>
        <v/>
      </c>
      <c r="J1166" t="str">
        <f t="shared" si="202"/>
        <v/>
      </c>
      <c r="K1166" t="str">
        <f t="shared" si="203"/>
        <v/>
      </c>
      <c r="L1166" t="str">
        <f t="shared" si="204"/>
        <v/>
      </c>
      <c r="M1166" t="str">
        <f t="shared" si="205"/>
        <v/>
      </c>
      <c r="N1166" t="str">
        <f t="shared" si="206"/>
        <v/>
      </c>
      <c r="O1166" t="str">
        <f t="shared" si="207"/>
        <v/>
      </c>
      <c r="P1166" t="str" cm="1">
        <f t="array" ref="P1166">IF($N1166="","",IFERROR(IF(INDEX(geo_grid!$B$2:$JU$231,INT(($N1166+40)/0.5)+1,INT(($O1166+30)/0.5)+1)="","",INDEX(geo_grid!$B$2:$JU$231,INT(($N1166+40)/0.5)+1,INT(($O1166+30)/0.5)+1)),"OUTSIDE GRID"))</f>
        <v/>
      </c>
      <c r="Q1166" t="str">
        <f t="shared" si="208"/>
        <v/>
      </c>
    </row>
    <row r="1167" spans="1:17" x14ac:dyDescent="0.3">
      <c r="A1167">
        <f t="shared" si="198"/>
        <v>8</v>
      </c>
      <c r="B1167">
        <f t="shared" si="199"/>
        <v>108</v>
      </c>
      <c r="C1167" t="str" cm="1">
        <f t="array" ref="C1167">IFERROR(INDEX('TRIP MANAGER'!$O$18:$O$25,$A1167),"")</f>
        <v/>
      </c>
      <c r="D1167" t="str" cm="1">
        <f t="array" ref="D1167">IFERROR(INDEX('TRIP MANAGER'!$P$18:$P$25,$A1167),"")</f>
        <v/>
      </c>
      <c r="E1167" t="str" cm="1">
        <f t="array" ref="E1167">IFERROR(INDEX('TRIP MANAGER'!$Q$18:$Q$25,$A1167),"")</f>
        <v/>
      </c>
      <c r="F1167" t="str" cm="1">
        <f t="array" ref="F1167">IFERROR(INDEX('TRIP MANAGER'!$R$18:$R$25,$A1167),"")</f>
        <v/>
      </c>
      <c r="G1167" t="str" cm="1">
        <f t="array" ref="G1167">IFERROR(INDEX('TRIP MANAGER'!$S$18:$S$25,$A1167),"")</f>
        <v/>
      </c>
      <c r="H1167">
        <f t="shared" si="200"/>
        <v>0.72</v>
      </c>
      <c r="I1167" t="str">
        <f t="shared" si="201"/>
        <v/>
      </c>
      <c r="J1167" t="str">
        <f t="shared" si="202"/>
        <v/>
      </c>
      <c r="K1167" t="str">
        <f t="shared" si="203"/>
        <v/>
      </c>
      <c r="L1167" t="str">
        <f t="shared" si="204"/>
        <v/>
      </c>
      <c r="M1167" t="str">
        <f t="shared" si="205"/>
        <v/>
      </c>
      <c r="N1167" t="str">
        <f t="shared" si="206"/>
        <v/>
      </c>
      <c r="O1167" t="str">
        <f t="shared" si="207"/>
        <v/>
      </c>
      <c r="P1167" t="str" cm="1">
        <f t="array" ref="P1167">IF($N1167="","",IFERROR(IF(INDEX(geo_grid!$B$2:$JU$231,INT(($N1167+40)/0.5)+1,INT(($O1167+30)/0.5)+1)="","",INDEX(geo_grid!$B$2:$JU$231,INT(($N1167+40)/0.5)+1,INT(($O1167+30)/0.5)+1)),"OUTSIDE GRID"))</f>
        <v/>
      </c>
      <c r="Q1167" t="str">
        <f t="shared" si="208"/>
        <v/>
      </c>
    </row>
    <row r="1168" spans="1:17" x14ac:dyDescent="0.3">
      <c r="A1168">
        <f t="shared" si="198"/>
        <v>8</v>
      </c>
      <c r="B1168">
        <f t="shared" si="199"/>
        <v>109</v>
      </c>
      <c r="C1168" t="str" cm="1">
        <f t="array" ref="C1168">IFERROR(INDEX('TRIP MANAGER'!$O$18:$O$25,$A1168),"")</f>
        <v/>
      </c>
      <c r="D1168" t="str" cm="1">
        <f t="array" ref="D1168">IFERROR(INDEX('TRIP MANAGER'!$P$18:$P$25,$A1168),"")</f>
        <v/>
      </c>
      <c r="E1168" t="str" cm="1">
        <f t="array" ref="E1168">IFERROR(INDEX('TRIP MANAGER'!$Q$18:$Q$25,$A1168),"")</f>
        <v/>
      </c>
      <c r="F1168" t="str" cm="1">
        <f t="array" ref="F1168">IFERROR(INDEX('TRIP MANAGER'!$R$18:$R$25,$A1168),"")</f>
        <v/>
      </c>
      <c r="G1168" t="str" cm="1">
        <f t="array" ref="G1168">IFERROR(INDEX('TRIP MANAGER'!$S$18:$S$25,$A1168),"")</f>
        <v/>
      </c>
      <c r="H1168">
        <f t="shared" si="200"/>
        <v>0.72666666666666668</v>
      </c>
      <c r="I1168" t="str">
        <f t="shared" si="201"/>
        <v/>
      </c>
      <c r="J1168" t="str">
        <f t="shared" si="202"/>
        <v/>
      </c>
      <c r="K1168" t="str">
        <f t="shared" si="203"/>
        <v/>
      </c>
      <c r="L1168" t="str">
        <f t="shared" si="204"/>
        <v/>
      </c>
      <c r="M1168" t="str">
        <f t="shared" si="205"/>
        <v/>
      </c>
      <c r="N1168" t="str">
        <f t="shared" si="206"/>
        <v/>
      </c>
      <c r="O1168" t="str">
        <f t="shared" si="207"/>
        <v/>
      </c>
      <c r="P1168" t="str" cm="1">
        <f t="array" ref="P1168">IF($N1168="","",IFERROR(IF(INDEX(geo_grid!$B$2:$JU$231,INT(($N1168+40)/0.5)+1,INT(($O1168+30)/0.5)+1)="","",INDEX(geo_grid!$B$2:$JU$231,INT(($N1168+40)/0.5)+1,INT(($O1168+30)/0.5)+1)),"OUTSIDE GRID"))</f>
        <v/>
      </c>
      <c r="Q1168" t="str">
        <f t="shared" si="208"/>
        <v/>
      </c>
    </row>
    <row r="1169" spans="1:17" x14ac:dyDescent="0.3">
      <c r="A1169">
        <f t="shared" si="198"/>
        <v>8</v>
      </c>
      <c r="B1169">
        <f t="shared" si="199"/>
        <v>110</v>
      </c>
      <c r="C1169" t="str" cm="1">
        <f t="array" ref="C1169">IFERROR(INDEX('TRIP MANAGER'!$O$18:$O$25,$A1169),"")</f>
        <v/>
      </c>
      <c r="D1169" t="str" cm="1">
        <f t="array" ref="D1169">IFERROR(INDEX('TRIP MANAGER'!$P$18:$P$25,$A1169),"")</f>
        <v/>
      </c>
      <c r="E1169" t="str" cm="1">
        <f t="array" ref="E1169">IFERROR(INDEX('TRIP MANAGER'!$Q$18:$Q$25,$A1169),"")</f>
        <v/>
      </c>
      <c r="F1169" t="str" cm="1">
        <f t="array" ref="F1169">IFERROR(INDEX('TRIP MANAGER'!$R$18:$R$25,$A1169),"")</f>
        <v/>
      </c>
      <c r="G1169" t="str" cm="1">
        <f t="array" ref="G1169">IFERROR(INDEX('TRIP MANAGER'!$S$18:$S$25,$A1169),"")</f>
        <v/>
      </c>
      <c r="H1169">
        <f t="shared" si="200"/>
        <v>0.73333333333333328</v>
      </c>
      <c r="I1169" t="str">
        <f t="shared" si="201"/>
        <v/>
      </c>
      <c r="J1169" t="str">
        <f t="shared" si="202"/>
        <v/>
      </c>
      <c r="K1169" t="str">
        <f t="shared" si="203"/>
        <v/>
      </c>
      <c r="L1169" t="str">
        <f t="shared" si="204"/>
        <v/>
      </c>
      <c r="M1169" t="str">
        <f t="shared" si="205"/>
        <v/>
      </c>
      <c r="N1169" t="str">
        <f t="shared" si="206"/>
        <v/>
      </c>
      <c r="O1169" t="str">
        <f t="shared" si="207"/>
        <v/>
      </c>
      <c r="P1169" t="str" cm="1">
        <f t="array" ref="P1169">IF($N1169="","",IFERROR(IF(INDEX(geo_grid!$B$2:$JU$231,INT(($N1169+40)/0.5)+1,INT(($O1169+30)/0.5)+1)="","",INDEX(geo_grid!$B$2:$JU$231,INT(($N1169+40)/0.5)+1,INT(($O1169+30)/0.5)+1)),"OUTSIDE GRID"))</f>
        <v/>
      </c>
      <c r="Q1169" t="str">
        <f t="shared" si="208"/>
        <v/>
      </c>
    </row>
    <row r="1170" spans="1:17" x14ac:dyDescent="0.3">
      <c r="A1170">
        <f t="shared" si="198"/>
        <v>8</v>
      </c>
      <c r="B1170">
        <f t="shared" si="199"/>
        <v>111</v>
      </c>
      <c r="C1170" t="str" cm="1">
        <f t="array" ref="C1170">IFERROR(INDEX('TRIP MANAGER'!$O$18:$O$25,$A1170),"")</f>
        <v/>
      </c>
      <c r="D1170" t="str" cm="1">
        <f t="array" ref="D1170">IFERROR(INDEX('TRIP MANAGER'!$P$18:$P$25,$A1170),"")</f>
        <v/>
      </c>
      <c r="E1170" t="str" cm="1">
        <f t="array" ref="E1170">IFERROR(INDEX('TRIP MANAGER'!$Q$18:$Q$25,$A1170),"")</f>
        <v/>
      </c>
      <c r="F1170" t="str" cm="1">
        <f t="array" ref="F1170">IFERROR(INDEX('TRIP MANAGER'!$R$18:$R$25,$A1170),"")</f>
        <v/>
      </c>
      <c r="G1170" t="str" cm="1">
        <f t="array" ref="G1170">IFERROR(INDEX('TRIP MANAGER'!$S$18:$S$25,$A1170),"")</f>
        <v/>
      </c>
      <c r="H1170">
        <f t="shared" si="200"/>
        <v>0.74</v>
      </c>
      <c r="I1170" t="str">
        <f t="shared" si="201"/>
        <v/>
      </c>
      <c r="J1170" t="str">
        <f t="shared" si="202"/>
        <v/>
      </c>
      <c r="K1170" t="str">
        <f t="shared" si="203"/>
        <v/>
      </c>
      <c r="L1170" t="str">
        <f t="shared" si="204"/>
        <v/>
      </c>
      <c r="M1170" t="str">
        <f t="shared" si="205"/>
        <v/>
      </c>
      <c r="N1170" t="str">
        <f t="shared" si="206"/>
        <v/>
      </c>
      <c r="O1170" t="str">
        <f t="shared" si="207"/>
        <v/>
      </c>
      <c r="P1170" t="str" cm="1">
        <f t="array" ref="P1170">IF($N1170="","",IFERROR(IF(INDEX(geo_grid!$B$2:$JU$231,INT(($N1170+40)/0.5)+1,INT(($O1170+30)/0.5)+1)="","",INDEX(geo_grid!$B$2:$JU$231,INT(($N1170+40)/0.5)+1,INT(($O1170+30)/0.5)+1)),"OUTSIDE GRID"))</f>
        <v/>
      </c>
      <c r="Q1170" t="str">
        <f t="shared" si="208"/>
        <v/>
      </c>
    </row>
    <row r="1171" spans="1:17" x14ac:dyDescent="0.3">
      <c r="A1171">
        <f t="shared" si="198"/>
        <v>8</v>
      </c>
      <c r="B1171">
        <f t="shared" si="199"/>
        <v>112</v>
      </c>
      <c r="C1171" t="str" cm="1">
        <f t="array" ref="C1171">IFERROR(INDEX('TRIP MANAGER'!$O$18:$O$25,$A1171),"")</f>
        <v/>
      </c>
      <c r="D1171" t="str" cm="1">
        <f t="array" ref="D1171">IFERROR(INDEX('TRIP MANAGER'!$P$18:$P$25,$A1171),"")</f>
        <v/>
      </c>
      <c r="E1171" t="str" cm="1">
        <f t="array" ref="E1171">IFERROR(INDEX('TRIP MANAGER'!$Q$18:$Q$25,$A1171),"")</f>
        <v/>
      </c>
      <c r="F1171" t="str" cm="1">
        <f t="array" ref="F1171">IFERROR(INDEX('TRIP MANAGER'!$R$18:$R$25,$A1171),"")</f>
        <v/>
      </c>
      <c r="G1171" t="str" cm="1">
        <f t="array" ref="G1171">IFERROR(INDEX('TRIP MANAGER'!$S$18:$S$25,$A1171),"")</f>
        <v/>
      </c>
      <c r="H1171">
        <f t="shared" si="200"/>
        <v>0.7466666666666667</v>
      </c>
      <c r="I1171" t="str">
        <f t="shared" si="201"/>
        <v/>
      </c>
      <c r="J1171" t="str">
        <f t="shared" si="202"/>
        <v/>
      </c>
      <c r="K1171" t="str">
        <f t="shared" si="203"/>
        <v/>
      </c>
      <c r="L1171" t="str">
        <f t="shared" si="204"/>
        <v/>
      </c>
      <c r="M1171" t="str">
        <f t="shared" si="205"/>
        <v/>
      </c>
      <c r="N1171" t="str">
        <f t="shared" si="206"/>
        <v/>
      </c>
      <c r="O1171" t="str">
        <f t="shared" si="207"/>
        <v/>
      </c>
      <c r="P1171" t="str" cm="1">
        <f t="array" ref="P1171">IF($N1171="","",IFERROR(IF(INDEX(geo_grid!$B$2:$JU$231,INT(($N1171+40)/0.5)+1,INT(($O1171+30)/0.5)+1)="","",INDEX(geo_grid!$B$2:$JU$231,INT(($N1171+40)/0.5)+1,INT(($O1171+30)/0.5)+1)),"OUTSIDE GRID"))</f>
        <v/>
      </c>
      <c r="Q1171" t="str">
        <f t="shared" si="208"/>
        <v/>
      </c>
    </row>
    <row r="1172" spans="1:17" x14ac:dyDescent="0.3">
      <c r="A1172">
        <f t="shared" si="198"/>
        <v>8</v>
      </c>
      <c r="B1172">
        <f t="shared" si="199"/>
        <v>113</v>
      </c>
      <c r="C1172" t="str" cm="1">
        <f t="array" ref="C1172">IFERROR(INDEX('TRIP MANAGER'!$O$18:$O$25,$A1172),"")</f>
        <v/>
      </c>
      <c r="D1172" t="str" cm="1">
        <f t="array" ref="D1172">IFERROR(INDEX('TRIP MANAGER'!$P$18:$P$25,$A1172),"")</f>
        <v/>
      </c>
      <c r="E1172" t="str" cm="1">
        <f t="array" ref="E1172">IFERROR(INDEX('TRIP MANAGER'!$Q$18:$Q$25,$A1172),"")</f>
        <v/>
      </c>
      <c r="F1172" t="str" cm="1">
        <f t="array" ref="F1172">IFERROR(INDEX('TRIP MANAGER'!$R$18:$R$25,$A1172),"")</f>
        <v/>
      </c>
      <c r="G1172" t="str" cm="1">
        <f t="array" ref="G1172">IFERROR(INDEX('TRIP MANAGER'!$S$18:$S$25,$A1172),"")</f>
        <v/>
      </c>
      <c r="H1172">
        <f t="shared" si="200"/>
        <v>0.7533333333333333</v>
      </c>
      <c r="I1172" t="str">
        <f t="shared" si="201"/>
        <v/>
      </c>
      <c r="J1172" t="str">
        <f t="shared" si="202"/>
        <v/>
      </c>
      <c r="K1172" t="str">
        <f t="shared" si="203"/>
        <v/>
      </c>
      <c r="L1172" t="str">
        <f t="shared" si="204"/>
        <v/>
      </c>
      <c r="M1172" t="str">
        <f t="shared" si="205"/>
        <v/>
      </c>
      <c r="N1172" t="str">
        <f t="shared" si="206"/>
        <v/>
      </c>
      <c r="O1172" t="str">
        <f t="shared" si="207"/>
        <v/>
      </c>
      <c r="P1172" t="str" cm="1">
        <f t="array" ref="P1172">IF($N1172="","",IFERROR(IF(INDEX(geo_grid!$B$2:$JU$231,INT(($N1172+40)/0.5)+1,INT(($O1172+30)/0.5)+1)="","",INDEX(geo_grid!$B$2:$JU$231,INT(($N1172+40)/0.5)+1,INT(($O1172+30)/0.5)+1)),"OUTSIDE GRID"))</f>
        <v/>
      </c>
      <c r="Q1172" t="str">
        <f t="shared" si="208"/>
        <v/>
      </c>
    </row>
    <row r="1173" spans="1:17" x14ac:dyDescent="0.3">
      <c r="A1173">
        <f t="shared" si="198"/>
        <v>8</v>
      </c>
      <c r="B1173">
        <f t="shared" si="199"/>
        <v>114</v>
      </c>
      <c r="C1173" t="str" cm="1">
        <f t="array" ref="C1173">IFERROR(INDEX('TRIP MANAGER'!$O$18:$O$25,$A1173),"")</f>
        <v/>
      </c>
      <c r="D1173" t="str" cm="1">
        <f t="array" ref="D1173">IFERROR(INDEX('TRIP MANAGER'!$P$18:$P$25,$A1173),"")</f>
        <v/>
      </c>
      <c r="E1173" t="str" cm="1">
        <f t="array" ref="E1173">IFERROR(INDEX('TRIP MANAGER'!$Q$18:$Q$25,$A1173),"")</f>
        <v/>
      </c>
      <c r="F1173" t="str" cm="1">
        <f t="array" ref="F1173">IFERROR(INDEX('TRIP MANAGER'!$R$18:$R$25,$A1173),"")</f>
        <v/>
      </c>
      <c r="G1173" t="str" cm="1">
        <f t="array" ref="G1173">IFERROR(INDEX('TRIP MANAGER'!$S$18:$S$25,$A1173),"")</f>
        <v/>
      </c>
      <c r="H1173">
        <f t="shared" si="200"/>
        <v>0.76</v>
      </c>
      <c r="I1173" t="str">
        <f t="shared" si="201"/>
        <v/>
      </c>
      <c r="J1173" t="str">
        <f t="shared" si="202"/>
        <v/>
      </c>
      <c r="K1173" t="str">
        <f t="shared" si="203"/>
        <v/>
      </c>
      <c r="L1173" t="str">
        <f t="shared" si="204"/>
        <v/>
      </c>
      <c r="M1173" t="str">
        <f t="shared" si="205"/>
        <v/>
      </c>
      <c r="N1173" t="str">
        <f t="shared" si="206"/>
        <v/>
      </c>
      <c r="O1173" t="str">
        <f t="shared" si="207"/>
        <v/>
      </c>
      <c r="P1173" t="str" cm="1">
        <f t="array" ref="P1173">IF($N1173="","",IFERROR(IF(INDEX(geo_grid!$B$2:$JU$231,INT(($N1173+40)/0.5)+1,INT(($O1173+30)/0.5)+1)="","",INDEX(geo_grid!$B$2:$JU$231,INT(($N1173+40)/0.5)+1,INT(($O1173+30)/0.5)+1)),"OUTSIDE GRID"))</f>
        <v/>
      </c>
      <c r="Q1173" t="str">
        <f t="shared" si="208"/>
        <v/>
      </c>
    </row>
    <row r="1174" spans="1:17" x14ac:dyDescent="0.3">
      <c r="A1174">
        <f t="shared" si="198"/>
        <v>8</v>
      </c>
      <c r="B1174">
        <f t="shared" si="199"/>
        <v>115</v>
      </c>
      <c r="C1174" t="str" cm="1">
        <f t="array" ref="C1174">IFERROR(INDEX('TRIP MANAGER'!$O$18:$O$25,$A1174),"")</f>
        <v/>
      </c>
      <c r="D1174" t="str" cm="1">
        <f t="array" ref="D1174">IFERROR(INDEX('TRIP MANAGER'!$P$18:$P$25,$A1174),"")</f>
        <v/>
      </c>
      <c r="E1174" t="str" cm="1">
        <f t="array" ref="E1174">IFERROR(INDEX('TRIP MANAGER'!$Q$18:$Q$25,$A1174),"")</f>
        <v/>
      </c>
      <c r="F1174" t="str" cm="1">
        <f t="array" ref="F1174">IFERROR(INDEX('TRIP MANAGER'!$R$18:$R$25,$A1174),"")</f>
        <v/>
      </c>
      <c r="G1174" t="str" cm="1">
        <f t="array" ref="G1174">IFERROR(INDEX('TRIP MANAGER'!$S$18:$S$25,$A1174),"")</f>
        <v/>
      </c>
      <c r="H1174">
        <f t="shared" si="200"/>
        <v>0.76666666666666672</v>
      </c>
      <c r="I1174" t="str">
        <f t="shared" si="201"/>
        <v/>
      </c>
      <c r="J1174" t="str">
        <f t="shared" si="202"/>
        <v/>
      </c>
      <c r="K1174" t="str">
        <f t="shared" si="203"/>
        <v/>
      </c>
      <c r="L1174" t="str">
        <f t="shared" si="204"/>
        <v/>
      </c>
      <c r="M1174" t="str">
        <f t="shared" si="205"/>
        <v/>
      </c>
      <c r="N1174" t="str">
        <f t="shared" si="206"/>
        <v/>
      </c>
      <c r="O1174" t="str">
        <f t="shared" si="207"/>
        <v/>
      </c>
      <c r="P1174" t="str" cm="1">
        <f t="array" ref="P1174">IF($N1174="","",IFERROR(IF(INDEX(geo_grid!$B$2:$JU$231,INT(($N1174+40)/0.5)+1,INT(($O1174+30)/0.5)+1)="","",INDEX(geo_grid!$B$2:$JU$231,INT(($N1174+40)/0.5)+1,INT(($O1174+30)/0.5)+1)),"OUTSIDE GRID"))</f>
        <v/>
      </c>
      <c r="Q1174" t="str">
        <f t="shared" si="208"/>
        <v/>
      </c>
    </row>
    <row r="1175" spans="1:17" x14ac:dyDescent="0.3">
      <c r="A1175">
        <f t="shared" si="198"/>
        <v>8</v>
      </c>
      <c r="B1175">
        <f t="shared" si="199"/>
        <v>116</v>
      </c>
      <c r="C1175" t="str" cm="1">
        <f t="array" ref="C1175">IFERROR(INDEX('TRIP MANAGER'!$O$18:$O$25,$A1175),"")</f>
        <v/>
      </c>
      <c r="D1175" t="str" cm="1">
        <f t="array" ref="D1175">IFERROR(INDEX('TRIP MANAGER'!$P$18:$P$25,$A1175),"")</f>
        <v/>
      </c>
      <c r="E1175" t="str" cm="1">
        <f t="array" ref="E1175">IFERROR(INDEX('TRIP MANAGER'!$Q$18:$Q$25,$A1175),"")</f>
        <v/>
      </c>
      <c r="F1175" t="str" cm="1">
        <f t="array" ref="F1175">IFERROR(INDEX('TRIP MANAGER'!$R$18:$R$25,$A1175),"")</f>
        <v/>
      </c>
      <c r="G1175" t="str" cm="1">
        <f t="array" ref="G1175">IFERROR(INDEX('TRIP MANAGER'!$S$18:$S$25,$A1175),"")</f>
        <v/>
      </c>
      <c r="H1175">
        <f t="shared" si="200"/>
        <v>0.77333333333333332</v>
      </c>
      <c r="I1175" t="str">
        <f t="shared" si="201"/>
        <v/>
      </c>
      <c r="J1175" t="str">
        <f t="shared" si="202"/>
        <v/>
      </c>
      <c r="K1175" t="str">
        <f t="shared" si="203"/>
        <v/>
      </c>
      <c r="L1175" t="str">
        <f t="shared" si="204"/>
        <v/>
      </c>
      <c r="M1175" t="str">
        <f t="shared" si="205"/>
        <v/>
      </c>
      <c r="N1175" t="str">
        <f t="shared" si="206"/>
        <v/>
      </c>
      <c r="O1175" t="str">
        <f t="shared" si="207"/>
        <v/>
      </c>
      <c r="P1175" t="str" cm="1">
        <f t="array" ref="P1175">IF($N1175="","",IFERROR(IF(INDEX(geo_grid!$B$2:$JU$231,INT(($N1175+40)/0.5)+1,INT(($O1175+30)/0.5)+1)="","",INDEX(geo_grid!$B$2:$JU$231,INT(($N1175+40)/0.5)+1,INT(($O1175+30)/0.5)+1)),"OUTSIDE GRID"))</f>
        <v/>
      </c>
      <c r="Q1175" t="str">
        <f t="shared" si="208"/>
        <v/>
      </c>
    </row>
    <row r="1176" spans="1:17" x14ac:dyDescent="0.3">
      <c r="A1176">
        <f t="shared" si="198"/>
        <v>8</v>
      </c>
      <c r="B1176">
        <f t="shared" si="199"/>
        <v>117</v>
      </c>
      <c r="C1176" t="str" cm="1">
        <f t="array" ref="C1176">IFERROR(INDEX('TRIP MANAGER'!$O$18:$O$25,$A1176),"")</f>
        <v/>
      </c>
      <c r="D1176" t="str" cm="1">
        <f t="array" ref="D1176">IFERROR(INDEX('TRIP MANAGER'!$P$18:$P$25,$A1176),"")</f>
        <v/>
      </c>
      <c r="E1176" t="str" cm="1">
        <f t="array" ref="E1176">IFERROR(INDEX('TRIP MANAGER'!$Q$18:$Q$25,$A1176),"")</f>
        <v/>
      </c>
      <c r="F1176" t="str" cm="1">
        <f t="array" ref="F1176">IFERROR(INDEX('TRIP MANAGER'!$R$18:$R$25,$A1176),"")</f>
        <v/>
      </c>
      <c r="G1176" t="str" cm="1">
        <f t="array" ref="G1176">IFERROR(INDEX('TRIP MANAGER'!$S$18:$S$25,$A1176),"")</f>
        <v/>
      </c>
      <c r="H1176">
        <f t="shared" si="200"/>
        <v>0.78</v>
      </c>
      <c r="I1176" t="str">
        <f t="shared" si="201"/>
        <v/>
      </c>
      <c r="J1176" t="str">
        <f t="shared" si="202"/>
        <v/>
      </c>
      <c r="K1176" t="str">
        <f t="shared" si="203"/>
        <v/>
      </c>
      <c r="L1176" t="str">
        <f t="shared" si="204"/>
        <v/>
      </c>
      <c r="M1176" t="str">
        <f t="shared" si="205"/>
        <v/>
      </c>
      <c r="N1176" t="str">
        <f t="shared" si="206"/>
        <v/>
      </c>
      <c r="O1176" t="str">
        <f t="shared" si="207"/>
        <v/>
      </c>
      <c r="P1176" t="str" cm="1">
        <f t="array" ref="P1176">IF($N1176="","",IFERROR(IF(INDEX(geo_grid!$B$2:$JU$231,INT(($N1176+40)/0.5)+1,INT(($O1176+30)/0.5)+1)="","",INDEX(geo_grid!$B$2:$JU$231,INT(($N1176+40)/0.5)+1,INT(($O1176+30)/0.5)+1)),"OUTSIDE GRID"))</f>
        <v/>
      </c>
      <c r="Q1176" t="str">
        <f t="shared" si="208"/>
        <v/>
      </c>
    </row>
    <row r="1177" spans="1:17" x14ac:dyDescent="0.3">
      <c r="A1177">
        <f t="shared" si="198"/>
        <v>8</v>
      </c>
      <c r="B1177">
        <f t="shared" si="199"/>
        <v>118</v>
      </c>
      <c r="C1177" t="str" cm="1">
        <f t="array" ref="C1177">IFERROR(INDEX('TRIP MANAGER'!$O$18:$O$25,$A1177),"")</f>
        <v/>
      </c>
      <c r="D1177" t="str" cm="1">
        <f t="array" ref="D1177">IFERROR(INDEX('TRIP MANAGER'!$P$18:$P$25,$A1177),"")</f>
        <v/>
      </c>
      <c r="E1177" t="str" cm="1">
        <f t="array" ref="E1177">IFERROR(INDEX('TRIP MANAGER'!$Q$18:$Q$25,$A1177),"")</f>
        <v/>
      </c>
      <c r="F1177" t="str" cm="1">
        <f t="array" ref="F1177">IFERROR(INDEX('TRIP MANAGER'!$R$18:$R$25,$A1177),"")</f>
        <v/>
      </c>
      <c r="G1177" t="str" cm="1">
        <f t="array" ref="G1177">IFERROR(INDEX('TRIP MANAGER'!$S$18:$S$25,$A1177),"")</f>
        <v/>
      </c>
      <c r="H1177">
        <f t="shared" si="200"/>
        <v>0.78666666666666663</v>
      </c>
      <c r="I1177" t="str">
        <f t="shared" si="201"/>
        <v/>
      </c>
      <c r="J1177" t="str">
        <f t="shared" si="202"/>
        <v/>
      </c>
      <c r="K1177" t="str">
        <f t="shared" si="203"/>
        <v/>
      </c>
      <c r="L1177" t="str">
        <f t="shared" si="204"/>
        <v/>
      </c>
      <c r="M1177" t="str">
        <f t="shared" si="205"/>
        <v/>
      </c>
      <c r="N1177" t="str">
        <f t="shared" si="206"/>
        <v/>
      </c>
      <c r="O1177" t="str">
        <f t="shared" si="207"/>
        <v/>
      </c>
      <c r="P1177" t="str" cm="1">
        <f t="array" ref="P1177">IF($N1177="","",IFERROR(IF(INDEX(geo_grid!$B$2:$JU$231,INT(($N1177+40)/0.5)+1,INT(($O1177+30)/0.5)+1)="","",INDEX(geo_grid!$B$2:$JU$231,INT(($N1177+40)/0.5)+1,INT(($O1177+30)/0.5)+1)),"OUTSIDE GRID"))</f>
        <v/>
      </c>
      <c r="Q1177" t="str">
        <f t="shared" si="208"/>
        <v/>
      </c>
    </row>
    <row r="1178" spans="1:17" x14ac:dyDescent="0.3">
      <c r="A1178">
        <f t="shared" si="198"/>
        <v>8</v>
      </c>
      <c r="B1178">
        <f t="shared" si="199"/>
        <v>119</v>
      </c>
      <c r="C1178" t="str" cm="1">
        <f t="array" ref="C1178">IFERROR(INDEX('TRIP MANAGER'!$O$18:$O$25,$A1178),"")</f>
        <v/>
      </c>
      <c r="D1178" t="str" cm="1">
        <f t="array" ref="D1178">IFERROR(INDEX('TRIP MANAGER'!$P$18:$P$25,$A1178),"")</f>
        <v/>
      </c>
      <c r="E1178" t="str" cm="1">
        <f t="array" ref="E1178">IFERROR(INDEX('TRIP MANAGER'!$Q$18:$Q$25,$A1178),"")</f>
        <v/>
      </c>
      <c r="F1178" t="str" cm="1">
        <f t="array" ref="F1178">IFERROR(INDEX('TRIP MANAGER'!$R$18:$R$25,$A1178),"")</f>
        <v/>
      </c>
      <c r="G1178" t="str" cm="1">
        <f t="array" ref="G1178">IFERROR(INDEX('TRIP MANAGER'!$S$18:$S$25,$A1178),"")</f>
        <v/>
      </c>
      <c r="H1178">
        <f t="shared" si="200"/>
        <v>0.79333333333333333</v>
      </c>
      <c r="I1178" t="str">
        <f t="shared" si="201"/>
        <v/>
      </c>
      <c r="J1178" t="str">
        <f t="shared" si="202"/>
        <v/>
      </c>
      <c r="K1178" t="str">
        <f t="shared" si="203"/>
        <v/>
      </c>
      <c r="L1178" t="str">
        <f t="shared" si="204"/>
        <v/>
      </c>
      <c r="M1178" t="str">
        <f t="shared" si="205"/>
        <v/>
      </c>
      <c r="N1178" t="str">
        <f t="shared" si="206"/>
        <v/>
      </c>
      <c r="O1178" t="str">
        <f t="shared" si="207"/>
        <v/>
      </c>
      <c r="P1178" t="str" cm="1">
        <f t="array" ref="P1178">IF($N1178="","",IFERROR(IF(INDEX(geo_grid!$B$2:$JU$231,INT(($N1178+40)/0.5)+1,INT(($O1178+30)/0.5)+1)="","",INDEX(geo_grid!$B$2:$JU$231,INT(($N1178+40)/0.5)+1,INT(($O1178+30)/0.5)+1)),"OUTSIDE GRID"))</f>
        <v/>
      </c>
      <c r="Q1178" t="str">
        <f t="shared" si="208"/>
        <v/>
      </c>
    </row>
    <row r="1179" spans="1:17" x14ac:dyDescent="0.3">
      <c r="A1179">
        <f t="shared" si="198"/>
        <v>8</v>
      </c>
      <c r="B1179">
        <f t="shared" si="199"/>
        <v>120</v>
      </c>
      <c r="C1179" t="str" cm="1">
        <f t="array" ref="C1179">IFERROR(INDEX('TRIP MANAGER'!$O$18:$O$25,$A1179),"")</f>
        <v/>
      </c>
      <c r="D1179" t="str" cm="1">
        <f t="array" ref="D1179">IFERROR(INDEX('TRIP MANAGER'!$P$18:$P$25,$A1179),"")</f>
        <v/>
      </c>
      <c r="E1179" t="str" cm="1">
        <f t="array" ref="E1179">IFERROR(INDEX('TRIP MANAGER'!$Q$18:$Q$25,$A1179),"")</f>
        <v/>
      </c>
      <c r="F1179" t="str" cm="1">
        <f t="array" ref="F1179">IFERROR(INDEX('TRIP MANAGER'!$R$18:$R$25,$A1179),"")</f>
        <v/>
      </c>
      <c r="G1179" t="str" cm="1">
        <f t="array" ref="G1179">IFERROR(INDEX('TRIP MANAGER'!$S$18:$S$25,$A1179),"")</f>
        <v/>
      </c>
      <c r="H1179">
        <f t="shared" si="200"/>
        <v>0.8</v>
      </c>
      <c r="I1179" t="str">
        <f t="shared" si="201"/>
        <v/>
      </c>
      <c r="J1179" t="str">
        <f t="shared" si="202"/>
        <v/>
      </c>
      <c r="K1179" t="str">
        <f t="shared" si="203"/>
        <v/>
      </c>
      <c r="L1179" t="str">
        <f t="shared" si="204"/>
        <v/>
      </c>
      <c r="M1179" t="str">
        <f t="shared" si="205"/>
        <v/>
      </c>
      <c r="N1179" t="str">
        <f t="shared" si="206"/>
        <v/>
      </c>
      <c r="O1179" t="str">
        <f t="shared" si="207"/>
        <v/>
      </c>
      <c r="P1179" t="str" cm="1">
        <f t="array" ref="P1179">IF($N1179="","",IFERROR(IF(INDEX(geo_grid!$B$2:$JU$231,INT(($N1179+40)/0.5)+1,INT(($O1179+30)/0.5)+1)="","",INDEX(geo_grid!$B$2:$JU$231,INT(($N1179+40)/0.5)+1,INT(($O1179+30)/0.5)+1)),"OUTSIDE GRID"))</f>
        <v/>
      </c>
      <c r="Q1179" t="str">
        <f t="shared" si="208"/>
        <v/>
      </c>
    </row>
    <row r="1180" spans="1:17" x14ac:dyDescent="0.3">
      <c r="A1180">
        <f t="shared" si="198"/>
        <v>8</v>
      </c>
      <c r="B1180">
        <f t="shared" si="199"/>
        <v>121</v>
      </c>
      <c r="C1180" t="str" cm="1">
        <f t="array" ref="C1180">IFERROR(INDEX('TRIP MANAGER'!$O$18:$O$25,$A1180),"")</f>
        <v/>
      </c>
      <c r="D1180" t="str" cm="1">
        <f t="array" ref="D1180">IFERROR(INDEX('TRIP MANAGER'!$P$18:$P$25,$A1180),"")</f>
        <v/>
      </c>
      <c r="E1180" t="str" cm="1">
        <f t="array" ref="E1180">IFERROR(INDEX('TRIP MANAGER'!$Q$18:$Q$25,$A1180),"")</f>
        <v/>
      </c>
      <c r="F1180" t="str" cm="1">
        <f t="array" ref="F1180">IFERROR(INDEX('TRIP MANAGER'!$R$18:$R$25,$A1180),"")</f>
        <v/>
      </c>
      <c r="G1180" t="str" cm="1">
        <f t="array" ref="G1180">IFERROR(INDEX('TRIP MANAGER'!$S$18:$S$25,$A1180),"")</f>
        <v/>
      </c>
      <c r="H1180">
        <f t="shared" si="200"/>
        <v>0.80666666666666664</v>
      </c>
      <c r="I1180" t="str">
        <f t="shared" si="201"/>
        <v/>
      </c>
      <c r="J1180" t="str">
        <f t="shared" si="202"/>
        <v/>
      </c>
      <c r="K1180" t="str">
        <f t="shared" si="203"/>
        <v/>
      </c>
      <c r="L1180" t="str">
        <f t="shared" si="204"/>
        <v/>
      </c>
      <c r="M1180" t="str">
        <f t="shared" si="205"/>
        <v/>
      </c>
      <c r="N1180" t="str">
        <f t="shared" si="206"/>
        <v/>
      </c>
      <c r="O1180" t="str">
        <f t="shared" si="207"/>
        <v/>
      </c>
      <c r="P1180" t="str" cm="1">
        <f t="array" ref="P1180">IF($N1180="","",IFERROR(IF(INDEX(geo_grid!$B$2:$JU$231,INT(($N1180+40)/0.5)+1,INT(($O1180+30)/0.5)+1)="","",INDEX(geo_grid!$B$2:$JU$231,INT(($N1180+40)/0.5)+1,INT(($O1180+30)/0.5)+1)),"OUTSIDE GRID"))</f>
        <v/>
      </c>
      <c r="Q1180" t="str">
        <f t="shared" si="208"/>
        <v/>
      </c>
    </row>
    <row r="1181" spans="1:17" x14ac:dyDescent="0.3">
      <c r="A1181">
        <f t="shared" si="198"/>
        <v>8</v>
      </c>
      <c r="B1181">
        <f t="shared" si="199"/>
        <v>122</v>
      </c>
      <c r="C1181" t="str" cm="1">
        <f t="array" ref="C1181">IFERROR(INDEX('TRIP MANAGER'!$O$18:$O$25,$A1181),"")</f>
        <v/>
      </c>
      <c r="D1181" t="str" cm="1">
        <f t="array" ref="D1181">IFERROR(INDEX('TRIP MANAGER'!$P$18:$P$25,$A1181),"")</f>
        <v/>
      </c>
      <c r="E1181" t="str" cm="1">
        <f t="array" ref="E1181">IFERROR(INDEX('TRIP MANAGER'!$Q$18:$Q$25,$A1181),"")</f>
        <v/>
      </c>
      <c r="F1181" t="str" cm="1">
        <f t="array" ref="F1181">IFERROR(INDEX('TRIP MANAGER'!$R$18:$R$25,$A1181),"")</f>
        <v/>
      </c>
      <c r="G1181" t="str" cm="1">
        <f t="array" ref="G1181">IFERROR(INDEX('TRIP MANAGER'!$S$18:$S$25,$A1181),"")</f>
        <v/>
      </c>
      <c r="H1181">
        <f t="shared" si="200"/>
        <v>0.81333333333333335</v>
      </c>
      <c r="I1181" t="str">
        <f t="shared" si="201"/>
        <v/>
      </c>
      <c r="J1181" t="str">
        <f t="shared" si="202"/>
        <v/>
      </c>
      <c r="K1181" t="str">
        <f t="shared" si="203"/>
        <v/>
      </c>
      <c r="L1181" t="str">
        <f t="shared" si="204"/>
        <v/>
      </c>
      <c r="M1181" t="str">
        <f t="shared" si="205"/>
        <v/>
      </c>
      <c r="N1181" t="str">
        <f t="shared" si="206"/>
        <v/>
      </c>
      <c r="O1181" t="str">
        <f t="shared" si="207"/>
        <v/>
      </c>
      <c r="P1181" t="str" cm="1">
        <f t="array" ref="P1181">IF($N1181="","",IFERROR(IF(INDEX(geo_grid!$B$2:$JU$231,INT(($N1181+40)/0.5)+1,INT(($O1181+30)/0.5)+1)="","",INDEX(geo_grid!$B$2:$JU$231,INT(($N1181+40)/0.5)+1,INT(($O1181+30)/0.5)+1)),"OUTSIDE GRID"))</f>
        <v/>
      </c>
      <c r="Q1181" t="str">
        <f t="shared" si="208"/>
        <v/>
      </c>
    </row>
    <row r="1182" spans="1:17" x14ac:dyDescent="0.3">
      <c r="A1182">
        <f t="shared" si="198"/>
        <v>8</v>
      </c>
      <c r="B1182">
        <f t="shared" si="199"/>
        <v>123</v>
      </c>
      <c r="C1182" t="str" cm="1">
        <f t="array" ref="C1182">IFERROR(INDEX('TRIP MANAGER'!$O$18:$O$25,$A1182),"")</f>
        <v/>
      </c>
      <c r="D1182" t="str" cm="1">
        <f t="array" ref="D1182">IFERROR(INDEX('TRIP MANAGER'!$P$18:$P$25,$A1182),"")</f>
        <v/>
      </c>
      <c r="E1182" t="str" cm="1">
        <f t="array" ref="E1182">IFERROR(INDEX('TRIP MANAGER'!$Q$18:$Q$25,$A1182),"")</f>
        <v/>
      </c>
      <c r="F1182" t="str" cm="1">
        <f t="array" ref="F1182">IFERROR(INDEX('TRIP MANAGER'!$R$18:$R$25,$A1182),"")</f>
        <v/>
      </c>
      <c r="G1182" t="str" cm="1">
        <f t="array" ref="G1182">IFERROR(INDEX('TRIP MANAGER'!$S$18:$S$25,$A1182),"")</f>
        <v/>
      </c>
      <c r="H1182">
        <f t="shared" si="200"/>
        <v>0.82</v>
      </c>
      <c r="I1182" t="str">
        <f t="shared" si="201"/>
        <v/>
      </c>
      <c r="J1182" t="str">
        <f t="shared" si="202"/>
        <v/>
      </c>
      <c r="K1182" t="str">
        <f t="shared" si="203"/>
        <v/>
      </c>
      <c r="L1182" t="str">
        <f t="shared" si="204"/>
        <v/>
      </c>
      <c r="M1182" t="str">
        <f t="shared" si="205"/>
        <v/>
      </c>
      <c r="N1182" t="str">
        <f t="shared" si="206"/>
        <v/>
      </c>
      <c r="O1182" t="str">
        <f t="shared" si="207"/>
        <v/>
      </c>
      <c r="P1182" t="str" cm="1">
        <f t="array" ref="P1182">IF($N1182="","",IFERROR(IF(INDEX(geo_grid!$B$2:$JU$231,INT(($N1182+40)/0.5)+1,INT(($O1182+30)/0.5)+1)="","",INDEX(geo_grid!$B$2:$JU$231,INT(($N1182+40)/0.5)+1,INT(($O1182+30)/0.5)+1)),"OUTSIDE GRID"))</f>
        <v/>
      </c>
      <c r="Q1182" t="str">
        <f t="shared" si="208"/>
        <v/>
      </c>
    </row>
    <row r="1183" spans="1:17" x14ac:dyDescent="0.3">
      <c r="A1183">
        <f t="shared" si="198"/>
        <v>8</v>
      </c>
      <c r="B1183">
        <f t="shared" si="199"/>
        <v>124</v>
      </c>
      <c r="C1183" t="str" cm="1">
        <f t="array" ref="C1183">IFERROR(INDEX('TRIP MANAGER'!$O$18:$O$25,$A1183),"")</f>
        <v/>
      </c>
      <c r="D1183" t="str" cm="1">
        <f t="array" ref="D1183">IFERROR(INDEX('TRIP MANAGER'!$P$18:$P$25,$A1183),"")</f>
        <v/>
      </c>
      <c r="E1183" t="str" cm="1">
        <f t="array" ref="E1183">IFERROR(INDEX('TRIP MANAGER'!$Q$18:$Q$25,$A1183),"")</f>
        <v/>
      </c>
      <c r="F1183" t="str" cm="1">
        <f t="array" ref="F1183">IFERROR(INDEX('TRIP MANAGER'!$R$18:$R$25,$A1183),"")</f>
        <v/>
      </c>
      <c r="G1183" t="str" cm="1">
        <f t="array" ref="G1183">IFERROR(INDEX('TRIP MANAGER'!$S$18:$S$25,$A1183),"")</f>
        <v/>
      </c>
      <c r="H1183">
        <f t="shared" si="200"/>
        <v>0.82666666666666666</v>
      </c>
      <c r="I1183" t="str">
        <f t="shared" si="201"/>
        <v/>
      </c>
      <c r="J1183" t="str">
        <f t="shared" si="202"/>
        <v/>
      </c>
      <c r="K1183" t="str">
        <f t="shared" si="203"/>
        <v/>
      </c>
      <c r="L1183" t="str">
        <f t="shared" si="204"/>
        <v/>
      </c>
      <c r="M1183" t="str">
        <f t="shared" si="205"/>
        <v/>
      </c>
      <c r="N1183" t="str">
        <f t="shared" si="206"/>
        <v/>
      </c>
      <c r="O1183" t="str">
        <f t="shared" si="207"/>
        <v/>
      </c>
      <c r="P1183" t="str" cm="1">
        <f t="array" ref="P1183">IF($N1183="","",IFERROR(IF(INDEX(geo_grid!$B$2:$JU$231,INT(($N1183+40)/0.5)+1,INT(($O1183+30)/0.5)+1)="","",INDEX(geo_grid!$B$2:$JU$231,INT(($N1183+40)/0.5)+1,INT(($O1183+30)/0.5)+1)),"OUTSIDE GRID"))</f>
        <v/>
      </c>
      <c r="Q1183" t="str">
        <f t="shared" si="208"/>
        <v/>
      </c>
    </row>
    <row r="1184" spans="1:17" x14ac:dyDescent="0.3">
      <c r="A1184">
        <f t="shared" si="198"/>
        <v>8</v>
      </c>
      <c r="B1184">
        <f t="shared" si="199"/>
        <v>125</v>
      </c>
      <c r="C1184" t="str" cm="1">
        <f t="array" ref="C1184">IFERROR(INDEX('TRIP MANAGER'!$O$18:$O$25,$A1184),"")</f>
        <v/>
      </c>
      <c r="D1184" t="str" cm="1">
        <f t="array" ref="D1184">IFERROR(INDEX('TRIP MANAGER'!$P$18:$P$25,$A1184),"")</f>
        <v/>
      </c>
      <c r="E1184" t="str" cm="1">
        <f t="array" ref="E1184">IFERROR(INDEX('TRIP MANAGER'!$Q$18:$Q$25,$A1184),"")</f>
        <v/>
      </c>
      <c r="F1184" t="str" cm="1">
        <f t="array" ref="F1184">IFERROR(INDEX('TRIP MANAGER'!$R$18:$R$25,$A1184),"")</f>
        <v/>
      </c>
      <c r="G1184" t="str" cm="1">
        <f t="array" ref="G1184">IFERROR(INDEX('TRIP MANAGER'!$S$18:$S$25,$A1184),"")</f>
        <v/>
      </c>
      <c r="H1184">
        <f t="shared" si="200"/>
        <v>0.83333333333333337</v>
      </c>
      <c r="I1184" t="str">
        <f t="shared" si="201"/>
        <v/>
      </c>
      <c r="J1184" t="str">
        <f t="shared" si="202"/>
        <v/>
      </c>
      <c r="K1184" t="str">
        <f t="shared" si="203"/>
        <v/>
      </c>
      <c r="L1184" t="str">
        <f t="shared" si="204"/>
        <v/>
      </c>
      <c r="M1184" t="str">
        <f t="shared" si="205"/>
        <v/>
      </c>
      <c r="N1184" t="str">
        <f t="shared" si="206"/>
        <v/>
      </c>
      <c r="O1184" t="str">
        <f t="shared" si="207"/>
        <v/>
      </c>
      <c r="P1184" t="str" cm="1">
        <f t="array" ref="P1184">IF($N1184="","",IFERROR(IF(INDEX(geo_grid!$B$2:$JU$231,INT(($N1184+40)/0.5)+1,INT(($O1184+30)/0.5)+1)="","",INDEX(geo_grid!$B$2:$JU$231,INT(($N1184+40)/0.5)+1,INT(($O1184+30)/0.5)+1)),"OUTSIDE GRID"))</f>
        <v/>
      </c>
      <c r="Q1184" t="str">
        <f t="shared" si="208"/>
        <v/>
      </c>
    </row>
    <row r="1185" spans="1:17" x14ac:dyDescent="0.3">
      <c r="A1185">
        <f t="shared" si="198"/>
        <v>8</v>
      </c>
      <c r="B1185">
        <f t="shared" si="199"/>
        <v>126</v>
      </c>
      <c r="C1185" t="str" cm="1">
        <f t="array" ref="C1185">IFERROR(INDEX('TRIP MANAGER'!$O$18:$O$25,$A1185),"")</f>
        <v/>
      </c>
      <c r="D1185" t="str" cm="1">
        <f t="array" ref="D1185">IFERROR(INDEX('TRIP MANAGER'!$P$18:$P$25,$A1185),"")</f>
        <v/>
      </c>
      <c r="E1185" t="str" cm="1">
        <f t="array" ref="E1185">IFERROR(INDEX('TRIP MANAGER'!$Q$18:$Q$25,$A1185),"")</f>
        <v/>
      </c>
      <c r="F1185" t="str" cm="1">
        <f t="array" ref="F1185">IFERROR(INDEX('TRIP MANAGER'!$R$18:$R$25,$A1185),"")</f>
        <v/>
      </c>
      <c r="G1185" t="str" cm="1">
        <f t="array" ref="G1185">IFERROR(INDEX('TRIP MANAGER'!$S$18:$S$25,$A1185),"")</f>
        <v/>
      </c>
      <c r="H1185">
        <f t="shared" si="200"/>
        <v>0.84</v>
      </c>
      <c r="I1185" t="str">
        <f t="shared" si="201"/>
        <v/>
      </c>
      <c r="J1185" t="str">
        <f t="shared" si="202"/>
        <v/>
      </c>
      <c r="K1185" t="str">
        <f t="shared" si="203"/>
        <v/>
      </c>
      <c r="L1185" t="str">
        <f t="shared" si="204"/>
        <v/>
      </c>
      <c r="M1185" t="str">
        <f t="shared" si="205"/>
        <v/>
      </c>
      <c r="N1185" t="str">
        <f t="shared" si="206"/>
        <v/>
      </c>
      <c r="O1185" t="str">
        <f t="shared" si="207"/>
        <v/>
      </c>
      <c r="P1185" t="str" cm="1">
        <f t="array" ref="P1185">IF($N1185="","",IFERROR(IF(INDEX(geo_grid!$B$2:$JU$231,INT(($N1185+40)/0.5)+1,INT(($O1185+30)/0.5)+1)="","",INDEX(geo_grid!$B$2:$JU$231,INT(($N1185+40)/0.5)+1,INT(($O1185+30)/0.5)+1)),"OUTSIDE GRID"))</f>
        <v/>
      </c>
      <c r="Q1185" t="str">
        <f t="shared" si="208"/>
        <v/>
      </c>
    </row>
    <row r="1186" spans="1:17" x14ac:dyDescent="0.3">
      <c r="A1186">
        <f t="shared" si="198"/>
        <v>8</v>
      </c>
      <c r="B1186">
        <f t="shared" si="199"/>
        <v>127</v>
      </c>
      <c r="C1186" t="str" cm="1">
        <f t="array" ref="C1186">IFERROR(INDEX('TRIP MANAGER'!$O$18:$O$25,$A1186),"")</f>
        <v/>
      </c>
      <c r="D1186" t="str" cm="1">
        <f t="array" ref="D1186">IFERROR(INDEX('TRIP MANAGER'!$P$18:$P$25,$A1186),"")</f>
        <v/>
      </c>
      <c r="E1186" t="str" cm="1">
        <f t="array" ref="E1186">IFERROR(INDEX('TRIP MANAGER'!$Q$18:$Q$25,$A1186),"")</f>
        <v/>
      </c>
      <c r="F1186" t="str" cm="1">
        <f t="array" ref="F1186">IFERROR(INDEX('TRIP MANAGER'!$R$18:$R$25,$A1186),"")</f>
        <v/>
      </c>
      <c r="G1186" t="str" cm="1">
        <f t="array" ref="G1186">IFERROR(INDEX('TRIP MANAGER'!$S$18:$S$25,$A1186),"")</f>
        <v/>
      </c>
      <c r="H1186">
        <f t="shared" si="200"/>
        <v>0.84666666666666668</v>
      </c>
      <c r="I1186" t="str">
        <f t="shared" si="201"/>
        <v/>
      </c>
      <c r="J1186" t="str">
        <f t="shared" si="202"/>
        <v/>
      </c>
      <c r="K1186" t="str">
        <f t="shared" si="203"/>
        <v/>
      </c>
      <c r="L1186" t="str">
        <f t="shared" si="204"/>
        <v/>
      </c>
      <c r="M1186" t="str">
        <f t="shared" si="205"/>
        <v/>
      </c>
      <c r="N1186" t="str">
        <f t="shared" si="206"/>
        <v/>
      </c>
      <c r="O1186" t="str">
        <f t="shared" si="207"/>
        <v/>
      </c>
      <c r="P1186" t="str" cm="1">
        <f t="array" ref="P1186">IF($N1186="","",IFERROR(IF(INDEX(geo_grid!$B$2:$JU$231,INT(($N1186+40)/0.5)+1,INT(($O1186+30)/0.5)+1)="","",INDEX(geo_grid!$B$2:$JU$231,INT(($N1186+40)/0.5)+1,INT(($O1186+30)/0.5)+1)),"OUTSIDE GRID"))</f>
        <v/>
      </c>
      <c r="Q1186" t="str">
        <f t="shared" si="208"/>
        <v/>
      </c>
    </row>
    <row r="1187" spans="1:17" x14ac:dyDescent="0.3">
      <c r="A1187">
        <f t="shared" si="198"/>
        <v>8</v>
      </c>
      <c r="B1187">
        <f t="shared" si="199"/>
        <v>128</v>
      </c>
      <c r="C1187" t="str" cm="1">
        <f t="array" ref="C1187">IFERROR(INDEX('TRIP MANAGER'!$O$18:$O$25,$A1187),"")</f>
        <v/>
      </c>
      <c r="D1187" t="str" cm="1">
        <f t="array" ref="D1187">IFERROR(INDEX('TRIP MANAGER'!$P$18:$P$25,$A1187),"")</f>
        <v/>
      </c>
      <c r="E1187" t="str" cm="1">
        <f t="array" ref="E1187">IFERROR(INDEX('TRIP MANAGER'!$Q$18:$Q$25,$A1187),"")</f>
        <v/>
      </c>
      <c r="F1187" t="str" cm="1">
        <f t="array" ref="F1187">IFERROR(INDEX('TRIP MANAGER'!$R$18:$R$25,$A1187),"")</f>
        <v/>
      </c>
      <c r="G1187" t="str" cm="1">
        <f t="array" ref="G1187">IFERROR(INDEX('TRIP MANAGER'!$S$18:$S$25,$A1187),"")</f>
        <v/>
      </c>
      <c r="H1187">
        <f t="shared" si="200"/>
        <v>0.85333333333333339</v>
      </c>
      <c r="I1187" t="str">
        <f t="shared" si="201"/>
        <v/>
      </c>
      <c r="J1187" t="str">
        <f t="shared" si="202"/>
        <v/>
      </c>
      <c r="K1187" t="str">
        <f t="shared" si="203"/>
        <v/>
      </c>
      <c r="L1187" t="str">
        <f t="shared" si="204"/>
        <v/>
      </c>
      <c r="M1187" t="str">
        <f t="shared" si="205"/>
        <v/>
      </c>
      <c r="N1187" t="str">
        <f t="shared" si="206"/>
        <v/>
      </c>
      <c r="O1187" t="str">
        <f t="shared" si="207"/>
        <v/>
      </c>
      <c r="P1187" t="str" cm="1">
        <f t="array" ref="P1187">IF($N1187="","",IFERROR(IF(INDEX(geo_grid!$B$2:$JU$231,INT(($N1187+40)/0.5)+1,INT(($O1187+30)/0.5)+1)="","",INDEX(geo_grid!$B$2:$JU$231,INT(($N1187+40)/0.5)+1,INT(($O1187+30)/0.5)+1)),"OUTSIDE GRID"))</f>
        <v/>
      </c>
      <c r="Q1187" t="str">
        <f t="shared" si="208"/>
        <v/>
      </c>
    </row>
    <row r="1188" spans="1:17" x14ac:dyDescent="0.3">
      <c r="A1188">
        <f t="shared" si="198"/>
        <v>8</v>
      </c>
      <c r="B1188">
        <f t="shared" si="199"/>
        <v>129</v>
      </c>
      <c r="C1188" t="str" cm="1">
        <f t="array" ref="C1188">IFERROR(INDEX('TRIP MANAGER'!$O$18:$O$25,$A1188),"")</f>
        <v/>
      </c>
      <c r="D1188" t="str" cm="1">
        <f t="array" ref="D1188">IFERROR(INDEX('TRIP MANAGER'!$P$18:$P$25,$A1188),"")</f>
        <v/>
      </c>
      <c r="E1188" t="str" cm="1">
        <f t="array" ref="E1188">IFERROR(INDEX('TRIP MANAGER'!$Q$18:$Q$25,$A1188),"")</f>
        <v/>
      </c>
      <c r="F1188" t="str" cm="1">
        <f t="array" ref="F1188">IFERROR(INDEX('TRIP MANAGER'!$R$18:$R$25,$A1188),"")</f>
        <v/>
      </c>
      <c r="G1188" t="str" cm="1">
        <f t="array" ref="G1188">IFERROR(INDEX('TRIP MANAGER'!$S$18:$S$25,$A1188),"")</f>
        <v/>
      </c>
      <c r="H1188">
        <f t="shared" si="200"/>
        <v>0.86</v>
      </c>
      <c r="I1188" t="str">
        <f t="shared" si="201"/>
        <v/>
      </c>
      <c r="J1188" t="str">
        <f t="shared" si="202"/>
        <v/>
      </c>
      <c r="K1188" t="str">
        <f t="shared" si="203"/>
        <v/>
      </c>
      <c r="L1188" t="str">
        <f t="shared" si="204"/>
        <v/>
      </c>
      <c r="M1188" t="str">
        <f t="shared" si="205"/>
        <v/>
      </c>
      <c r="N1188" t="str">
        <f t="shared" si="206"/>
        <v/>
      </c>
      <c r="O1188" t="str">
        <f t="shared" si="207"/>
        <v/>
      </c>
      <c r="P1188" t="str" cm="1">
        <f t="array" ref="P1188">IF($N1188="","",IFERROR(IF(INDEX(geo_grid!$B$2:$JU$231,INT(($N1188+40)/0.5)+1,INT(($O1188+30)/0.5)+1)="","",INDEX(geo_grid!$B$2:$JU$231,INT(($N1188+40)/0.5)+1,INT(($O1188+30)/0.5)+1)),"OUTSIDE GRID"))</f>
        <v/>
      </c>
      <c r="Q1188" t="str">
        <f t="shared" si="208"/>
        <v/>
      </c>
    </row>
    <row r="1189" spans="1:17" x14ac:dyDescent="0.3">
      <c r="A1189">
        <f t="shared" si="198"/>
        <v>8</v>
      </c>
      <c r="B1189">
        <f t="shared" si="199"/>
        <v>130</v>
      </c>
      <c r="C1189" t="str" cm="1">
        <f t="array" ref="C1189">IFERROR(INDEX('TRIP MANAGER'!$O$18:$O$25,$A1189),"")</f>
        <v/>
      </c>
      <c r="D1189" t="str" cm="1">
        <f t="array" ref="D1189">IFERROR(INDEX('TRIP MANAGER'!$P$18:$P$25,$A1189),"")</f>
        <v/>
      </c>
      <c r="E1189" t="str" cm="1">
        <f t="array" ref="E1189">IFERROR(INDEX('TRIP MANAGER'!$Q$18:$Q$25,$A1189),"")</f>
        <v/>
      </c>
      <c r="F1189" t="str" cm="1">
        <f t="array" ref="F1189">IFERROR(INDEX('TRIP MANAGER'!$R$18:$R$25,$A1189),"")</f>
        <v/>
      </c>
      <c r="G1189" t="str" cm="1">
        <f t="array" ref="G1189">IFERROR(INDEX('TRIP MANAGER'!$S$18:$S$25,$A1189),"")</f>
        <v/>
      </c>
      <c r="H1189">
        <f t="shared" si="200"/>
        <v>0.8666666666666667</v>
      </c>
      <c r="I1189" t="str">
        <f t="shared" si="201"/>
        <v/>
      </c>
      <c r="J1189" t="str">
        <f t="shared" si="202"/>
        <v/>
      </c>
      <c r="K1189" t="str">
        <f t="shared" si="203"/>
        <v/>
      </c>
      <c r="L1189" t="str">
        <f t="shared" si="204"/>
        <v/>
      </c>
      <c r="M1189" t="str">
        <f t="shared" si="205"/>
        <v/>
      </c>
      <c r="N1189" t="str">
        <f t="shared" si="206"/>
        <v/>
      </c>
      <c r="O1189" t="str">
        <f t="shared" si="207"/>
        <v/>
      </c>
      <c r="P1189" t="str" cm="1">
        <f t="array" ref="P1189">IF($N1189="","",IFERROR(IF(INDEX(geo_grid!$B$2:$JU$231,INT(($N1189+40)/0.5)+1,INT(($O1189+30)/0.5)+1)="","",INDEX(geo_grid!$B$2:$JU$231,INT(($N1189+40)/0.5)+1,INT(($O1189+30)/0.5)+1)),"OUTSIDE GRID"))</f>
        <v/>
      </c>
      <c r="Q1189" t="str">
        <f t="shared" si="208"/>
        <v/>
      </c>
    </row>
    <row r="1190" spans="1:17" x14ac:dyDescent="0.3">
      <c r="A1190">
        <f t="shared" si="198"/>
        <v>8</v>
      </c>
      <c r="B1190">
        <f t="shared" si="199"/>
        <v>131</v>
      </c>
      <c r="C1190" t="str" cm="1">
        <f t="array" ref="C1190">IFERROR(INDEX('TRIP MANAGER'!$O$18:$O$25,$A1190),"")</f>
        <v/>
      </c>
      <c r="D1190" t="str" cm="1">
        <f t="array" ref="D1190">IFERROR(INDEX('TRIP MANAGER'!$P$18:$P$25,$A1190),"")</f>
        <v/>
      </c>
      <c r="E1190" t="str" cm="1">
        <f t="array" ref="E1190">IFERROR(INDEX('TRIP MANAGER'!$Q$18:$Q$25,$A1190),"")</f>
        <v/>
      </c>
      <c r="F1190" t="str" cm="1">
        <f t="array" ref="F1190">IFERROR(INDEX('TRIP MANAGER'!$R$18:$R$25,$A1190),"")</f>
        <v/>
      </c>
      <c r="G1190" t="str" cm="1">
        <f t="array" ref="G1190">IFERROR(INDEX('TRIP MANAGER'!$S$18:$S$25,$A1190),"")</f>
        <v/>
      </c>
      <c r="H1190">
        <f t="shared" si="200"/>
        <v>0.87333333333333329</v>
      </c>
      <c r="I1190" t="str">
        <f t="shared" si="201"/>
        <v/>
      </c>
      <c r="J1190" t="str">
        <f t="shared" si="202"/>
        <v/>
      </c>
      <c r="K1190" t="str">
        <f t="shared" si="203"/>
        <v/>
      </c>
      <c r="L1190" t="str">
        <f t="shared" si="204"/>
        <v/>
      </c>
      <c r="M1190" t="str">
        <f t="shared" si="205"/>
        <v/>
      </c>
      <c r="N1190" t="str">
        <f t="shared" si="206"/>
        <v/>
      </c>
      <c r="O1190" t="str">
        <f t="shared" si="207"/>
        <v/>
      </c>
      <c r="P1190" t="str" cm="1">
        <f t="array" ref="P1190">IF($N1190="","",IFERROR(IF(INDEX(geo_grid!$B$2:$JU$231,INT(($N1190+40)/0.5)+1,INT(($O1190+30)/0.5)+1)="","",INDEX(geo_grid!$B$2:$JU$231,INT(($N1190+40)/0.5)+1,INT(($O1190+30)/0.5)+1)),"OUTSIDE GRID"))</f>
        <v/>
      </c>
      <c r="Q1190" t="str">
        <f t="shared" si="208"/>
        <v/>
      </c>
    </row>
    <row r="1191" spans="1:17" x14ac:dyDescent="0.3">
      <c r="A1191">
        <f t="shared" si="198"/>
        <v>8</v>
      </c>
      <c r="B1191">
        <f t="shared" si="199"/>
        <v>132</v>
      </c>
      <c r="C1191" t="str" cm="1">
        <f t="array" ref="C1191">IFERROR(INDEX('TRIP MANAGER'!$O$18:$O$25,$A1191),"")</f>
        <v/>
      </c>
      <c r="D1191" t="str" cm="1">
        <f t="array" ref="D1191">IFERROR(INDEX('TRIP MANAGER'!$P$18:$P$25,$A1191),"")</f>
        <v/>
      </c>
      <c r="E1191" t="str" cm="1">
        <f t="array" ref="E1191">IFERROR(INDEX('TRIP MANAGER'!$Q$18:$Q$25,$A1191),"")</f>
        <v/>
      </c>
      <c r="F1191" t="str" cm="1">
        <f t="array" ref="F1191">IFERROR(INDEX('TRIP MANAGER'!$R$18:$R$25,$A1191),"")</f>
        <v/>
      </c>
      <c r="G1191" t="str" cm="1">
        <f t="array" ref="G1191">IFERROR(INDEX('TRIP MANAGER'!$S$18:$S$25,$A1191),"")</f>
        <v/>
      </c>
      <c r="H1191">
        <f t="shared" si="200"/>
        <v>0.88</v>
      </c>
      <c r="I1191" t="str">
        <f t="shared" si="201"/>
        <v/>
      </c>
      <c r="J1191" t="str">
        <f t="shared" si="202"/>
        <v/>
      </c>
      <c r="K1191" t="str">
        <f t="shared" si="203"/>
        <v/>
      </c>
      <c r="L1191" t="str">
        <f t="shared" si="204"/>
        <v/>
      </c>
      <c r="M1191" t="str">
        <f t="shared" si="205"/>
        <v/>
      </c>
      <c r="N1191" t="str">
        <f t="shared" si="206"/>
        <v/>
      </c>
      <c r="O1191" t="str">
        <f t="shared" si="207"/>
        <v/>
      </c>
      <c r="P1191" t="str" cm="1">
        <f t="array" ref="P1191">IF($N1191="","",IFERROR(IF(INDEX(geo_grid!$B$2:$JU$231,INT(($N1191+40)/0.5)+1,INT(($O1191+30)/0.5)+1)="","",INDEX(geo_grid!$B$2:$JU$231,INT(($N1191+40)/0.5)+1,INT(($O1191+30)/0.5)+1)),"OUTSIDE GRID"))</f>
        <v/>
      </c>
      <c r="Q1191" t="str">
        <f t="shared" si="208"/>
        <v/>
      </c>
    </row>
    <row r="1192" spans="1:17" x14ac:dyDescent="0.3">
      <c r="A1192">
        <f t="shared" si="198"/>
        <v>8</v>
      </c>
      <c r="B1192">
        <f t="shared" si="199"/>
        <v>133</v>
      </c>
      <c r="C1192" t="str" cm="1">
        <f t="array" ref="C1192">IFERROR(INDEX('TRIP MANAGER'!$O$18:$O$25,$A1192),"")</f>
        <v/>
      </c>
      <c r="D1192" t="str" cm="1">
        <f t="array" ref="D1192">IFERROR(INDEX('TRIP MANAGER'!$P$18:$P$25,$A1192),"")</f>
        <v/>
      </c>
      <c r="E1192" t="str" cm="1">
        <f t="array" ref="E1192">IFERROR(INDEX('TRIP MANAGER'!$Q$18:$Q$25,$A1192),"")</f>
        <v/>
      </c>
      <c r="F1192" t="str" cm="1">
        <f t="array" ref="F1192">IFERROR(INDEX('TRIP MANAGER'!$R$18:$R$25,$A1192),"")</f>
        <v/>
      </c>
      <c r="G1192" t="str" cm="1">
        <f t="array" ref="G1192">IFERROR(INDEX('TRIP MANAGER'!$S$18:$S$25,$A1192),"")</f>
        <v/>
      </c>
      <c r="H1192">
        <f t="shared" si="200"/>
        <v>0.88666666666666671</v>
      </c>
      <c r="I1192" t="str">
        <f t="shared" si="201"/>
        <v/>
      </c>
      <c r="J1192" t="str">
        <f t="shared" si="202"/>
        <v/>
      </c>
      <c r="K1192" t="str">
        <f t="shared" si="203"/>
        <v/>
      </c>
      <c r="L1192" t="str">
        <f t="shared" si="204"/>
        <v/>
      </c>
      <c r="M1192" t="str">
        <f t="shared" si="205"/>
        <v/>
      </c>
      <c r="N1192" t="str">
        <f t="shared" si="206"/>
        <v/>
      </c>
      <c r="O1192" t="str">
        <f t="shared" si="207"/>
        <v/>
      </c>
      <c r="P1192" t="str" cm="1">
        <f t="array" ref="P1192">IF($N1192="","",IFERROR(IF(INDEX(geo_grid!$B$2:$JU$231,INT(($N1192+40)/0.5)+1,INT(($O1192+30)/0.5)+1)="","",INDEX(geo_grid!$B$2:$JU$231,INT(($N1192+40)/0.5)+1,INT(($O1192+30)/0.5)+1)),"OUTSIDE GRID"))</f>
        <v/>
      </c>
      <c r="Q1192" t="str">
        <f t="shared" si="208"/>
        <v/>
      </c>
    </row>
    <row r="1193" spans="1:17" x14ac:dyDescent="0.3">
      <c r="A1193">
        <f t="shared" si="198"/>
        <v>8</v>
      </c>
      <c r="B1193">
        <f t="shared" si="199"/>
        <v>134</v>
      </c>
      <c r="C1193" t="str" cm="1">
        <f t="array" ref="C1193">IFERROR(INDEX('TRIP MANAGER'!$O$18:$O$25,$A1193),"")</f>
        <v/>
      </c>
      <c r="D1193" t="str" cm="1">
        <f t="array" ref="D1193">IFERROR(INDEX('TRIP MANAGER'!$P$18:$P$25,$A1193),"")</f>
        <v/>
      </c>
      <c r="E1193" t="str" cm="1">
        <f t="array" ref="E1193">IFERROR(INDEX('TRIP MANAGER'!$Q$18:$Q$25,$A1193),"")</f>
        <v/>
      </c>
      <c r="F1193" t="str" cm="1">
        <f t="array" ref="F1193">IFERROR(INDEX('TRIP MANAGER'!$R$18:$R$25,$A1193),"")</f>
        <v/>
      </c>
      <c r="G1193" t="str" cm="1">
        <f t="array" ref="G1193">IFERROR(INDEX('TRIP MANAGER'!$S$18:$S$25,$A1193),"")</f>
        <v/>
      </c>
      <c r="H1193">
        <f t="shared" si="200"/>
        <v>0.89333333333333331</v>
      </c>
      <c r="I1193" t="str">
        <f t="shared" si="201"/>
        <v/>
      </c>
      <c r="J1193" t="str">
        <f t="shared" si="202"/>
        <v/>
      </c>
      <c r="K1193" t="str">
        <f t="shared" si="203"/>
        <v/>
      </c>
      <c r="L1193" t="str">
        <f t="shared" si="204"/>
        <v/>
      </c>
      <c r="M1193" t="str">
        <f t="shared" si="205"/>
        <v/>
      </c>
      <c r="N1193" t="str">
        <f t="shared" si="206"/>
        <v/>
      </c>
      <c r="O1193" t="str">
        <f t="shared" si="207"/>
        <v/>
      </c>
      <c r="P1193" t="str" cm="1">
        <f t="array" ref="P1193">IF($N1193="","",IFERROR(IF(INDEX(geo_grid!$B$2:$JU$231,INT(($N1193+40)/0.5)+1,INT(($O1193+30)/0.5)+1)="","",INDEX(geo_grid!$B$2:$JU$231,INT(($N1193+40)/0.5)+1,INT(($O1193+30)/0.5)+1)),"OUTSIDE GRID"))</f>
        <v/>
      </c>
      <c r="Q1193" t="str">
        <f t="shared" si="208"/>
        <v/>
      </c>
    </row>
    <row r="1194" spans="1:17" x14ac:dyDescent="0.3">
      <c r="A1194">
        <f t="shared" si="198"/>
        <v>8</v>
      </c>
      <c r="B1194">
        <f t="shared" si="199"/>
        <v>135</v>
      </c>
      <c r="C1194" t="str" cm="1">
        <f t="array" ref="C1194">IFERROR(INDEX('TRIP MANAGER'!$O$18:$O$25,$A1194),"")</f>
        <v/>
      </c>
      <c r="D1194" t="str" cm="1">
        <f t="array" ref="D1194">IFERROR(INDEX('TRIP MANAGER'!$P$18:$P$25,$A1194),"")</f>
        <v/>
      </c>
      <c r="E1194" t="str" cm="1">
        <f t="array" ref="E1194">IFERROR(INDEX('TRIP MANAGER'!$Q$18:$Q$25,$A1194),"")</f>
        <v/>
      </c>
      <c r="F1194" t="str" cm="1">
        <f t="array" ref="F1194">IFERROR(INDEX('TRIP MANAGER'!$R$18:$R$25,$A1194),"")</f>
        <v/>
      </c>
      <c r="G1194" t="str" cm="1">
        <f t="array" ref="G1194">IFERROR(INDEX('TRIP MANAGER'!$S$18:$S$25,$A1194),"")</f>
        <v/>
      </c>
      <c r="H1194">
        <f t="shared" si="200"/>
        <v>0.9</v>
      </c>
      <c r="I1194" t="str">
        <f t="shared" si="201"/>
        <v/>
      </c>
      <c r="J1194" t="str">
        <f t="shared" si="202"/>
        <v/>
      </c>
      <c r="K1194" t="str">
        <f t="shared" si="203"/>
        <v/>
      </c>
      <c r="L1194" t="str">
        <f t="shared" si="204"/>
        <v/>
      </c>
      <c r="M1194" t="str">
        <f t="shared" si="205"/>
        <v/>
      </c>
      <c r="N1194" t="str">
        <f t="shared" si="206"/>
        <v/>
      </c>
      <c r="O1194" t="str">
        <f t="shared" si="207"/>
        <v/>
      </c>
      <c r="P1194" t="str" cm="1">
        <f t="array" ref="P1194">IF($N1194="","",IFERROR(IF(INDEX(geo_grid!$B$2:$JU$231,INT(($N1194+40)/0.5)+1,INT(($O1194+30)/0.5)+1)="","",INDEX(geo_grid!$B$2:$JU$231,INT(($N1194+40)/0.5)+1,INT(($O1194+30)/0.5)+1)),"OUTSIDE GRID"))</f>
        <v/>
      </c>
      <c r="Q1194" t="str">
        <f t="shared" si="208"/>
        <v/>
      </c>
    </row>
    <row r="1195" spans="1:17" x14ac:dyDescent="0.3">
      <c r="A1195">
        <f t="shared" si="198"/>
        <v>8</v>
      </c>
      <c r="B1195">
        <f t="shared" si="199"/>
        <v>136</v>
      </c>
      <c r="C1195" t="str" cm="1">
        <f t="array" ref="C1195">IFERROR(INDEX('TRIP MANAGER'!$O$18:$O$25,$A1195),"")</f>
        <v/>
      </c>
      <c r="D1195" t="str" cm="1">
        <f t="array" ref="D1195">IFERROR(INDEX('TRIP MANAGER'!$P$18:$P$25,$A1195),"")</f>
        <v/>
      </c>
      <c r="E1195" t="str" cm="1">
        <f t="array" ref="E1195">IFERROR(INDEX('TRIP MANAGER'!$Q$18:$Q$25,$A1195),"")</f>
        <v/>
      </c>
      <c r="F1195" t="str" cm="1">
        <f t="array" ref="F1195">IFERROR(INDEX('TRIP MANAGER'!$R$18:$R$25,$A1195),"")</f>
        <v/>
      </c>
      <c r="G1195" t="str" cm="1">
        <f t="array" ref="G1195">IFERROR(INDEX('TRIP MANAGER'!$S$18:$S$25,$A1195),"")</f>
        <v/>
      </c>
      <c r="H1195">
        <f t="shared" si="200"/>
        <v>0.90666666666666662</v>
      </c>
      <c r="I1195" t="str">
        <f t="shared" si="201"/>
        <v/>
      </c>
      <c r="J1195" t="str">
        <f t="shared" si="202"/>
        <v/>
      </c>
      <c r="K1195" t="str">
        <f t="shared" si="203"/>
        <v/>
      </c>
      <c r="L1195" t="str">
        <f t="shared" si="204"/>
        <v/>
      </c>
      <c r="M1195" t="str">
        <f t="shared" si="205"/>
        <v/>
      </c>
      <c r="N1195" t="str">
        <f t="shared" si="206"/>
        <v/>
      </c>
      <c r="O1195" t="str">
        <f t="shared" si="207"/>
        <v/>
      </c>
      <c r="P1195" t="str" cm="1">
        <f t="array" ref="P1195">IF($N1195="","",IFERROR(IF(INDEX(geo_grid!$B$2:$JU$231,INT(($N1195+40)/0.5)+1,INT(($O1195+30)/0.5)+1)="","",INDEX(geo_grid!$B$2:$JU$231,INT(($N1195+40)/0.5)+1,INT(($O1195+30)/0.5)+1)),"OUTSIDE GRID"))</f>
        <v/>
      </c>
      <c r="Q1195" t="str">
        <f t="shared" si="208"/>
        <v/>
      </c>
    </row>
    <row r="1196" spans="1:17" x14ac:dyDescent="0.3">
      <c r="A1196">
        <f t="shared" si="198"/>
        <v>8</v>
      </c>
      <c r="B1196">
        <f t="shared" si="199"/>
        <v>137</v>
      </c>
      <c r="C1196" t="str" cm="1">
        <f t="array" ref="C1196">IFERROR(INDEX('TRIP MANAGER'!$O$18:$O$25,$A1196),"")</f>
        <v/>
      </c>
      <c r="D1196" t="str" cm="1">
        <f t="array" ref="D1196">IFERROR(INDEX('TRIP MANAGER'!$P$18:$P$25,$A1196),"")</f>
        <v/>
      </c>
      <c r="E1196" t="str" cm="1">
        <f t="array" ref="E1196">IFERROR(INDEX('TRIP MANAGER'!$Q$18:$Q$25,$A1196),"")</f>
        <v/>
      </c>
      <c r="F1196" t="str" cm="1">
        <f t="array" ref="F1196">IFERROR(INDEX('TRIP MANAGER'!$R$18:$R$25,$A1196),"")</f>
        <v/>
      </c>
      <c r="G1196" t="str" cm="1">
        <f t="array" ref="G1196">IFERROR(INDEX('TRIP MANAGER'!$S$18:$S$25,$A1196),"")</f>
        <v/>
      </c>
      <c r="H1196">
        <f t="shared" si="200"/>
        <v>0.91333333333333333</v>
      </c>
      <c r="I1196" t="str">
        <f t="shared" si="201"/>
        <v/>
      </c>
      <c r="J1196" t="str">
        <f t="shared" si="202"/>
        <v/>
      </c>
      <c r="K1196" t="str">
        <f t="shared" si="203"/>
        <v/>
      </c>
      <c r="L1196" t="str">
        <f t="shared" si="204"/>
        <v/>
      </c>
      <c r="M1196" t="str">
        <f t="shared" si="205"/>
        <v/>
      </c>
      <c r="N1196" t="str">
        <f t="shared" si="206"/>
        <v/>
      </c>
      <c r="O1196" t="str">
        <f t="shared" si="207"/>
        <v/>
      </c>
      <c r="P1196" t="str" cm="1">
        <f t="array" ref="P1196">IF($N1196="","",IFERROR(IF(INDEX(geo_grid!$B$2:$JU$231,INT(($N1196+40)/0.5)+1,INT(($O1196+30)/0.5)+1)="","",INDEX(geo_grid!$B$2:$JU$231,INT(($N1196+40)/0.5)+1,INT(($O1196+30)/0.5)+1)),"OUTSIDE GRID"))</f>
        <v/>
      </c>
      <c r="Q1196" t="str">
        <f t="shared" si="208"/>
        <v/>
      </c>
    </row>
    <row r="1197" spans="1:17" x14ac:dyDescent="0.3">
      <c r="A1197">
        <f t="shared" si="198"/>
        <v>8</v>
      </c>
      <c r="B1197">
        <f t="shared" si="199"/>
        <v>138</v>
      </c>
      <c r="C1197" t="str" cm="1">
        <f t="array" ref="C1197">IFERROR(INDEX('TRIP MANAGER'!$O$18:$O$25,$A1197),"")</f>
        <v/>
      </c>
      <c r="D1197" t="str" cm="1">
        <f t="array" ref="D1197">IFERROR(INDEX('TRIP MANAGER'!$P$18:$P$25,$A1197),"")</f>
        <v/>
      </c>
      <c r="E1197" t="str" cm="1">
        <f t="array" ref="E1197">IFERROR(INDEX('TRIP MANAGER'!$Q$18:$Q$25,$A1197),"")</f>
        <v/>
      </c>
      <c r="F1197" t="str" cm="1">
        <f t="array" ref="F1197">IFERROR(INDEX('TRIP MANAGER'!$R$18:$R$25,$A1197),"")</f>
        <v/>
      </c>
      <c r="G1197" t="str" cm="1">
        <f t="array" ref="G1197">IFERROR(INDEX('TRIP MANAGER'!$S$18:$S$25,$A1197),"")</f>
        <v/>
      </c>
      <c r="H1197">
        <f t="shared" si="200"/>
        <v>0.92</v>
      </c>
      <c r="I1197" t="str">
        <f t="shared" si="201"/>
        <v/>
      </c>
      <c r="J1197" t="str">
        <f t="shared" si="202"/>
        <v/>
      </c>
      <c r="K1197" t="str">
        <f t="shared" si="203"/>
        <v/>
      </c>
      <c r="L1197" t="str">
        <f t="shared" si="204"/>
        <v/>
      </c>
      <c r="M1197" t="str">
        <f t="shared" si="205"/>
        <v/>
      </c>
      <c r="N1197" t="str">
        <f t="shared" si="206"/>
        <v/>
      </c>
      <c r="O1197" t="str">
        <f t="shared" si="207"/>
        <v/>
      </c>
      <c r="P1197" t="str" cm="1">
        <f t="array" ref="P1197">IF($N1197="","",IFERROR(IF(INDEX(geo_grid!$B$2:$JU$231,INT(($N1197+40)/0.5)+1,INT(($O1197+30)/0.5)+1)="","",INDEX(geo_grid!$B$2:$JU$231,INT(($N1197+40)/0.5)+1,INT(($O1197+30)/0.5)+1)),"OUTSIDE GRID"))</f>
        <v/>
      </c>
      <c r="Q1197" t="str">
        <f t="shared" si="208"/>
        <v/>
      </c>
    </row>
    <row r="1198" spans="1:17" x14ac:dyDescent="0.3">
      <c r="A1198">
        <f t="shared" si="198"/>
        <v>8</v>
      </c>
      <c r="B1198">
        <f t="shared" si="199"/>
        <v>139</v>
      </c>
      <c r="C1198" t="str" cm="1">
        <f t="array" ref="C1198">IFERROR(INDEX('TRIP MANAGER'!$O$18:$O$25,$A1198),"")</f>
        <v/>
      </c>
      <c r="D1198" t="str" cm="1">
        <f t="array" ref="D1198">IFERROR(INDEX('TRIP MANAGER'!$P$18:$P$25,$A1198),"")</f>
        <v/>
      </c>
      <c r="E1198" t="str" cm="1">
        <f t="array" ref="E1198">IFERROR(INDEX('TRIP MANAGER'!$Q$18:$Q$25,$A1198),"")</f>
        <v/>
      </c>
      <c r="F1198" t="str" cm="1">
        <f t="array" ref="F1198">IFERROR(INDEX('TRIP MANAGER'!$R$18:$R$25,$A1198),"")</f>
        <v/>
      </c>
      <c r="G1198" t="str" cm="1">
        <f t="array" ref="G1198">IFERROR(INDEX('TRIP MANAGER'!$S$18:$S$25,$A1198),"")</f>
        <v/>
      </c>
      <c r="H1198">
        <f t="shared" si="200"/>
        <v>0.92666666666666664</v>
      </c>
      <c r="I1198" t="str">
        <f t="shared" si="201"/>
        <v/>
      </c>
      <c r="J1198" t="str">
        <f t="shared" si="202"/>
        <v/>
      </c>
      <c r="K1198" t="str">
        <f t="shared" si="203"/>
        <v/>
      </c>
      <c r="L1198" t="str">
        <f t="shared" si="204"/>
        <v/>
      </c>
      <c r="M1198" t="str">
        <f t="shared" si="205"/>
        <v/>
      </c>
      <c r="N1198" t="str">
        <f t="shared" si="206"/>
        <v/>
      </c>
      <c r="O1198" t="str">
        <f t="shared" si="207"/>
        <v/>
      </c>
      <c r="P1198" t="str" cm="1">
        <f t="array" ref="P1198">IF($N1198="","",IFERROR(IF(INDEX(geo_grid!$B$2:$JU$231,INT(($N1198+40)/0.5)+1,INT(($O1198+30)/0.5)+1)="","",INDEX(geo_grid!$B$2:$JU$231,INT(($N1198+40)/0.5)+1,INT(($O1198+30)/0.5)+1)),"OUTSIDE GRID"))</f>
        <v/>
      </c>
      <c r="Q1198" t="str">
        <f t="shared" si="208"/>
        <v/>
      </c>
    </row>
    <row r="1199" spans="1:17" x14ac:dyDescent="0.3">
      <c r="A1199">
        <f t="shared" si="198"/>
        <v>8</v>
      </c>
      <c r="B1199">
        <f t="shared" si="199"/>
        <v>140</v>
      </c>
      <c r="C1199" t="str" cm="1">
        <f t="array" ref="C1199">IFERROR(INDEX('TRIP MANAGER'!$O$18:$O$25,$A1199),"")</f>
        <v/>
      </c>
      <c r="D1199" t="str" cm="1">
        <f t="array" ref="D1199">IFERROR(INDEX('TRIP MANAGER'!$P$18:$P$25,$A1199),"")</f>
        <v/>
      </c>
      <c r="E1199" t="str" cm="1">
        <f t="array" ref="E1199">IFERROR(INDEX('TRIP MANAGER'!$Q$18:$Q$25,$A1199),"")</f>
        <v/>
      </c>
      <c r="F1199" t="str" cm="1">
        <f t="array" ref="F1199">IFERROR(INDEX('TRIP MANAGER'!$R$18:$R$25,$A1199),"")</f>
        <v/>
      </c>
      <c r="G1199" t="str" cm="1">
        <f t="array" ref="G1199">IFERROR(INDEX('TRIP MANAGER'!$S$18:$S$25,$A1199),"")</f>
        <v/>
      </c>
      <c r="H1199">
        <f t="shared" si="200"/>
        <v>0.93333333333333335</v>
      </c>
      <c r="I1199" t="str">
        <f t="shared" si="201"/>
        <v/>
      </c>
      <c r="J1199" t="str">
        <f t="shared" si="202"/>
        <v/>
      </c>
      <c r="K1199" t="str">
        <f t="shared" si="203"/>
        <v/>
      </c>
      <c r="L1199" t="str">
        <f t="shared" si="204"/>
        <v/>
      </c>
      <c r="M1199" t="str">
        <f t="shared" si="205"/>
        <v/>
      </c>
      <c r="N1199" t="str">
        <f t="shared" si="206"/>
        <v/>
      </c>
      <c r="O1199" t="str">
        <f t="shared" si="207"/>
        <v/>
      </c>
      <c r="P1199" t="str" cm="1">
        <f t="array" ref="P1199">IF($N1199="","",IFERROR(IF(INDEX(geo_grid!$B$2:$JU$231,INT(($N1199+40)/0.5)+1,INT(($O1199+30)/0.5)+1)="","",INDEX(geo_grid!$B$2:$JU$231,INT(($N1199+40)/0.5)+1,INT(($O1199+30)/0.5)+1)),"OUTSIDE GRID"))</f>
        <v/>
      </c>
      <c r="Q1199" t="str">
        <f t="shared" si="208"/>
        <v/>
      </c>
    </row>
    <row r="1200" spans="1:17" x14ac:dyDescent="0.3">
      <c r="A1200">
        <f t="shared" si="198"/>
        <v>8</v>
      </c>
      <c r="B1200">
        <f t="shared" si="199"/>
        <v>141</v>
      </c>
      <c r="C1200" t="str" cm="1">
        <f t="array" ref="C1200">IFERROR(INDEX('TRIP MANAGER'!$O$18:$O$25,$A1200),"")</f>
        <v/>
      </c>
      <c r="D1200" t="str" cm="1">
        <f t="array" ref="D1200">IFERROR(INDEX('TRIP MANAGER'!$P$18:$P$25,$A1200),"")</f>
        <v/>
      </c>
      <c r="E1200" t="str" cm="1">
        <f t="array" ref="E1200">IFERROR(INDEX('TRIP MANAGER'!$Q$18:$Q$25,$A1200),"")</f>
        <v/>
      </c>
      <c r="F1200" t="str" cm="1">
        <f t="array" ref="F1200">IFERROR(INDEX('TRIP MANAGER'!$R$18:$R$25,$A1200),"")</f>
        <v/>
      </c>
      <c r="G1200" t="str" cm="1">
        <f t="array" ref="G1200">IFERROR(INDEX('TRIP MANAGER'!$S$18:$S$25,$A1200),"")</f>
        <v/>
      </c>
      <c r="H1200">
        <f t="shared" si="200"/>
        <v>0.94</v>
      </c>
      <c r="I1200" t="str">
        <f t="shared" si="201"/>
        <v/>
      </c>
      <c r="J1200" t="str">
        <f t="shared" si="202"/>
        <v/>
      </c>
      <c r="K1200" t="str">
        <f t="shared" si="203"/>
        <v/>
      </c>
      <c r="L1200" t="str">
        <f t="shared" si="204"/>
        <v/>
      </c>
      <c r="M1200" t="str">
        <f t="shared" si="205"/>
        <v/>
      </c>
      <c r="N1200" t="str">
        <f t="shared" si="206"/>
        <v/>
      </c>
      <c r="O1200" t="str">
        <f t="shared" si="207"/>
        <v/>
      </c>
      <c r="P1200" t="str" cm="1">
        <f t="array" ref="P1200">IF($N1200="","",IFERROR(IF(INDEX(geo_grid!$B$2:$JU$231,INT(($N1200+40)/0.5)+1,INT(($O1200+30)/0.5)+1)="","",INDEX(geo_grid!$B$2:$JU$231,INT(($N1200+40)/0.5)+1,INT(($O1200+30)/0.5)+1)),"OUTSIDE GRID"))</f>
        <v/>
      </c>
      <c r="Q1200" t="str">
        <f t="shared" si="208"/>
        <v/>
      </c>
    </row>
    <row r="1201" spans="1:17" x14ac:dyDescent="0.3">
      <c r="A1201">
        <f t="shared" si="198"/>
        <v>8</v>
      </c>
      <c r="B1201">
        <f t="shared" si="199"/>
        <v>142</v>
      </c>
      <c r="C1201" t="str" cm="1">
        <f t="array" ref="C1201">IFERROR(INDEX('TRIP MANAGER'!$O$18:$O$25,$A1201),"")</f>
        <v/>
      </c>
      <c r="D1201" t="str" cm="1">
        <f t="array" ref="D1201">IFERROR(INDEX('TRIP MANAGER'!$P$18:$P$25,$A1201),"")</f>
        <v/>
      </c>
      <c r="E1201" t="str" cm="1">
        <f t="array" ref="E1201">IFERROR(INDEX('TRIP MANAGER'!$Q$18:$Q$25,$A1201),"")</f>
        <v/>
      </c>
      <c r="F1201" t="str" cm="1">
        <f t="array" ref="F1201">IFERROR(INDEX('TRIP MANAGER'!$R$18:$R$25,$A1201),"")</f>
        <v/>
      </c>
      <c r="G1201" t="str" cm="1">
        <f t="array" ref="G1201">IFERROR(INDEX('TRIP MANAGER'!$S$18:$S$25,$A1201),"")</f>
        <v/>
      </c>
      <c r="H1201">
        <f t="shared" si="200"/>
        <v>0.94666666666666666</v>
      </c>
      <c r="I1201" t="str">
        <f t="shared" si="201"/>
        <v/>
      </c>
      <c r="J1201" t="str">
        <f t="shared" si="202"/>
        <v/>
      </c>
      <c r="K1201" t="str">
        <f t="shared" si="203"/>
        <v/>
      </c>
      <c r="L1201" t="str">
        <f t="shared" si="204"/>
        <v/>
      </c>
      <c r="M1201" t="str">
        <f t="shared" si="205"/>
        <v/>
      </c>
      <c r="N1201" t="str">
        <f t="shared" si="206"/>
        <v/>
      </c>
      <c r="O1201" t="str">
        <f t="shared" si="207"/>
        <v/>
      </c>
      <c r="P1201" t="str" cm="1">
        <f t="array" ref="P1201">IF($N1201="","",IFERROR(IF(INDEX(geo_grid!$B$2:$JU$231,INT(($N1201+40)/0.5)+1,INT(($O1201+30)/0.5)+1)="","",INDEX(geo_grid!$B$2:$JU$231,INT(($N1201+40)/0.5)+1,INT(($O1201+30)/0.5)+1)),"OUTSIDE GRID"))</f>
        <v/>
      </c>
      <c r="Q1201" t="str">
        <f t="shared" si="208"/>
        <v/>
      </c>
    </row>
    <row r="1202" spans="1:17" x14ac:dyDescent="0.3">
      <c r="A1202">
        <f t="shared" si="198"/>
        <v>8</v>
      </c>
      <c r="B1202">
        <f t="shared" si="199"/>
        <v>143</v>
      </c>
      <c r="C1202" t="str" cm="1">
        <f t="array" ref="C1202">IFERROR(INDEX('TRIP MANAGER'!$O$18:$O$25,$A1202),"")</f>
        <v/>
      </c>
      <c r="D1202" t="str" cm="1">
        <f t="array" ref="D1202">IFERROR(INDEX('TRIP MANAGER'!$P$18:$P$25,$A1202),"")</f>
        <v/>
      </c>
      <c r="E1202" t="str" cm="1">
        <f t="array" ref="E1202">IFERROR(INDEX('TRIP MANAGER'!$Q$18:$Q$25,$A1202),"")</f>
        <v/>
      </c>
      <c r="F1202" t="str" cm="1">
        <f t="array" ref="F1202">IFERROR(INDEX('TRIP MANAGER'!$R$18:$R$25,$A1202),"")</f>
        <v/>
      </c>
      <c r="G1202" t="str" cm="1">
        <f t="array" ref="G1202">IFERROR(INDEX('TRIP MANAGER'!$S$18:$S$25,$A1202),"")</f>
        <v/>
      </c>
      <c r="H1202">
        <f t="shared" si="200"/>
        <v>0.95333333333333337</v>
      </c>
      <c r="I1202" t="str">
        <f t="shared" si="201"/>
        <v/>
      </c>
      <c r="J1202" t="str">
        <f t="shared" si="202"/>
        <v/>
      </c>
      <c r="K1202" t="str">
        <f t="shared" si="203"/>
        <v/>
      </c>
      <c r="L1202" t="str">
        <f t="shared" si="204"/>
        <v/>
      </c>
      <c r="M1202" t="str">
        <f t="shared" si="205"/>
        <v/>
      </c>
      <c r="N1202" t="str">
        <f t="shared" si="206"/>
        <v/>
      </c>
      <c r="O1202" t="str">
        <f t="shared" si="207"/>
        <v/>
      </c>
      <c r="P1202" t="str" cm="1">
        <f t="array" ref="P1202">IF($N1202="","",IFERROR(IF(INDEX(geo_grid!$B$2:$JU$231,INT(($N1202+40)/0.5)+1,INT(($O1202+30)/0.5)+1)="","",INDEX(geo_grid!$B$2:$JU$231,INT(($N1202+40)/0.5)+1,INT(($O1202+30)/0.5)+1)),"OUTSIDE GRID"))</f>
        <v/>
      </c>
      <c r="Q1202" t="str">
        <f t="shared" si="208"/>
        <v/>
      </c>
    </row>
    <row r="1203" spans="1:17" x14ac:dyDescent="0.3">
      <c r="A1203">
        <f t="shared" si="198"/>
        <v>8</v>
      </c>
      <c r="B1203">
        <f t="shared" si="199"/>
        <v>144</v>
      </c>
      <c r="C1203" t="str" cm="1">
        <f t="array" ref="C1203">IFERROR(INDEX('TRIP MANAGER'!$O$18:$O$25,$A1203),"")</f>
        <v/>
      </c>
      <c r="D1203" t="str" cm="1">
        <f t="array" ref="D1203">IFERROR(INDEX('TRIP MANAGER'!$P$18:$P$25,$A1203),"")</f>
        <v/>
      </c>
      <c r="E1203" t="str" cm="1">
        <f t="array" ref="E1203">IFERROR(INDEX('TRIP MANAGER'!$Q$18:$Q$25,$A1203),"")</f>
        <v/>
      </c>
      <c r="F1203" t="str" cm="1">
        <f t="array" ref="F1203">IFERROR(INDEX('TRIP MANAGER'!$R$18:$R$25,$A1203),"")</f>
        <v/>
      </c>
      <c r="G1203" t="str" cm="1">
        <f t="array" ref="G1203">IFERROR(INDEX('TRIP MANAGER'!$S$18:$S$25,$A1203),"")</f>
        <v/>
      </c>
      <c r="H1203">
        <f t="shared" si="200"/>
        <v>0.96</v>
      </c>
      <c r="I1203" t="str">
        <f t="shared" si="201"/>
        <v/>
      </c>
      <c r="J1203" t="str">
        <f t="shared" si="202"/>
        <v/>
      </c>
      <c r="K1203" t="str">
        <f t="shared" si="203"/>
        <v/>
      </c>
      <c r="L1203" t="str">
        <f t="shared" si="204"/>
        <v/>
      </c>
      <c r="M1203" t="str">
        <f t="shared" si="205"/>
        <v/>
      </c>
      <c r="N1203" t="str">
        <f t="shared" si="206"/>
        <v/>
      </c>
      <c r="O1203" t="str">
        <f t="shared" si="207"/>
        <v/>
      </c>
      <c r="P1203" t="str" cm="1">
        <f t="array" ref="P1203">IF($N1203="","",IFERROR(IF(INDEX(geo_grid!$B$2:$JU$231,INT(($N1203+40)/0.5)+1,INT(($O1203+30)/0.5)+1)="","",INDEX(geo_grid!$B$2:$JU$231,INT(($N1203+40)/0.5)+1,INT(($O1203+30)/0.5)+1)),"OUTSIDE GRID"))</f>
        <v/>
      </c>
      <c r="Q1203" t="str">
        <f t="shared" si="208"/>
        <v/>
      </c>
    </row>
    <row r="1204" spans="1:17" x14ac:dyDescent="0.3">
      <c r="A1204">
        <f t="shared" si="198"/>
        <v>8</v>
      </c>
      <c r="B1204">
        <f t="shared" si="199"/>
        <v>145</v>
      </c>
      <c r="C1204" t="str" cm="1">
        <f t="array" ref="C1204">IFERROR(INDEX('TRIP MANAGER'!$O$18:$O$25,$A1204),"")</f>
        <v/>
      </c>
      <c r="D1204" t="str" cm="1">
        <f t="array" ref="D1204">IFERROR(INDEX('TRIP MANAGER'!$P$18:$P$25,$A1204),"")</f>
        <v/>
      </c>
      <c r="E1204" t="str" cm="1">
        <f t="array" ref="E1204">IFERROR(INDEX('TRIP MANAGER'!$Q$18:$Q$25,$A1204),"")</f>
        <v/>
      </c>
      <c r="F1204" t="str" cm="1">
        <f t="array" ref="F1204">IFERROR(INDEX('TRIP MANAGER'!$R$18:$R$25,$A1204),"")</f>
        <v/>
      </c>
      <c r="G1204" t="str" cm="1">
        <f t="array" ref="G1204">IFERROR(INDEX('TRIP MANAGER'!$S$18:$S$25,$A1204),"")</f>
        <v/>
      </c>
      <c r="H1204">
        <f t="shared" si="200"/>
        <v>0.96666666666666667</v>
      </c>
      <c r="I1204" t="str">
        <f t="shared" si="201"/>
        <v/>
      </c>
      <c r="J1204" t="str">
        <f t="shared" si="202"/>
        <v/>
      </c>
      <c r="K1204" t="str">
        <f t="shared" si="203"/>
        <v/>
      </c>
      <c r="L1204" t="str">
        <f t="shared" si="204"/>
        <v/>
      </c>
      <c r="M1204" t="str">
        <f t="shared" si="205"/>
        <v/>
      </c>
      <c r="N1204" t="str">
        <f t="shared" si="206"/>
        <v/>
      </c>
      <c r="O1204" t="str">
        <f t="shared" si="207"/>
        <v/>
      </c>
      <c r="P1204" t="str" cm="1">
        <f t="array" ref="P1204">IF($N1204="","",IFERROR(IF(INDEX(geo_grid!$B$2:$JU$231,INT(($N1204+40)/0.5)+1,INT(($O1204+30)/0.5)+1)="","",INDEX(geo_grid!$B$2:$JU$231,INT(($N1204+40)/0.5)+1,INT(($O1204+30)/0.5)+1)),"OUTSIDE GRID"))</f>
        <v/>
      </c>
      <c r="Q1204" t="str">
        <f t="shared" si="208"/>
        <v/>
      </c>
    </row>
    <row r="1205" spans="1:17" x14ac:dyDescent="0.3">
      <c r="A1205">
        <f t="shared" si="198"/>
        <v>8</v>
      </c>
      <c r="B1205">
        <f t="shared" si="199"/>
        <v>146</v>
      </c>
      <c r="C1205" t="str" cm="1">
        <f t="array" ref="C1205">IFERROR(INDEX('TRIP MANAGER'!$O$18:$O$25,$A1205),"")</f>
        <v/>
      </c>
      <c r="D1205" t="str" cm="1">
        <f t="array" ref="D1205">IFERROR(INDEX('TRIP MANAGER'!$P$18:$P$25,$A1205),"")</f>
        <v/>
      </c>
      <c r="E1205" t="str" cm="1">
        <f t="array" ref="E1205">IFERROR(INDEX('TRIP MANAGER'!$Q$18:$Q$25,$A1205),"")</f>
        <v/>
      </c>
      <c r="F1205" t="str" cm="1">
        <f t="array" ref="F1205">IFERROR(INDEX('TRIP MANAGER'!$R$18:$R$25,$A1205),"")</f>
        <v/>
      </c>
      <c r="G1205" t="str" cm="1">
        <f t="array" ref="G1205">IFERROR(INDEX('TRIP MANAGER'!$S$18:$S$25,$A1205),"")</f>
        <v/>
      </c>
      <c r="H1205">
        <f t="shared" si="200"/>
        <v>0.97333333333333338</v>
      </c>
      <c r="I1205" t="str">
        <f t="shared" si="201"/>
        <v/>
      </c>
      <c r="J1205" t="str">
        <f t="shared" si="202"/>
        <v/>
      </c>
      <c r="K1205" t="str">
        <f t="shared" si="203"/>
        <v/>
      </c>
      <c r="L1205" t="str">
        <f t="shared" si="204"/>
        <v/>
      </c>
      <c r="M1205" t="str">
        <f t="shared" si="205"/>
        <v/>
      </c>
      <c r="N1205" t="str">
        <f t="shared" si="206"/>
        <v/>
      </c>
      <c r="O1205" t="str">
        <f t="shared" si="207"/>
        <v/>
      </c>
      <c r="P1205" t="str" cm="1">
        <f t="array" ref="P1205">IF($N1205="","",IFERROR(IF(INDEX(geo_grid!$B$2:$JU$231,INT(($N1205+40)/0.5)+1,INT(($O1205+30)/0.5)+1)="","",INDEX(geo_grid!$B$2:$JU$231,INT(($N1205+40)/0.5)+1,INT(($O1205+30)/0.5)+1)),"OUTSIDE GRID"))</f>
        <v/>
      </c>
      <c r="Q1205" t="str">
        <f t="shared" si="208"/>
        <v/>
      </c>
    </row>
    <row r="1206" spans="1:17" x14ac:dyDescent="0.3">
      <c r="A1206">
        <f t="shared" si="198"/>
        <v>8</v>
      </c>
      <c r="B1206">
        <f t="shared" si="199"/>
        <v>147</v>
      </c>
      <c r="C1206" t="str" cm="1">
        <f t="array" ref="C1206">IFERROR(INDEX('TRIP MANAGER'!$O$18:$O$25,$A1206),"")</f>
        <v/>
      </c>
      <c r="D1206" t="str" cm="1">
        <f t="array" ref="D1206">IFERROR(INDEX('TRIP MANAGER'!$P$18:$P$25,$A1206),"")</f>
        <v/>
      </c>
      <c r="E1206" t="str" cm="1">
        <f t="array" ref="E1206">IFERROR(INDEX('TRIP MANAGER'!$Q$18:$Q$25,$A1206),"")</f>
        <v/>
      </c>
      <c r="F1206" t="str" cm="1">
        <f t="array" ref="F1206">IFERROR(INDEX('TRIP MANAGER'!$R$18:$R$25,$A1206),"")</f>
        <v/>
      </c>
      <c r="G1206" t="str" cm="1">
        <f t="array" ref="G1206">IFERROR(INDEX('TRIP MANAGER'!$S$18:$S$25,$A1206),"")</f>
        <v/>
      </c>
      <c r="H1206">
        <f t="shared" si="200"/>
        <v>0.98</v>
      </c>
      <c r="I1206" t="str">
        <f t="shared" si="201"/>
        <v/>
      </c>
      <c r="J1206" t="str">
        <f t="shared" si="202"/>
        <v/>
      </c>
      <c r="K1206" t="str">
        <f t="shared" si="203"/>
        <v/>
      </c>
      <c r="L1206" t="str">
        <f t="shared" si="204"/>
        <v/>
      </c>
      <c r="M1206" t="str">
        <f t="shared" si="205"/>
        <v/>
      </c>
      <c r="N1206" t="str">
        <f t="shared" si="206"/>
        <v/>
      </c>
      <c r="O1206" t="str">
        <f t="shared" si="207"/>
        <v/>
      </c>
      <c r="P1206" t="str" cm="1">
        <f t="array" ref="P1206">IF($N1206="","",IFERROR(IF(INDEX(geo_grid!$B$2:$JU$231,INT(($N1206+40)/0.5)+1,INT(($O1206+30)/0.5)+1)="","",INDEX(geo_grid!$B$2:$JU$231,INT(($N1206+40)/0.5)+1,INT(($O1206+30)/0.5)+1)),"OUTSIDE GRID"))</f>
        <v/>
      </c>
      <c r="Q1206" t="str">
        <f t="shared" si="208"/>
        <v/>
      </c>
    </row>
    <row r="1207" spans="1:17" x14ac:dyDescent="0.3">
      <c r="A1207">
        <f t="shared" si="198"/>
        <v>8</v>
      </c>
      <c r="B1207">
        <f t="shared" si="199"/>
        <v>148</v>
      </c>
      <c r="C1207" t="str" cm="1">
        <f t="array" ref="C1207">IFERROR(INDEX('TRIP MANAGER'!$O$18:$O$25,$A1207),"")</f>
        <v/>
      </c>
      <c r="D1207" t="str" cm="1">
        <f t="array" ref="D1207">IFERROR(INDEX('TRIP MANAGER'!$P$18:$P$25,$A1207),"")</f>
        <v/>
      </c>
      <c r="E1207" t="str" cm="1">
        <f t="array" ref="E1207">IFERROR(INDEX('TRIP MANAGER'!$Q$18:$Q$25,$A1207),"")</f>
        <v/>
      </c>
      <c r="F1207" t="str" cm="1">
        <f t="array" ref="F1207">IFERROR(INDEX('TRIP MANAGER'!$R$18:$R$25,$A1207),"")</f>
        <v/>
      </c>
      <c r="G1207" t="str" cm="1">
        <f t="array" ref="G1207">IFERROR(INDEX('TRIP MANAGER'!$S$18:$S$25,$A1207),"")</f>
        <v/>
      </c>
      <c r="H1207">
        <f t="shared" si="200"/>
        <v>0.98666666666666669</v>
      </c>
      <c r="I1207" t="str">
        <f t="shared" si="201"/>
        <v/>
      </c>
      <c r="J1207" t="str">
        <f t="shared" si="202"/>
        <v/>
      </c>
      <c r="K1207" t="str">
        <f t="shared" si="203"/>
        <v/>
      </c>
      <c r="L1207" t="str">
        <f t="shared" si="204"/>
        <v/>
      </c>
      <c r="M1207" t="str">
        <f t="shared" si="205"/>
        <v/>
      </c>
      <c r="N1207" t="str">
        <f t="shared" si="206"/>
        <v/>
      </c>
      <c r="O1207" t="str">
        <f t="shared" si="207"/>
        <v/>
      </c>
      <c r="P1207" t="str" cm="1">
        <f t="array" ref="P1207">IF($N1207="","",IFERROR(IF(INDEX(geo_grid!$B$2:$JU$231,INT(($N1207+40)/0.5)+1,INT(($O1207+30)/0.5)+1)="","",INDEX(geo_grid!$B$2:$JU$231,INT(($N1207+40)/0.5)+1,INT(($O1207+30)/0.5)+1)),"OUTSIDE GRID"))</f>
        <v/>
      </c>
      <c r="Q1207" t="str">
        <f t="shared" si="208"/>
        <v/>
      </c>
    </row>
    <row r="1208" spans="1:17" x14ac:dyDescent="0.3">
      <c r="A1208">
        <f t="shared" si="198"/>
        <v>8</v>
      </c>
      <c r="B1208">
        <f t="shared" si="199"/>
        <v>149</v>
      </c>
      <c r="C1208" t="str" cm="1">
        <f t="array" ref="C1208">IFERROR(INDEX('TRIP MANAGER'!$O$18:$O$25,$A1208),"")</f>
        <v/>
      </c>
      <c r="D1208" t="str" cm="1">
        <f t="array" ref="D1208">IFERROR(INDEX('TRIP MANAGER'!$P$18:$P$25,$A1208),"")</f>
        <v/>
      </c>
      <c r="E1208" t="str" cm="1">
        <f t="array" ref="E1208">IFERROR(INDEX('TRIP MANAGER'!$Q$18:$Q$25,$A1208),"")</f>
        <v/>
      </c>
      <c r="F1208" t="str" cm="1">
        <f t="array" ref="F1208">IFERROR(INDEX('TRIP MANAGER'!$R$18:$R$25,$A1208),"")</f>
        <v/>
      </c>
      <c r="G1208" t="str" cm="1">
        <f t="array" ref="G1208">IFERROR(INDEX('TRIP MANAGER'!$S$18:$S$25,$A1208),"")</f>
        <v/>
      </c>
      <c r="H1208">
        <f t="shared" si="200"/>
        <v>0.99333333333333329</v>
      </c>
      <c r="I1208" t="str">
        <f t="shared" si="201"/>
        <v/>
      </c>
      <c r="J1208" t="str">
        <f t="shared" si="202"/>
        <v/>
      </c>
      <c r="K1208" t="str">
        <f t="shared" si="203"/>
        <v/>
      </c>
      <c r="L1208" t="str">
        <f t="shared" si="204"/>
        <v/>
      </c>
      <c r="M1208" t="str">
        <f t="shared" si="205"/>
        <v/>
      </c>
      <c r="N1208" t="str">
        <f t="shared" si="206"/>
        <v/>
      </c>
      <c r="O1208" t="str">
        <f t="shared" si="207"/>
        <v/>
      </c>
      <c r="P1208" t="str" cm="1">
        <f t="array" ref="P1208">IF($N1208="","",IFERROR(IF(INDEX(geo_grid!$B$2:$JU$231,INT(($N1208+40)/0.5)+1,INT(($O1208+30)/0.5)+1)="","",INDEX(geo_grid!$B$2:$JU$231,INT(($N1208+40)/0.5)+1,INT(($O1208+30)/0.5)+1)),"OUTSIDE GRID"))</f>
        <v/>
      </c>
      <c r="Q1208" t="str">
        <f t="shared" si="208"/>
        <v/>
      </c>
    </row>
    <row r="1209" spans="1:17" x14ac:dyDescent="0.3">
      <c r="A1209">
        <f t="shared" si="198"/>
        <v>8</v>
      </c>
      <c r="B1209">
        <f t="shared" si="199"/>
        <v>150</v>
      </c>
      <c r="C1209" t="str" cm="1">
        <f t="array" ref="C1209">IFERROR(INDEX('TRIP MANAGER'!$O$18:$O$25,$A1209),"")</f>
        <v/>
      </c>
      <c r="D1209" t="str" cm="1">
        <f t="array" ref="D1209">IFERROR(INDEX('TRIP MANAGER'!$P$18:$P$25,$A1209),"")</f>
        <v/>
      </c>
      <c r="E1209" t="str" cm="1">
        <f t="array" ref="E1209">IFERROR(INDEX('TRIP MANAGER'!$Q$18:$Q$25,$A1209),"")</f>
        <v/>
      </c>
      <c r="F1209" t="str" cm="1">
        <f t="array" ref="F1209">IFERROR(INDEX('TRIP MANAGER'!$R$18:$R$25,$A1209),"")</f>
        <v/>
      </c>
      <c r="G1209" t="str" cm="1">
        <f t="array" ref="G1209">IFERROR(INDEX('TRIP MANAGER'!$S$18:$S$25,$A1209),"")</f>
        <v/>
      </c>
      <c r="H1209">
        <f t="shared" si="200"/>
        <v>1</v>
      </c>
      <c r="I1209" t="str">
        <f t="shared" si="201"/>
        <v/>
      </c>
      <c r="J1209" t="str">
        <f t="shared" si="202"/>
        <v/>
      </c>
      <c r="K1209" t="str">
        <f t="shared" si="203"/>
        <v/>
      </c>
      <c r="L1209" t="str">
        <f t="shared" si="204"/>
        <v/>
      </c>
      <c r="M1209" t="str">
        <f t="shared" si="205"/>
        <v/>
      </c>
      <c r="N1209" t="str">
        <f t="shared" si="206"/>
        <v/>
      </c>
      <c r="O1209" t="str">
        <f t="shared" si="207"/>
        <v/>
      </c>
      <c r="P1209" t="str" cm="1">
        <f t="array" ref="P1209">IF($N1209="","",IFERROR(IF(INDEX(geo_grid!$B$2:$JU$231,INT(($N1209+40)/0.5)+1,INT(($O1209+30)/0.5)+1)="","",INDEX(geo_grid!$B$2:$JU$231,INT(($N1209+40)/0.5)+1,INT(($O1209+30)/0.5)+1)),"OUTSIDE GRID"))</f>
        <v/>
      </c>
      <c r="Q1209" t="str">
        <f t="shared" si="208"/>
        <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A59ED-1AB1-46AB-9E36-99530F8C1F38}">
  <dimension ref="A1:Y144"/>
  <sheetViews>
    <sheetView topLeftCell="A22" workbookViewId="0">
      <selection activeCell="Q1" sqref="Q1"/>
    </sheetView>
  </sheetViews>
  <sheetFormatPr defaultRowHeight="14.4" x14ac:dyDescent="0.3"/>
  <sheetData>
    <row r="1" spans="1:25" x14ac:dyDescent="0.3">
      <c r="A1" s="46" t="s">
        <v>4505</v>
      </c>
      <c r="B1" s="46" t="s">
        <v>4314</v>
      </c>
      <c r="C1" s="46" t="s">
        <v>0</v>
      </c>
      <c r="D1" s="46" t="s">
        <v>1</v>
      </c>
      <c r="E1" s="46" t="s">
        <v>2</v>
      </c>
      <c r="F1" s="46" t="s">
        <v>3</v>
      </c>
      <c r="G1" s="46" t="s">
        <v>4491</v>
      </c>
      <c r="H1" s="46" t="s">
        <v>4492</v>
      </c>
      <c r="I1" s="46" t="s">
        <v>4493</v>
      </c>
      <c r="J1" s="46" t="s">
        <v>4494</v>
      </c>
      <c r="K1" s="46" t="s">
        <v>4508</v>
      </c>
      <c r="L1" s="46" t="s">
        <v>4509</v>
      </c>
      <c r="M1" s="46" t="s">
        <v>4510</v>
      </c>
      <c r="N1" s="46" t="s">
        <v>4511</v>
      </c>
      <c r="O1" s="46" t="s">
        <v>4512</v>
      </c>
      <c r="P1" s="46" t="s">
        <v>4513</v>
      </c>
      <c r="Q1" s="46" t="s">
        <v>4514</v>
      </c>
      <c r="R1" s="29" t="s">
        <v>4616</v>
      </c>
      <c r="S1" s="29" t="s">
        <v>4617</v>
      </c>
      <c r="T1" s="29" t="s">
        <v>4618</v>
      </c>
      <c r="U1" s="29" t="s">
        <v>4619</v>
      </c>
      <c r="V1" s="29" t="s">
        <v>4620</v>
      </c>
      <c r="W1" s="29" t="s">
        <v>4621</v>
      </c>
      <c r="X1" s="29" t="s">
        <v>4622</v>
      </c>
      <c r="Y1" s="29" t="s">
        <v>4623</v>
      </c>
    </row>
    <row r="2" spans="1:25" x14ac:dyDescent="0.3">
      <c r="A2" s="31" t="s">
        <v>4515</v>
      </c>
      <c r="B2" s="31"/>
      <c r="C2" s="31">
        <v>1</v>
      </c>
      <c r="D2" s="31">
        <v>2</v>
      </c>
      <c r="E2" s="31">
        <v>3</v>
      </c>
      <c r="F2" s="31">
        <v>4</v>
      </c>
      <c r="G2" s="31">
        <v>5</v>
      </c>
      <c r="H2" s="31">
        <v>6</v>
      </c>
      <c r="I2" s="31">
        <v>7</v>
      </c>
      <c r="J2" s="31">
        <v>8</v>
      </c>
      <c r="R2">
        <v>1</v>
      </c>
      <c r="S2">
        <v>2</v>
      </c>
      <c r="T2">
        <v>3</v>
      </c>
      <c r="U2">
        <v>4</v>
      </c>
      <c r="V2">
        <v>5</v>
      </c>
      <c r="W2">
        <v>6</v>
      </c>
      <c r="X2">
        <v>7</v>
      </c>
      <c r="Y2">
        <v>8</v>
      </c>
    </row>
    <row r="3" spans="1:25" x14ac:dyDescent="0.3">
      <c r="A3" t="str">
        <f>IF(countries!$D2="","",countries!$D2)</f>
        <v>DZA</v>
      </c>
      <c r="B3" t="str">
        <f>IF(countries!$B2="","",countries!$B2)</f>
        <v>Algeria</v>
      </c>
      <c r="C3">
        <f>IF($A3="","",COUNTIFS(route_calc!$A$2:$A$1209,C$2,route_calc!$P$2:$P$1209,$A3))</f>
        <v>0</v>
      </c>
      <c r="D3">
        <f>IF($A3="","",COUNTIFS(route_calc!$A$2:$A$1209,D$2,route_calc!$P$2:$P$1209,$A3))</f>
        <v>0</v>
      </c>
      <c r="E3">
        <f>IF($A3="","",COUNTIFS(route_calc!$A$2:$A$1209,E$2,route_calc!$P$2:$P$1209,$A3))</f>
        <v>46</v>
      </c>
      <c r="F3">
        <f>IF($A3="","",COUNTIFS(route_calc!$A$2:$A$1209,F$2,route_calc!$P$2:$P$1209,$A3))</f>
        <v>11</v>
      </c>
      <c r="G3">
        <f>IF($A3="","",COUNTIFS(route_calc!$A$2:$A$1209,G$2,route_calc!$P$2:$P$1209,$A3))</f>
        <v>0</v>
      </c>
      <c r="H3">
        <f>IF($A3="","",COUNTIFS(route_calc!$A$2:$A$1209,H$2,route_calc!$P$2:$P$1209,$A3))</f>
        <v>0</v>
      </c>
      <c r="I3">
        <f>IF($A3="","",COUNTIFS(route_calc!$A$2:$A$1209,I$2,route_calc!$P$2:$P$1209,$A3))</f>
        <v>0</v>
      </c>
      <c r="J3">
        <f>IF($A3="","",COUNTIFS(route_calc!$A$2:$A$1209,J$2,route_calc!$P$2:$P$1209,$A3))</f>
        <v>0</v>
      </c>
      <c r="K3">
        <f>IF($L3=0,"",_xlfn.MINIFS(route_calc!$Q$2:$Q$1209,route_calc!$P$2:$P$1209,$A3,route_calc!$A$2:$A$1209,MATCH(1,$R3:$Y3,0)))</f>
        <v>3083</v>
      </c>
      <c r="L3">
        <f>IF($A3="",0,IF(SUM($R3:$Y3)&gt;0,1,0))</f>
        <v>1</v>
      </c>
      <c r="M3" t="str" cm="1">
        <f t="array" ref="M3">IF($L3=0,"",_xlfn.TEXTJOIN(", ",TRUE,IF($R3:$Y3&gt;0,$C$1:$J$1,"")))</f>
        <v>L3, L4</v>
      </c>
      <c r="N3" cm="1">
        <f t="array" ref="N3">IF($L3=0,"",SUMPRODUCT(($L$3:$L$144=1)*($K$3:$K$144&lt;$K3))+1)</f>
        <v>10</v>
      </c>
      <c r="O3">
        <f>IF($L3=0,"",MATCH(1,$R3:$Y3,0))</f>
        <v>3</v>
      </c>
      <c r="P3" t="str">
        <f>IF($A3="","",IFERROR(INDEX(countries!$G:$G,MATCH($A3,countries!$D:$D,0)),""))</f>
        <v>REQUIRED</v>
      </c>
      <c r="Q3" t="str">
        <f>IF($A3="","",IFERROR(IF(INDEX(countries!$I:$I,MATCH($A3,countries!$D:$D,0))=0,"",INDEX(countries!$I:$I,MATCH($A3,countries!$D:$D,0))),""))</f>
        <v/>
      </c>
      <c r="R3" cm="1">
        <f t="array" ref="R3">IF($A3="","",IF(AND(INDEX($C3:$J3,R$2)&gt;0,$A3&lt;&gt;INDEX('TRIP MANAGER'!$T$18:$T$25,R$2),$A3&lt;&gt;INDEX('TRIP MANAGER'!$U$18:$U$25,R$2)),1,0))</f>
        <v>0</v>
      </c>
      <c r="S3" cm="1">
        <f t="array" ref="S3">IF($A3="","",IF(AND(INDEX($C3:$J3,S$2)&gt;0,$A3&lt;&gt;INDEX('TRIP MANAGER'!$T$18:$T$25,S$2),$A3&lt;&gt;INDEX('TRIP MANAGER'!$U$18:$U$25,S$2)),1,0))</f>
        <v>0</v>
      </c>
      <c r="T3" cm="1">
        <f t="array" ref="T3">IF($A3="","",IF(AND(INDEX($C3:$J3,T$2)&gt;0,$A3&lt;&gt;INDEX('TRIP MANAGER'!$T$18:$T$25,T$2),$A3&lt;&gt;INDEX('TRIP MANAGER'!$U$18:$U$25,T$2)),1,0))</f>
        <v>1</v>
      </c>
      <c r="U3" cm="1">
        <f t="array" ref="U3">IF($A3="","",IF(AND(INDEX($C3:$J3,U$2)&gt;0,$A3&lt;&gt;INDEX('TRIP MANAGER'!$T$18:$T$25,U$2),$A3&lt;&gt;INDEX('TRIP MANAGER'!$U$18:$U$25,U$2)),1,0))</f>
        <v>1</v>
      </c>
      <c r="V3" cm="1">
        <f t="array" ref="V3">IF($A3="","",IF(AND(INDEX($C3:$J3,V$2)&gt;0,$A3&lt;&gt;INDEX('TRIP MANAGER'!$T$18:$T$25,V$2),$A3&lt;&gt;INDEX('TRIP MANAGER'!$U$18:$U$25,V$2)),1,0))</f>
        <v>0</v>
      </c>
      <c r="W3" cm="1">
        <f t="array" ref="W3">IF($A3="","",IF(AND(INDEX($C3:$J3,W$2)&gt;0,$A3&lt;&gt;INDEX('TRIP MANAGER'!$T$18:$T$25,W$2),$A3&lt;&gt;INDEX('TRIP MANAGER'!$U$18:$U$25,W$2)),1,0))</f>
        <v>0</v>
      </c>
      <c r="X3" cm="1">
        <f t="array" ref="X3">IF($A3="","",IF(AND(INDEX($C3:$J3,X$2)&gt;0,$A3&lt;&gt;INDEX('TRIP MANAGER'!$T$18:$T$25,X$2),$A3&lt;&gt;INDEX('TRIP MANAGER'!$U$18:$U$25,X$2)),1,0))</f>
        <v>0</v>
      </c>
      <c r="Y3" cm="1">
        <f t="array" ref="Y3">IF($A3="","",IF(AND(INDEX($C3:$J3,Y$2)&gt;0,$A3&lt;&gt;INDEX('TRIP MANAGER'!$T$18:$T$25,Y$2),$A3&lt;&gt;INDEX('TRIP MANAGER'!$U$18:$U$25,Y$2)),1,0))</f>
        <v>0</v>
      </c>
    </row>
    <row r="4" spans="1:25" x14ac:dyDescent="0.3">
      <c r="A4" t="str">
        <f>IF(countries!$D3="","",countries!$D3)</f>
        <v>AGO</v>
      </c>
      <c r="B4" t="str">
        <f>IF(countries!$B3="","",countries!$B3)</f>
        <v>Angola</v>
      </c>
      <c r="C4">
        <f>IF($A4="","",COUNTIFS(route_calc!$A$2:$A$1209,C$2,route_calc!$P$2:$P$1209,$A4))</f>
        <v>14</v>
      </c>
      <c r="D4">
        <f>IF($A4="","",COUNTIFS(route_calc!$A$2:$A$1209,D$2,route_calc!$P$2:$P$1209,$A4))</f>
        <v>0</v>
      </c>
      <c r="E4">
        <f>IF($A4="","",COUNTIFS(route_calc!$A$2:$A$1209,E$2,route_calc!$P$2:$P$1209,$A4))</f>
        <v>0</v>
      </c>
      <c r="F4">
        <f>IF($A4="","",COUNTIFS(route_calc!$A$2:$A$1209,F$2,route_calc!$P$2:$P$1209,$A4))</f>
        <v>30</v>
      </c>
      <c r="G4">
        <f>IF($A4="","",COUNTIFS(route_calc!$A$2:$A$1209,G$2,route_calc!$P$2:$P$1209,$A4))</f>
        <v>0</v>
      </c>
      <c r="H4">
        <f>IF($A4="","",COUNTIFS(route_calc!$A$2:$A$1209,H$2,route_calc!$P$2:$P$1209,$A4))</f>
        <v>0</v>
      </c>
      <c r="I4">
        <f>IF($A4="","",COUNTIFS(route_calc!$A$2:$A$1209,I$2,route_calc!$P$2:$P$1209,$A4))</f>
        <v>0</v>
      </c>
      <c r="J4">
        <f>IF($A4="","",COUNTIFS(route_calc!$A$2:$A$1209,J$2,route_calc!$P$2:$P$1209,$A4))</f>
        <v>0</v>
      </c>
      <c r="K4">
        <f>IF($L4=0,"",_xlfn.MINIFS(route_calc!$Q$2:$Q$1209,route_calc!$P$2:$P$1209,$A4,route_calc!$A$2:$A$1209,MATCH(1,$R4:$Y4,0)))</f>
        <v>1052</v>
      </c>
      <c r="L4">
        <f t="shared" ref="L4:L67" si="0">IF($A4="",0,IF(SUM($R4:$Y4)&gt;0,1,0))</f>
        <v>1</v>
      </c>
      <c r="M4" t="str" cm="1">
        <f t="array" ref="M4">IF($L4=0,"",_xlfn.TEXTJOIN(", ",TRUE,IF($R4:$Y4&gt;0,$C$1:$J$1,"")))</f>
        <v>L1, L4</v>
      </c>
      <c r="N4" cm="1">
        <f t="array" ref="N4">IF($L4=0,"",SUMPRODUCT(($L$3:$L$144=1)*($K$3:$K$144&lt;$K4))+1)</f>
        <v>4</v>
      </c>
      <c r="O4">
        <f t="shared" ref="O4:O67" si="1">IF($L4=0,"",MATCH(1,$R4:$Y4,0))</f>
        <v>1</v>
      </c>
      <c r="P4" t="str">
        <f>IF($A4="","",IFERROR(INDEX(countries!$G:$G,MATCH($A4,countries!$D:$D,0)),""))</f>
        <v>REQUIRED</v>
      </c>
      <c r="Q4" t="str">
        <f>IF($A4="","",IFERROR(IF(INDEX(countries!$I:$I,MATCH($A4,countries!$D:$D,0))=0,"",INDEX(countries!$I:$I,MATCH($A4,countries!$D:$D,0))),""))</f>
        <v/>
      </c>
      <c r="R4" cm="1">
        <f t="array" ref="R4">IF($A4="","",IF(AND(INDEX($C4:$J4,R$2)&gt;0,$A4&lt;&gt;INDEX('TRIP MANAGER'!$T$18:$T$25,R$2),$A4&lt;&gt;INDEX('TRIP MANAGER'!$U$18:$U$25,R$2)),1,0))</f>
        <v>1</v>
      </c>
      <c r="S4" cm="1">
        <f t="array" ref="S4">IF($A4="","",IF(AND(INDEX($C4:$J4,S$2)&gt;0,$A4&lt;&gt;INDEX('TRIP MANAGER'!$T$18:$T$25,S$2),$A4&lt;&gt;INDEX('TRIP MANAGER'!$U$18:$U$25,S$2)),1,0))</f>
        <v>0</v>
      </c>
      <c r="T4" cm="1">
        <f t="array" ref="T4">IF($A4="","",IF(AND(INDEX($C4:$J4,T$2)&gt;0,$A4&lt;&gt;INDEX('TRIP MANAGER'!$T$18:$T$25,T$2),$A4&lt;&gt;INDEX('TRIP MANAGER'!$U$18:$U$25,T$2)),1,0))</f>
        <v>0</v>
      </c>
      <c r="U4" cm="1">
        <f t="array" ref="U4">IF($A4="","",IF(AND(INDEX($C4:$J4,U$2)&gt;0,$A4&lt;&gt;INDEX('TRIP MANAGER'!$T$18:$T$25,U$2),$A4&lt;&gt;INDEX('TRIP MANAGER'!$U$18:$U$25,U$2)),1,0))</f>
        <v>1</v>
      </c>
      <c r="V4" cm="1">
        <f t="array" ref="V4">IF($A4="","",IF(AND(INDEX($C4:$J4,V$2)&gt;0,$A4&lt;&gt;INDEX('TRIP MANAGER'!$T$18:$T$25,V$2),$A4&lt;&gt;INDEX('TRIP MANAGER'!$U$18:$U$25,V$2)),1,0))</f>
        <v>0</v>
      </c>
      <c r="W4" cm="1">
        <f t="array" ref="W4">IF($A4="","",IF(AND(INDEX($C4:$J4,W$2)&gt;0,$A4&lt;&gt;INDEX('TRIP MANAGER'!$T$18:$T$25,W$2),$A4&lt;&gt;INDEX('TRIP MANAGER'!$U$18:$U$25,W$2)),1,0))</f>
        <v>0</v>
      </c>
      <c r="X4" cm="1">
        <f t="array" ref="X4">IF($A4="","",IF(AND(INDEX($C4:$J4,X$2)&gt;0,$A4&lt;&gt;INDEX('TRIP MANAGER'!$T$18:$T$25,X$2),$A4&lt;&gt;INDEX('TRIP MANAGER'!$U$18:$U$25,X$2)),1,0))</f>
        <v>0</v>
      </c>
      <c r="Y4" cm="1">
        <f t="array" ref="Y4">IF($A4="","",IF(AND(INDEX($C4:$J4,Y$2)&gt;0,$A4&lt;&gt;INDEX('TRIP MANAGER'!$T$18:$T$25,Y$2),$A4&lt;&gt;INDEX('TRIP MANAGER'!$U$18:$U$25,Y$2)),1,0))</f>
        <v>0</v>
      </c>
    </row>
    <row r="5" spans="1:25" x14ac:dyDescent="0.3">
      <c r="A5" t="str">
        <f>IF(countries!$D4="","",countries!$D4)</f>
        <v>BEN</v>
      </c>
      <c r="B5" t="str">
        <f>IF(countries!$B4="","",countries!$B4)</f>
        <v>Benin</v>
      </c>
      <c r="C5">
        <f>IF($A5="","",COUNTIFS(route_calc!$A$2:$A$1209,C$2,route_calc!$P$2:$P$1209,$A5))</f>
        <v>0</v>
      </c>
      <c r="D5">
        <f>IF($A5="","",COUNTIFS(route_calc!$A$2:$A$1209,D$2,route_calc!$P$2:$P$1209,$A5))</f>
        <v>0</v>
      </c>
      <c r="E5">
        <f>IF($A5="","",COUNTIFS(route_calc!$A$2:$A$1209,E$2,route_calc!$P$2:$P$1209,$A5))</f>
        <v>0</v>
      </c>
      <c r="F5">
        <f>IF($A5="","",COUNTIFS(route_calc!$A$2:$A$1209,F$2,route_calc!$P$2:$P$1209,$A5))</f>
        <v>0</v>
      </c>
      <c r="G5">
        <f>IF($A5="","",COUNTIFS(route_calc!$A$2:$A$1209,G$2,route_calc!$P$2:$P$1209,$A5))</f>
        <v>0</v>
      </c>
      <c r="H5">
        <f>IF($A5="","",COUNTIFS(route_calc!$A$2:$A$1209,H$2,route_calc!$P$2:$P$1209,$A5))</f>
        <v>0</v>
      </c>
      <c r="I5">
        <f>IF($A5="","",COUNTIFS(route_calc!$A$2:$A$1209,I$2,route_calc!$P$2:$P$1209,$A5))</f>
        <v>0</v>
      </c>
      <c r="J5">
        <f>IF($A5="","",COUNTIFS(route_calc!$A$2:$A$1209,J$2,route_calc!$P$2:$P$1209,$A5))</f>
        <v>0</v>
      </c>
      <c r="K5" t="str">
        <f>IF($L5=0,"",_xlfn.MINIFS(route_calc!$Q$2:$Q$1209,route_calc!$P$2:$P$1209,$A5,route_calc!$A$2:$A$1209,MATCH(1,$R5:$Y5,0)))</f>
        <v/>
      </c>
      <c r="L5">
        <f t="shared" si="0"/>
        <v>0</v>
      </c>
      <c r="M5" t="str" cm="1">
        <f t="array" ref="M5">IF($L5=0,"",_xlfn.TEXTJOIN(", ",TRUE,IF($R5:$Y5&gt;0,$C$1:$J$1,"")))</f>
        <v/>
      </c>
      <c r="N5" t="str" cm="1">
        <f t="array" ref="N5">IF($L5=0,"",SUMPRODUCT(($L$3:$L$144=1)*($K$3:$K$144&lt;$K5))+1)</f>
        <v/>
      </c>
      <c r="O5" t="str">
        <f t="shared" si="1"/>
        <v/>
      </c>
      <c r="P5" t="str">
        <f>IF($A5="","",IFERROR(INDEX(countries!$G:$G,MATCH($A5,countries!$D:$D,0)),""))</f>
        <v>REQUIRED</v>
      </c>
      <c r="Q5" t="str">
        <f>IF($A5="","",IFERROR(IF(INDEX(countries!$I:$I,MATCH($A5,countries!$D:$D,0))=0,"",INDEX(countries!$I:$I,MATCH($A5,countries!$D:$D,0))),""))</f>
        <v/>
      </c>
      <c r="R5" cm="1">
        <f t="array" ref="R5">IF($A5="","",IF(AND(INDEX($C5:$J5,R$2)&gt;0,$A5&lt;&gt;INDEX('TRIP MANAGER'!$T$18:$T$25,R$2),$A5&lt;&gt;INDEX('TRIP MANAGER'!$U$18:$U$25,R$2)),1,0))</f>
        <v>0</v>
      </c>
      <c r="S5" cm="1">
        <f t="array" ref="S5">IF($A5="","",IF(AND(INDEX($C5:$J5,S$2)&gt;0,$A5&lt;&gt;INDEX('TRIP MANAGER'!$T$18:$T$25,S$2),$A5&lt;&gt;INDEX('TRIP MANAGER'!$U$18:$U$25,S$2)),1,0))</f>
        <v>0</v>
      </c>
      <c r="T5" cm="1">
        <f t="array" ref="T5">IF($A5="","",IF(AND(INDEX($C5:$J5,T$2)&gt;0,$A5&lt;&gt;INDEX('TRIP MANAGER'!$T$18:$T$25,T$2),$A5&lt;&gt;INDEX('TRIP MANAGER'!$U$18:$U$25,T$2)),1,0))</f>
        <v>0</v>
      </c>
      <c r="U5" cm="1">
        <f t="array" ref="U5">IF($A5="","",IF(AND(INDEX($C5:$J5,U$2)&gt;0,$A5&lt;&gt;INDEX('TRIP MANAGER'!$T$18:$T$25,U$2),$A5&lt;&gt;INDEX('TRIP MANAGER'!$U$18:$U$25,U$2)),1,0))</f>
        <v>0</v>
      </c>
      <c r="V5" cm="1">
        <f t="array" ref="V5">IF($A5="","",IF(AND(INDEX($C5:$J5,V$2)&gt;0,$A5&lt;&gt;INDEX('TRIP MANAGER'!$T$18:$T$25,V$2),$A5&lt;&gt;INDEX('TRIP MANAGER'!$U$18:$U$25,V$2)),1,0))</f>
        <v>0</v>
      </c>
      <c r="W5" cm="1">
        <f t="array" ref="W5">IF($A5="","",IF(AND(INDEX($C5:$J5,W$2)&gt;0,$A5&lt;&gt;INDEX('TRIP MANAGER'!$T$18:$T$25,W$2),$A5&lt;&gt;INDEX('TRIP MANAGER'!$U$18:$U$25,W$2)),1,0))</f>
        <v>0</v>
      </c>
      <c r="X5" cm="1">
        <f t="array" ref="X5">IF($A5="","",IF(AND(INDEX($C5:$J5,X$2)&gt;0,$A5&lt;&gt;INDEX('TRIP MANAGER'!$T$18:$T$25,X$2),$A5&lt;&gt;INDEX('TRIP MANAGER'!$U$18:$U$25,X$2)),1,0))</f>
        <v>0</v>
      </c>
      <c r="Y5" cm="1">
        <f t="array" ref="Y5">IF($A5="","",IF(AND(INDEX($C5:$J5,Y$2)&gt;0,$A5&lt;&gt;INDEX('TRIP MANAGER'!$T$18:$T$25,Y$2),$A5&lt;&gt;INDEX('TRIP MANAGER'!$U$18:$U$25,Y$2)),1,0))</f>
        <v>0</v>
      </c>
    </row>
    <row r="6" spans="1:25" x14ac:dyDescent="0.3">
      <c r="A6" t="str">
        <f>IF(countries!$D5="","",countries!$D5)</f>
        <v>BWA</v>
      </c>
      <c r="B6" t="str">
        <f>IF(countries!$B5="","",countries!$B5)</f>
        <v>Botswana</v>
      </c>
      <c r="C6">
        <f>IF($A6="","",COUNTIFS(route_calc!$A$2:$A$1209,C$2,route_calc!$P$2:$P$1209,$A6))</f>
        <v>22</v>
      </c>
      <c r="D6">
        <f>IF($A6="","",COUNTIFS(route_calc!$A$2:$A$1209,D$2,route_calc!$P$2:$P$1209,$A6))</f>
        <v>0</v>
      </c>
      <c r="E6">
        <f>IF($A6="","",COUNTIFS(route_calc!$A$2:$A$1209,E$2,route_calc!$P$2:$P$1209,$A6))</f>
        <v>0</v>
      </c>
      <c r="F6">
        <f>IF($A6="","",COUNTIFS(route_calc!$A$2:$A$1209,F$2,route_calc!$P$2:$P$1209,$A6))</f>
        <v>17</v>
      </c>
      <c r="G6">
        <f>IF($A6="","",COUNTIFS(route_calc!$A$2:$A$1209,G$2,route_calc!$P$2:$P$1209,$A6))</f>
        <v>0</v>
      </c>
      <c r="H6">
        <f>IF($A6="","",COUNTIFS(route_calc!$A$2:$A$1209,H$2,route_calc!$P$2:$P$1209,$A6))</f>
        <v>0</v>
      </c>
      <c r="I6">
        <f>IF($A6="","",COUNTIFS(route_calc!$A$2:$A$1209,I$2,route_calc!$P$2:$P$1209,$A6))</f>
        <v>0</v>
      </c>
      <c r="J6">
        <f>IF($A6="","",COUNTIFS(route_calc!$A$2:$A$1209,J$2,route_calc!$P$2:$P$1209,$A6))</f>
        <v>0</v>
      </c>
      <c r="K6">
        <f>IF($L6=0,"",_xlfn.MINIFS(route_calc!$Q$2:$Q$1209,route_calc!$P$2:$P$1209,$A6,route_calc!$A$2:$A$1209,MATCH(1,$R6:$Y6,0)))</f>
        <v>1010</v>
      </c>
      <c r="L6">
        <f t="shared" si="0"/>
        <v>1</v>
      </c>
      <c r="M6" t="str" cm="1">
        <f t="array" ref="M6">IF($L6=0,"",_xlfn.TEXTJOIN(", ",TRUE,IF($R6:$Y6&gt;0,$C$1:$J$1,"")))</f>
        <v>L1, L4</v>
      </c>
      <c r="N6" cm="1">
        <f t="array" ref="N6">IF($L6=0,"",SUMPRODUCT(($L$3:$L$144=1)*($K$3:$K$144&lt;$K6))+1)</f>
        <v>1</v>
      </c>
      <c r="O6">
        <f t="shared" si="1"/>
        <v>1</v>
      </c>
      <c r="P6" t="str">
        <f>IF($A6="","",IFERROR(INDEX(countries!$G:$G,MATCH($A6,countries!$D:$D,0)),""))</f>
        <v>REQUIRED</v>
      </c>
      <c r="Q6" t="str">
        <f>IF($A6="","",IFERROR(IF(INDEX(countries!$I:$I,MATCH($A6,countries!$D:$D,0))=0,"",INDEX(countries!$I:$I,MATCH($A6,countries!$D:$D,0))),""))</f>
        <v/>
      </c>
      <c r="R6" cm="1">
        <f t="array" ref="R6">IF($A6="","",IF(AND(INDEX($C6:$J6,R$2)&gt;0,$A6&lt;&gt;INDEX('TRIP MANAGER'!$T$18:$T$25,R$2),$A6&lt;&gt;INDEX('TRIP MANAGER'!$U$18:$U$25,R$2)),1,0))</f>
        <v>1</v>
      </c>
      <c r="S6" cm="1">
        <f t="array" ref="S6">IF($A6="","",IF(AND(INDEX($C6:$J6,S$2)&gt;0,$A6&lt;&gt;INDEX('TRIP MANAGER'!$T$18:$T$25,S$2),$A6&lt;&gt;INDEX('TRIP MANAGER'!$U$18:$U$25,S$2)),1,0))</f>
        <v>0</v>
      </c>
      <c r="T6" cm="1">
        <f t="array" ref="T6">IF($A6="","",IF(AND(INDEX($C6:$J6,T$2)&gt;0,$A6&lt;&gt;INDEX('TRIP MANAGER'!$T$18:$T$25,T$2),$A6&lt;&gt;INDEX('TRIP MANAGER'!$U$18:$U$25,T$2)),1,0))</f>
        <v>0</v>
      </c>
      <c r="U6" cm="1">
        <f t="array" ref="U6">IF($A6="","",IF(AND(INDEX($C6:$J6,U$2)&gt;0,$A6&lt;&gt;INDEX('TRIP MANAGER'!$T$18:$T$25,U$2),$A6&lt;&gt;INDEX('TRIP MANAGER'!$U$18:$U$25,U$2)),1,0))</f>
        <v>1</v>
      </c>
      <c r="V6" cm="1">
        <f t="array" ref="V6">IF($A6="","",IF(AND(INDEX($C6:$J6,V$2)&gt;0,$A6&lt;&gt;INDEX('TRIP MANAGER'!$T$18:$T$25,V$2),$A6&lt;&gt;INDEX('TRIP MANAGER'!$U$18:$U$25,V$2)),1,0))</f>
        <v>0</v>
      </c>
      <c r="W6" cm="1">
        <f t="array" ref="W6">IF($A6="","",IF(AND(INDEX($C6:$J6,W$2)&gt;0,$A6&lt;&gt;INDEX('TRIP MANAGER'!$T$18:$T$25,W$2),$A6&lt;&gt;INDEX('TRIP MANAGER'!$U$18:$U$25,W$2)),1,0))</f>
        <v>0</v>
      </c>
      <c r="X6" cm="1">
        <f t="array" ref="X6">IF($A6="","",IF(AND(INDEX($C6:$J6,X$2)&gt;0,$A6&lt;&gt;INDEX('TRIP MANAGER'!$T$18:$T$25,X$2),$A6&lt;&gt;INDEX('TRIP MANAGER'!$U$18:$U$25,X$2)),1,0))</f>
        <v>0</v>
      </c>
      <c r="Y6" cm="1">
        <f t="array" ref="Y6">IF($A6="","",IF(AND(INDEX($C6:$J6,Y$2)&gt;0,$A6&lt;&gt;INDEX('TRIP MANAGER'!$T$18:$T$25,Y$2),$A6&lt;&gt;INDEX('TRIP MANAGER'!$U$18:$U$25,Y$2)),1,0))</f>
        <v>0</v>
      </c>
    </row>
    <row r="7" spans="1:25" x14ac:dyDescent="0.3">
      <c r="A7" t="str">
        <f>IF(countries!$D6="","",countries!$D6)</f>
        <v>BFA</v>
      </c>
      <c r="B7" t="str">
        <f>IF(countries!$B6="","",countries!$B6)</f>
        <v>Burkina Faso</v>
      </c>
      <c r="C7">
        <f>IF($A7="","",COUNTIFS(route_calc!$A$2:$A$1209,C$2,route_calc!$P$2:$P$1209,$A7))</f>
        <v>0</v>
      </c>
      <c r="D7">
        <f>IF($A7="","",COUNTIFS(route_calc!$A$2:$A$1209,D$2,route_calc!$P$2:$P$1209,$A7))</f>
        <v>0</v>
      </c>
      <c r="E7">
        <f>IF($A7="","",COUNTIFS(route_calc!$A$2:$A$1209,E$2,route_calc!$P$2:$P$1209,$A7))</f>
        <v>0</v>
      </c>
      <c r="F7">
        <f>IF($A7="","",COUNTIFS(route_calc!$A$2:$A$1209,F$2,route_calc!$P$2:$P$1209,$A7))</f>
        <v>0</v>
      </c>
      <c r="G7">
        <f>IF($A7="","",COUNTIFS(route_calc!$A$2:$A$1209,G$2,route_calc!$P$2:$P$1209,$A7))</f>
        <v>0</v>
      </c>
      <c r="H7">
        <f>IF($A7="","",COUNTIFS(route_calc!$A$2:$A$1209,H$2,route_calc!$P$2:$P$1209,$A7))</f>
        <v>0</v>
      </c>
      <c r="I7">
        <f>IF($A7="","",COUNTIFS(route_calc!$A$2:$A$1209,I$2,route_calc!$P$2:$P$1209,$A7))</f>
        <v>0</v>
      </c>
      <c r="J7">
        <f>IF($A7="","",COUNTIFS(route_calc!$A$2:$A$1209,J$2,route_calc!$P$2:$P$1209,$A7))</f>
        <v>0</v>
      </c>
      <c r="K7" t="str">
        <f>IF($L7=0,"",_xlfn.MINIFS(route_calc!$Q$2:$Q$1209,route_calc!$P$2:$P$1209,$A7,route_calc!$A$2:$A$1209,MATCH(1,$R7:$Y7,0)))</f>
        <v/>
      </c>
      <c r="L7">
        <f t="shared" si="0"/>
        <v>0</v>
      </c>
      <c r="M7" t="str" cm="1">
        <f t="array" ref="M7">IF($L7=0,"",_xlfn.TEXTJOIN(", ",TRUE,IF($R7:$Y7&gt;0,$C$1:$J$1,"")))</f>
        <v/>
      </c>
      <c r="N7" t="str" cm="1">
        <f t="array" ref="N7">IF($L7=0,"",SUMPRODUCT(($L$3:$L$144=1)*($K$3:$K$144&lt;$K7))+1)</f>
        <v/>
      </c>
      <c r="O7" t="str">
        <f t="shared" si="1"/>
        <v/>
      </c>
      <c r="P7" t="str">
        <f>IF($A7="","",IFERROR(INDEX(countries!$G:$G,MATCH($A7,countries!$D:$D,0)),""))</f>
        <v>REQUIRED</v>
      </c>
      <c r="Q7" t="str">
        <f>IF($A7="","",IFERROR(IF(INDEX(countries!$I:$I,MATCH($A7,countries!$D:$D,0))=0,"",INDEX(countries!$I:$I,MATCH($A7,countries!$D:$D,0))),""))</f>
        <v/>
      </c>
      <c r="R7" cm="1">
        <f t="array" ref="R7">IF($A7="","",IF(AND(INDEX($C7:$J7,R$2)&gt;0,$A7&lt;&gt;INDEX('TRIP MANAGER'!$T$18:$T$25,R$2),$A7&lt;&gt;INDEX('TRIP MANAGER'!$U$18:$U$25,R$2)),1,0))</f>
        <v>0</v>
      </c>
      <c r="S7" cm="1">
        <f t="array" ref="S7">IF($A7="","",IF(AND(INDEX($C7:$J7,S$2)&gt;0,$A7&lt;&gt;INDEX('TRIP MANAGER'!$T$18:$T$25,S$2),$A7&lt;&gt;INDEX('TRIP MANAGER'!$U$18:$U$25,S$2)),1,0))</f>
        <v>0</v>
      </c>
      <c r="T7" cm="1">
        <f t="array" ref="T7">IF($A7="","",IF(AND(INDEX($C7:$J7,T$2)&gt;0,$A7&lt;&gt;INDEX('TRIP MANAGER'!$T$18:$T$25,T$2),$A7&lt;&gt;INDEX('TRIP MANAGER'!$U$18:$U$25,T$2)),1,0))</f>
        <v>0</v>
      </c>
      <c r="U7" cm="1">
        <f t="array" ref="U7">IF($A7="","",IF(AND(INDEX($C7:$J7,U$2)&gt;0,$A7&lt;&gt;INDEX('TRIP MANAGER'!$T$18:$T$25,U$2),$A7&lt;&gt;INDEX('TRIP MANAGER'!$U$18:$U$25,U$2)),1,0))</f>
        <v>0</v>
      </c>
      <c r="V7" cm="1">
        <f t="array" ref="V7">IF($A7="","",IF(AND(INDEX($C7:$J7,V$2)&gt;0,$A7&lt;&gt;INDEX('TRIP MANAGER'!$T$18:$T$25,V$2),$A7&lt;&gt;INDEX('TRIP MANAGER'!$U$18:$U$25,V$2)),1,0))</f>
        <v>0</v>
      </c>
      <c r="W7" cm="1">
        <f t="array" ref="W7">IF($A7="","",IF(AND(INDEX($C7:$J7,W$2)&gt;0,$A7&lt;&gt;INDEX('TRIP MANAGER'!$T$18:$T$25,W$2),$A7&lt;&gt;INDEX('TRIP MANAGER'!$U$18:$U$25,W$2)),1,0))</f>
        <v>0</v>
      </c>
      <c r="X7" cm="1">
        <f t="array" ref="X7">IF($A7="","",IF(AND(INDEX($C7:$J7,X$2)&gt;0,$A7&lt;&gt;INDEX('TRIP MANAGER'!$T$18:$T$25,X$2),$A7&lt;&gt;INDEX('TRIP MANAGER'!$U$18:$U$25,X$2)),1,0))</f>
        <v>0</v>
      </c>
      <c r="Y7" cm="1">
        <f t="array" ref="Y7">IF($A7="","",IF(AND(INDEX($C7:$J7,Y$2)&gt;0,$A7&lt;&gt;INDEX('TRIP MANAGER'!$T$18:$T$25,Y$2),$A7&lt;&gt;INDEX('TRIP MANAGER'!$U$18:$U$25,Y$2)),1,0))</f>
        <v>0</v>
      </c>
    </row>
    <row r="8" spans="1:25" x14ac:dyDescent="0.3">
      <c r="A8" t="str">
        <f>IF(countries!$D7="","",countries!$D7)</f>
        <v>BDI</v>
      </c>
      <c r="B8" t="str">
        <f>IF(countries!$B7="","",countries!$B7)</f>
        <v>Burundi</v>
      </c>
      <c r="C8">
        <f>IF($A8="","",COUNTIFS(route_calc!$A$2:$A$1209,C$2,route_calc!$P$2:$P$1209,$A8))</f>
        <v>0</v>
      </c>
      <c r="D8">
        <f>IF($A8="","",COUNTIFS(route_calc!$A$2:$A$1209,D$2,route_calc!$P$2:$P$1209,$A8))</f>
        <v>0</v>
      </c>
      <c r="E8">
        <f>IF($A8="","",COUNTIFS(route_calc!$A$2:$A$1209,E$2,route_calc!$P$2:$P$1209,$A8))</f>
        <v>0</v>
      </c>
      <c r="F8">
        <f>IF($A8="","",COUNTIFS(route_calc!$A$2:$A$1209,F$2,route_calc!$P$2:$P$1209,$A8))</f>
        <v>0</v>
      </c>
      <c r="G8">
        <f>IF($A8="","",COUNTIFS(route_calc!$A$2:$A$1209,G$2,route_calc!$P$2:$P$1209,$A8))</f>
        <v>0</v>
      </c>
      <c r="H8">
        <f>IF($A8="","",COUNTIFS(route_calc!$A$2:$A$1209,H$2,route_calc!$P$2:$P$1209,$A8))</f>
        <v>0</v>
      </c>
      <c r="I8">
        <f>IF($A8="","",COUNTIFS(route_calc!$A$2:$A$1209,I$2,route_calc!$P$2:$P$1209,$A8))</f>
        <v>0</v>
      </c>
      <c r="J8">
        <f>IF($A8="","",COUNTIFS(route_calc!$A$2:$A$1209,J$2,route_calc!$P$2:$P$1209,$A8))</f>
        <v>0</v>
      </c>
      <c r="K8" t="str">
        <f>IF($L8=0,"",_xlfn.MINIFS(route_calc!$Q$2:$Q$1209,route_calc!$P$2:$P$1209,$A8,route_calc!$A$2:$A$1209,MATCH(1,$R8:$Y8,0)))</f>
        <v/>
      </c>
      <c r="L8">
        <f t="shared" si="0"/>
        <v>0</v>
      </c>
      <c r="M8" t="str" cm="1">
        <f t="array" ref="M8">IF($L8=0,"",_xlfn.TEXTJOIN(", ",TRUE,IF($R8:$Y8&gt;0,$C$1:$J$1,"")))</f>
        <v/>
      </c>
      <c r="N8" t="str" cm="1">
        <f t="array" ref="N8">IF($L8=0,"",SUMPRODUCT(($L$3:$L$144=1)*($K$3:$K$144&lt;$K8))+1)</f>
        <v/>
      </c>
      <c r="O8" t="str">
        <f t="shared" si="1"/>
        <v/>
      </c>
      <c r="P8" t="str">
        <f>IF($A8="","",IFERROR(INDEX(countries!$G:$G,MATCH($A8,countries!$D:$D,0)),""))</f>
        <v>REQUIRED</v>
      </c>
      <c r="Q8" t="str">
        <f>IF($A8="","",IFERROR(IF(INDEX(countries!$I:$I,MATCH($A8,countries!$D:$D,0))=0,"",INDEX(countries!$I:$I,MATCH($A8,countries!$D:$D,0))),""))</f>
        <v/>
      </c>
      <c r="R8" cm="1">
        <f t="array" ref="R8">IF($A8="","",IF(AND(INDEX($C8:$J8,R$2)&gt;0,$A8&lt;&gt;INDEX('TRIP MANAGER'!$T$18:$T$25,R$2),$A8&lt;&gt;INDEX('TRIP MANAGER'!$U$18:$U$25,R$2)),1,0))</f>
        <v>0</v>
      </c>
      <c r="S8" cm="1">
        <f t="array" ref="S8">IF($A8="","",IF(AND(INDEX($C8:$J8,S$2)&gt;0,$A8&lt;&gt;INDEX('TRIP MANAGER'!$T$18:$T$25,S$2),$A8&lt;&gt;INDEX('TRIP MANAGER'!$U$18:$U$25,S$2)),1,0))</f>
        <v>0</v>
      </c>
      <c r="T8" cm="1">
        <f t="array" ref="T8">IF($A8="","",IF(AND(INDEX($C8:$J8,T$2)&gt;0,$A8&lt;&gt;INDEX('TRIP MANAGER'!$T$18:$T$25,T$2),$A8&lt;&gt;INDEX('TRIP MANAGER'!$U$18:$U$25,T$2)),1,0))</f>
        <v>0</v>
      </c>
      <c r="U8" cm="1">
        <f t="array" ref="U8">IF($A8="","",IF(AND(INDEX($C8:$J8,U$2)&gt;0,$A8&lt;&gt;INDEX('TRIP MANAGER'!$T$18:$T$25,U$2),$A8&lt;&gt;INDEX('TRIP MANAGER'!$U$18:$U$25,U$2)),1,0))</f>
        <v>0</v>
      </c>
      <c r="V8" cm="1">
        <f t="array" ref="V8">IF($A8="","",IF(AND(INDEX($C8:$J8,V$2)&gt;0,$A8&lt;&gt;INDEX('TRIP MANAGER'!$T$18:$T$25,V$2),$A8&lt;&gt;INDEX('TRIP MANAGER'!$U$18:$U$25,V$2)),1,0))</f>
        <v>0</v>
      </c>
      <c r="W8" cm="1">
        <f t="array" ref="W8">IF($A8="","",IF(AND(INDEX($C8:$J8,W$2)&gt;0,$A8&lt;&gt;INDEX('TRIP MANAGER'!$T$18:$T$25,W$2),$A8&lt;&gt;INDEX('TRIP MANAGER'!$U$18:$U$25,W$2)),1,0))</f>
        <v>0</v>
      </c>
      <c r="X8" cm="1">
        <f t="array" ref="X8">IF($A8="","",IF(AND(INDEX($C8:$J8,X$2)&gt;0,$A8&lt;&gt;INDEX('TRIP MANAGER'!$T$18:$T$25,X$2),$A8&lt;&gt;INDEX('TRIP MANAGER'!$U$18:$U$25,X$2)),1,0))</f>
        <v>0</v>
      </c>
      <c r="Y8" cm="1">
        <f t="array" ref="Y8">IF($A8="","",IF(AND(INDEX($C8:$J8,Y$2)&gt;0,$A8&lt;&gt;INDEX('TRIP MANAGER'!$T$18:$T$25,Y$2),$A8&lt;&gt;INDEX('TRIP MANAGER'!$U$18:$U$25,Y$2)),1,0))</f>
        <v>0</v>
      </c>
    </row>
    <row r="9" spans="1:25" x14ac:dyDescent="0.3">
      <c r="A9" t="str">
        <f>IF(countries!$D8="","",countries!$D8)</f>
        <v>CMR</v>
      </c>
      <c r="B9" t="str">
        <f>IF(countries!$B8="","",countries!$B8)</f>
        <v>Cameroon</v>
      </c>
      <c r="C9">
        <f>IF($A9="","",COUNTIFS(route_calc!$A$2:$A$1209,C$2,route_calc!$P$2:$P$1209,$A9))</f>
        <v>0</v>
      </c>
      <c r="D9">
        <f>IF($A9="","",COUNTIFS(route_calc!$A$2:$A$1209,D$2,route_calc!$P$2:$P$1209,$A9))</f>
        <v>0</v>
      </c>
      <c r="E9">
        <f>IF($A9="","",COUNTIFS(route_calc!$A$2:$A$1209,E$2,route_calc!$P$2:$P$1209,$A9))</f>
        <v>0</v>
      </c>
      <c r="F9">
        <f>IF($A9="","",COUNTIFS(route_calc!$A$2:$A$1209,F$2,route_calc!$P$2:$P$1209,$A9))</f>
        <v>1</v>
      </c>
      <c r="G9">
        <f>IF($A9="","",COUNTIFS(route_calc!$A$2:$A$1209,G$2,route_calc!$P$2:$P$1209,$A9))</f>
        <v>0</v>
      </c>
      <c r="H9">
        <f>IF($A9="","",COUNTIFS(route_calc!$A$2:$A$1209,H$2,route_calc!$P$2:$P$1209,$A9))</f>
        <v>0</v>
      </c>
      <c r="I9">
        <f>IF($A9="","",COUNTIFS(route_calc!$A$2:$A$1209,I$2,route_calc!$P$2:$P$1209,$A9))</f>
        <v>0</v>
      </c>
      <c r="J9">
        <f>IF($A9="","",COUNTIFS(route_calc!$A$2:$A$1209,J$2,route_calc!$P$2:$P$1209,$A9))</f>
        <v>0</v>
      </c>
      <c r="K9">
        <f>IF($L9=0,"",_xlfn.MINIFS(route_calc!$Q$2:$Q$1209,route_calc!$P$2:$P$1209,$A9,route_calc!$A$2:$A$1209,MATCH(1,$R9:$Y9,0)))</f>
        <v>4074</v>
      </c>
      <c r="L9">
        <f t="shared" si="0"/>
        <v>1</v>
      </c>
      <c r="M9" t="str" cm="1">
        <f t="array" ref="M9">IF($L9=0,"",_xlfn.TEXTJOIN(", ",TRUE,IF($R9:$Y9&gt;0,$C$1:$J$1,"")))</f>
        <v>L4</v>
      </c>
      <c r="N9" cm="1">
        <f t="array" ref="N9">IF($L9=0,"",SUMPRODUCT(($L$3:$L$144=1)*($K$3:$K$144&lt;$K9))+1)</f>
        <v>14</v>
      </c>
      <c r="O9">
        <f t="shared" si="1"/>
        <v>4</v>
      </c>
      <c r="P9" t="str">
        <f>IF($A9="","",IFERROR(INDEX(countries!$G:$G,MATCH($A9,countries!$D:$D,0)),""))</f>
        <v>REQUIRED</v>
      </c>
      <c r="Q9" t="str">
        <f>IF($A9="","",IFERROR(IF(INDEX(countries!$I:$I,MATCH($A9,countries!$D:$D,0))=0,"",INDEX(countries!$I:$I,MATCH($A9,countries!$D:$D,0))),""))</f>
        <v/>
      </c>
      <c r="R9" cm="1">
        <f t="array" ref="R9">IF($A9="","",IF(AND(INDEX($C9:$J9,R$2)&gt;0,$A9&lt;&gt;INDEX('TRIP MANAGER'!$T$18:$T$25,R$2),$A9&lt;&gt;INDEX('TRIP MANAGER'!$U$18:$U$25,R$2)),1,0))</f>
        <v>0</v>
      </c>
      <c r="S9" cm="1">
        <f t="array" ref="S9">IF($A9="","",IF(AND(INDEX($C9:$J9,S$2)&gt;0,$A9&lt;&gt;INDEX('TRIP MANAGER'!$T$18:$T$25,S$2),$A9&lt;&gt;INDEX('TRIP MANAGER'!$U$18:$U$25,S$2)),1,0))</f>
        <v>0</v>
      </c>
      <c r="T9" cm="1">
        <f t="array" ref="T9">IF($A9="","",IF(AND(INDEX($C9:$J9,T$2)&gt;0,$A9&lt;&gt;INDEX('TRIP MANAGER'!$T$18:$T$25,T$2),$A9&lt;&gt;INDEX('TRIP MANAGER'!$U$18:$U$25,T$2)),1,0))</f>
        <v>0</v>
      </c>
      <c r="U9" cm="1">
        <f t="array" ref="U9">IF($A9="","",IF(AND(INDEX($C9:$J9,U$2)&gt;0,$A9&lt;&gt;INDEX('TRIP MANAGER'!$T$18:$T$25,U$2),$A9&lt;&gt;INDEX('TRIP MANAGER'!$U$18:$U$25,U$2)),1,0))</f>
        <v>1</v>
      </c>
      <c r="V9" cm="1">
        <f t="array" ref="V9">IF($A9="","",IF(AND(INDEX($C9:$J9,V$2)&gt;0,$A9&lt;&gt;INDEX('TRIP MANAGER'!$T$18:$T$25,V$2),$A9&lt;&gt;INDEX('TRIP MANAGER'!$U$18:$U$25,V$2)),1,0))</f>
        <v>0</v>
      </c>
      <c r="W9" cm="1">
        <f t="array" ref="W9">IF($A9="","",IF(AND(INDEX($C9:$J9,W$2)&gt;0,$A9&lt;&gt;INDEX('TRIP MANAGER'!$T$18:$T$25,W$2),$A9&lt;&gt;INDEX('TRIP MANAGER'!$U$18:$U$25,W$2)),1,0))</f>
        <v>0</v>
      </c>
      <c r="X9" cm="1">
        <f t="array" ref="X9">IF($A9="","",IF(AND(INDEX($C9:$J9,X$2)&gt;0,$A9&lt;&gt;INDEX('TRIP MANAGER'!$T$18:$T$25,X$2),$A9&lt;&gt;INDEX('TRIP MANAGER'!$U$18:$U$25,X$2)),1,0))</f>
        <v>0</v>
      </c>
      <c r="Y9" cm="1">
        <f t="array" ref="Y9">IF($A9="","",IF(AND(INDEX($C9:$J9,Y$2)&gt;0,$A9&lt;&gt;INDEX('TRIP MANAGER'!$T$18:$T$25,Y$2),$A9&lt;&gt;INDEX('TRIP MANAGER'!$U$18:$U$25,Y$2)),1,0))</f>
        <v>0</v>
      </c>
    </row>
    <row r="10" spans="1:25" x14ac:dyDescent="0.3">
      <c r="A10" t="str">
        <f>IF(countries!$D9="","",countries!$D9)</f>
        <v>CPV</v>
      </c>
      <c r="B10" t="str">
        <f>IF(countries!$B9="","",countries!$B9)</f>
        <v>Cape Verde</v>
      </c>
      <c r="C10">
        <f>IF($A10="","",COUNTIFS(route_calc!$A$2:$A$1209,C$2,route_calc!$P$2:$P$1209,$A10))</f>
        <v>0</v>
      </c>
      <c r="D10">
        <f>IF($A10="","",COUNTIFS(route_calc!$A$2:$A$1209,D$2,route_calc!$P$2:$P$1209,$A10))</f>
        <v>0</v>
      </c>
      <c r="E10">
        <f>IF($A10="","",COUNTIFS(route_calc!$A$2:$A$1209,E$2,route_calc!$P$2:$P$1209,$A10))</f>
        <v>0</v>
      </c>
      <c r="F10">
        <f>IF($A10="","",COUNTIFS(route_calc!$A$2:$A$1209,F$2,route_calc!$P$2:$P$1209,$A10))</f>
        <v>0</v>
      </c>
      <c r="G10">
        <f>IF($A10="","",COUNTIFS(route_calc!$A$2:$A$1209,G$2,route_calc!$P$2:$P$1209,$A10))</f>
        <v>0</v>
      </c>
      <c r="H10">
        <f>IF($A10="","",COUNTIFS(route_calc!$A$2:$A$1209,H$2,route_calc!$P$2:$P$1209,$A10))</f>
        <v>0</v>
      </c>
      <c r="I10">
        <f>IF($A10="","",COUNTIFS(route_calc!$A$2:$A$1209,I$2,route_calc!$P$2:$P$1209,$A10))</f>
        <v>0</v>
      </c>
      <c r="J10">
        <f>IF($A10="","",COUNTIFS(route_calc!$A$2:$A$1209,J$2,route_calc!$P$2:$P$1209,$A10))</f>
        <v>0</v>
      </c>
      <c r="K10" t="str">
        <f>IF($L10=0,"",_xlfn.MINIFS(route_calc!$Q$2:$Q$1209,route_calc!$P$2:$P$1209,$A10,route_calc!$A$2:$A$1209,MATCH(1,$R10:$Y10,0)))</f>
        <v/>
      </c>
      <c r="L10">
        <f t="shared" si="0"/>
        <v>0</v>
      </c>
      <c r="M10" t="str" cm="1">
        <f t="array" ref="M10">IF($L10=0,"",_xlfn.TEXTJOIN(", ",TRUE,IF($R10:$Y10&gt;0,$C$1:$J$1,"")))</f>
        <v/>
      </c>
      <c r="N10" t="str" cm="1">
        <f t="array" ref="N10">IF($L10=0,"",SUMPRODUCT(($L$3:$L$144=1)*($K$3:$K$144&lt;$K10))+1)</f>
        <v/>
      </c>
      <c r="O10" t="str">
        <f t="shared" si="1"/>
        <v/>
      </c>
      <c r="P10" t="str">
        <f>IF($A10="","",IFERROR(INDEX(countries!$G:$G,MATCH($A10,countries!$D:$D,0)),""))</f>
        <v>REQUIRED</v>
      </c>
      <c r="Q10" t="str">
        <f>IF($A10="","",IFERROR(IF(INDEX(countries!$I:$I,MATCH($A10,countries!$D:$D,0))=0,"",INDEX(countries!$I:$I,MATCH($A10,countries!$D:$D,0))),""))</f>
        <v/>
      </c>
      <c r="R10" cm="1">
        <f t="array" ref="R10">IF($A10="","",IF(AND(INDEX($C10:$J10,R$2)&gt;0,$A10&lt;&gt;INDEX('TRIP MANAGER'!$T$18:$T$25,R$2),$A10&lt;&gt;INDEX('TRIP MANAGER'!$U$18:$U$25,R$2)),1,0))</f>
        <v>0</v>
      </c>
      <c r="S10" cm="1">
        <f t="array" ref="S10">IF($A10="","",IF(AND(INDEX($C10:$J10,S$2)&gt;0,$A10&lt;&gt;INDEX('TRIP MANAGER'!$T$18:$T$25,S$2),$A10&lt;&gt;INDEX('TRIP MANAGER'!$U$18:$U$25,S$2)),1,0))</f>
        <v>0</v>
      </c>
      <c r="T10" cm="1">
        <f t="array" ref="T10">IF($A10="","",IF(AND(INDEX($C10:$J10,T$2)&gt;0,$A10&lt;&gt;INDEX('TRIP MANAGER'!$T$18:$T$25,T$2),$A10&lt;&gt;INDEX('TRIP MANAGER'!$U$18:$U$25,T$2)),1,0))</f>
        <v>0</v>
      </c>
      <c r="U10" cm="1">
        <f t="array" ref="U10">IF($A10="","",IF(AND(INDEX($C10:$J10,U$2)&gt;0,$A10&lt;&gt;INDEX('TRIP MANAGER'!$T$18:$T$25,U$2),$A10&lt;&gt;INDEX('TRIP MANAGER'!$U$18:$U$25,U$2)),1,0))</f>
        <v>0</v>
      </c>
      <c r="V10" cm="1">
        <f t="array" ref="V10">IF($A10="","",IF(AND(INDEX($C10:$J10,V$2)&gt;0,$A10&lt;&gt;INDEX('TRIP MANAGER'!$T$18:$T$25,V$2),$A10&lt;&gt;INDEX('TRIP MANAGER'!$U$18:$U$25,V$2)),1,0))</f>
        <v>0</v>
      </c>
      <c r="W10" cm="1">
        <f t="array" ref="W10">IF($A10="","",IF(AND(INDEX($C10:$J10,W$2)&gt;0,$A10&lt;&gt;INDEX('TRIP MANAGER'!$T$18:$T$25,W$2),$A10&lt;&gt;INDEX('TRIP MANAGER'!$U$18:$U$25,W$2)),1,0))</f>
        <v>0</v>
      </c>
      <c r="X10" cm="1">
        <f t="array" ref="X10">IF($A10="","",IF(AND(INDEX($C10:$J10,X$2)&gt;0,$A10&lt;&gt;INDEX('TRIP MANAGER'!$T$18:$T$25,X$2),$A10&lt;&gt;INDEX('TRIP MANAGER'!$U$18:$U$25,X$2)),1,0))</f>
        <v>0</v>
      </c>
      <c r="Y10" cm="1">
        <f t="array" ref="Y10">IF($A10="","",IF(AND(INDEX($C10:$J10,Y$2)&gt;0,$A10&lt;&gt;INDEX('TRIP MANAGER'!$T$18:$T$25,Y$2),$A10&lt;&gt;INDEX('TRIP MANAGER'!$U$18:$U$25,Y$2)),1,0))</f>
        <v>0</v>
      </c>
    </row>
    <row r="11" spans="1:25" x14ac:dyDescent="0.3">
      <c r="A11" t="str">
        <f>IF(countries!$D10="","",countries!$D10)</f>
        <v>CAF</v>
      </c>
      <c r="B11" t="str">
        <f>IF(countries!$B10="","",countries!$B10)</f>
        <v>Central African Republic</v>
      </c>
      <c r="C11">
        <f>IF($A11="","",COUNTIFS(route_calc!$A$2:$A$1209,C$2,route_calc!$P$2:$P$1209,$A11))</f>
        <v>15</v>
      </c>
      <c r="D11">
        <f>IF($A11="","",COUNTIFS(route_calc!$A$2:$A$1209,D$2,route_calc!$P$2:$P$1209,$A11))</f>
        <v>0</v>
      </c>
      <c r="E11">
        <f>IF($A11="","",COUNTIFS(route_calc!$A$2:$A$1209,E$2,route_calc!$P$2:$P$1209,$A11))</f>
        <v>0</v>
      </c>
      <c r="F11">
        <f>IF($A11="","",COUNTIFS(route_calc!$A$2:$A$1209,F$2,route_calc!$P$2:$P$1209,$A11))</f>
        <v>0</v>
      </c>
      <c r="G11">
        <f>IF($A11="","",COUNTIFS(route_calc!$A$2:$A$1209,G$2,route_calc!$P$2:$P$1209,$A11))</f>
        <v>0</v>
      </c>
      <c r="H11">
        <f>IF($A11="","",COUNTIFS(route_calc!$A$2:$A$1209,H$2,route_calc!$P$2:$P$1209,$A11))</f>
        <v>0</v>
      </c>
      <c r="I11">
        <f>IF($A11="","",COUNTIFS(route_calc!$A$2:$A$1209,I$2,route_calc!$P$2:$P$1209,$A11))</f>
        <v>0</v>
      </c>
      <c r="J11">
        <f>IF($A11="","",COUNTIFS(route_calc!$A$2:$A$1209,J$2,route_calc!$P$2:$P$1209,$A11))</f>
        <v>0</v>
      </c>
      <c r="K11">
        <f>IF($L11=0,"",_xlfn.MINIFS(route_calc!$Q$2:$Q$1209,route_calc!$P$2:$P$1209,$A11,route_calc!$A$2:$A$1209,MATCH(1,$R11:$Y11,0)))</f>
        <v>1117</v>
      </c>
      <c r="L11">
        <f t="shared" si="0"/>
        <v>1</v>
      </c>
      <c r="M11" t="str" cm="1">
        <f t="array" ref="M11">IF($L11=0,"",_xlfn.TEXTJOIN(", ",TRUE,IF($R11:$Y11&gt;0,$C$1:$J$1,"")))</f>
        <v>L1</v>
      </c>
      <c r="N11" cm="1">
        <f t="array" ref="N11">IF($L11=0,"",SUMPRODUCT(($L$3:$L$144=1)*($K$3:$K$144&lt;$K11))+1)</f>
        <v>7</v>
      </c>
      <c r="O11">
        <f t="shared" si="1"/>
        <v>1</v>
      </c>
      <c r="P11" t="str">
        <f>IF($A11="","",IFERROR(INDEX(countries!$G:$G,MATCH($A11,countries!$D:$D,0)),""))</f>
        <v>REQUIRED</v>
      </c>
      <c r="Q11" t="str">
        <f>IF($A11="","",IFERROR(IF(INDEX(countries!$I:$I,MATCH($A11,countries!$D:$D,0))=0,"",INDEX(countries!$I:$I,MATCH($A11,countries!$D:$D,0))),""))</f>
        <v/>
      </c>
      <c r="R11" cm="1">
        <f t="array" ref="R11">IF($A11="","",IF(AND(INDEX($C11:$J11,R$2)&gt;0,$A11&lt;&gt;INDEX('TRIP MANAGER'!$T$18:$T$25,R$2),$A11&lt;&gt;INDEX('TRIP MANAGER'!$U$18:$U$25,R$2)),1,0))</f>
        <v>1</v>
      </c>
      <c r="S11" cm="1">
        <f t="array" ref="S11">IF($A11="","",IF(AND(INDEX($C11:$J11,S$2)&gt;0,$A11&lt;&gt;INDEX('TRIP MANAGER'!$T$18:$T$25,S$2),$A11&lt;&gt;INDEX('TRIP MANAGER'!$U$18:$U$25,S$2)),1,0))</f>
        <v>0</v>
      </c>
      <c r="T11" cm="1">
        <f t="array" ref="T11">IF($A11="","",IF(AND(INDEX($C11:$J11,T$2)&gt;0,$A11&lt;&gt;INDEX('TRIP MANAGER'!$T$18:$T$25,T$2),$A11&lt;&gt;INDEX('TRIP MANAGER'!$U$18:$U$25,T$2)),1,0))</f>
        <v>0</v>
      </c>
      <c r="U11" cm="1">
        <f t="array" ref="U11">IF($A11="","",IF(AND(INDEX($C11:$J11,U$2)&gt;0,$A11&lt;&gt;INDEX('TRIP MANAGER'!$T$18:$T$25,U$2),$A11&lt;&gt;INDEX('TRIP MANAGER'!$U$18:$U$25,U$2)),1,0))</f>
        <v>0</v>
      </c>
      <c r="V11" cm="1">
        <f t="array" ref="V11">IF($A11="","",IF(AND(INDEX($C11:$J11,V$2)&gt;0,$A11&lt;&gt;INDEX('TRIP MANAGER'!$T$18:$T$25,V$2),$A11&lt;&gt;INDEX('TRIP MANAGER'!$U$18:$U$25,V$2)),1,0))</f>
        <v>0</v>
      </c>
      <c r="W11" cm="1">
        <f t="array" ref="W11">IF($A11="","",IF(AND(INDEX($C11:$J11,W$2)&gt;0,$A11&lt;&gt;INDEX('TRIP MANAGER'!$T$18:$T$25,W$2),$A11&lt;&gt;INDEX('TRIP MANAGER'!$U$18:$U$25,W$2)),1,0))</f>
        <v>0</v>
      </c>
      <c r="X11" cm="1">
        <f t="array" ref="X11">IF($A11="","",IF(AND(INDEX($C11:$J11,X$2)&gt;0,$A11&lt;&gt;INDEX('TRIP MANAGER'!$T$18:$T$25,X$2),$A11&lt;&gt;INDEX('TRIP MANAGER'!$U$18:$U$25,X$2)),1,0))</f>
        <v>0</v>
      </c>
      <c r="Y11" cm="1">
        <f t="array" ref="Y11">IF($A11="","",IF(AND(INDEX($C11:$J11,Y$2)&gt;0,$A11&lt;&gt;INDEX('TRIP MANAGER'!$T$18:$T$25,Y$2),$A11&lt;&gt;INDEX('TRIP MANAGER'!$U$18:$U$25,Y$2)),1,0))</f>
        <v>0</v>
      </c>
    </row>
    <row r="12" spans="1:25" x14ac:dyDescent="0.3">
      <c r="A12" t="str">
        <f>IF(countries!$D11="","",countries!$D11)</f>
        <v>TCD</v>
      </c>
      <c r="B12" t="str">
        <f>IF(countries!$B11="","",countries!$B11)</f>
        <v>Chad</v>
      </c>
      <c r="C12">
        <f>IF($A12="","",COUNTIFS(route_calc!$A$2:$A$1209,C$2,route_calc!$P$2:$P$1209,$A12))</f>
        <v>19</v>
      </c>
      <c r="D12">
        <f>IF($A12="","",COUNTIFS(route_calc!$A$2:$A$1209,D$2,route_calc!$P$2:$P$1209,$A12))</f>
        <v>69</v>
      </c>
      <c r="E12">
        <f>IF($A12="","",COUNTIFS(route_calc!$A$2:$A$1209,E$2,route_calc!$P$2:$P$1209,$A12))</f>
        <v>0</v>
      </c>
      <c r="F12">
        <f>IF($A12="","",COUNTIFS(route_calc!$A$2:$A$1209,F$2,route_calc!$P$2:$P$1209,$A12))</f>
        <v>0</v>
      </c>
      <c r="G12">
        <f>IF($A12="","",COUNTIFS(route_calc!$A$2:$A$1209,G$2,route_calc!$P$2:$P$1209,$A12))</f>
        <v>0</v>
      </c>
      <c r="H12">
        <f>IF($A12="","",COUNTIFS(route_calc!$A$2:$A$1209,H$2,route_calc!$P$2:$P$1209,$A12))</f>
        <v>0</v>
      </c>
      <c r="I12">
        <f>IF($A12="","",COUNTIFS(route_calc!$A$2:$A$1209,I$2,route_calc!$P$2:$P$1209,$A12))</f>
        <v>0</v>
      </c>
      <c r="J12">
        <f>IF($A12="","",COUNTIFS(route_calc!$A$2:$A$1209,J$2,route_calc!$P$2:$P$1209,$A12))</f>
        <v>0</v>
      </c>
      <c r="K12" t="str">
        <f>IF($L12=0,"",_xlfn.MINIFS(route_calc!$Q$2:$Q$1209,route_calc!$P$2:$P$1209,$A12,route_calc!$A$2:$A$1209,MATCH(1,$R12:$Y12,0)))</f>
        <v/>
      </c>
      <c r="L12">
        <f t="shared" si="0"/>
        <v>0</v>
      </c>
      <c r="M12" t="str" cm="1">
        <f t="array" ref="M12">IF($L12=0,"",_xlfn.TEXTJOIN(", ",TRUE,IF($R12:$Y12&gt;0,$C$1:$J$1,"")))</f>
        <v/>
      </c>
      <c r="N12" t="str" cm="1">
        <f t="array" ref="N12">IF($L12=0,"",SUMPRODUCT(($L$3:$L$144=1)*($K$3:$K$144&lt;$K12))+1)</f>
        <v/>
      </c>
      <c r="O12" t="str">
        <f t="shared" si="1"/>
        <v/>
      </c>
      <c r="P12" t="str">
        <f>IF($A12="","",IFERROR(INDEX(countries!$G:$G,MATCH($A12,countries!$D:$D,0)),""))</f>
        <v>REQUIRED</v>
      </c>
      <c r="Q12" t="str">
        <f>IF($A12="","",IFERROR(IF(INDEX(countries!$I:$I,MATCH($A12,countries!$D:$D,0))=0,"",INDEX(countries!$I:$I,MATCH($A12,countries!$D:$D,0))),""))</f>
        <v/>
      </c>
      <c r="R12" cm="1">
        <f t="array" ref="R12">IF($A12="","",IF(AND(INDEX($C12:$J12,R$2)&gt;0,$A12&lt;&gt;INDEX('TRIP MANAGER'!$T$18:$T$25,R$2),$A12&lt;&gt;INDEX('TRIP MANAGER'!$U$18:$U$25,R$2)),1,0))</f>
        <v>0</v>
      </c>
      <c r="S12" cm="1">
        <f t="array" ref="S12">IF($A12="","",IF(AND(INDEX($C12:$J12,S$2)&gt;0,$A12&lt;&gt;INDEX('TRIP MANAGER'!$T$18:$T$25,S$2),$A12&lt;&gt;INDEX('TRIP MANAGER'!$U$18:$U$25,S$2)),1,0))</f>
        <v>0</v>
      </c>
      <c r="T12" cm="1">
        <f t="array" ref="T12">IF($A12="","",IF(AND(INDEX($C12:$J12,T$2)&gt;0,$A12&lt;&gt;INDEX('TRIP MANAGER'!$T$18:$T$25,T$2),$A12&lt;&gt;INDEX('TRIP MANAGER'!$U$18:$U$25,T$2)),1,0))</f>
        <v>0</v>
      </c>
      <c r="U12" cm="1">
        <f t="array" ref="U12">IF($A12="","",IF(AND(INDEX($C12:$J12,U$2)&gt;0,$A12&lt;&gt;INDEX('TRIP MANAGER'!$T$18:$T$25,U$2),$A12&lt;&gt;INDEX('TRIP MANAGER'!$U$18:$U$25,U$2)),1,0))</f>
        <v>0</v>
      </c>
      <c r="V12" cm="1">
        <f t="array" ref="V12">IF($A12="","",IF(AND(INDEX($C12:$J12,V$2)&gt;0,$A12&lt;&gt;INDEX('TRIP MANAGER'!$T$18:$T$25,V$2),$A12&lt;&gt;INDEX('TRIP MANAGER'!$U$18:$U$25,V$2)),1,0))</f>
        <v>0</v>
      </c>
      <c r="W12" cm="1">
        <f t="array" ref="W12">IF($A12="","",IF(AND(INDEX($C12:$J12,W$2)&gt;0,$A12&lt;&gt;INDEX('TRIP MANAGER'!$T$18:$T$25,W$2),$A12&lt;&gt;INDEX('TRIP MANAGER'!$U$18:$U$25,W$2)),1,0))</f>
        <v>0</v>
      </c>
      <c r="X12" cm="1">
        <f t="array" ref="X12">IF($A12="","",IF(AND(INDEX($C12:$J12,X$2)&gt;0,$A12&lt;&gt;INDEX('TRIP MANAGER'!$T$18:$T$25,X$2),$A12&lt;&gt;INDEX('TRIP MANAGER'!$U$18:$U$25,X$2)),1,0))</f>
        <v>0</v>
      </c>
      <c r="Y12" cm="1">
        <f t="array" ref="Y12">IF($A12="","",IF(AND(INDEX($C12:$J12,Y$2)&gt;0,$A12&lt;&gt;INDEX('TRIP MANAGER'!$T$18:$T$25,Y$2),$A12&lt;&gt;INDEX('TRIP MANAGER'!$U$18:$U$25,Y$2)),1,0))</f>
        <v>0</v>
      </c>
    </row>
    <row r="13" spans="1:25" x14ac:dyDescent="0.3">
      <c r="A13" t="str">
        <f>IF(countries!$D12="","",countries!$D12)</f>
        <v>COM</v>
      </c>
      <c r="B13" t="str">
        <f>IF(countries!$B12="","",countries!$B12)</f>
        <v>Comoros</v>
      </c>
      <c r="C13">
        <f>IF($A13="","",COUNTIFS(route_calc!$A$2:$A$1209,C$2,route_calc!$P$2:$P$1209,$A13))</f>
        <v>0</v>
      </c>
      <c r="D13">
        <f>IF($A13="","",COUNTIFS(route_calc!$A$2:$A$1209,D$2,route_calc!$P$2:$P$1209,$A13))</f>
        <v>0</v>
      </c>
      <c r="E13">
        <f>IF($A13="","",COUNTIFS(route_calc!$A$2:$A$1209,E$2,route_calc!$P$2:$P$1209,$A13))</f>
        <v>0</v>
      </c>
      <c r="F13">
        <f>IF($A13="","",COUNTIFS(route_calc!$A$2:$A$1209,F$2,route_calc!$P$2:$P$1209,$A13))</f>
        <v>0</v>
      </c>
      <c r="G13">
        <f>IF($A13="","",COUNTIFS(route_calc!$A$2:$A$1209,G$2,route_calc!$P$2:$P$1209,$A13))</f>
        <v>0</v>
      </c>
      <c r="H13">
        <f>IF($A13="","",COUNTIFS(route_calc!$A$2:$A$1209,H$2,route_calc!$P$2:$P$1209,$A13))</f>
        <v>0</v>
      </c>
      <c r="I13">
        <f>IF($A13="","",COUNTIFS(route_calc!$A$2:$A$1209,I$2,route_calc!$P$2:$P$1209,$A13))</f>
        <v>0</v>
      </c>
      <c r="J13">
        <f>IF($A13="","",COUNTIFS(route_calc!$A$2:$A$1209,J$2,route_calc!$P$2:$P$1209,$A13))</f>
        <v>0</v>
      </c>
      <c r="K13" t="str">
        <f>IF($L13=0,"",_xlfn.MINIFS(route_calc!$Q$2:$Q$1209,route_calc!$P$2:$P$1209,$A13,route_calc!$A$2:$A$1209,MATCH(1,$R13:$Y13,0)))</f>
        <v/>
      </c>
      <c r="L13">
        <f t="shared" si="0"/>
        <v>0</v>
      </c>
      <c r="M13" t="str" cm="1">
        <f t="array" ref="M13">IF($L13=0,"",_xlfn.TEXTJOIN(", ",TRUE,IF($R13:$Y13&gt;0,$C$1:$J$1,"")))</f>
        <v/>
      </c>
      <c r="N13" t="str" cm="1">
        <f t="array" ref="N13">IF($L13=0,"",SUMPRODUCT(($L$3:$L$144=1)*($K$3:$K$144&lt;$K13))+1)</f>
        <v/>
      </c>
      <c r="O13" t="str">
        <f t="shared" si="1"/>
        <v/>
      </c>
      <c r="P13" t="str">
        <f>IF($A13="","",IFERROR(INDEX(countries!$G:$G,MATCH($A13,countries!$D:$D,0)),""))</f>
        <v>REQUIRED</v>
      </c>
      <c r="Q13" t="str">
        <f>IF($A13="","",IFERROR(IF(INDEX(countries!$I:$I,MATCH($A13,countries!$D:$D,0))=0,"",INDEX(countries!$I:$I,MATCH($A13,countries!$D:$D,0))),""))</f>
        <v/>
      </c>
      <c r="R13" cm="1">
        <f t="array" ref="R13">IF($A13="","",IF(AND(INDEX($C13:$J13,R$2)&gt;0,$A13&lt;&gt;INDEX('TRIP MANAGER'!$T$18:$T$25,R$2),$A13&lt;&gt;INDEX('TRIP MANAGER'!$U$18:$U$25,R$2)),1,0))</f>
        <v>0</v>
      </c>
      <c r="S13" cm="1">
        <f t="array" ref="S13">IF($A13="","",IF(AND(INDEX($C13:$J13,S$2)&gt;0,$A13&lt;&gt;INDEX('TRIP MANAGER'!$T$18:$T$25,S$2),$A13&lt;&gt;INDEX('TRIP MANAGER'!$U$18:$U$25,S$2)),1,0))</f>
        <v>0</v>
      </c>
      <c r="T13" cm="1">
        <f t="array" ref="T13">IF($A13="","",IF(AND(INDEX($C13:$J13,T$2)&gt;0,$A13&lt;&gt;INDEX('TRIP MANAGER'!$T$18:$T$25,T$2),$A13&lt;&gt;INDEX('TRIP MANAGER'!$U$18:$U$25,T$2)),1,0))</f>
        <v>0</v>
      </c>
      <c r="U13" cm="1">
        <f t="array" ref="U13">IF($A13="","",IF(AND(INDEX($C13:$J13,U$2)&gt;0,$A13&lt;&gt;INDEX('TRIP MANAGER'!$T$18:$T$25,U$2),$A13&lt;&gt;INDEX('TRIP MANAGER'!$U$18:$U$25,U$2)),1,0))</f>
        <v>0</v>
      </c>
      <c r="V13" cm="1">
        <f t="array" ref="V13">IF($A13="","",IF(AND(INDEX($C13:$J13,V$2)&gt;0,$A13&lt;&gt;INDEX('TRIP MANAGER'!$T$18:$T$25,V$2),$A13&lt;&gt;INDEX('TRIP MANAGER'!$U$18:$U$25,V$2)),1,0))</f>
        <v>0</v>
      </c>
      <c r="W13" cm="1">
        <f t="array" ref="W13">IF($A13="","",IF(AND(INDEX($C13:$J13,W$2)&gt;0,$A13&lt;&gt;INDEX('TRIP MANAGER'!$T$18:$T$25,W$2),$A13&lt;&gt;INDEX('TRIP MANAGER'!$U$18:$U$25,W$2)),1,0))</f>
        <v>0</v>
      </c>
      <c r="X13" cm="1">
        <f t="array" ref="X13">IF($A13="","",IF(AND(INDEX($C13:$J13,X$2)&gt;0,$A13&lt;&gt;INDEX('TRIP MANAGER'!$T$18:$T$25,X$2),$A13&lt;&gt;INDEX('TRIP MANAGER'!$U$18:$U$25,X$2)),1,0))</f>
        <v>0</v>
      </c>
      <c r="Y13" cm="1">
        <f t="array" ref="Y13">IF($A13="","",IF(AND(INDEX($C13:$J13,Y$2)&gt;0,$A13&lt;&gt;INDEX('TRIP MANAGER'!$T$18:$T$25,Y$2),$A13&lt;&gt;INDEX('TRIP MANAGER'!$U$18:$U$25,Y$2)),1,0))</f>
        <v>0</v>
      </c>
    </row>
    <row r="14" spans="1:25" x14ac:dyDescent="0.3">
      <c r="A14" t="str">
        <f>IF(countries!$D13="","",countries!$D13)</f>
        <v>CIV</v>
      </c>
      <c r="B14" t="str">
        <f>IF(countries!$B13="","",countries!$B13)</f>
        <v>Côte d'Ivoire</v>
      </c>
      <c r="C14">
        <f>IF($A14="","",COUNTIFS(route_calc!$A$2:$A$1209,C$2,route_calc!$P$2:$P$1209,$A14))</f>
        <v>0</v>
      </c>
      <c r="D14">
        <f>IF($A14="","",COUNTIFS(route_calc!$A$2:$A$1209,D$2,route_calc!$P$2:$P$1209,$A14))</f>
        <v>0</v>
      </c>
      <c r="E14">
        <f>IF($A14="","",COUNTIFS(route_calc!$A$2:$A$1209,E$2,route_calc!$P$2:$P$1209,$A14))</f>
        <v>0</v>
      </c>
      <c r="F14">
        <f>IF($A14="","",COUNTIFS(route_calc!$A$2:$A$1209,F$2,route_calc!$P$2:$P$1209,$A14))</f>
        <v>0</v>
      </c>
      <c r="G14">
        <f>IF($A14="","",COUNTIFS(route_calc!$A$2:$A$1209,G$2,route_calc!$P$2:$P$1209,$A14))</f>
        <v>0</v>
      </c>
      <c r="H14">
        <f>IF($A14="","",COUNTIFS(route_calc!$A$2:$A$1209,H$2,route_calc!$P$2:$P$1209,$A14))</f>
        <v>0</v>
      </c>
      <c r="I14">
        <f>IF($A14="","",COUNTIFS(route_calc!$A$2:$A$1209,I$2,route_calc!$P$2:$P$1209,$A14))</f>
        <v>0</v>
      </c>
      <c r="J14">
        <f>IF($A14="","",COUNTIFS(route_calc!$A$2:$A$1209,J$2,route_calc!$P$2:$P$1209,$A14))</f>
        <v>0</v>
      </c>
      <c r="K14" t="str">
        <f>IF($L14=0,"",_xlfn.MINIFS(route_calc!$Q$2:$Q$1209,route_calc!$P$2:$P$1209,$A14,route_calc!$A$2:$A$1209,MATCH(1,$R14:$Y14,0)))</f>
        <v/>
      </c>
      <c r="L14">
        <f t="shared" si="0"/>
        <v>0</v>
      </c>
      <c r="M14" t="str" cm="1">
        <f t="array" ref="M14">IF($L14=0,"",_xlfn.TEXTJOIN(", ",TRUE,IF($R14:$Y14&gt;0,$C$1:$J$1,"")))</f>
        <v/>
      </c>
      <c r="N14" t="str" cm="1">
        <f t="array" ref="N14">IF($L14=0,"",SUMPRODUCT(($L$3:$L$144=1)*($K$3:$K$144&lt;$K14))+1)</f>
        <v/>
      </c>
      <c r="O14" t="str">
        <f t="shared" si="1"/>
        <v/>
      </c>
      <c r="P14" t="str">
        <f>IF($A14="","",IFERROR(INDEX(countries!$G:$G,MATCH($A14,countries!$D:$D,0)),""))</f>
        <v>REQUIRED</v>
      </c>
      <c r="Q14" t="str">
        <f>IF($A14="","",IFERROR(IF(INDEX(countries!$I:$I,MATCH($A14,countries!$D:$D,0))=0,"",INDEX(countries!$I:$I,MATCH($A14,countries!$D:$D,0))),""))</f>
        <v/>
      </c>
      <c r="R14" cm="1">
        <f t="array" ref="R14">IF($A14="","",IF(AND(INDEX($C14:$J14,R$2)&gt;0,$A14&lt;&gt;INDEX('TRIP MANAGER'!$T$18:$T$25,R$2),$A14&lt;&gt;INDEX('TRIP MANAGER'!$U$18:$U$25,R$2)),1,0))</f>
        <v>0</v>
      </c>
      <c r="S14" cm="1">
        <f t="array" ref="S14">IF($A14="","",IF(AND(INDEX($C14:$J14,S$2)&gt;0,$A14&lt;&gt;INDEX('TRIP MANAGER'!$T$18:$T$25,S$2),$A14&lt;&gt;INDEX('TRIP MANAGER'!$U$18:$U$25,S$2)),1,0))</f>
        <v>0</v>
      </c>
      <c r="T14" cm="1">
        <f t="array" ref="T14">IF($A14="","",IF(AND(INDEX($C14:$J14,T$2)&gt;0,$A14&lt;&gt;INDEX('TRIP MANAGER'!$T$18:$T$25,T$2),$A14&lt;&gt;INDEX('TRIP MANAGER'!$U$18:$U$25,T$2)),1,0))</f>
        <v>0</v>
      </c>
      <c r="U14" cm="1">
        <f t="array" ref="U14">IF($A14="","",IF(AND(INDEX($C14:$J14,U$2)&gt;0,$A14&lt;&gt;INDEX('TRIP MANAGER'!$T$18:$T$25,U$2),$A14&lt;&gt;INDEX('TRIP MANAGER'!$U$18:$U$25,U$2)),1,0))</f>
        <v>0</v>
      </c>
      <c r="V14" cm="1">
        <f t="array" ref="V14">IF($A14="","",IF(AND(INDEX($C14:$J14,V$2)&gt;0,$A14&lt;&gt;INDEX('TRIP MANAGER'!$T$18:$T$25,V$2),$A14&lt;&gt;INDEX('TRIP MANAGER'!$U$18:$U$25,V$2)),1,0))</f>
        <v>0</v>
      </c>
      <c r="W14" cm="1">
        <f t="array" ref="W14">IF($A14="","",IF(AND(INDEX($C14:$J14,W$2)&gt;0,$A14&lt;&gt;INDEX('TRIP MANAGER'!$T$18:$T$25,W$2),$A14&lt;&gt;INDEX('TRIP MANAGER'!$U$18:$U$25,W$2)),1,0))</f>
        <v>0</v>
      </c>
      <c r="X14" cm="1">
        <f t="array" ref="X14">IF($A14="","",IF(AND(INDEX($C14:$J14,X$2)&gt;0,$A14&lt;&gt;INDEX('TRIP MANAGER'!$T$18:$T$25,X$2),$A14&lt;&gt;INDEX('TRIP MANAGER'!$U$18:$U$25,X$2)),1,0))</f>
        <v>0</v>
      </c>
      <c r="Y14" cm="1">
        <f t="array" ref="Y14">IF($A14="","",IF(AND(INDEX($C14:$J14,Y$2)&gt;0,$A14&lt;&gt;INDEX('TRIP MANAGER'!$T$18:$T$25,Y$2),$A14&lt;&gt;INDEX('TRIP MANAGER'!$U$18:$U$25,Y$2)),1,0))</f>
        <v>0</v>
      </c>
    </row>
    <row r="15" spans="1:25" x14ac:dyDescent="0.3">
      <c r="A15" t="str">
        <f>IF(countries!$D14="","",countries!$D14)</f>
        <v>COD</v>
      </c>
      <c r="B15" t="str">
        <f>IF(countries!$B14="","",countries!$B14)</f>
        <v>Democratic Republic of the Congo</v>
      </c>
      <c r="C15">
        <f>IF($A15="","",COUNTIFS(route_calc!$A$2:$A$1209,C$2,route_calc!$P$2:$P$1209,$A15))</f>
        <v>47</v>
      </c>
      <c r="D15">
        <f>IF($A15="","",COUNTIFS(route_calc!$A$2:$A$1209,D$2,route_calc!$P$2:$P$1209,$A15))</f>
        <v>0</v>
      </c>
      <c r="E15">
        <f>IF($A15="","",COUNTIFS(route_calc!$A$2:$A$1209,E$2,route_calc!$P$2:$P$1209,$A15))</f>
        <v>0</v>
      </c>
      <c r="F15">
        <f>IF($A15="","",COUNTIFS(route_calc!$A$2:$A$1209,F$2,route_calc!$P$2:$P$1209,$A15))</f>
        <v>4</v>
      </c>
      <c r="G15">
        <f>IF($A15="","",COUNTIFS(route_calc!$A$2:$A$1209,G$2,route_calc!$P$2:$P$1209,$A15))</f>
        <v>0</v>
      </c>
      <c r="H15">
        <f>IF($A15="","",COUNTIFS(route_calc!$A$2:$A$1209,H$2,route_calc!$P$2:$P$1209,$A15))</f>
        <v>0</v>
      </c>
      <c r="I15">
        <f>IF($A15="","",COUNTIFS(route_calc!$A$2:$A$1209,I$2,route_calc!$P$2:$P$1209,$A15))</f>
        <v>0</v>
      </c>
      <c r="J15">
        <f>IF($A15="","",COUNTIFS(route_calc!$A$2:$A$1209,J$2,route_calc!$P$2:$P$1209,$A15))</f>
        <v>0</v>
      </c>
      <c r="K15">
        <f>IF($L15=0,"",_xlfn.MINIFS(route_calc!$Q$2:$Q$1209,route_calc!$P$2:$P$1209,$A15,route_calc!$A$2:$A$1209,MATCH(1,$R15:$Y15,0)))</f>
        <v>1060</v>
      </c>
      <c r="L15">
        <f t="shared" si="0"/>
        <v>1</v>
      </c>
      <c r="M15" t="str" cm="1">
        <f t="array" ref="M15">IF($L15=0,"",_xlfn.TEXTJOIN(", ",TRUE,IF($R15:$Y15&gt;0,$C$1:$J$1,"")))</f>
        <v>L1, L4</v>
      </c>
      <c r="N15" cm="1">
        <f t="array" ref="N15">IF($L15=0,"",SUMPRODUCT(($L$3:$L$144=1)*($K$3:$K$144&lt;$K15))+1)</f>
        <v>5</v>
      </c>
      <c r="O15">
        <f t="shared" si="1"/>
        <v>1</v>
      </c>
      <c r="P15" t="str">
        <f>IF($A15="","",IFERROR(INDEX(countries!$G:$G,MATCH($A15,countries!$D:$D,0)),""))</f>
        <v>REQUIRED</v>
      </c>
      <c r="Q15" t="str">
        <f>IF($A15="","",IFERROR(IF(INDEX(countries!$I:$I,MATCH($A15,countries!$D:$D,0))=0,"",INDEX(countries!$I:$I,MATCH($A15,countries!$D:$D,0))),""))</f>
        <v/>
      </c>
      <c r="R15" cm="1">
        <f t="array" ref="R15">IF($A15="","",IF(AND(INDEX($C15:$J15,R$2)&gt;0,$A15&lt;&gt;INDEX('TRIP MANAGER'!$T$18:$T$25,R$2),$A15&lt;&gt;INDEX('TRIP MANAGER'!$U$18:$U$25,R$2)),1,0))</f>
        <v>1</v>
      </c>
      <c r="S15" cm="1">
        <f t="array" ref="S15">IF($A15="","",IF(AND(INDEX($C15:$J15,S$2)&gt;0,$A15&lt;&gt;INDEX('TRIP MANAGER'!$T$18:$T$25,S$2),$A15&lt;&gt;INDEX('TRIP MANAGER'!$U$18:$U$25,S$2)),1,0))</f>
        <v>0</v>
      </c>
      <c r="T15" cm="1">
        <f t="array" ref="T15">IF($A15="","",IF(AND(INDEX($C15:$J15,T$2)&gt;0,$A15&lt;&gt;INDEX('TRIP MANAGER'!$T$18:$T$25,T$2),$A15&lt;&gt;INDEX('TRIP MANAGER'!$U$18:$U$25,T$2)),1,0))</f>
        <v>0</v>
      </c>
      <c r="U15" cm="1">
        <f t="array" ref="U15">IF($A15="","",IF(AND(INDEX($C15:$J15,U$2)&gt;0,$A15&lt;&gt;INDEX('TRIP MANAGER'!$T$18:$T$25,U$2),$A15&lt;&gt;INDEX('TRIP MANAGER'!$U$18:$U$25,U$2)),1,0))</f>
        <v>1</v>
      </c>
      <c r="V15" cm="1">
        <f t="array" ref="V15">IF($A15="","",IF(AND(INDEX($C15:$J15,V$2)&gt;0,$A15&lt;&gt;INDEX('TRIP MANAGER'!$T$18:$T$25,V$2),$A15&lt;&gt;INDEX('TRIP MANAGER'!$U$18:$U$25,V$2)),1,0))</f>
        <v>0</v>
      </c>
      <c r="W15" cm="1">
        <f t="array" ref="W15">IF($A15="","",IF(AND(INDEX($C15:$J15,W$2)&gt;0,$A15&lt;&gt;INDEX('TRIP MANAGER'!$T$18:$T$25,W$2),$A15&lt;&gt;INDEX('TRIP MANAGER'!$U$18:$U$25,W$2)),1,0))</f>
        <v>0</v>
      </c>
      <c r="X15" cm="1">
        <f t="array" ref="X15">IF($A15="","",IF(AND(INDEX($C15:$J15,X$2)&gt;0,$A15&lt;&gt;INDEX('TRIP MANAGER'!$T$18:$T$25,X$2),$A15&lt;&gt;INDEX('TRIP MANAGER'!$U$18:$U$25,X$2)),1,0))</f>
        <v>0</v>
      </c>
      <c r="Y15" cm="1">
        <f t="array" ref="Y15">IF($A15="","",IF(AND(INDEX($C15:$J15,Y$2)&gt;0,$A15&lt;&gt;INDEX('TRIP MANAGER'!$T$18:$T$25,Y$2),$A15&lt;&gt;INDEX('TRIP MANAGER'!$U$18:$U$25,Y$2)),1,0))</f>
        <v>0</v>
      </c>
    </row>
    <row r="16" spans="1:25" x14ac:dyDescent="0.3">
      <c r="A16" t="str">
        <f>IF(countries!$D15="","",countries!$D15)</f>
        <v>DJI</v>
      </c>
      <c r="B16" t="str">
        <f>IF(countries!$B15="","",countries!$B15)</f>
        <v>Djibouti</v>
      </c>
      <c r="C16">
        <f>IF($A16="","",COUNTIFS(route_calc!$A$2:$A$1209,C$2,route_calc!$P$2:$P$1209,$A16))</f>
        <v>0</v>
      </c>
      <c r="D16">
        <f>IF($A16="","",COUNTIFS(route_calc!$A$2:$A$1209,D$2,route_calc!$P$2:$P$1209,$A16))</f>
        <v>0</v>
      </c>
      <c r="E16">
        <f>IF($A16="","",COUNTIFS(route_calc!$A$2:$A$1209,E$2,route_calc!$P$2:$P$1209,$A16))</f>
        <v>0</v>
      </c>
      <c r="F16">
        <f>IF($A16="","",COUNTIFS(route_calc!$A$2:$A$1209,F$2,route_calc!$P$2:$P$1209,$A16))</f>
        <v>0</v>
      </c>
      <c r="G16">
        <f>IF($A16="","",COUNTIFS(route_calc!$A$2:$A$1209,G$2,route_calc!$P$2:$P$1209,$A16))</f>
        <v>0</v>
      </c>
      <c r="H16">
        <f>IF($A16="","",COUNTIFS(route_calc!$A$2:$A$1209,H$2,route_calc!$P$2:$P$1209,$A16))</f>
        <v>0</v>
      </c>
      <c r="I16">
        <f>IF($A16="","",COUNTIFS(route_calc!$A$2:$A$1209,I$2,route_calc!$P$2:$P$1209,$A16))</f>
        <v>0</v>
      </c>
      <c r="J16">
        <f>IF($A16="","",COUNTIFS(route_calc!$A$2:$A$1209,J$2,route_calc!$P$2:$P$1209,$A16))</f>
        <v>0</v>
      </c>
      <c r="K16" t="str">
        <f>IF($L16=0,"",_xlfn.MINIFS(route_calc!$Q$2:$Q$1209,route_calc!$P$2:$P$1209,$A16,route_calc!$A$2:$A$1209,MATCH(1,$R16:$Y16,0)))</f>
        <v/>
      </c>
      <c r="L16">
        <f t="shared" si="0"/>
        <v>0</v>
      </c>
      <c r="M16" t="str" cm="1">
        <f t="array" ref="M16">IF($L16=0,"",_xlfn.TEXTJOIN(", ",TRUE,IF($R16:$Y16&gt;0,$C$1:$J$1,"")))</f>
        <v/>
      </c>
      <c r="N16" t="str" cm="1">
        <f t="array" ref="N16">IF($L16=0,"",SUMPRODUCT(($L$3:$L$144=1)*($K$3:$K$144&lt;$K16))+1)</f>
        <v/>
      </c>
      <c r="O16" t="str">
        <f t="shared" si="1"/>
        <v/>
      </c>
      <c r="P16" t="str">
        <f>IF($A16="","",IFERROR(INDEX(countries!$G:$G,MATCH($A16,countries!$D:$D,0)),""))</f>
        <v>REQUIRED</v>
      </c>
      <c r="Q16" t="str">
        <f>IF($A16="","",IFERROR(IF(INDEX(countries!$I:$I,MATCH($A16,countries!$D:$D,0))=0,"",INDEX(countries!$I:$I,MATCH($A16,countries!$D:$D,0))),""))</f>
        <v/>
      </c>
      <c r="R16" cm="1">
        <f t="array" ref="R16">IF($A16="","",IF(AND(INDEX($C16:$J16,R$2)&gt;0,$A16&lt;&gt;INDEX('TRIP MANAGER'!$T$18:$T$25,R$2),$A16&lt;&gt;INDEX('TRIP MANAGER'!$U$18:$U$25,R$2)),1,0))</f>
        <v>0</v>
      </c>
      <c r="S16" cm="1">
        <f t="array" ref="S16">IF($A16="","",IF(AND(INDEX($C16:$J16,S$2)&gt;0,$A16&lt;&gt;INDEX('TRIP MANAGER'!$T$18:$T$25,S$2),$A16&lt;&gt;INDEX('TRIP MANAGER'!$U$18:$U$25,S$2)),1,0))</f>
        <v>0</v>
      </c>
      <c r="T16" cm="1">
        <f t="array" ref="T16">IF($A16="","",IF(AND(INDEX($C16:$J16,T$2)&gt;0,$A16&lt;&gt;INDEX('TRIP MANAGER'!$T$18:$T$25,T$2),$A16&lt;&gt;INDEX('TRIP MANAGER'!$U$18:$U$25,T$2)),1,0))</f>
        <v>0</v>
      </c>
      <c r="U16" cm="1">
        <f t="array" ref="U16">IF($A16="","",IF(AND(INDEX($C16:$J16,U$2)&gt;0,$A16&lt;&gt;INDEX('TRIP MANAGER'!$T$18:$T$25,U$2),$A16&lt;&gt;INDEX('TRIP MANAGER'!$U$18:$U$25,U$2)),1,0))</f>
        <v>0</v>
      </c>
      <c r="V16" cm="1">
        <f t="array" ref="V16">IF($A16="","",IF(AND(INDEX($C16:$J16,V$2)&gt;0,$A16&lt;&gt;INDEX('TRIP MANAGER'!$T$18:$T$25,V$2),$A16&lt;&gt;INDEX('TRIP MANAGER'!$U$18:$U$25,V$2)),1,0))</f>
        <v>0</v>
      </c>
      <c r="W16" cm="1">
        <f t="array" ref="W16">IF($A16="","",IF(AND(INDEX($C16:$J16,W$2)&gt;0,$A16&lt;&gt;INDEX('TRIP MANAGER'!$T$18:$T$25,W$2),$A16&lt;&gt;INDEX('TRIP MANAGER'!$U$18:$U$25,W$2)),1,0))</f>
        <v>0</v>
      </c>
      <c r="X16" cm="1">
        <f t="array" ref="X16">IF($A16="","",IF(AND(INDEX($C16:$J16,X$2)&gt;0,$A16&lt;&gt;INDEX('TRIP MANAGER'!$T$18:$T$25,X$2),$A16&lt;&gt;INDEX('TRIP MANAGER'!$U$18:$U$25,X$2)),1,0))</f>
        <v>0</v>
      </c>
      <c r="Y16" cm="1">
        <f t="array" ref="Y16">IF($A16="","",IF(AND(INDEX($C16:$J16,Y$2)&gt;0,$A16&lt;&gt;INDEX('TRIP MANAGER'!$T$18:$T$25,Y$2),$A16&lt;&gt;INDEX('TRIP MANAGER'!$U$18:$U$25,Y$2)),1,0))</f>
        <v>0</v>
      </c>
    </row>
    <row r="17" spans="1:25" x14ac:dyDescent="0.3">
      <c r="A17" t="str">
        <f>IF(countries!$D16="","",countries!$D16)</f>
        <v>EGY</v>
      </c>
      <c r="B17" t="str">
        <f>IF(countries!$B16="","",countries!$B16)</f>
        <v>Egypt</v>
      </c>
      <c r="C17">
        <f>IF($A17="","",COUNTIFS(route_calc!$A$2:$A$1209,C$2,route_calc!$P$2:$P$1209,$A17))</f>
        <v>0</v>
      </c>
      <c r="D17">
        <f>IF($A17="","",COUNTIFS(route_calc!$A$2:$A$1209,D$2,route_calc!$P$2:$P$1209,$A17))</f>
        <v>55</v>
      </c>
      <c r="E17">
        <f>IF($A17="","",COUNTIFS(route_calc!$A$2:$A$1209,E$2,route_calc!$P$2:$P$1209,$A17))</f>
        <v>24</v>
      </c>
      <c r="F17">
        <f>IF($A17="","",COUNTIFS(route_calc!$A$2:$A$1209,F$2,route_calc!$P$2:$P$1209,$A17))</f>
        <v>0</v>
      </c>
      <c r="G17">
        <f>IF($A17="","",COUNTIFS(route_calc!$A$2:$A$1209,G$2,route_calc!$P$2:$P$1209,$A17))</f>
        <v>0</v>
      </c>
      <c r="H17">
        <f>IF($A17="","",COUNTIFS(route_calc!$A$2:$A$1209,H$2,route_calc!$P$2:$P$1209,$A17))</f>
        <v>0</v>
      </c>
      <c r="I17">
        <f>IF($A17="","",COUNTIFS(route_calc!$A$2:$A$1209,I$2,route_calc!$P$2:$P$1209,$A17))</f>
        <v>0</v>
      </c>
      <c r="J17">
        <f>IF($A17="","",COUNTIFS(route_calc!$A$2:$A$1209,J$2,route_calc!$P$2:$P$1209,$A17))</f>
        <v>0</v>
      </c>
      <c r="K17" t="str">
        <f>IF($L17=0,"",_xlfn.MINIFS(route_calc!$Q$2:$Q$1209,route_calc!$P$2:$P$1209,$A17,route_calc!$A$2:$A$1209,MATCH(1,$R17:$Y17,0)))</f>
        <v/>
      </c>
      <c r="L17">
        <f t="shared" si="0"/>
        <v>0</v>
      </c>
      <c r="M17" t="str" cm="1">
        <f t="array" ref="M17">IF($L17=0,"",_xlfn.TEXTJOIN(", ",TRUE,IF($R17:$Y17&gt;0,$C$1:$J$1,"")))</f>
        <v/>
      </c>
      <c r="N17" t="str" cm="1">
        <f t="array" ref="N17">IF($L17=0,"",SUMPRODUCT(($L$3:$L$144=1)*($K$3:$K$144&lt;$K17))+1)</f>
        <v/>
      </c>
      <c r="O17" t="str">
        <f t="shared" si="1"/>
        <v/>
      </c>
      <c r="P17" t="str">
        <f>IF($A17="","",IFERROR(INDEX(countries!$G:$G,MATCH($A17,countries!$D:$D,0)),""))</f>
        <v>REQUIRED</v>
      </c>
      <c r="Q17" t="str">
        <f>IF($A17="","",IFERROR(IF(INDEX(countries!$I:$I,MATCH($A17,countries!$D:$D,0))=0,"",INDEX(countries!$I:$I,MATCH($A17,countries!$D:$D,0))),""))</f>
        <v/>
      </c>
      <c r="R17" cm="1">
        <f t="array" ref="R17">IF($A17="","",IF(AND(INDEX($C17:$J17,R$2)&gt;0,$A17&lt;&gt;INDEX('TRIP MANAGER'!$T$18:$T$25,R$2),$A17&lt;&gt;INDEX('TRIP MANAGER'!$U$18:$U$25,R$2)),1,0))</f>
        <v>0</v>
      </c>
      <c r="S17" cm="1">
        <f t="array" ref="S17">IF($A17="","",IF(AND(INDEX($C17:$J17,S$2)&gt;0,$A17&lt;&gt;INDEX('TRIP MANAGER'!$T$18:$T$25,S$2),$A17&lt;&gt;INDEX('TRIP MANAGER'!$U$18:$U$25,S$2)),1,0))</f>
        <v>0</v>
      </c>
      <c r="T17" cm="1">
        <f t="array" ref="T17">IF($A17="","",IF(AND(INDEX($C17:$J17,T$2)&gt;0,$A17&lt;&gt;INDEX('TRIP MANAGER'!$T$18:$T$25,T$2),$A17&lt;&gt;INDEX('TRIP MANAGER'!$U$18:$U$25,T$2)),1,0))</f>
        <v>0</v>
      </c>
      <c r="U17" cm="1">
        <f t="array" ref="U17">IF($A17="","",IF(AND(INDEX($C17:$J17,U$2)&gt;0,$A17&lt;&gt;INDEX('TRIP MANAGER'!$T$18:$T$25,U$2),$A17&lt;&gt;INDEX('TRIP MANAGER'!$U$18:$U$25,U$2)),1,0))</f>
        <v>0</v>
      </c>
      <c r="V17" cm="1">
        <f t="array" ref="V17">IF($A17="","",IF(AND(INDEX($C17:$J17,V$2)&gt;0,$A17&lt;&gt;INDEX('TRIP MANAGER'!$T$18:$T$25,V$2),$A17&lt;&gt;INDEX('TRIP MANAGER'!$U$18:$U$25,V$2)),1,0))</f>
        <v>0</v>
      </c>
      <c r="W17" cm="1">
        <f t="array" ref="W17">IF($A17="","",IF(AND(INDEX($C17:$J17,W$2)&gt;0,$A17&lt;&gt;INDEX('TRIP MANAGER'!$T$18:$T$25,W$2),$A17&lt;&gt;INDEX('TRIP MANAGER'!$U$18:$U$25,W$2)),1,0))</f>
        <v>0</v>
      </c>
      <c r="X17" cm="1">
        <f t="array" ref="X17">IF($A17="","",IF(AND(INDEX($C17:$J17,X$2)&gt;0,$A17&lt;&gt;INDEX('TRIP MANAGER'!$T$18:$T$25,X$2),$A17&lt;&gt;INDEX('TRIP MANAGER'!$U$18:$U$25,X$2)),1,0))</f>
        <v>0</v>
      </c>
      <c r="Y17" cm="1">
        <f t="array" ref="Y17">IF($A17="","",IF(AND(INDEX($C17:$J17,Y$2)&gt;0,$A17&lt;&gt;INDEX('TRIP MANAGER'!$T$18:$T$25,Y$2),$A17&lt;&gt;INDEX('TRIP MANAGER'!$U$18:$U$25,Y$2)),1,0))</f>
        <v>0</v>
      </c>
    </row>
    <row r="18" spans="1:25" x14ac:dyDescent="0.3">
      <c r="A18" t="str">
        <f>IF(countries!$D17="","",countries!$D17)</f>
        <v>GNQ</v>
      </c>
      <c r="B18" t="str">
        <f>IF(countries!$B17="","",countries!$B17)</f>
        <v>Equatorial Guinea</v>
      </c>
      <c r="C18">
        <f>IF($A18="","",COUNTIFS(route_calc!$A$2:$A$1209,C$2,route_calc!$P$2:$P$1209,$A18))</f>
        <v>0</v>
      </c>
      <c r="D18">
        <f>IF($A18="","",COUNTIFS(route_calc!$A$2:$A$1209,D$2,route_calc!$P$2:$P$1209,$A18))</f>
        <v>0</v>
      </c>
      <c r="E18">
        <f>IF($A18="","",COUNTIFS(route_calc!$A$2:$A$1209,E$2,route_calc!$P$2:$P$1209,$A18))</f>
        <v>0</v>
      </c>
      <c r="F18">
        <f>IF($A18="","",COUNTIFS(route_calc!$A$2:$A$1209,F$2,route_calc!$P$2:$P$1209,$A18))</f>
        <v>4</v>
      </c>
      <c r="G18">
        <f>IF($A18="","",COUNTIFS(route_calc!$A$2:$A$1209,G$2,route_calc!$P$2:$P$1209,$A18))</f>
        <v>0</v>
      </c>
      <c r="H18">
        <f>IF($A18="","",COUNTIFS(route_calc!$A$2:$A$1209,H$2,route_calc!$P$2:$P$1209,$A18))</f>
        <v>0</v>
      </c>
      <c r="I18">
        <f>IF($A18="","",COUNTIFS(route_calc!$A$2:$A$1209,I$2,route_calc!$P$2:$P$1209,$A18))</f>
        <v>0</v>
      </c>
      <c r="J18">
        <f>IF($A18="","",COUNTIFS(route_calc!$A$2:$A$1209,J$2,route_calc!$P$2:$P$1209,$A18))</f>
        <v>0</v>
      </c>
      <c r="K18">
        <f>IF($L18=0,"",_xlfn.MINIFS(route_calc!$Q$2:$Q$1209,route_calc!$P$2:$P$1209,$A18,route_calc!$A$2:$A$1209,MATCH(1,$R18:$Y18,0)))</f>
        <v>4075</v>
      </c>
      <c r="L18">
        <f t="shared" si="0"/>
        <v>1</v>
      </c>
      <c r="M18" t="str" cm="1">
        <f t="array" ref="M18">IF($L18=0,"",_xlfn.TEXTJOIN(", ",TRUE,IF($R18:$Y18&gt;0,$C$1:$J$1,"")))</f>
        <v>L4</v>
      </c>
      <c r="N18" cm="1">
        <f t="array" ref="N18">IF($L18=0,"",SUMPRODUCT(($L$3:$L$144=1)*($K$3:$K$144&lt;$K18))+1)</f>
        <v>15</v>
      </c>
      <c r="O18">
        <f t="shared" si="1"/>
        <v>4</v>
      </c>
      <c r="P18" t="str">
        <f>IF($A18="","",IFERROR(INDEX(countries!$G:$G,MATCH($A18,countries!$D:$D,0)),""))</f>
        <v>REQUIRED</v>
      </c>
      <c r="Q18" t="str">
        <f>IF($A18="","",IFERROR(IF(INDEX(countries!$I:$I,MATCH($A18,countries!$D:$D,0))=0,"",INDEX(countries!$I:$I,MATCH($A18,countries!$D:$D,0))),""))</f>
        <v/>
      </c>
      <c r="R18" cm="1">
        <f t="array" ref="R18">IF($A18="","",IF(AND(INDEX($C18:$J18,R$2)&gt;0,$A18&lt;&gt;INDEX('TRIP MANAGER'!$T$18:$T$25,R$2),$A18&lt;&gt;INDEX('TRIP MANAGER'!$U$18:$U$25,R$2)),1,0))</f>
        <v>0</v>
      </c>
      <c r="S18" cm="1">
        <f t="array" ref="S18">IF($A18="","",IF(AND(INDEX($C18:$J18,S$2)&gt;0,$A18&lt;&gt;INDEX('TRIP MANAGER'!$T$18:$T$25,S$2),$A18&lt;&gt;INDEX('TRIP MANAGER'!$U$18:$U$25,S$2)),1,0))</f>
        <v>0</v>
      </c>
      <c r="T18" cm="1">
        <f t="array" ref="T18">IF($A18="","",IF(AND(INDEX($C18:$J18,T$2)&gt;0,$A18&lt;&gt;INDEX('TRIP MANAGER'!$T$18:$T$25,T$2),$A18&lt;&gt;INDEX('TRIP MANAGER'!$U$18:$U$25,T$2)),1,0))</f>
        <v>0</v>
      </c>
      <c r="U18" cm="1">
        <f t="array" ref="U18">IF($A18="","",IF(AND(INDEX($C18:$J18,U$2)&gt;0,$A18&lt;&gt;INDEX('TRIP MANAGER'!$T$18:$T$25,U$2),$A18&lt;&gt;INDEX('TRIP MANAGER'!$U$18:$U$25,U$2)),1,0))</f>
        <v>1</v>
      </c>
      <c r="V18" cm="1">
        <f t="array" ref="V18">IF($A18="","",IF(AND(INDEX($C18:$J18,V$2)&gt;0,$A18&lt;&gt;INDEX('TRIP MANAGER'!$T$18:$T$25,V$2),$A18&lt;&gt;INDEX('TRIP MANAGER'!$U$18:$U$25,V$2)),1,0))</f>
        <v>0</v>
      </c>
      <c r="W18" cm="1">
        <f t="array" ref="W18">IF($A18="","",IF(AND(INDEX($C18:$J18,W$2)&gt;0,$A18&lt;&gt;INDEX('TRIP MANAGER'!$T$18:$T$25,W$2),$A18&lt;&gt;INDEX('TRIP MANAGER'!$U$18:$U$25,W$2)),1,0))</f>
        <v>0</v>
      </c>
      <c r="X18" cm="1">
        <f t="array" ref="X18">IF($A18="","",IF(AND(INDEX($C18:$J18,X$2)&gt;0,$A18&lt;&gt;INDEX('TRIP MANAGER'!$T$18:$T$25,X$2),$A18&lt;&gt;INDEX('TRIP MANAGER'!$U$18:$U$25,X$2)),1,0))</f>
        <v>0</v>
      </c>
      <c r="Y18" cm="1">
        <f t="array" ref="Y18">IF($A18="","",IF(AND(INDEX($C18:$J18,Y$2)&gt;0,$A18&lt;&gt;INDEX('TRIP MANAGER'!$T$18:$T$25,Y$2),$A18&lt;&gt;INDEX('TRIP MANAGER'!$U$18:$U$25,Y$2)),1,0))</f>
        <v>0</v>
      </c>
    </row>
    <row r="19" spans="1:25" x14ac:dyDescent="0.3">
      <c r="A19" t="str">
        <f>IF(countries!$D18="","",countries!$D18)</f>
        <v>ERI</v>
      </c>
      <c r="B19" t="str">
        <f>IF(countries!$B18="","",countries!$B18)</f>
        <v>Eritrea</v>
      </c>
      <c r="C19">
        <f>IF($A19="","",COUNTIFS(route_calc!$A$2:$A$1209,C$2,route_calc!$P$2:$P$1209,$A19))</f>
        <v>0</v>
      </c>
      <c r="D19">
        <f>IF($A19="","",COUNTIFS(route_calc!$A$2:$A$1209,D$2,route_calc!$P$2:$P$1209,$A19))</f>
        <v>0</v>
      </c>
      <c r="E19">
        <f>IF($A19="","",COUNTIFS(route_calc!$A$2:$A$1209,E$2,route_calc!$P$2:$P$1209,$A19))</f>
        <v>0</v>
      </c>
      <c r="F19">
        <f>IF($A19="","",COUNTIFS(route_calc!$A$2:$A$1209,F$2,route_calc!$P$2:$P$1209,$A19))</f>
        <v>0</v>
      </c>
      <c r="G19">
        <f>IF($A19="","",COUNTIFS(route_calc!$A$2:$A$1209,G$2,route_calc!$P$2:$P$1209,$A19))</f>
        <v>0</v>
      </c>
      <c r="H19">
        <f>IF($A19="","",COUNTIFS(route_calc!$A$2:$A$1209,H$2,route_calc!$P$2:$P$1209,$A19))</f>
        <v>0</v>
      </c>
      <c r="I19">
        <f>IF($A19="","",COUNTIFS(route_calc!$A$2:$A$1209,I$2,route_calc!$P$2:$P$1209,$A19))</f>
        <v>0</v>
      </c>
      <c r="J19">
        <f>IF($A19="","",COUNTIFS(route_calc!$A$2:$A$1209,J$2,route_calc!$P$2:$P$1209,$A19))</f>
        <v>0</v>
      </c>
      <c r="K19" t="str">
        <f>IF($L19=0,"",_xlfn.MINIFS(route_calc!$Q$2:$Q$1209,route_calc!$P$2:$P$1209,$A19,route_calc!$A$2:$A$1209,MATCH(1,$R19:$Y19,0)))</f>
        <v/>
      </c>
      <c r="L19">
        <f t="shared" si="0"/>
        <v>0</v>
      </c>
      <c r="M19" t="str" cm="1">
        <f t="array" ref="M19">IF($L19=0,"",_xlfn.TEXTJOIN(", ",TRUE,IF($R19:$Y19&gt;0,$C$1:$J$1,"")))</f>
        <v/>
      </c>
      <c r="N19" t="str" cm="1">
        <f t="array" ref="N19">IF($L19=0,"",SUMPRODUCT(($L$3:$L$144=1)*($K$3:$K$144&lt;$K19))+1)</f>
        <v/>
      </c>
      <c r="O19" t="str">
        <f t="shared" si="1"/>
        <v/>
      </c>
      <c r="P19" t="str">
        <f>IF($A19="","",IFERROR(INDEX(countries!$G:$G,MATCH($A19,countries!$D:$D,0)),""))</f>
        <v>REQUIRED</v>
      </c>
      <c r="Q19" t="str">
        <f>IF($A19="","",IFERROR(IF(INDEX(countries!$I:$I,MATCH($A19,countries!$D:$D,0))=0,"",INDEX(countries!$I:$I,MATCH($A19,countries!$D:$D,0))),""))</f>
        <v/>
      </c>
      <c r="R19" cm="1">
        <f t="array" ref="R19">IF($A19="","",IF(AND(INDEX($C19:$J19,R$2)&gt;0,$A19&lt;&gt;INDEX('TRIP MANAGER'!$T$18:$T$25,R$2),$A19&lt;&gt;INDEX('TRIP MANAGER'!$U$18:$U$25,R$2)),1,0))</f>
        <v>0</v>
      </c>
      <c r="S19" cm="1">
        <f t="array" ref="S19">IF($A19="","",IF(AND(INDEX($C19:$J19,S$2)&gt;0,$A19&lt;&gt;INDEX('TRIP MANAGER'!$T$18:$T$25,S$2),$A19&lt;&gt;INDEX('TRIP MANAGER'!$U$18:$U$25,S$2)),1,0))</f>
        <v>0</v>
      </c>
      <c r="T19" cm="1">
        <f t="array" ref="T19">IF($A19="","",IF(AND(INDEX($C19:$J19,T$2)&gt;0,$A19&lt;&gt;INDEX('TRIP MANAGER'!$T$18:$T$25,T$2),$A19&lt;&gt;INDEX('TRIP MANAGER'!$U$18:$U$25,T$2)),1,0))</f>
        <v>0</v>
      </c>
      <c r="U19" cm="1">
        <f t="array" ref="U19">IF($A19="","",IF(AND(INDEX($C19:$J19,U$2)&gt;0,$A19&lt;&gt;INDEX('TRIP MANAGER'!$T$18:$T$25,U$2),$A19&lt;&gt;INDEX('TRIP MANAGER'!$U$18:$U$25,U$2)),1,0))</f>
        <v>0</v>
      </c>
      <c r="V19" cm="1">
        <f t="array" ref="V19">IF($A19="","",IF(AND(INDEX($C19:$J19,V$2)&gt;0,$A19&lt;&gt;INDEX('TRIP MANAGER'!$T$18:$T$25,V$2),$A19&lt;&gt;INDEX('TRIP MANAGER'!$U$18:$U$25,V$2)),1,0))</f>
        <v>0</v>
      </c>
      <c r="W19" cm="1">
        <f t="array" ref="W19">IF($A19="","",IF(AND(INDEX($C19:$J19,W$2)&gt;0,$A19&lt;&gt;INDEX('TRIP MANAGER'!$T$18:$T$25,W$2),$A19&lt;&gt;INDEX('TRIP MANAGER'!$U$18:$U$25,W$2)),1,0))</f>
        <v>0</v>
      </c>
      <c r="X19" cm="1">
        <f t="array" ref="X19">IF($A19="","",IF(AND(INDEX($C19:$J19,X$2)&gt;0,$A19&lt;&gt;INDEX('TRIP MANAGER'!$T$18:$T$25,X$2),$A19&lt;&gt;INDEX('TRIP MANAGER'!$U$18:$U$25,X$2)),1,0))</f>
        <v>0</v>
      </c>
      <c r="Y19" cm="1">
        <f t="array" ref="Y19">IF($A19="","",IF(AND(INDEX($C19:$J19,Y$2)&gt;0,$A19&lt;&gt;INDEX('TRIP MANAGER'!$T$18:$T$25,Y$2),$A19&lt;&gt;INDEX('TRIP MANAGER'!$U$18:$U$25,Y$2)),1,0))</f>
        <v>0</v>
      </c>
    </row>
    <row r="20" spans="1:25" x14ac:dyDescent="0.3">
      <c r="A20" t="str">
        <f>IF(countries!$D19="","",countries!$D19)</f>
        <v>SWZ</v>
      </c>
      <c r="B20" t="str">
        <f>IF(countries!$B19="","",countries!$B19)</f>
        <v>Eswatini</v>
      </c>
      <c r="C20">
        <f>IF($A20="","",COUNTIFS(route_calc!$A$2:$A$1209,C$2,route_calc!$P$2:$P$1209,$A20))</f>
        <v>0</v>
      </c>
      <c r="D20">
        <f>IF($A20="","",COUNTIFS(route_calc!$A$2:$A$1209,D$2,route_calc!$P$2:$P$1209,$A20))</f>
        <v>0</v>
      </c>
      <c r="E20">
        <f>IF($A20="","",COUNTIFS(route_calc!$A$2:$A$1209,E$2,route_calc!$P$2:$P$1209,$A20))</f>
        <v>0</v>
      </c>
      <c r="F20">
        <f>IF($A20="","",COUNTIFS(route_calc!$A$2:$A$1209,F$2,route_calc!$P$2:$P$1209,$A20))</f>
        <v>0</v>
      </c>
      <c r="G20">
        <f>IF($A20="","",COUNTIFS(route_calc!$A$2:$A$1209,G$2,route_calc!$P$2:$P$1209,$A20))</f>
        <v>0</v>
      </c>
      <c r="H20">
        <f>IF($A20="","",COUNTIFS(route_calc!$A$2:$A$1209,H$2,route_calc!$P$2:$P$1209,$A20))</f>
        <v>0</v>
      </c>
      <c r="I20">
        <f>IF($A20="","",COUNTIFS(route_calc!$A$2:$A$1209,I$2,route_calc!$P$2:$P$1209,$A20))</f>
        <v>0</v>
      </c>
      <c r="J20">
        <f>IF($A20="","",COUNTIFS(route_calc!$A$2:$A$1209,J$2,route_calc!$P$2:$P$1209,$A20))</f>
        <v>0</v>
      </c>
      <c r="K20" t="str">
        <f>IF($L20=0,"",_xlfn.MINIFS(route_calc!$Q$2:$Q$1209,route_calc!$P$2:$P$1209,$A20,route_calc!$A$2:$A$1209,MATCH(1,$R20:$Y20,0)))</f>
        <v/>
      </c>
      <c r="L20">
        <f t="shared" si="0"/>
        <v>0</v>
      </c>
      <c r="M20" t="str" cm="1">
        <f t="array" ref="M20">IF($L20=0,"",_xlfn.TEXTJOIN(", ",TRUE,IF($R20:$Y20&gt;0,$C$1:$J$1,"")))</f>
        <v/>
      </c>
      <c r="N20" t="str" cm="1">
        <f t="array" ref="N20">IF($L20=0,"",SUMPRODUCT(($L$3:$L$144=1)*($K$3:$K$144&lt;$K20))+1)</f>
        <v/>
      </c>
      <c r="O20" t="str">
        <f t="shared" si="1"/>
        <v/>
      </c>
      <c r="P20" t="str">
        <f>IF($A20="","",IFERROR(INDEX(countries!$G:$G,MATCH($A20,countries!$D:$D,0)),""))</f>
        <v>REQUIRED</v>
      </c>
      <c r="Q20" t="str">
        <f>IF($A20="","",IFERROR(IF(INDEX(countries!$I:$I,MATCH($A20,countries!$D:$D,0))=0,"",INDEX(countries!$I:$I,MATCH($A20,countries!$D:$D,0))),""))</f>
        <v/>
      </c>
      <c r="R20" cm="1">
        <f t="array" ref="R20">IF($A20="","",IF(AND(INDEX($C20:$J20,R$2)&gt;0,$A20&lt;&gt;INDEX('TRIP MANAGER'!$T$18:$T$25,R$2),$A20&lt;&gt;INDEX('TRIP MANAGER'!$U$18:$U$25,R$2)),1,0))</f>
        <v>0</v>
      </c>
      <c r="S20" cm="1">
        <f t="array" ref="S20">IF($A20="","",IF(AND(INDEX($C20:$J20,S$2)&gt;0,$A20&lt;&gt;INDEX('TRIP MANAGER'!$T$18:$T$25,S$2),$A20&lt;&gt;INDEX('TRIP MANAGER'!$U$18:$U$25,S$2)),1,0))</f>
        <v>0</v>
      </c>
      <c r="T20" cm="1">
        <f t="array" ref="T20">IF($A20="","",IF(AND(INDEX($C20:$J20,T$2)&gt;0,$A20&lt;&gt;INDEX('TRIP MANAGER'!$T$18:$T$25,T$2),$A20&lt;&gt;INDEX('TRIP MANAGER'!$U$18:$U$25,T$2)),1,0))</f>
        <v>0</v>
      </c>
      <c r="U20" cm="1">
        <f t="array" ref="U20">IF($A20="","",IF(AND(INDEX($C20:$J20,U$2)&gt;0,$A20&lt;&gt;INDEX('TRIP MANAGER'!$T$18:$T$25,U$2),$A20&lt;&gt;INDEX('TRIP MANAGER'!$U$18:$U$25,U$2)),1,0))</f>
        <v>0</v>
      </c>
      <c r="V20" cm="1">
        <f t="array" ref="V20">IF($A20="","",IF(AND(INDEX($C20:$J20,V$2)&gt;0,$A20&lt;&gt;INDEX('TRIP MANAGER'!$T$18:$T$25,V$2),$A20&lt;&gt;INDEX('TRIP MANAGER'!$U$18:$U$25,V$2)),1,0))</f>
        <v>0</v>
      </c>
      <c r="W20" cm="1">
        <f t="array" ref="W20">IF($A20="","",IF(AND(INDEX($C20:$J20,W$2)&gt;0,$A20&lt;&gt;INDEX('TRIP MANAGER'!$T$18:$T$25,W$2),$A20&lt;&gt;INDEX('TRIP MANAGER'!$U$18:$U$25,W$2)),1,0))</f>
        <v>0</v>
      </c>
      <c r="X20" cm="1">
        <f t="array" ref="X20">IF($A20="","",IF(AND(INDEX($C20:$J20,X$2)&gt;0,$A20&lt;&gt;INDEX('TRIP MANAGER'!$T$18:$T$25,X$2),$A20&lt;&gt;INDEX('TRIP MANAGER'!$U$18:$U$25,X$2)),1,0))</f>
        <v>0</v>
      </c>
      <c r="Y20" cm="1">
        <f t="array" ref="Y20">IF($A20="","",IF(AND(INDEX($C20:$J20,Y$2)&gt;0,$A20&lt;&gt;INDEX('TRIP MANAGER'!$T$18:$T$25,Y$2),$A20&lt;&gt;INDEX('TRIP MANAGER'!$U$18:$U$25,Y$2)),1,0))</f>
        <v>0</v>
      </c>
    </row>
    <row r="21" spans="1:25" x14ac:dyDescent="0.3">
      <c r="A21" t="str">
        <f>IF(countries!$D20="","",countries!$D20)</f>
        <v>ETH</v>
      </c>
      <c r="B21" t="str">
        <f>IF(countries!$B20="","",countries!$B20)</f>
        <v>Ethiopia</v>
      </c>
      <c r="C21">
        <f>IF($A21="","",COUNTIFS(route_calc!$A$2:$A$1209,C$2,route_calc!$P$2:$P$1209,$A21))</f>
        <v>0</v>
      </c>
      <c r="D21">
        <f>IF($A21="","",COUNTIFS(route_calc!$A$2:$A$1209,D$2,route_calc!$P$2:$P$1209,$A21))</f>
        <v>0</v>
      </c>
      <c r="E21">
        <f>IF($A21="","",COUNTIFS(route_calc!$A$2:$A$1209,E$2,route_calc!$P$2:$P$1209,$A21))</f>
        <v>0</v>
      </c>
      <c r="F21">
        <f>IF($A21="","",COUNTIFS(route_calc!$A$2:$A$1209,F$2,route_calc!$P$2:$P$1209,$A21))</f>
        <v>0</v>
      </c>
      <c r="G21">
        <f>IF($A21="","",COUNTIFS(route_calc!$A$2:$A$1209,G$2,route_calc!$P$2:$P$1209,$A21))</f>
        <v>0</v>
      </c>
      <c r="H21">
        <f>IF($A21="","",COUNTIFS(route_calc!$A$2:$A$1209,H$2,route_calc!$P$2:$P$1209,$A21))</f>
        <v>0</v>
      </c>
      <c r="I21">
        <f>IF($A21="","",COUNTIFS(route_calc!$A$2:$A$1209,I$2,route_calc!$P$2:$P$1209,$A21))</f>
        <v>0</v>
      </c>
      <c r="J21">
        <f>IF($A21="","",COUNTIFS(route_calc!$A$2:$A$1209,J$2,route_calc!$P$2:$P$1209,$A21))</f>
        <v>0</v>
      </c>
      <c r="K21" t="str">
        <f>IF($L21=0,"",_xlfn.MINIFS(route_calc!$Q$2:$Q$1209,route_calc!$P$2:$P$1209,$A21,route_calc!$A$2:$A$1209,MATCH(1,$R21:$Y21,0)))</f>
        <v/>
      </c>
      <c r="L21">
        <f t="shared" si="0"/>
        <v>0</v>
      </c>
      <c r="M21" t="str" cm="1">
        <f t="array" ref="M21">IF($L21=0,"",_xlfn.TEXTJOIN(", ",TRUE,IF($R21:$Y21&gt;0,$C$1:$J$1,"")))</f>
        <v/>
      </c>
      <c r="N21" t="str" cm="1">
        <f t="array" ref="N21">IF($L21=0,"",SUMPRODUCT(($L$3:$L$144=1)*($K$3:$K$144&lt;$K21))+1)</f>
        <v/>
      </c>
      <c r="O21" t="str">
        <f t="shared" si="1"/>
        <v/>
      </c>
      <c r="P21" t="str">
        <f>IF($A21="","",IFERROR(INDEX(countries!$G:$G,MATCH($A21,countries!$D:$D,0)),""))</f>
        <v>REQUIRED</v>
      </c>
      <c r="Q21" t="str">
        <f>IF($A21="","",IFERROR(IF(INDEX(countries!$I:$I,MATCH($A21,countries!$D:$D,0))=0,"",INDEX(countries!$I:$I,MATCH($A21,countries!$D:$D,0))),""))</f>
        <v/>
      </c>
      <c r="R21" cm="1">
        <f t="array" ref="R21">IF($A21="","",IF(AND(INDEX($C21:$J21,R$2)&gt;0,$A21&lt;&gt;INDEX('TRIP MANAGER'!$T$18:$T$25,R$2),$A21&lt;&gt;INDEX('TRIP MANAGER'!$U$18:$U$25,R$2)),1,0))</f>
        <v>0</v>
      </c>
      <c r="S21" cm="1">
        <f t="array" ref="S21">IF($A21="","",IF(AND(INDEX($C21:$J21,S$2)&gt;0,$A21&lt;&gt;INDEX('TRIP MANAGER'!$T$18:$T$25,S$2),$A21&lt;&gt;INDEX('TRIP MANAGER'!$U$18:$U$25,S$2)),1,0))</f>
        <v>0</v>
      </c>
      <c r="T21" cm="1">
        <f t="array" ref="T21">IF($A21="","",IF(AND(INDEX($C21:$J21,T$2)&gt;0,$A21&lt;&gt;INDEX('TRIP MANAGER'!$T$18:$T$25,T$2),$A21&lt;&gt;INDEX('TRIP MANAGER'!$U$18:$U$25,T$2)),1,0))</f>
        <v>0</v>
      </c>
      <c r="U21" cm="1">
        <f t="array" ref="U21">IF($A21="","",IF(AND(INDEX($C21:$J21,U$2)&gt;0,$A21&lt;&gt;INDEX('TRIP MANAGER'!$T$18:$T$25,U$2),$A21&lt;&gt;INDEX('TRIP MANAGER'!$U$18:$U$25,U$2)),1,0))</f>
        <v>0</v>
      </c>
      <c r="V21" cm="1">
        <f t="array" ref="V21">IF($A21="","",IF(AND(INDEX($C21:$J21,V$2)&gt;0,$A21&lt;&gt;INDEX('TRIP MANAGER'!$T$18:$T$25,V$2),$A21&lt;&gt;INDEX('TRIP MANAGER'!$U$18:$U$25,V$2)),1,0))</f>
        <v>0</v>
      </c>
      <c r="W21" cm="1">
        <f t="array" ref="W21">IF($A21="","",IF(AND(INDEX($C21:$J21,W$2)&gt;0,$A21&lt;&gt;INDEX('TRIP MANAGER'!$T$18:$T$25,W$2),$A21&lt;&gt;INDEX('TRIP MANAGER'!$U$18:$U$25,W$2)),1,0))</f>
        <v>0</v>
      </c>
      <c r="X21" cm="1">
        <f t="array" ref="X21">IF($A21="","",IF(AND(INDEX($C21:$J21,X$2)&gt;0,$A21&lt;&gt;INDEX('TRIP MANAGER'!$T$18:$T$25,X$2),$A21&lt;&gt;INDEX('TRIP MANAGER'!$U$18:$U$25,X$2)),1,0))</f>
        <v>0</v>
      </c>
      <c r="Y21" cm="1">
        <f t="array" ref="Y21">IF($A21="","",IF(AND(INDEX($C21:$J21,Y$2)&gt;0,$A21&lt;&gt;INDEX('TRIP MANAGER'!$T$18:$T$25,Y$2),$A21&lt;&gt;INDEX('TRIP MANAGER'!$U$18:$U$25,Y$2)),1,0))</f>
        <v>0</v>
      </c>
    </row>
    <row r="22" spans="1:25" x14ac:dyDescent="0.3">
      <c r="A22" t="str">
        <f>IF(countries!$D21="","",countries!$D21)</f>
        <v>GAB</v>
      </c>
      <c r="B22" t="str">
        <f>IF(countries!$B21="","",countries!$B21)</f>
        <v>Gabon</v>
      </c>
      <c r="C22">
        <f>IF($A22="","",COUNTIFS(route_calc!$A$2:$A$1209,C$2,route_calc!$P$2:$P$1209,$A22))</f>
        <v>0</v>
      </c>
      <c r="D22">
        <f>IF($A22="","",COUNTIFS(route_calc!$A$2:$A$1209,D$2,route_calc!$P$2:$P$1209,$A22))</f>
        <v>0</v>
      </c>
      <c r="E22">
        <f>IF($A22="","",COUNTIFS(route_calc!$A$2:$A$1209,E$2,route_calc!$P$2:$P$1209,$A22))</f>
        <v>0</v>
      </c>
      <c r="F22">
        <f>IF($A22="","",COUNTIFS(route_calc!$A$2:$A$1209,F$2,route_calc!$P$2:$P$1209,$A22))</f>
        <v>8</v>
      </c>
      <c r="G22">
        <f>IF($A22="","",COUNTIFS(route_calc!$A$2:$A$1209,G$2,route_calc!$P$2:$P$1209,$A22))</f>
        <v>0</v>
      </c>
      <c r="H22">
        <f>IF($A22="","",COUNTIFS(route_calc!$A$2:$A$1209,H$2,route_calc!$P$2:$P$1209,$A22))</f>
        <v>0</v>
      </c>
      <c r="I22">
        <f>IF($A22="","",COUNTIFS(route_calc!$A$2:$A$1209,I$2,route_calc!$P$2:$P$1209,$A22))</f>
        <v>0</v>
      </c>
      <c r="J22">
        <f>IF($A22="","",COUNTIFS(route_calc!$A$2:$A$1209,J$2,route_calc!$P$2:$P$1209,$A22))</f>
        <v>0</v>
      </c>
      <c r="K22">
        <f>IF($L22=0,"",_xlfn.MINIFS(route_calc!$Q$2:$Q$1209,route_calc!$P$2:$P$1209,$A22,route_calc!$A$2:$A$1209,MATCH(1,$R22:$Y22,0)))</f>
        <v>4079</v>
      </c>
      <c r="L22">
        <f t="shared" si="0"/>
        <v>1</v>
      </c>
      <c r="M22" t="str" cm="1">
        <f t="array" ref="M22">IF($L22=0,"",_xlfn.TEXTJOIN(", ",TRUE,IF($R22:$Y22&gt;0,$C$1:$J$1,"")))</f>
        <v>L4</v>
      </c>
      <c r="N22" cm="1">
        <f t="array" ref="N22">IF($L22=0,"",SUMPRODUCT(($L$3:$L$144=1)*($K$3:$K$144&lt;$K22))+1)</f>
        <v>16</v>
      </c>
      <c r="O22">
        <f t="shared" si="1"/>
        <v>4</v>
      </c>
      <c r="P22" t="str">
        <f>IF($A22="","",IFERROR(INDEX(countries!$G:$G,MATCH($A22,countries!$D:$D,0)),""))</f>
        <v>REQUIRED</v>
      </c>
      <c r="Q22" t="str">
        <f>IF($A22="","",IFERROR(IF(INDEX(countries!$I:$I,MATCH($A22,countries!$D:$D,0))=0,"",INDEX(countries!$I:$I,MATCH($A22,countries!$D:$D,0))),""))</f>
        <v/>
      </c>
      <c r="R22" cm="1">
        <f t="array" ref="R22">IF($A22="","",IF(AND(INDEX($C22:$J22,R$2)&gt;0,$A22&lt;&gt;INDEX('TRIP MANAGER'!$T$18:$T$25,R$2),$A22&lt;&gt;INDEX('TRIP MANAGER'!$U$18:$U$25,R$2)),1,0))</f>
        <v>0</v>
      </c>
      <c r="S22" cm="1">
        <f t="array" ref="S22">IF($A22="","",IF(AND(INDEX($C22:$J22,S$2)&gt;0,$A22&lt;&gt;INDEX('TRIP MANAGER'!$T$18:$T$25,S$2),$A22&lt;&gt;INDEX('TRIP MANAGER'!$U$18:$U$25,S$2)),1,0))</f>
        <v>0</v>
      </c>
      <c r="T22" cm="1">
        <f t="array" ref="T22">IF($A22="","",IF(AND(INDEX($C22:$J22,T$2)&gt;0,$A22&lt;&gt;INDEX('TRIP MANAGER'!$T$18:$T$25,T$2),$A22&lt;&gt;INDEX('TRIP MANAGER'!$U$18:$U$25,T$2)),1,0))</f>
        <v>0</v>
      </c>
      <c r="U22" cm="1">
        <f t="array" ref="U22">IF($A22="","",IF(AND(INDEX($C22:$J22,U$2)&gt;0,$A22&lt;&gt;INDEX('TRIP MANAGER'!$T$18:$T$25,U$2),$A22&lt;&gt;INDEX('TRIP MANAGER'!$U$18:$U$25,U$2)),1,0))</f>
        <v>1</v>
      </c>
      <c r="V22" cm="1">
        <f t="array" ref="V22">IF($A22="","",IF(AND(INDEX($C22:$J22,V$2)&gt;0,$A22&lt;&gt;INDEX('TRIP MANAGER'!$T$18:$T$25,V$2),$A22&lt;&gt;INDEX('TRIP MANAGER'!$U$18:$U$25,V$2)),1,0))</f>
        <v>0</v>
      </c>
      <c r="W22" cm="1">
        <f t="array" ref="W22">IF($A22="","",IF(AND(INDEX($C22:$J22,W$2)&gt;0,$A22&lt;&gt;INDEX('TRIP MANAGER'!$T$18:$T$25,W$2),$A22&lt;&gt;INDEX('TRIP MANAGER'!$U$18:$U$25,W$2)),1,0))</f>
        <v>0</v>
      </c>
      <c r="X22" cm="1">
        <f t="array" ref="X22">IF($A22="","",IF(AND(INDEX($C22:$J22,X$2)&gt;0,$A22&lt;&gt;INDEX('TRIP MANAGER'!$T$18:$T$25,X$2),$A22&lt;&gt;INDEX('TRIP MANAGER'!$U$18:$U$25,X$2)),1,0))</f>
        <v>0</v>
      </c>
      <c r="Y22" cm="1">
        <f t="array" ref="Y22">IF($A22="","",IF(AND(INDEX($C22:$J22,Y$2)&gt;0,$A22&lt;&gt;INDEX('TRIP MANAGER'!$T$18:$T$25,Y$2),$A22&lt;&gt;INDEX('TRIP MANAGER'!$U$18:$U$25,Y$2)),1,0))</f>
        <v>0</v>
      </c>
    </row>
    <row r="23" spans="1:25" x14ac:dyDescent="0.3">
      <c r="A23" t="str">
        <f>IF(countries!$D22="","",countries!$D22)</f>
        <v>GMB</v>
      </c>
      <c r="B23" t="str">
        <f>IF(countries!$B22="","",countries!$B22)</f>
        <v>Gambia</v>
      </c>
      <c r="C23">
        <f>IF($A23="","",COUNTIFS(route_calc!$A$2:$A$1209,C$2,route_calc!$P$2:$P$1209,$A23))</f>
        <v>0</v>
      </c>
      <c r="D23">
        <f>IF($A23="","",COUNTIFS(route_calc!$A$2:$A$1209,D$2,route_calc!$P$2:$P$1209,$A23))</f>
        <v>0</v>
      </c>
      <c r="E23">
        <f>IF($A23="","",COUNTIFS(route_calc!$A$2:$A$1209,E$2,route_calc!$P$2:$P$1209,$A23))</f>
        <v>0</v>
      </c>
      <c r="F23">
        <f>IF($A23="","",COUNTIFS(route_calc!$A$2:$A$1209,F$2,route_calc!$P$2:$P$1209,$A23))</f>
        <v>0</v>
      </c>
      <c r="G23">
        <f>IF($A23="","",COUNTIFS(route_calc!$A$2:$A$1209,G$2,route_calc!$P$2:$P$1209,$A23))</f>
        <v>0</v>
      </c>
      <c r="H23">
        <f>IF($A23="","",COUNTIFS(route_calc!$A$2:$A$1209,H$2,route_calc!$P$2:$P$1209,$A23))</f>
        <v>0</v>
      </c>
      <c r="I23">
        <f>IF($A23="","",COUNTIFS(route_calc!$A$2:$A$1209,I$2,route_calc!$P$2:$P$1209,$A23))</f>
        <v>0</v>
      </c>
      <c r="J23">
        <f>IF($A23="","",COUNTIFS(route_calc!$A$2:$A$1209,J$2,route_calc!$P$2:$P$1209,$A23))</f>
        <v>0</v>
      </c>
      <c r="K23" t="str">
        <f>IF($L23=0,"",_xlfn.MINIFS(route_calc!$Q$2:$Q$1209,route_calc!$P$2:$P$1209,$A23,route_calc!$A$2:$A$1209,MATCH(1,$R23:$Y23,0)))</f>
        <v/>
      </c>
      <c r="L23">
        <f t="shared" si="0"/>
        <v>0</v>
      </c>
      <c r="M23" t="str" cm="1">
        <f t="array" ref="M23">IF($L23=0,"",_xlfn.TEXTJOIN(", ",TRUE,IF($R23:$Y23&gt;0,$C$1:$J$1,"")))</f>
        <v/>
      </c>
      <c r="N23" t="str" cm="1">
        <f t="array" ref="N23">IF($L23=0,"",SUMPRODUCT(($L$3:$L$144=1)*($K$3:$K$144&lt;$K23))+1)</f>
        <v/>
      </c>
      <c r="O23" t="str">
        <f t="shared" si="1"/>
        <v/>
      </c>
      <c r="P23" t="str">
        <f>IF($A23="","",IFERROR(INDEX(countries!$G:$G,MATCH($A23,countries!$D:$D,0)),""))</f>
        <v>REQUIRED</v>
      </c>
      <c r="Q23" t="str">
        <f>IF($A23="","",IFERROR(IF(INDEX(countries!$I:$I,MATCH($A23,countries!$D:$D,0))=0,"",INDEX(countries!$I:$I,MATCH($A23,countries!$D:$D,0))),""))</f>
        <v/>
      </c>
      <c r="R23" cm="1">
        <f t="array" ref="R23">IF($A23="","",IF(AND(INDEX($C23:$J23,R$2)&gt;0,$A23&lt;&gt;INDEX('TRIP MANAGER'!$T$18:$T$25,R$2),$A23&lt;&gt;INDEX('TRIP MANAGER'!$U$18:$U$25,R$2)),1,0))</f>
        <v>0</v>
      </c>
      <c r="S23" cm="1">
        <f t="array" ref="S23">IF($A23="","",IF(AND(INDEX($C23:$J23,S$2)&gt;0,$A23&lt;&gt;INDEX('TRIP MANAGER'!$T$18:$T$25,S$2),$A23&lt;&gt;INDEX('TRIP MANAGER'!$U$18:$U$25,S$2)),1,0))</f>
        <v>0</v>
      </c>
      <c r="T23" cm="1">
        <f t="array" ref="T23">IF($A23="","",IF(AND(INDEX($C23:$J23,T$2)&gt;0,$A23&lt;&gt;INDEX('TRIP MANAGER'!$T$18:$T$25,T$2),$A23&lt;&gt;INDEX('TRIP MANAGER'!$U$18:$U$25,T$2)),1,0))</f>
        <v>0</v>
      </c>
      <c r="U23" cm="1">
        <f t="array" ref="U23">IF($A23="","",IF(AND(INDEX($C23:$J23,U$2)&gt;0,$A23&lt;&gt;INDEX('TRIP MANAGER'!$T$18:$T$25,U$2),$A23&lt;&gt;INDEX('TRIP MANAGER'!$U$18:$U$25,U$2)),1,0))</f>
        <v>0</v>
      </c>
      <c r="V23" cm="1">
        <f t="array" ref="V23">IF($A23="","",IF(AND(INDEX($C23:$J23,V$2)&gt;0,$A23&lt;&gt;INDEX('TRIP MANAGER'!$T$18:$T$25,V$2),$A23&lt;&gt;INDEX('TRIP MANAGER'!$U$18:$U$25,V$2)),1,0))</f>
        <v>0</v>
      </c>
      <c r="W23" cm="1">
        <f t="array" ref="W23">IF($A23="","",IF(AND(INDEX($C23:$J23,W$2)&gt;0,$A23&lt;&gt;INDEX('TRIP MANAGER'!$T$18:$T$25,W$2),$A23&lt;&gt;INDEX('TRIP MANAGER'!$U$18:$U$25,W$2)),1,0))</f>
        <v>0</v>
      </c>
      <c r="X23" cm="1">
        <f t="array" ref="X23">IF($A23="","",IF(AND(INDEX($C23:$J23,X$2)&gt;0,$A23&lt;&gt;INDEX('TRIP MANAGER'!$T$18:$T$25,X$2),$A23&lt;&gt;INDEX('TRIP MANAGER'!$U$18:$U$25,X$2)),1,0))</f>
        <v>0</v>
      </c>
      <c r="Y23" cm="1">
        <f t="array" ref="Y23">IF($A23="","",IF(AND(INDEX($C23:$J23,Y$2)&gt;0,$A23&lt;&gt;INDEX('TRIP MANAGER'!$T$18:$T$25,Y$2),$A23&lt;&gt;INDEX('TRIP MANAGER'!$U$18:$U$25,Y$2)),1,0))</f>
        <v>0</v>
      </c>
    </row>
    <row r="24" spans="1:25" x14ac:dyDescent="0.3">
      <c r="A24" t="str">
        <f>IF(countries!$D23="","",countries!$D23)</f>
        <v>GHA</v>
      </c>
      <c r="B24" t="str">
        <f>IF(countries!$B23="","",countries!$B23)</f>
        <v>Ghana</v>
      </c>
      <c r="C24">
        <f>IF($A24="","",COUNTIFS(route_calc!$A$2:$A$1209,C$2,route_calc!$P$2:$P$1209,$A24))</f>
        <v>0</v>
      </c>
      <c r="D24">
        <f>IF($A24="","",COUNTIFS(route_calc!$A$2:$A$1209,D$2,route_calc!$P$2:$P$1209,$A24))</f>
        <v>0</v>
      </c>
      <c r="E24">
        <f>IF($A24="","",COUNTIFS(route_calc!$A$2:$A$1209,E$2,route_calc!$P$2:$P$1209,$A24))</f>
        <v>0</v>
      </c>
      <c r="F24">
        <f>IF($A24="","",COUNTIFS(route_calc!$A$2:$A$1209,F$2,route_calc!$P$2:$P$1209,$A24))</f>
        <v>0</v>
      </c>
      <c r="G24">
        <f>IF($A24="","",COUNTIFS(route_calc!$A$2:$A$1209,G$2,route_calc!$P$2:$P$1209,$A24))</f>
        <v>0</v>
      </c>
      <c r="H24">
        <f>IF($A24="","",COUNTIFS(route_calc!$A$2:$A$1209,H$2,route_calc!$P$2:$P$1209,$A24))</f>
        <v>0</v>
      </c>
      <c r="I24">
        <f>IF($A24="","",COUNTIFS(route_calc!$A$2:$A$1209,I$2,route_calc!$P$2:$P$1209,$A24))</f>
        <v>0</v>
      </c>
      <c r="J24">
        <f>IF($A24="","",COUNTIFS(route_calc!$A$2:$A$1209,J$2,route_calc!$P$2:$P$1209,$A24))</f>
        <v>0</v>
      </c>
      <c r="K24" t="str">
        <f>IF($L24=0,"",_xlfn.MINIFS(route_calc!$Q$2:$Q$1209,route_calc!$P$2:$P$1209,$A24,route_calc!$A$2:$A$1209,MATCH(1,$R24:$Y24,0)))</f>
        <v/>
      </c>
      <c r="L24">
        <f t="shared" si="0"/>
        <v>0</v>
      </c>
      <c r="M24" t="str" cm="1">
        <f t="array" ref="M24">IF($L24=0,"",_xlfn.TEXTJOIN(", ",TRUE,IF($R24:$Y24&gt;0,$C$1:$J$1,"")))</f>
        <v/>
      </c>
      <c r="N24" t="str" cm="1">
        <f t="array" ref="N24">IF($L24=0,"",SUMPRODUCT(($L$3:$L$144=1)*($K$3:$K$144&lt;$K24))+1)</f>
        <v/>
      </c>
      <c r="O24" t="str">
        <f t="shared" si="1"/>
        <v/>
      </c>
      <c r="P24" t="str">
        <f>IF($A24="","",IFERROR(INDEX(countries!$G:$G,MATCH($A24,countries!$D:$D,0)),""))</f>
        <v>REQUIRED</v>
      </c>
      <c r="Q24" t="str">
        <f>IF($A24="","",IFERROR(IF(INDEX(countries!$I:$I,MATCH($A24,countries!$D:$D,0))=0,"",INDEX(countries!$I:$I,MATCH($A24,countries!$D:$D,0))),""))</f>
        <v/>
      </c>
      <c r="R24" cm="1">
        <f t="array" ref="R24">IF($A24="","",IF(AND(INDEX($C24:$J24,R$2)&gt;0,$A24&lt;&gt;INDEX('TRIP MANAGER'!$T$18:$T$25,R$2),$A24&lt;&gt;INDEX('TRIP MANAGER'!$U$18:$U$25,R$2)),1,0))</f>
        <v>0</v>
      </c>
      <c r="S24" cm="1">
        <f t="array" ref="S24">IF($A24="","",IF(AND(INDEX($C24:$J24,S$2)&gt;0,$A24&lt;&gt;INDEX('TRIP MANAGER'!$T$18:$T$25,S$2),$A24&lt;&gt;INDEX('TRIP MANAGER'!$U$18:$U$25,S$2)),1,0))</f>
        <v>0</v>
      </c>
      <c r="T24" cm="1">
        <f t="array" ref="T24">IF($A24="","",IF(AND(INDEX($C24:$J24,T$2)&gt;0,$A24&lt;&gt;INDEX('TRIP MANAGER'!$T$18:$T$25,T$2),$A24&lt;&gt;INDEX('TRIP MANAGER'!$U$18:$U$25,T$2)),1,0))</f>
        <v>0</v>
      </c>
      <c r="U24" cm="1">
        <f t="array" ref="U24">IF($A24="","",IF(AND(INDEX($C24:$J24,U$2)&gt;0,$A24&lt;&gt;INDEX('TRIP MANAGER'!$T$18:$T$25,U$2),$A24&lt;&gt;INDEX('TRIP MANAGER'!$U$18:$U$25,U$2)),1,0))</f>
        <v>0</v>
      </c>
      <c r="V24" cm="1">
        <f t="array" ref="V24">IF($A24="","",IF(AND(INDEX($C24:$J24,V$2)&gt;0,$A24&lt;&gt;INDEX('TRIP MANAGER'!$T$18:$T$25,V$2),$A24&lt;&gt;INDEX('TRIP MANAGER'!$U$18:$U$25,V$2)),1,0))</f>
        <v>0</v>
      </c>
      <c r="W24" cm="1">
        <f t="array" ref="W24">IF($A24="","",IF(AND(INDEX($C24:$J24,W$2)&gt;0,$A24&lt;&gt;INDEX('TRIP MANAGER'!$T$18:$T$25,W$2),$A24&lt;&gt;INDEX('TRIP MANAGER'!$U$18:$U$25,W$2)),1,0))</f>
        <v>0</v>
      </c>
      <c r="X24" cm="1">
        <f t="array" ref="X24">IF($A24="","",IF(AND(INDEX($C24:$J24,X$2)&gt;0,$A24&lt;&gt;INDEX('TRIP MANAGER'!$T$18:$T$25,X$2),$A24&lt;&gt;INDEX('TRIP MANAGER'!$U$18:$U$25,X$2)),1,0))</f>
        <v>0</v>
      </c>
      <c r="Y24" cm="1">
        <f t="array" ref="Y24">IF($A24="","",IF(AND(INDEX($C24:$J24,Y$2)&gt;0,$A24&lt;&gt;INDEX('TRIP MANAGER'!$T$18:$T$25,Y$2),$A24&lt;&gt;INDEX('TRIP MANAGER'!$U$18:$U$25,Y$2)),1,0))</f>
        <v>0</v>
      </c>
    </row>
    <row r="25" spans="1:25" x14ac:dyDescent="0.3">
      <c r="A25" t="str">
        <f>IF(countries!$D24="","",countries!$D24)</f>
        <v>GIN</v>
      </c>
      <c r="B25" t="str">
        <f>IF(countries!$B24="","",countries!$B24)</f>
        <v>Guinea</v>
      </c>
      <c r="C25">
        <f>IF($A25="","",COUNTIFS(route_calc!$A$2:$A$1209,C$2,route_calc!$P$2:$P$1209,$A25))</f>
        <v>0</v>
      </c>
      <c r="D25">
        <f>IF($A25="","",COUNTIFS(route_calc!$A$2:$A$1209,D$2,route_calc!$P$2:$P$1209,$A25))</f>
        <v>0</v>
      </c>
      <c r="E25">
        <f>IF($A25="","",COUNTIFS(route_calc!$A$2:$A$1209,E$2,route_calc!$P$2:$P$1209,$A25))</f>
        <v>0</v>
      </c>
      <c r="F25">
        <f>IF($A25="","",COUNTIFS(route_calc!$A$2:$A$1209,F$2,route_calc!$P$2:$P$1209,$A25))</f>
        <v>0</v>
      </c>
      <c r="G25">
        <f>IF($A25="","",COUNTIFS(route_calc!$A$2:$A$1209,G$2,route_calc!$P$2:$P$1209,$A25))</f>
        <v>0</v>
      </c>
      <c r="H25">
        <f>IF($A25="","",COUNTIFS(route_calc!$A$2:$A$1209,H$2,route_calc!$P$2:$P$1209,$A25))</f>
        <v>0</v>
      </c>
      <c r="I25">
        <f>IF($A25="","",COUNTIFS(route_calc!$A$2:$A$1209,I$2,route_calc!$P$2:$P$1209,$A25))</f>
        <v>0</v>
      </c>
      <c r="J25">
        <f>IF($A25="","",COUNTIFS(route_calc!$A$2:$A$1209,J$2,route_calc!$P$2:$P$1209,$A25))</f>
        <v>0</v>
      </c>
      <c r="K25" t="str">
        <f>IF($L25=0,"",_xlfn.MINIFS(route_calc!$Q$2:$Q$1209,route_calc!$P$2:$P$1209,$A25,route_calc!$A$2:$A$1209,MATCH(1,$R25:$Y25,0)))</f>
        <v/>
      </c>
      <c r="L25">
        <f t="shared" si="0"/>
        <v>0</v>
      </c>
      <c r="M25" t="str" cm="1">
        <f t="array" ref="M25">IF($L25=0,"",_xlfn.TEXTJOIN(", ",TRUE,IF($R25:$Y25&gt;0,$C$1:$J$1,"")))</f>
        <v/>
      </c>
      <c r="N25" t="str" cm="1">
        <f t="array" ref="N25">IF($L25=0,"",SUMPRODUCT(($L$3:$L$144=1)*($K$3:$K$144&lt;$K25))+1)</f>
        <v/>
      </c>
      <c r="O25" t="str">
        <f t="shared" si="1"/>
        <v/>
      </c>
      <c r="P25" t="str">
        <f>IF($A25="","",IFERROR(INDEX(countries!$G:$G,MATCH($A25,countries!$D:$D,0)),""))</f>
        <v>REQUIRED</v>
      </c>
      <c r="Q25" t="str">
        <f>IF($A25="","",IFERROR(IF(INDEX(countries!$I:$I,MATCH($A25,countries!$D:$D,0))=0,"",INDEX(countries!$I:$I,MATCH($A25,countries!$D:$D,0))),""))</f>
        <v/>
      </c>
      <c r="R25" cm="1">
        <f t="array" ref="R25">IF($A25="","",IF(AND(INDEX($C25:$J25,R$2)&gt;0,$A25&lt;&gt;INDEX('TRIP MANAGER'!$T$18:$T$25,R$2),$A25&lt;&gt;INDEX('TRIP MANAGER'!$U$18:$U$25,R$2)),1,0))</f>
        <v>0</v>
      </c>
      <c r="S25" cm="1">
        <f t="array" ref="S25">IF($A25="","",IF(AND(INDEX($C25:$J25,S$2)&gt;0,$A25&lt;&gt;INDEX('TRIP MANAGER'!$T$18:$T$25,S$2),$A25&lt;&gt;INDEX('TRIP MANAGER'!$U$18:$U$25,S$2)),1,0))</f>
        <v>0</v>
      </c>
      <c r="T25" cm="1">
        <f t="array" ref="T25">IF($A25="","",IF(AND(INDEX($C25:$J25,T$2)&gt;0,$A25&lt;&gt;INDEX('TRIP MANAGER'!$T$18:$T$25,T$2),$A25&lt;&gt;INDEX('TRIP MANAGER'!$U$18:$U$25,T$2)),1,0))</f>
        <v>0</v>
      </c>
      <c r="U25" cm="1">
        <f t="array" ref="U25">IF($A25="","",IF(AND(INDEX($C25:$J25,U$2)&gt;0,$A25&lt;&gt;INDEX('TRIP MANAGER'!$T$18:$T$25,U$2),$A25&lt;&gt;INDEX('TRIP MANAGER'!$U$18:$U$25,U$2)),1,0))</f>
        <v>0</v>
      </c>
      <c r="V25" cm="1">
        <f t="array" ref="V25">IF($A25="","",IF(AND(INDEX($C25:$J25,V$2)&gt;0,$A25&lt;&gt;INDEX('TRIP MANAGER'!$T$18:$T$25,V$2),$A25&lt;&gt;INDEX('TRIP MANAGER'!$U$18:$U$25,V$2)),1,0))</f>
        <v>0</v>
      </c>
      <c r="W25" cm="1">
        <f t="array" ref="W25">IF($A25="","",IF(AND(INDEX($C25:$J25,W$2)&gt;0,$A25&lt;&gt;INDEX('TRIP MANAGER'!$T$18:$T$25,W$2),$A25&lt;&gt;INDEX('TRIP MANAGER'!$U$18:$U$25,W$2)),1,0))</f>
        <v>0</v>
      </c>
      <c r="X25" cm="1">
        <f t="array" ref="X25">IF($A25="","",IF(AND(INDEX($C25:$J25,X$2)&gt;0,$A25&lt;&gt;INDEX('TRIP MANAGER'!$T$18:$T$25,X$2),$A25&lt;&gt;INDEX('TRIP MANAGER'!$U$18:$U$25,X$2)),1,0))</f>
        <v>0</v>
      </c>
      <c r="Y25" cm="1">
        <f t="array" ref="Y25">IF($A25="","",IF(AND(INDEX($C25:$J25,Y$2)&gt;0,$A25&lt;&gt;INDEX('TRIP MANAGER'!$T$18:$T$25,Y$2),$A25&lt;&gt;INDEX('TRIP MANAGER'!$U$18:$U$25,Y$2)),1,0))</f>
        <v>0</v>
      </c>
    </row>
    <row r="26" spans="1:25" x14ac:dyDescent="0.3">
      <c r="A26" t="str">
        <f>IF(countries!$D25="","",countries!$D25)</f>
        <v>GNB</v>
      </c>
      <c r="B26" t="str">
        <f>IF(countries!$B25="","",countries!$B25)</f>
        <v>Guinea-Bissau</v>
      </c>
      <c r="C26">
        <f>IF($A26="","",COUNTIFS(route_calc!$A$2:$A$1209,C$2,route_calc!$P$2:$P$1209,$A26))</f>
        <v>0</v>
      </c>
      <c r="D26">
        <f>IF($A26="","",COUNTIFS(route_calc!$A$2:$A$1209,D$2,route_calc!$P$2:$P$1209,$A26))</f>
        <v>0</v>
      </c>
      <c r="E26">
        <f>IF($A26="","",COUNTIFS(route_calc!$A$2:$A$1209,E$2,route_calc!$P$2:$P$1209,$A26))</f>
        <v>0</v>
      </c>
      <c r="F26">
        <f>IF($A26="","",COUNTIFS(route_calc!$A$2:$A$1209,F$2,route_calc!$P$2:$P$1209,$A26))</f>
        <v>0</v>
      </c>
      <c r="G26">
        <f>IF($A26="","",COUNTIFS(route_calc!$A$2:$A$1209,G$2,route_calc!$P$2:$P$1209,$A26))</f>
        <v>0</v>
      </c>
      <c r="H26">
        <f>IF($A26="","",COUNTIFS(route_calc!$A$2:$A$1209,H$2,route_calc!$P$2:$P$1209,$A26))</f>
        <v>0</v>
      </c>
      <c r="I26">
        <f>IF($A26="","",COUNTIFS(route_calc!$A$2:$A$1209,I$2,route_calc!$P$2:$P$1209,$A26))</f>
        <v>0</v>
      </c>
      <c r="J26">
        <f>IF($A26="","",COUNTIFS(route_calc!$A$2:$A$1209,J$2,route_calc!$P$2:$P$1209,$A26))</f>
        <v>0</v>
      </c>
      <c r="K26" t="str">
        <f>IF($L26=0,"",_xlfn.MINIFS(route_calc!$Q$2:$Q$1209,route_calc!$P$2:$P$1209,$A26,route_calc!$A$2:$A$1209,MATCH(1,$R26:$Y26,0)))</f>
        <v/>
      </c>
      <c r="L26">
        <f t="shared" si="0"/>
        <v>0</v>
      </c>
      <c r="M26" t="str" cm="1">
        <f t="array" ref="M26">IF($L26=0,"",_xlfn.TEXTJOIN(", ",TRUE,IF($R26:$Y26&gt;0,$C$1:$J$1,"")))</f>
        <v/>
      </c>
      <c r="N26" t="str" cm="1">
        <f t="array" ref="N26">IF($L26=0,"",SUMPRODUCT(($L$3:$L$144=1)*($K$3:$K$144&lt;$K26))+1)</f>
        <v/>
      </c>
      <c r="O26" t="str">
        <f t="shared" si="1"/>
        <v/>
      </c>
      <c r="P26" t="str">
        <f>IF($A26="","",IFERROR(INDEX(countries!$G:$G,MATCH($A26,countries!$D:$D,0)),""))</f>
        <v>REQUIRED</v>
      </c>
      <c r="Q26" t="str">
        <f>IF($A26="","",IFERROR(IF(INDEX(countries!$I:$I,MATCH($A26,countries!$D:$D,0))=0,"",INDEX(countries!$I:$I,MATCH($A26,countries!$D:$D,0))),""))</f>
        <v/>
      </c>
      <c r="R26" cm="1">
        <f t="array" ref="R26">IF($A26="","",IF(AND(INDEX($C26:$J26,R$2)&gt;0,$A26&lt;&gt;INDEX('TRIP MANAGER'!$T$18:$T$25,R$2),$A26&lt;&gt;INDEX('TRIP MANAGER'!$U$18:$U$25,R$2)),1,0))</f>
        <v>0</v>
      </c>
      <c r="S26" cm="1">
        <f t="array" ref="S26">IF($A26="","",IF(AND(INDEX($C26:$J26,S$2)&gt;0,$A26&lt;&gt;INDEX('TRIP MANAGER'!$T$18:$T$25,S$2),$A26&lt;&gt;INDEX('TRIP MANAGER'!$U$18:$U$25,S$2)),1,0))</f>
        <v>0</v>
      </c>
      <c r="T26" cm="1">
        <f t="array" ref="T26">IF($A26="","",IF(AND(INDEX($C26:$J26,T$2)&gt;0,$A26&lt;&gt;INDEX('TRIP MANAGER'!$T$18:$T$25,T$2),$A26&lt;&gt;INDEX('TRIP MANAGER'!$U$18:$U$25,T$2)),1,0))</f>
        <v>0</v>
      </c>
      <c r="U26" cm="1">
        <f t="array" ref="U26">IF($A26="","",IF(AND(INDEX($C26:$J26,U$2)&gt;0,$A26&lt;&gt;INDEX('TRIP MANAGER'!$T$18:$T$25,U$2),$A26&lt;&gt;INDEX('TRIP MANAGER'!$U$18:$U$25,U$2)),1,0))</f>
        <v>0</v>
      </c>
      <c r="V26" cm="1">
        <f t="array" ref="V26">IF($A26="","",IF(AND(INDEX($C26:$J26,V$2)&gt;0,$A26&lt;&gt;INDEX('TRIP MANAGER'!$T$18:$T$25,V$2),$A26&lt;&gt;INDEX('TRIP MANAGER'!$U$18:$U$25,V$2)),1,0))</f>
        <v>0</v>
      </c>
      <c r="W26" cm="1">
        <f t="array" ref="W26">IF($A26="","",IF(AND(INDEX($C26:$J26,W$2)&gt;0,$A26&lt;&gt;INDEX('TRIP MANAGER'!$T$18:$T$25,W$2),$A26&lt;&gt;INDEX('TRIP MANAGER'!$U$18:$U$25,W$2)),1,0))</f>
        <v>0</v>
      </c>
      <c r="X26" cm="1">
        <f t="array" ref="X26">IF($A26="","",IF(AND(INDEX($C26:$J26,X$2)&gt;0,$A26&lt;&gt;INDEX('TRIP MANAGER'!$T$18:$T$25,X$2),$A26&lt;&gt;INDEX('TRIP MANAGER'!$U$18:$U$25,X$2)),1,0))</f>
        <v>0</v>
      </c>
      <c r="Y26" cm="1">
        <f t="array" ref="Y26">IF($A26="","",IF(AND(INDEX($C26:$J26,Y$2)&gt;0,$A26&lt;&gt;INDEX('TRIP MANAGER'!$T$18:$T$25,Y$2),$A26&lt;&gt;INDEX('TRIP MANAGER'!$U$18:$U$25,Y$2)),1,0))</f>
        <v>0</v>
      </c>
    </row>
    <row r="27" spans="1:25" x14ac:dyDescent="0.3">
      <c r="A27" t="str">
        <f>IF(countries!$D26="","",countries!$D26)</f>
        <v>KEN</v>
      </c>
      <c r="B27" t="str">
        <f>IF(countries!$B26="","",countries!$B26)</f>
        <v>Kenya</v>
      </c>
      <c r="C27">
        <f>IF($A27="","",COUNTIFS(route_calc!$A$2:$A$1209,C$2,route_calc!$P$2:$P$1209,$A27))</f>
        <v>0</v>
      </c>
      <c r="D27">
        <f>IF($A27="","",COUNTIFS(route_calc!$A$2:$A$1209,D$2,route_calc!$P$2:$P$1209,$A27))</f>
        <v>0</v>
      </c>
      <c r="E27">
        <f>IF($A27="","",COUNTIFS(route_calc!$A$2:$A$1209,E$2,route_calc!$P$2:$P$1209,$A27))</f>
        <v>0</v>
      </c>
      <c r="F27">
        <f>IF($A27="","",COUNTIFS(route_calc!$A$2:$A$1209,F$2,route_calc!$P$2:$P$1209,$A27))</f>
        <v>0</v>
      </c>
      <c r="G27">
        <f>IF($A27="","",COUNTIFS(route_calc!$A$2:$A$1209,G$2,route_calc!$P$2:$P$1209,$A27))</f>
        <v>0</v>
      </c>
      <c r="H27">
        <f>IF($A27="","",COUNTIFS(route_calc!$A$2:$A$1209,H$2,route_calc!$P$2:$P$1209,$A27))</f>
        <v>0</v>
      </c>
      <c r="I27">
        <f>IF($A27="","",COUNTIFS(route_calc!$A$2:$A$1209,I$2,route_calc!$P$2:$P$1209,$A27))</f>
        <v>0</v>
      </c>
      <c r="J27">
        <f>IF($A27="","",COUNTIFS(route_calc!$A$2:$A$1209,J$2,route_calc!$P$2:$P$1209,$A27))</f>
        <v>0</v>
      </c>
      <c r="K27" t="str">
        <f>IF($L27=0,"",_xlfn.MINIFS(route_calc!$Q$2:$Q$1209,route_calc!$P$2:$P$1209,$A27,route_calc!$A$2:$A$1209,MATCH(1,$R27:$Y27,0)))</f>
        <v/>
      </c>
      <c r="L27">
        <f t="shared" si="0"/>
        <v>0</v>
      </c>
      <c r="M27" t="str" cm="1">
        <f t="array" ref="M27">IF($L27=0,"",_xlfn.TEXTJOIN(", ",TRUE,IF($R27:$Y27&gt;0,$C$1:$J$1,"")))</f>
        <v/>
      </c>
      <c r="N27" t="str" cm="1">
        <f t="array" ref="N27">IF($L27=0,"",SUMPRODUCT(($L$3:$L$144=1)*($K$3:$K$144&lt;$K27))+1)</f>
        <v/>
      </c>
      <c r="O27" t="str">
        <f t="shared" si="1"/>
        <v/>
      </c>
      <c r="P27" t="str">
        <f>IF($A27="","",IFERROR(INDEX(countries!$G:$G,MATCH($A27,countries!$D:$D,0)),""))</f>
        <v>REQUIRED</v>
      </c>
      <c r="Q27" t="str">
        <f>IF($A27="","",IFERROR(IF(INDEX(countries!$I:$I,MATCH($A27,countries!$D:$D,0))=0,"",INDEX(countries!$I:$I,MATCH($A27,countries!$D:$D,0))),""))</f>
        <v/>
      </c>
      <c r="R27" cm="1">
        <f t="array" ref="R27">IF($A27="","",IF(AND(INDEX($C27:$J27,R$2)&gt;0,$A27&lt;&gt;INDEX('TRIP MANAGER'!$T$18:$T$25,R$2),$A27&lt;&gt;INDEX('TRIP MANAGER'!$U$18:$U$25,R$2)),1,0))</f>
        <v>0</v>
      </c>
      <c r="S27" cm="1">
        <f t="array" ref="S27">IF($A27="","",IF(AND(INDEX($C27:$J27,S$2)&gt;0,$A27&lt;&gt;INDEX('TRIP MANAGER'!$T$18:$T$25,S$2),$A27&lt;&gt;INDEX('TRIP MANAGER'!$U$18:$U$25,S$2)),1,0))</f>
        <v>0</v>
      </c>
      <c r="T27" cm="1">
        <f t="array" ref="T27">IF($A27="","",IF(AND(INDEX($C27:$J27,T$2)&gt;0,$A27&lt;&gt;INDEX('TRIP MANAGER'!$T$18:$T$25,T$2),$A27&lt;&gt;INDEX('TRIP MANAGER'!$U$18:$U$25,T$2)),1,0))</f>
        <v>0</v>
      </c>
      <c r="U27" cm="1">
        <f t="array" ref="U27">IF($A27="","",IF(AND(INDEX($C27:$J27,U$2)&gt;0,$A27&lt;&gt;INDEX('TRIP MANAGER'!$T$18:$T$25,U$2),$A27&lt;&gt;INDEX('TRIP MANAGER'!$U$18:$U$25,U$2)),1,0))</f>
        <v>0</v>
      </c>
      <c r="V27" cm="1">
        <f t="array" ref="V27">IF($A27="","",IF(AND(INDEX($C27:$J27,V$2)&gt;0,$A27&lt;&gt;INDEX('TRIP MANAGER'!$T$18:$T$25,V$2),$A27&lt;&gt;INDEX('TRIP MANAGER'!$U$18:$U$25,V$2)),1,0))</f>
        <v>0</v>
      </c>
      <c r="W27" cm="1">
        <f t="array" ref="W27">IF($A27="","",IF(AND(INDEX($C27:$J27,W$2)&gt;0,$A27&lt;&gt;INDEX('TRIP MANAGER'!$T$18:$T$25,W$2),$A27&lt;&gt;INDEX('TRIP MANAGER'!$U$18:$U$25,W$2)),1,0))</f>
        <v>0</v>
      </c>
      <c r="X27" cm="1">
        <f t="array" ref="X27">IF($A27="","",IF(AND(INDEX($C27:$J27,X$2)&gt;0,$A27&lt;&gt;INDEX('TRIP MANAGER'!$T$18:$T$25,X$2),$A27&lt;&gt;INDEX('TRIP MANAGER'!$U$18:$U$25,X$2)),1,0))</f>
        <v>0</v>
      </c>
      <c r="Y27" cm="1">
        <f t="array" ref="Y27">IF($A27="","",IF(AND(INDEX($C27:$J27,Y$2)&gt;0,$A27&lt;&gt;INDEX('TRIP MANAGER'!$T$18:$T$25,Y$2),$A27&lt;&gt;INDEX('TRIP MANAGER'!$U$18:$U$25,Y$2)),1,0))</f>
        <v>0</v>
      </c>
    </row>
    <row r="28" spans="1:25" x14ac:dyDescent="0.3">
      <c r="A28" t="str">
        <f>IF(countries!$D27="","",countries!$D27)</f>
        <v>LSO</v>
      </c>
      <c r="B28" t="str">
        <f>IF(countries!$B27="","",countries!$B27)</f>
        <v>Lesotho</v>
      </c>
      <c r="C28">
        <f>IF($A28="","",COUNTIFS(route_calc!$A$2:$A$1209,C$2,route_calc!$P$2:$P$1209,$A28))</f>
        <v>0</v>
      </c>
      <c r="D28">
        <f>IF($A28="","",COUNTIFS(route_calc!$A$2:$A$1209,D$2,route_calc!$P$2:$P$1209,$A28))</f>
        <v>0</v>
      </c>
      <c r="E28">
        <f>IF($A28="","",COUNTIFS(route_calc!$A$2:$A$1209,E$2,route_calc!$P$2:$P$1209,$A28))</f>
        <v>0</v>
      </c>
      <c r="F28">
        <f>IF($A28="","",COUNTIFS(route_calc!$A$2:$A$1209,F$2,route_calc!$P$2:$P$1209,$A28))</f>
        <v>0</v>
      </c>
      <c r="G28">
        <f>IF($A28="","",COUNTIFS(route_calc!$A$2:$A$1209,G$2,route_calc!$P$2:$P$1209,$A28))</f>
        <v>0</v>
      </c>
      <c r="H28">
        <f>IF($A28="","",COUNTIFS(route_calc!$A$2:$A$1209,H$2,route_calc!$P$2:$P$1209,$A28))</f>
        <v>0</v>
      </c>
      <c r="I28">
        <f>IF($A28="","",COUNTIFS(route_calc!$A$2:$A$1209,I$2,route_calc!$P$2:$P$1209,$A28))</f>
        <v>0</v>
      </c>
      <c r="J28">
        <f>IF($A28="","",COUNTIFS(route_calc!$A$2:$A$1209,J$2,route_calc!$P$2:$P$1209,$A28))</f>
        <v>0</v>
      </c>
      <c r="K28" t="str">
        <f>IF($L28=0,"",_xlfn.MINIFS(route_calc!$Q$2:$Q$1209,route_calc!$P$2:$P$1209,$A28,route_calc!$A$2:$A$1209,MATCH(1,$R28:$Y28,0)))</f>
        <v/>
      </c>
      <c r="L28">
        <f t="shared" si="0"/>
        <v>0</v>
      </c>
      <c r="M28" t="str" cm="1">
        <f t="array" ref="M28">IF($L28=0,"",_xlfn.TEXTJOIN(", ",TRUE,IF($R28:$Y28&gt;0,$C$1:$J$1,"")))</f>
        <v/>
      </c>
      <c r="N28" t="str" cm="1">
        <f t="array" ref="N28">IF($L28=0,"",SUMPRODUCT(($L$3:$L$144=1)*($K$3:$K$144&lt;$K28))+1)</f>
        <v/>
      </c>
      <c r="O28" t="str">
        <f t="shared" si="1"/>
        <v/>
      </c>
      <c r="P28" t="str">
        <f>IF($A28="","",IFERROR(INDEX(countries!$G:$G,MATCH($A28,countries!$D:$D,0)),""))</f>
        <v>REQUIRED</v>
      </c>
      <c r="Q28" t="str">
        <f>IF($A28="","",IFERROR(IF(INDEX(countries!$I:$I,MATCH($A28,countries!$D:$D,0))=0,"",INDEX(countries!$I:$I,MATCH($A28,countries!$D:$D,0))),""))</f>
        <v/>
      </c>
      <c r="R28" cm="1">
        <f t="array" ref="R28">IF($A28="","",IF(AND(INDEX($C28:$J28,R$2)&gt;0,$A28&lt;&gt;INDEX('TRIP MANAGER'!$T$18:$T$25,R$2),$A28&lt;&gt;INDEX('TRIP MANAGER'!$U$18:$U$25,R$2)),1,0))</f>
        <v>0</v>
      </c>
      <c r="S28" cm="1">
        <f t="array" ref="S28">IF($A28="","",IF(AND(INDEX($C28:$J28,S$2)&gt;0,$A28&lt;&gt;INDEX('TRIP MANAGER'!$T$18:$T$25,S$2),$A28&lt;&gt;INDEX('TRIP MANAGER'!$U$18:$U$25,S$2)),1,0))</f>
        <v>0</v>
      </c>
      <c r="T28" cm="1">
        <f t="array" ref="T28">IF($A28="","",IF(AND(INDEX($C28:$J28,T$2)&gt;0,$A28&lt;&gt;INDEX('TRIP MANAGER'!$T$18:$T$25,T$2),$A28&lt;&gt;INDEX('TRIP MANAGER'!$U$18:$U$25,T$2)),1,0))</f>
        <v>0</v>
      </c>
      <c r="U28" cm="1">
        <f t="array" ref="U28">IF($A28="","",IF(AND(INDEX($C28:$J28,U$2)&gt;0,$A28&lt;&gt;INDEX('TRIP MANAGER'!$T$18:$T$25,U$2),$A28&lt;&gt;INDEX('TRIP MANAGER'!$U$18:$U$25,U$2)),1,0))</f>
        <v>0</v>
      </c>
      <c r="V28" cm="1">
        <f t="array" ref="V28">IF($A28="","",IF(AND(INDEX($C28:$J28,V$2)&gt;0,$A28&lt;&gt;INDEX('TRIP MANAGER'!$T$18:$T$25,V$2),$A28&lt;&gt;INDEX('TRIP MANAGER'!$U$18:$U$25,V$2)),1,0))</f>
        <v>0</v>
      </c>
      <c r="W28" cm="1">
        <f t="array" ref="W28">IF($A28="","",IF(AND(INDEX($C28:$J28,W$2)&gt;0,$A28&lt;&gt;INDEX('TRIP MANAGER'!$T$18:$T$25,W$2),$A28&lt;&gt;INDEX('TRIP MANAGER'!$U$18:$U$25,W$2)),1,0))</f>
        <v>0</v>
      </c>
      <c r="X28" cm="1">
        <f t="array" ref="X28">IF($A28="","",IF(AND(INDEX($C28:$J28,X$2)&gt;0,$A28&lt;&gt;INDEX('TRIP MANAGER'!$T$18:$T$25,X$2),$A28&lt;&gt;INDEX('TRIP MANAGER'!$U$18:$U$25,X$2)),1,0))</f>
        <v>0</v>
      </c>
      <c r="Y28" cm="1">
        <f t="array" ref="Y28">IF($A28="","",IF(AND(INDEX($C28:$J28,Y$2)&gt;0,$A28&lt;&gt;INDEX('TRIP MANAGER'!$T$18:$T$25,Y$2),$A28&lt;&gt;INDEX('TRIP MANAGER'!$U$18:$U$25,Y$2)),1,0))</f>
        <v>0</v>
      </c>
    </row>
    <row r="29" spans="1:25" x14ac:dyDescent="0.3">
      <c r="A29" t="str">
        <f>IF(countries!$D28="","",countries!$D28)</f>
        <v>LBR</v>
      </c>
      <c r="B29" t="str">
        <f>IF(countries!$B28="","",countries!$B28)</f>
        <v>Liberia</v>
      </c>
      <c r="C29">
        <f>IF($A29="","",COUNTIFS(route_calc!$A$2:$A$1209,C$2,route_calc!$P$2:$P$1209,$A29))</f>
        <v>0</v>
      </c>
      <c r="D29">
        <f>IF($A29="","",COUNTIFS(route_calc!$A$2:$A$1209,D$2,route_calc!$P$2:$P$1209,$A29))</f>
        <v>0</v>
      </c>
      <c r="E29">
        <f>IF($A29="","",COUNTIFS(route_calc!$A$2:$A$1209,E$2,route_calc!$P$2:$P$1209,$A29))</f>
        <v>0</v>
      </c>
      <c r="F29">
        <f>IF($A29="","",COUNTIFS(route_calc!$A$2:$A$1209,F$2,route_calc!$P$2:$P$1209,$A29))</f>
        <v>0</v>
      </c>
      <c r="G29">
        <f>IF($A29="","",COUNTIFS(route_calc!$A$2:$A$1209,G$2,route_calc!$P$2:$P$1209,$A29))</f>
        <v>0</v>
      </c>
      <c r="H29">
        <f>IF($A29="","",COUNTIFS(route_calc!$A$2:$A$1209,H$2,route_calc!$P$2:$P$1209,$A29))</f>
        <v>0</v>
      </c>
      <c r="I29">
        <f>IF($A29="","",COUNTIFS(route_calc!$A$2:$A$1209,I$2,route_calc!$P$2:$P$1209,$A29))</f>
        <v>0</v>
      </c>
      <c r="J29">
        <f>IF($A29="","",COUNTIFS(route_calc!$A$2:$A$1209,J$2,route_calc!$P$2:$P$1209,$A29))</f>
        <v>0</v>
      </c>
      <c r="K29" t="str">
        <f>IF($L29=0,"",_xlfn.MINIFS(route_calc!$Q$2:$Q$1209,route_calc!$P$2:$P$1209,$A29,route_calc!$A$2:$A$1209,MATCH(1,$R29:$Y29,0)))</f>
        <v/>
      </c>
      <c r="L29">
        <f t="shared" si="0"/>
        <v>0</v>
      </c>
      <c r="M29" t="str" cm="1">
        <f t="array" ref="M29">IF($L29=0,"",_xlfn.TEXTJOIN(", ",TRUE,IF($R29:$Y29&gt;0,$C$1:$J$1,"")))</f>
        <v/>
      </c>
      <c r="N29" t="str" cm="1">
        <f t="array" ref="N29">IF($L29=0,"",SUMPRODUCT(($L$3:$L$144=1)*($K$3:$K$144&lt;$K29))+1)</f>
        <v/>
      </c>
      <c r="O29" t="str">
        <f t="shared" si="1"/>
        <v/>
      </c>
      <c r="P29" t="str">
        <f>IF($A29="","",IFERROR(INDEX(countries!$G:$G,MATCH($A29,countries!$D:$D,0)),""))</f>
        <v>REQUIRED</v>
      </c>
      <c r="Q29" t="str">
        <f>IF($A29="","",IFERROR(IF(INDEX(countries!$I:$I,MATCH($A29,countries!$D:$D,0))=0,"",INDEX(countries!$I:$I,MATCH($A29,countries!$D:$D,0))),""))</f>
        <v/>
      </c>
      <c r="R29" cm="1">
        <f t="array" ref="R29">IF($A29="","",IF(AND(INDEX($C29:$J29,R$2)&gt;0,$A29&lt;&gt;INDEX('TRIP MANAGER'!$T$18:$T$25,R$2),$A29&lt;&gt;INDEX('TRIP MANAGER'!$U$18:$U$25,R$2)),1,0))</f>
        <v>0</v>
      </c>
      <c r="S29" cm="1">
        <f t="array" ref="S29">IF($A29="","",IF(AND(INDEX($C29:$J29,S$2)&gt;0,$A29&lt;&gt;INDEX('TRIP MANAGER'!$T$18:$T$25,S$2),$A29&lt;&gt;INDEX('TRIP MANAGER'!$U$18:$U$25,S$2)),1,0))</f>
        <v>0</v>
      </c>
      <c r="T29" cm="1">
        <f t="array" ref="T29">IF($A29="","",IF(AND(INDEX($C29:$J29,T$2)&gt;0,$A29&lt;&gt;INDEX('TRIP MANAGER'!$T$18:$T$25,T$2),$A29&lt;&gt;INDEX('TRIP MANAGER'!$U$18:$U$25,T$2)),1,0))</f>
        <v>0</v>
      </c>
      <c r="U29" cm="1">
        <f t="array" ref="U29">IF($A29="","",IF(AND(INDEX($C29:$J29,U$2)&gt;0,$A29&lt;&gt;INDEX('TRIP MANAGER'!$T$18:$T$25,U$2),$A29&lt;&gt;INDEX('TRIP MANAGER'!$U$18:$U$25,U$2)),1,0))</f>
        <v>0</v>
      </c>
      <c r="V29" cm="1">
        <f t="array" ref="V29">IF($A29="","",IF(AND(INDEX($C29:$J29,V$2)&gt;0,$A29&lt;&gt;INDEX('TRIP MANAGER'!$T$18:$T$25,V$2),$A29&lt;&gt;INDEX('TRIP MANAGER'!$U$18:$U$25,V$2)),1,0))</f>
        <v>0</v>
      </c>
      <c r="W29" cm="1">
        <f t="array" ref="W29">IF($A29="","",IF(AND(INDEX($C29:$J29,W$2)&gt;0,$A29&lt;&gt;INDEX('TRIP MANAGER'!$T$18:$T$25,W$2),$A29&lt;&gt;INDEX('TRIP MANAGER'!$U$18:$U$25,W$2)),1,0))</f>
        <v>0</v>
      </c>
      <c r="X29" cm="1">
        <f t="array" ref="X29">IF($A29="","",IF(AND(INDEX($C29:$J29,X$2)&gt;0,$A29&lt;&gt;INDEX('TRIP MANAGER'!$T$18:$T$25,X$2),$A29&lt;&gt;INDEX('TRIP MANAGER'!$U$18:$U$25,X$2)),1,0))</f>
        <v>0</v>
      </c>
      <c r="Y29" cm="1">
        <f t="array" ref="Y29">IF($A29="","",IF(AND(INDEX($C29:$J29,Y$2)&gt;0,$A29&lt;&gt;INDEX('TRIP MANAGER'!$T$18:$T$25,Y$2),$A29&lt;&gt;INDEX('TRIP MANAGER'!$U$18:$U$25,Y$2)),1,0))</f>
        <v>0</v>
      </c>
    </row>
    <row r="30" spans="1:25" x14ac:dyDescent="0.3">
      <c r="A30" t="str">
        <f>IF(countries!$D29="","",countries!$D29)</f>
        <v>LBY</v>
      </c>
      <c r="B30" t="str">
        <f>IF(countries!$B29="","",countries!$B29)</f>
        <v>Libya</v>
      </c>
      <c r="C30">
        <f>IF($A30="","",COUNTIFS(route_calc!$A$2:$A$1209,C$2,route_calc!$P$2:$P$1209,$A30))</f>
        <v>0</v>
      </c>
      <c r="D30">
        <f>IF($A30="","",COUNTIFS(route_calc!$A$2:$A$1209,D$2,route_calc!$P$2:$P$1209,$A30))</f>
        <v>27</v>
      </c>
      <c r="E30">
        <f>IF($A30="","",COUNTIFS(route_calc!$A$2:$A$1209,E$2,route_calc!$P$2:$P$1209,$A30))</f>
        <v>37</v>
      </c>
      <c r="F30">
        <f>IF($A30="","",COUNTIFS(route_calc!$A$2:$A$1209,F$2,route_calc!$P$2:$P$1209,$A30))</f>
        <v>0</v>
      </c>
      <c r="G30">
        <f>IF($A30="","",COUNTIFS(route_calc!$A$2:$A$1209,G$2,route_calc!$P$2:$P$1209,$A30))</f>
        <v>0</v>
      </c>
      <c r="H30">
        <f>IF($A30="","",COUNTIFS(route_calc!$A$2:$A$1209,H$2,route_calc!$P$2:$P$1209,$A30))</f>
        <v>0</v>
      </c>
      <c r="I30">
        <f>IF($A30="","",COUNTIFS(route_calc!$A$2:$A$1209,I$2,route_calc!$P$2:$P$1209,$A30))</f>
        <v>0</v>
      </c>
      <c r="J30">
        <f>IF($A30="","",COUNTIFS(route_calc!$A$2:$A$1209,J$2,route_calc!$P$2:$P$1209,$A30))</f>
        <v>0</v>
      </c>
      <c r="K30">
        <f>IF($L30=0,"",_xlfn.MINIFS(route_calc!$Q$2:$Q$1209,route_calc!$P$2:$P$1209,$A30,route_calc!$A$2:$A$1209,MATCH(1,$R30:$Y30,0)))</f>
        <v>2069</v>
      </c>
      <c r="L30">
        <f t="shared" si="0"/>
        <v>1</v>
      </c>
      <c r="M30" t="str" cm="1">
        <f t="array" ref="M30">IF($L30=0,"",_xlfn.TEXTJOIN(", ",TRUE,IF($R30:$Y30&gt;0,$C$1:$J$1,"")))</f>
        <v>L2, L3</v>
      </c>
      <c r="N30" cm="1">
        <f t="array" ref="N30">IF($L30=0,"",SUMPRODUCT(($L$3:$L$144=1)*($K$3:$K$144&lt;$K30))+1)</f>
        <v>8</v>
      </c>
      <c r="O30">
        <f t="shared" si="1"/>
        <v>2</v>
      </c>
      <c r="P30" t="str">
        <f>IF($A30="","",IFERROR(INDEX(countries!$G:$G,MATCH($A30,countries!$D:$D,0)),""))</f>
        <v>REQUIRED</v>
      </c>
      <c r="Q30" t="str">
        <f>IF($A30="","",IFERROR(IF(INDEX(countries!$I:$I,MATCH($A30,countries!$D:$D,0))=0,"",INDEX(countries!$I:$I,MATCH($A30,countries!$D:$D,0))),""))</f>
        <v/>
      </c>
      <c r="R30" cm="1">
        <f t="array" ref="R30">IF($A30="","",IF(AND(INDEX($C30:$J30,R$2)&gt;0,$A30&lt;&gt;INDEX('TRIP MANAGER'!$T$18:$T$25,R$2),$A30&lt;&gt;INDEX('TRIP MANAGER'!$U$18:$U$25,R$2)),1,0))</f>
        <v>0</v>
      </c>
      <c r="S30" cm="1">
        <f t="array" ref="S30">IF($A30="","",IF(AND(INDEX($C30:$J30,S$2)&gt;0,$A30&lt;&gt;INDEX('TRIP MANAGER'!$T$18:$T$25,S$2),$A30&lt;&gt;INDEX('TRIP MANAGER'!$U$18:$U$25,S$2)),1,0))</f>
        <v>1</v>
      </c>
      <c r="T30" cm="1">
        <f t="array" ref="T30">IF($A30="","",IF(AND(INDEX($C30:$J30,T$2)&gt;0,$A30&lt;&gt;INDEX('TRIP MANAGER'!$T$18:$T$25,T$2),$A30&lt;&gt;INDEX('TRIP MANAGER'!$U$18:$U$25,T$2)),1,0))</f>
        <v>1</v>
      </c>
      <c r="U30" cm="1">
        <f t="array" ref="U30">IF($A30="","",IF(AND(INDEX($C30:$J30,U$2)&gt;0,$A30&lt;&gt;INDEX('TRIP MANAGER'!$T$18:$T$25,U$2),$A30&lt;&gt;INDEX('TRIP MANAGER'!$U$18:$U$25,U$2)),1,0))</f>
        <v>0</v>
      </c>
      <c r="V30" cm="1">
        <f t="array" ref="V30">IF($A30="","",IF(AND(INDEX($C30:$J30,V$2)&gt;0,$A30&lt;&gt;INDEX('TRIP MANAGER'!$T$18:$T$25,V$2),$A30&lt;&gt;INDEX('TRIP MANAGER'!$U$18:$U$25,V$2)),1,0))</f>
        <v>0</v>
      </c>
      <c r="W30" cm="1">
        <f t="array" ref="W30">IF($A30="","",IF(AND(INDEX($C30:$J30,W$2)&gt;0,$A30&lt;&gt;INDEX('TRIP MANAGER'!$T$18:$T$25,W$2),$A30&lt;&gt;INDEX('TRIP MANAGER'!$U$18:$U$25,W$2)),1,0))</f>
        <v>0</v>
      </c>
      <c r="X30" cm="1">
        <f t="array" ref="X30">IF($A30="","",IF(AND(INDEX($C30:$J30,X$2)&gt;0,$A30&lt;&gt;INDEX('TRIP MANAGER'!$T$18:$T$25,X$2),$A30&lt;&gt;INDEX('TRIP MANAGER'!$U$18:$U$25,X$2)),1,0))</f>
        <v>0</v>
      </c>
      <c r="Y30" cm="1">
        <f t="array" ref="Y30">IF($A30="","",IF(AND(INDEX($C30:$J30,Y$2)&gt;0,$A30&lt;&gt;INDEX('TRIP MANAGER'!$T$18:$T$25,Y$2),$A30&lt;&gt;INDEX('TRIP MANAGER'!$U$18:$U$25,Y$2)),1,0))</f>
        <v>0</v>
      </c>
    </row>
    <row r="31" spans="1:25" x14ac:dyDescent="0.3">
      <c r="A31" t="str">
        <f>IF(countries!$D30="","",countries!$D30)</f>
        <v>MDG</v>
      </c>
      <c r="B31" t="str">
        <f>IF(countries!$B30="","",countries!$B30)</f>
        <v>Madagascar</v>
      </c>
      <c r="C31">
        <f>IF($A31="","",COUNTIFS(route_calc!$A$2:$A$1209,C$2,route_calc!$P$2:$P$1209,$A31))</f>
        <v>0</v>
      </c>
      <c r="D31">
        <f>IF($A31="","",COUNTIFS(route_calc!$A$2:$A$1209,D$2,route_calc!$P$2:$P$1209,$A31))</f>
        <v>0</v>
      </c>
      <c r="E31">
        <f>IF($A31="","",COUNTIFS(route_calc!$A$2:$A$1209,E$2,route_calc!$P$2:$P$1209,$A31))</f>
        <v>0</v>
      </c>
      <c r="F31">
        <f>IF($A31="","",COUNTIFS(route_calc!$A$2:$A$1209,F$2,route_calc!$P$2:$P$1209,$A31))</f>
        <v>0</v>
      </c>
      <c r="G31">
        <f>IF($A31="","",COUNTIFS(route_calc!$A$2:$A$1209,G$2,route_calc!$P$2:$P$1209,$A31))</f>
        <v>0</v>
      </c>
      <c r="H31">
        <f>IF($A31="","",COUNTIFS(route_calc!$A$2:$A$1209,H$2,route_calc!$P$2:$P$1209,$A31))</f>
        <v>0</v>
      </c>
      <c r="I31">
        <f>IF($A31="","",COUNTIFS(route_calc!$A$2:$A$1209,I$2,route_calc!$P$2:$P$1209,$A31))</f>
        <v>0</v>
      </c>
      <c r="J31">
        <f>IF($A31="","",COUNTIFS(route_calc!$A$2:$A$1209,J$2,route_calc!$P$2:$P$1209,$A31))</f>
        <v>0</v>
      </c>
      <c r="K31" t="str">
        <f>IF($L31=0,"",_xlfn.MINIFS(route_calc!$Q$2:$Q$1209,route_calc!$P$2:$P$1209,$A31,route_calc!$A$2:$A$1209,MATCH(1,$R31:$Y31,0)))</f>
        <v/>
      </c>
      <c r="L31">
        <f t="shared" si="0"/>
        <v>0</v>
      </c>
      <c r="M31" t="str" cm="1">
        <f t="array" ref="M31">IF($L31=0,"",_xlfn.TEXTJOIN(", ",TRUE,IF($R31:$Y31&gt;0,$C$1:$J$1,"")))</f>
        <v/>
      </c>
      <c r="N31" t="str" cm="1">
        <f t="array" ref="N31">IF($L31=0,"",SUMPRODUCT(($L$3:$L$144=1)*($K$3:$K$144&lt;$K31))+1)</f>
        <v/>
      </c>
      <c r="O31" t="str">
        <f t="shared" si="1"/>
        <v/>
      </c>
      <c r="P31" t="str">
        <f>IF($A31="","",IFERROR(INDEX(countries!$G:$G,MATCH($A31,countries!$D:$D,0)),""))</f>
        <v>REQUIRED</v>
      </c>
      <c r="Q31" t="str">
        <f>IF($A31="","",IFERROR(IF(INDEX(countries!$I:$I,MATCH($A31,countries!$D:$D,0))=0,"",INDEX(countries!$I:$I,MATCH($A31,countries!$D:$D,0))),""))</f>
        <v/>
      </c>
      <c r="R31" cm="1">
        <f t="array" ref="R31">IF($A31="","",IF(AND(INDEX($C31:$J31,R$2)&gt;0,$A31&lt;&gt;INDEX('TRIP MANAGER'!$T$18:$T$25,R$2),$A31&lt;&gt;INDEX('TRIP MANAGER'!$U$18:$U$25,R$2)),1,0))</f>
        <v>0</v>
      </c>
      <c r="S31" cm="1">
        <f t="array" ref="S31">IF($A31="","",IF(AND(INDEX($C31:$J31,S$2)&gt;0,$A31&lt;&gt;INDEX('TRIP MANAGER'!$T$18:$T$25,S$2),$A31&lt;&gt;INDEX('TRIP MANAGER'!$U$18:$U$25,S$2)),1,0))</f>
        <v>0</v>
      </c>
      <c r="T31" cm="1">
        <f t="array" ref="T31">IF($A31="","",IF(AND(INDEX($C31:$J31,T$2)&gt;0,$A31&lt;&gt;INDEX('TRIP MANAGER'!$T$18:$T$25,T$2),$A31&lt;&gt;INDEX('TRIP MANAGER'!$U$18:$U$25,T$2)),1,0))</f>
        <v>0</v>
      </c>
      <c r="U31" cm="1">
        <f t="array" ref="U31">IF($A31="","",IF(AND(INDEX($C31:$J31,U$2)&gt;0,$A31&lt;&gt;INDEX('TRIP MANAGER'!$T$18:$T$25,U$2),$A31&lt;&gt;INDEX('TRIP MANAGER'!$U$18:$U$25,U$2)),1,0))</f>
        <v>0</v>
      </c>
      <c r="V31" cm="1">
        <f t="array" ref="V31">IF($A31="","",IF(AND(INDEX($C31:$J31,V$2)&gt;0,$A31&lt;&gt;INDEX('TRIP MANAGER'!$T$18:$T$25,V$2),$A31&lt;&gt;INDEX('TRIP MANAGER'!$U$18:$U$25,V$2)),1,0))</f>
        <v>0</v>
      </c>
      <c r="W31" cm="1">
        <f t="array" ref="W31">IF($A31="","",IF(AND(INDEX($C31:$J31,W$2)&gt;0,$A31&lt;&gt;INDEX('TRIP MANAGER'!$T$18:$T$25,W$2),$A31&lt;&gt;INDEX('TRIP MANAGER'!$U$18:$U$25,W$2)),1,0))</f>
        <v>0</v>
      </c>
      <c r="X31" cm="1">
        <f t="array" ref="X31">IF($A31="","",IF(AND(INDEX($C31:$J31,X$2)&gt;0,$A31&lt;&gt;INDEX('TRIP MANAGER'!$T$18:$T$25,X$2),$A31&lt;&gt;INDEX('TRIP MANAGER'!$U$18:$U$25,X$2)),1,0))</f>
        <v>0</v>
      </c>
      <c r="Y31" cm="1">
        <f t="array" ref="Y31">IF($A31="","",IF(AND(INDEX($C31:$J31,Y$2)&gt;0,$A31&lt;&gt;INDEX('TRIP MANAGER'!$T$18:$T$25,Y$2),$A31&lt;&gt;INDEX('TRIP MANAGER'!$U$18:$U$25,Y$2)),1,0))</f>
        <v>0</v>
      </c>
    </row>
    <row r="32" spans="1:25" x14ac:dyDescent="0.3">
      <c r="A32" t="str">
        <f>IF(countries!$D31="","",countries!$D31)</f>
        <v>MWI</v>
      </c>
      <c r="B32" t="str">
        <f>IF(countries!$B31="","",countries!$B31)</f>
        <v>Malawi</v>
      </c>
      <c r="C32">
        <f>IF($A32="","",COUNTIFS(route_calc!$A$2:$A$1209,C$2,route_calc!$P$2:$P$1209,$A32))</f>
        <v>0</v>
      </c>
      <c r="D32">
        <f>IF($A32="","",COUNTIFS(route_calc!$A$2:$A$1209,D$2,route_calc!$P$2:$P$1209,$A32))</f>
        <v>0</v>
      </c>
      <c r="E32">
        <f>IF($A32="","",COUNTIFS(route_calc!$A$2:$A$1209,E$2,route_calc!$P$2:$P$1209,$A32))</f>
        <v>0</v>
      </c>
      <c r="F32">
        <f>IF($A32="","",COUNTIFS(route_calc!$A$2:$A$1209,F$2,route_calc!$P$2:$P$1209,$A32))</f>
        <v>0</v>
      </c>
      <c r="G32">
        <f>IF($A32="","",COUNTIFS(route_calc!$A$2:$A$1209,G$2,route_calc!$P$2:$P$1209,$A32))</f>
        <v>0</v>
      </c>
      <c r="H32">
        <f>IF($A32="","",COUNTIFS(route_calc!$A$2:$A$1209,H$2,route_calc!$P$2:$P$1209,$A32))</f>
        <v>0</v>
      </c>
      <c r="I32">
        <f>IF($A32="","",COUNTIFS(route_calc!$A$2:$A$1209,I$2,route_calc!$P$2:$P$1209,$A32))</f>
        <v>0</v>
      </c>
      <c r="J32">
        <f>IF($A32="","",COUNTIFS(route_calc!$A$2:$A$1209,J$2,route_calc!$P$2:$P$1209,$A32))</f>
        <v>0</v>
      </c>
      <c r="K32" t="str">
        <f>IF($L32=0,"",_xlfn.MINIFS(route_calc!$Q$2:$Q$1209,route_calc!$P$2:$P$1209,$A32,route_calc!$A$2:$A$1209,MATCH(1,$R32:$Y32,0)))</f>
        <v/>
      </c>
      <c r="L32">
        <f t="shared" si="0"/>
        <v>0</v>
      </c>
      <c r="M32" t="str" cm="1">
        <f t="array" ref="M32">IF($L32=0,"",_xlfn.TEXTJOIN(", ",TRUE,IF($R32:$Y32&gt;0,$C$1:$J$1,"")))</f>
        <v/>
      </c>
      <c r="N32" t="str" cm="1">
        <f t="array" ref="N32">IF($L32=0,"",SUMPRODUCT(($L$3:$L$144=1)*($K$3:$K$144&lt;$K32))+1)</f>
        <v/>
      </c>
      <c r="O32" t="str">
        <f t="shared" si="1"/>
        <v/>
      </c>
      <c r="P32" t="str">
        <f>IF($A32="","",IFERROR(INDEX(countries!$G:$G,MATCH($A32,countries!$D:$D,0)),""))</f>
        <v>REQUIRED</v>
      </c>
      <c r="Q32" t="str">
        <f>IF($A32="","",IFERROR(IF(INDEX(countries!$I:$I,MATCH($A32,countries!$D:$D,0))=0,"",INDEX(countries!$I:$I,MATCH($A32,countries!$D:$D,0))),""))</f>
        <v/>
      </c>
      <c r="R32" cm="1">
        <f t="array" ref="R32">IF($A32="","",IF(AND(INDEX($C32:$J32,R$2)&gt;0,$A32&lt;&gt;INDEX('TRIP MANAGER'!$T$18:$T$25,R$2),$A32&lt;&gt;INDEX('TRIP MANAGER'!$U$18:$U$25,R$2)),1,0))</f>
        <v>0</v>
      </c>
      <c r="S32" cm="1">
        <f t="array" ref="S32">IF($A32="","",IF(AND(INDEX($C32:$J32,S$2)&gt;0,$A32&lt;&gt;INDEX('TRIP MANAGER'!$T$18:$T$25,S$2),$A32&lt;&gt;INDEX('TRIP MANAGER'!$U$18:$U$25,S$2)),1,0))</f>
        <v>0</v>
      </c>
      <c r="T32" cm="1">
        <f t="array" ref="T32">IF($A32="","",IF(AND(INDEX($C32:$J32,T$2)&gt;0,$A32&lt;&gt;INDEX('TRIP MANAGER'!$T$18:$T$25,T$2),$A32&lt;&gt;INDEX('TRIP MANAGER'!$U$18:$U$25,T$2)),1,0))</f>
        <v>0</v>
      </c>
      <c r="U32" cm="1">
        <f t="array" ref="U32">IF($A32="","",IF(AND(INDEX($C32:$J32,U$2)&gt;0,$A32&lt;&gt;INDEX('TRIP MANAGER'!$T$18:$T$25,U$2),$A32&lt;&gt;INDEX('TRIP MANAGER'!$U$18:$U$25,U$2)),1,0))</f>
        <v>0</v>
      </c>
      <c r="V32" cm="1">
        <f t="array" ref="V32">IF($A32="","",IF(AND(INDEX($C32:$J32,V$2)&gt;0,$A32&lt;&gt;INDEX('TRIP MANAGER'!$T$18:$T$25,V$2),$A32&lt;&gt;INDEX('TRIP MANAGER'!$U$18:$U$25,V$2)),1,0))</f>
        <v>0</v>
      </c>
      <c r="W32" cm="1">
        <f t="array" ref="W32">IF($A32="","",IF(AND(INDEX($C32:$J32,W$2)&gt;0,$A32&lt;&gt;INDEX('TRIP MANAGER'!$T$18:$T$25,W$2),$A32&lt;&gt;INDEX('TRIP MANAGER'!$U$18:$U$25,W$2)),1,0))</f>
        <v>0</v>
      </c>
      <c r="X32" cm="1">
        <f t="array" ref="X32">IF($A32="","",IF(AND(INDEX($C32:$J32,X$2)&gt;0,$A32&lt;&gt;INDEX('TRIP MANAGER'!$T$18:$T$25,X$2),$A32&lt;&gt;INDEX('TRIP MANAGER'!$U$18:$U$25,X$2)),1,0))</f>
        <v>0</v>
      </c>
      <c r="Y32" cm="1">
        <f t="array" ref="Y32">IF($A32="","",IF(AND(INDEX($C32:$J32,Y$2)&gt;0,$A32&lt;&gt;INDEX('TRIP MANAGER'!$T$18:$T$25,Y$2),$A32&lt;&gt;INDEX('TRIP MANAGER'!$U$18:$U$25,Y$2)),1,0))</f>
        <v>0</v>
      </c>
    </row>
    <row r="33" spans="1:25" x14ac:dyDescent="0.3">
      <c r="A33" t="str">
        <f>IF(countries!$D32="","",countries!$D32)</f>
        <v>MLI</v>
      </c>
      <c r="B33" t="str">
        <f>IF(countries!$B32="","",countries!$B32)</f>
        <v>Mali</v>
      </c>
      <c r="C33">
        <f>IF($A33="","",COUNTIFS(route_calc!$A$2:$A$1209,C$2,route_calc!$P$2:$P$1209,$A33))</f>
        <v>0</v>
      </c>
      <c r="D33">
        <f>IF($A33="","",COUNTIFS(route_calc!$A$2:$A$1209,D$2,route_calc!$P$2:$P$1209,$A33))</f>
        <v>0</v>
      </c>
      <c r="E33">
        <f>IF($A33="","",COUNTIFS(route_calc!$A$2:$A$1209,E$2,route_calc!$P$2:$P$1209,$A33))</f>
        <v>0</v>
      </c>
      <c r="F33">
        <f>IF($A33="","",COUNTIFS(route_calc!$A$2:$A$1209,F$2,route_calc!$P$2:$P$1209,$A33))</f>
        <v>26</v>
      </c>
      <c r="G33">
        <f>IF($A33="","",COUNTIFS(route_calc!$A$2:$A$1209,G$2,route_calc!$P$2:$P$1209,$A33))</f>
        <v>0</v>
      </c>
      <c r="H33">
        <f>IF($A33="","",COUNTIFS(route_calc!$A$2:$A$1209,H$2,route_calc!$P$2:$P$1209,$A33))</f>
        <v>0</v>
      </c>
      <c r="I33">
        <f>IF($A33="","",COUNTIFS(route_calc!$A$2:$A$1209,I$2,route_calc!$P$2:$P$1209,$A33))</f>
        <v>0</v>
      </c>
      <c r="J33">
        <f>IF($A33="","",COUNTIFS(route_calc!$A$2:$A$1209,J$2,route_calc!$P$2:$P$1209,$A33))</f>
        <v>0</v>
      </c>
      <c r="K33">
        <f>IF($L33=0,"",_xlfn.MINIFS(route_calc!$Q$2:$Q$1209,route_calc!$P$2:$P$1209,$A33,route_calc!$A$2:$A$1209,MATCH(1,$R33:$Y33,0)))</f>
        <v>4015</v>
      </c>
      <c r="L33">
        <f t="shared" si="0"/>
        <v>1</v>
      </c>
      <c r="M33" t="str" cm="1">
        <f t="array" ref="M33">IF($L33=0,"",_xlfn.TEXTJOIN(", ",TRUE,IF($R33:$Y33&gt;0,$C$1:$J$1,"")))</f>
        <v>L4</v>
      </c>
      <c r="N33" cm="1">
        <f t="array" ref="N33">IF($L33=0,"",SUMPRODUCT(($L$3:$L$144=1)*($K$3:$K$144&lt;$K33))+1)</f>
        <v>11</v>
      </c>
      <c r="O33">
        <f t="shared" si="1"/>
        <v>4</v>
      </c>
      <c r="P33" t="str">
        <f>IF($A33="","",IFERROR(INDEX(countries!$G:$G,MATCH($A33,countries!$D:$D,0)),""))</f>
        <v>REQUIRED</v>
      </c>
      <c r="Q33" t="str">
        <f>IF($A33="","",IFERROR(IF(INDEX(countries!$I:$I,MATCH($A33,countries!$D:$D,0))=0,"",INDEX(countries!$I:$I,MATCH($A33,countries!$D:$D,0))),""))</f>
        <v/>
      </c>
      <c r="R33" cm="1">
        <f t="array" ref="R33">IF($A33="","",IF(AND(INDEX($C33:$J33,R$2)&gt;0,$A33&lt;&gt;INDEX('TRIP MANAGER'!$T$18:$T$25,R$2),$A33&lt;&gt;INDEX('TRIP MANAGER'!$U$18:$U$25,R$2)),1,0))</f>
        <v>0</v>
      </c>
      <c r="S33" cm="1">
        <f t="array" ref="S33">IF($A33="","",IF(AND(INDEX($C33:$J33,S$2)&gt;0,$A33&lt;&gt;INDEX('TRIP MANAGER'!$T$18:$T$25,S$2),$A33&lt;&gt;INDEX('TRIP MANAGER'!$U$18:$U$25,S$2)),1,0))</f>
        <v>0</v>
      </c>
      <c r="T33" cm="1">
        <f t="array" ref="T33">IF($A33="","",IF(AND(INDEX($C33:$J33,T$2)&gt;0,$A33&lt;&gt;INDEX('TRIP MANAGER'!$T$18:$T$25,T$2),$A33&lt;&gt;INDEX('TRIP MANAGER'!$U$18:$U$25,T$2)),1,0))</f>
        <v>0</v>
      </c>
      <c r="U33" cm="1">
        <f t="array" ref="U33">IF($A33="","",IF(AND(INDEX($C33:$J33,U$2)&gt;0,$A33&lt;&gt;INDEX('TRIP MANAGER'!$T$18:$T$25,U$2),$A33&lt;&gt;INDEX('TRIP MANAGER'!$U$18:$U$25,U$2)),1,0))</f>
        <v>1</v>
      </c>
      <c r="V33" cm="1">
        <f t="array" ref="V33">IF($A33="","",IF(AND(INDEX($C33:$J33,V$2)&gt;0,$A33&lt;&gt;INDEX('TRIP MANAGER'!$T$18:$T$25,V$2),$A33&lt;&gt;INDEX('TRIP MANAGER'!$U$18:$U$25,V$2)),1,0))</f>
        <v>0</v>
      </c>
      <c r="W33" cm="1">
        <f t="array" ref="W33">IF($A33="","",IF(AND(INDEX($C33:$J33,W$2)&gt;0,$A33&lt;&gt;INDEX('TRIP MANAGER'!$T$18:$T$25,W$2),$A33&lt;&gt;INDEX('TRIP MANAGER'!$U$18:$U$25,W$2)),1,0))</f>
        <v>0</v>
      </c>
      <c r="X33" cm="1">
        <f t="array" ref="X33">IF($A33="","",IF(AND(INDEX($C33:$J33,X$2)&gt;0,$A33&lt;&gt;INDEX('TRIP MANAGER'!$T$18:$T$25,X$2),$A33&lt;&gt;INDEX('TRIP MANAGER'!$U$18:$U$25,X$2)),1,0))</f>
        <v>0</v>
      </c>
      <c r="Y33" cm="1">
        <f t="array" ref="Y33">IF($A33="","",IF(AND(INDEX($C33:$J33,Y$2)&gt;0,$A33&lt;&gt;INDEX('TRIP MANAGER'!$T$18:$T$25,Y$2),$A33&lt;&gt;INDEX('TRIP MANAGER'!$U$18:$U$25,Y$2)),1,0))</f>
        <v>0</v>
      </c>
    </row>
    <row r="34" spans="1:25" x14ac:dyDescent="0.3">
      <c r="A34" t="str">
        <f>IF(countries!$D33="","",countries!$D33)</f>
        <v>MRT</v>
      </c>
      <c r="B34" t="str">
        <f>IF(countries!$B33="","",countries!$B33)</f>
        <v>Mauritania</v>
      </c>
      <c r="C34">
        <f>IF($A34="","",COUNTIFS(route_calc!$A$2:$A$1209,C$2,route_calc!$P$2:$P$1209,$A34))</f>
        <v>0</v>
      </c>
      <c r="D34">
        <f>IF($A34="","",COUNTIFS(route_calc!$A$2:$A$1209,D$2,route_calc!$P$2:$P$1209,$A34))</f>
        <v>0</v>
      </c>
      <c r="E34">
        <f>IF($A34="","",COUNTIFS(route_calc!$A$2:$A$1209,E$2,route_calc!$P$2:$P$1209,$A34))</f>
        <v>0</v>
      </c>
      <c r="F34">
        <f>IF($A34="","",COUNTIFS(route_calc!$A$2:$A$1209,F$2,route_calc!$P$2:$P$1209,$A34))</f>
        <v>0</v>
      </c>
      <c r="G34">
        <f>IF($A34="","",COUNTIFS(route_calc!$A$2:$A$1209,G$2,route_calc!$P$2:$P$1209,$A34))</f>
        <v>0</v>
      </c>
      <c r="H34">
        <f>IF($A34="","",COUNTIFS(route_calc!$A$2:$A$1209,H$2,route_calc!$P$2:$P$1209,$A34))</f>
        <v>0</v>
      </c>
      <c r="I34">
        <f>IF($A34="","",COUNTIFS(route_calc!$A$2:$A$1209,I$2,route_calc!$P$2:$P$1209,$A34))</f>
        <v>0</v>
      </c>
      <c r="J34">
        <f>IF($A34="","",COUNTIFS(route_calc!$A$2:$A$1209,J$2,route_calc!$P$2:$P$1209,$A34))</f>
        <v>0</v>
      </c>
      <c r="K34" t="str">
        <f>IF($L34=0,"",_xlfn.MINIFS(route_calc!$Q$2:$Q$1209,route_calc!$P$2:$P$1209,$A34,route_calc!$A$2:$A$1209,MATCH(1,$R34:$Y34,0)))</f>
        <v/>
      </c>
      <c r="L34">
        <f t="shared" si="0"/>
        <v>0</v>
      </c>
      <c r="M34" t="str" cm="1">
        <f t="array" ref="M34">IF($L34=0,"",_xlfn.TEXTJOIN(", ",TRUE,IF($R34:$Y34&gt;0,$C$1:$J$1,"")))</f>
        <v/>
      </c>
      <c r="N34" t="str" cm="1">
        <f t="array" ref="N34">IF($L34=0,"",SUMPRODUCT(($L$3:$L$144=1)*($K$3:$K$144&lt;$K34))+1)</f>
        <v/>
      </c>
      <c r="O34" t="str">
        <f t="shared" si="1"/>
        <v/>
      </c>
      <c r="P34" t="str">
        <f>IF($A34="","",IFERROR(INDEX(countries!$G:$G,MATCH($A34,countries!$D:$D,0)),""))</f>
        <v>REQUIRED</v>
      </c>
      <c r="Q34" t="str">
        <f>IF($A34="","",IFERROR(IF(INDEX(countries!$I:$I,MATCH($A34,countries!$D:$D,0))=0,"",INDEX(countries!$I:$I,MATCH($A34,countries!$D:$D,0))),""))</f>
        <v/>
      </c>
      <c r="R34" cm="1">
        <f t="array" ref="R34">IF($A34="","",IF(AND(INDEX($C34:$J34,R$2)&gt;0,$A34&lt;&gt;INDEX('TRIP MANAGER'!$T$18:$T$25,R$2),$A34&lt;&gt;INDEX('TRIP MANAGER'!$U$18:$U$25,R$2)),1,0))</f>
        <v>0</v>
      </c>
      <c r="S34" cm="1">
        <f t="array" ref="S34">IF($A34="","",IF(AND(INDEX($C34:$J34,S$2)&gt;0,$A34&lt;&gt;INDEX('TRIP MANAGER'!$T$18:$T$25,S$2),$A34&lt;&gt;INDEX('TRIP MANAGER'!$U$18:$U$25,S$2)),1,0))</f>
        <v>0</v>
      </c>
      <c r="T34" cm="1">
        <f t="array" ref="T34">IF($A34="","",IF(AND(INDEX($C34:$J34,T$2)&gt;0,$A34&lt;&gt;INDEX('TRIP MANAGER'!$T$18:$T$25,T$2),$A34&lt;&gt;INDEX('TRIP MANAGER'!$U$18:$U$25,T$2)),1,0))</f>
        <v>0</v>
      </c>
      <c r="U34" cm="1">
        <f t="array" ref="U34">IF($A34="","",IF(AND(INDEX($C34:$J34,U$2)&gt;0,$A34&lt;&gt;INDEX('TRIP MANAGER'!$T$18:$T$25,U$2),$A34&lt;&gt;INDEX('TRIP MANAGER'!$U$18:$U$25,U$2)),1,0))</f>
        <v>0</v>
      </c>
      <c r="V34" cm="1">
        <f t="array" ref="V34">IF($A34="","",IF(AND(INDEX($C34:$J34,V$2)&gt;0,$A34&lt;&gt;INDEX('TRIP MANAGER'!$T$18:$T$25,V$2),$A34&lt;&gt;INDEX('TRIP MANAGER'!$U$18:$U$25,V$2)),1,0))</f>
        <v>0</v>
      </c>
      <c r="W34" cm="1">
        <f t="array" ref="W34">IF($A34="","",IF(AND(INDEX($C34:$J34,W$2)&gt;0,$A34&lt;&gt;INDEX('TRIP MANAGER'!$T$18:$T$25,W$2),$A34&lt;&gt;INDEX('TRIP MANAGER'!$U$18:$U$25,W$2)),1,0))</f>
        <v>0</v>
      </c>
      <c r="X34" cm="1">
        <f t="array" ref="X34">IF($A34="","",IF(AND(INDEX($C34:$J34,X$2)&gt;0,$A34&lt;&gt;INDEX('TRIP MANAGER'!$T$18:$T$25,X$2),$A34&lt;&gt;INDEX('TRIP MANAGER'!$U$18:$U$25,X$2)),1,0))</f>
        <v>0</v>
      </c>
      <c r="Y34" cm="1">
        <f t="array" ref="Y34">IF($A34="","",IF(AND(INDEX($C34:$J34,Y$2)&gt;0,$A34&lt;&gt;INDEX('TRIP MANAGER'!$T$18:$T$25,Y$2),$A34&lt;&gt;INDEX('TRIP MANAGER'!$U$18:$U$25,Y$2)),1,0))</f>
        <v>0</v>
      </c>
    </row>
    <row r="35" spans="1:25" x14ac:dyDescent="0.3">
      <c r="A35" t="str">
        <f>IF(countries!$D34="","",countries!$D34)</f>
        <v>MUS</v>
      </c>
      <c r="B35" t="str">
        <f>IF(countries!$B34="","",countries!$B34)</f>
        <v>Mauritius</v>
      </c>
      <c r="C35">
        <f>IF($A35="","",COUNTIFS(route_calc!$A$2:$A$1209,C$2,route_calc!$P$2:$P$1209,$A35))</f>
        <v>0</v>
      </c>
      <c r="D35">
        <f>IF($A35="","",COUNTIFS(route_calc!$A$2:$A$1209,D$2,route_calc!$P$2:$P$1209,$A35))</f>
        <v>0</v>
      </c>
      <c r="E35">
        <f>IF($A35="","",COUNTIFS(route_calc!$A$2:$A$1209,E$2,route_calc!$P$2:$P$1209,$A35))</f>
        <v>0</v>
      </c>
      <c r="F35">
        <f>IF($A35="","",COUNTIFS(route_calc!$A$2:$A$1209,F$2,route_calc!$P$2:$P$1209,$A35))</f>
        <v>0</v>
      </c>
      <c r="G35">
        <f>IF($A35="","",COUNTIFS(route_calc!$A$2:$A$1209,G$2,route_calc!$P$2:$P$1209,$A35))</f>
        <v>0</v>
      </c>
      <c r="H35">
        <f>IF($A35="","",COUNTIFS(route_calc!$A$2:$A$1209,H$2,route_calc!$P$2:$P$1209,$A35))</f>
        <v>0</v>
      </c>
      <c r="I35">
        <f>IF($A35="","",COUNTIFS(route_calc!$A$2:$A$1209,I$2,route_calc!$P$2:$P$1209,$A35))</f>
        <v>0</v>
      </c>
      <c r="J35">
        <f>IF($A35="","",COUNTIFS(route_calc!$A$2:$A$1209,J$2,route_calc!$P$2:$P$1209,$A35))</f>
        <v>0</v>
      </c>
      <c r="K35" t="str">
        <f>IF($L35=0,"",_xlfn.MINIFS(route_calc!$Q$2:$Q$1209,route_calc!$P$2:$P$1209,$A35,route_calc!$A$2:$A$1209,MATCH(1,$R35:$Y35,0)))</f>
        <v/>
      </c>
      <c r="L35">
        <f t="shared" si="0"/>
        <v>0</v>
      </c>
      <c r="M35" t="str" cm="1">
        <f t="array" ref="M35">IF($L35=0,"",_xlfn.TEXTJOIN(", ",TRUE,IF($R35:$Y35&gt;0,$C$1:$J$1,"")))</f>
        <v/>
      </c>
      <c r="N35" t="str" cm="1">
        <f t="array" ref="N35">IF($L35=0,"",SUMPRODUCT(($L$3:$L$144=1)*($K$3:$K$144&lt;$K35))+1)</f>
        <v/>
      </c>
      <c r="O35" t="str">
        <f t="shared" si="1"/>
        <v/>
      </c>
      <c r="P35" t="str">
        <f>IF($A35="","",IFERROR(INDEX(countries!$G:$G,MATCH($A35,countries!$D:$D,0)),""))</f>
        <v>REQUIRED</v>
      </c>
      <c r="Q35" t="str">
        <f>IF($A35="","",IFERROR(IF(INDEX(countries!$I:$I,MATCH($A35,countries!$D:$D,0))=0,"",INDEX(countries!$I:$I,MATCH($A35,countries!$D:$D,0))),""))</f>
        <v/>
      </c>
      <c r="R35" cm="1">
        <f t="array" ref="R35">IF($A35="","",IF(AND(INDEX($C35:$J35,R$2)&gt;0,$A35&lt;&gt;INDEX('TRIP MANAGER'!$T$18:$T$25,R$2),$A35&lt;&gt;INDEX('TRIP MANAGER'!$U$18:$U$25,R$2)),1,0))</f>
        <v>0</v>
      </c>
      <c r="S35" cm="1">
        <f t="array" ref="S35">IF($A35="","",IF(AND(INDEX($C35:$J35,S$2)&gt;0,$A35&lt;&gt;INDEX('TRIP MANAGER'!$T$18:$T$25,S$2),$A35&lt;&gt;INDEX('TRIP MANAGER'!$U$18:$U$25,S$2)),1,0))</f>
        <v>0</v>
      </c>
      <c r="T35" cm="1">
        <f t="array" ref="T35">IF($A35="","",IF(AND(INDEX($C35:$J35,T$2)&gt;0,$A35&lt;&gt;INDEX('TRIP MANAGER'!$T$18:$T$25,T$2),$A35&lt;&gt;INDEX('TRIP MANAGER'!$U$18:$U$25,T$2)),1,0))</f>
        <v>0</v>
      </c>
      <c r="U35" cm="1">
        <f t="array" ref="U35">IF($A35="","",IF(AND(INDEX($C35:$J35,U$2)&gt;0,$A35&lt;&gt;INDEX('TRIP MANAGER'!$T$18:$T$25,U$2),$A35&lt;&gt;INDEX('TRIP MANAGER'!$U$18:$U$25,U$2)),1,0))</f>
        <v>0</v>
      </c>
      <c r="V35" cm="1">
        <f t="array" ref="V35">IF($A35="","",IF(AND(INDEX($C35:$J35,V$2)&gt;0,$A35&lt;&gt;INDEX('TRIP MANAGER'!$T$18:$T$25,V$2),$A35&lt;&gt;INDEX('TRIP MANAGER'!$U$18:$U$25,V$2)),1,0))</f>
        <v>0</v>
      </c>
      <c r="W35" cm="1">
        <f t="array" ref="W35">IF($A35="","",IF(AND(INDEX($C35:$J35,W$2)&gt;0,$A35&lt;&gt;INDEX('TRIP MANAGER'!$T$18:$T$25,W$2),$A35&lt;&gt;INDEX('TRIP MANAGER'!$U$18:$U$25,W$2)),1,0))</f>
        <v>0</v>
      </c>
      <c r="X35" cm="1">
        <f t="array" ref="X35">IF($A35="","",IF(AND(INDEX($C35:$J35,X$2)&gt;0,$A35&lt;&gt;INDEX('TRIP MANAGER'!$T$18:$T$25,X$2),$A35&lt;&gt;INDEX('TRIP MANAGER'!$U$18:$U$25,X$2)),1,0))</f>
        <v>0</v>
      </c>
      <c r="Y35" cm="1">
        <f t="array" ref="Y35">IF($A35="","",IF(AND(INDEX($C35:$J35,Y$2)&gt;0,$A35&lt;&gt;INDEX('TRIP MANAGER'!$T$18:$T$25,Y$2),$A35&lt;&gt;INDEX('TRIP MANAGER'!$U$18:$U$25,Y$2)),1,0))</f>
        <v>0</v>
      </c>
    </row>
    <row r="36" spans="1:25" x14ac:dyDescent="0.3">
      <c r="A36" t="str">
        <f>IF(countries!$D35="","",countries!$D35)</f>
        <v>MYT</v>
      </c>
      <c r="B36" t="str">
        <f>IF(countries!$B35="","",countries!$B35)</f>
        <v>Mayotte</v>
      </c>
      <c r="C36">
        <f>IF($A36="","",COUNTIFS(route_calc!$A$2:$A$1209,C$2,route_calc!$P$2:$P$1209,$A36))</f>
        <v>0</v>
      </c>
      <c r="D36">
        <f>IF($A36="","",COUNTIFS(route_calc!$A$2:$A$1209,D$2,route_calc!$P$2:$P$1209,$A36))</f>
        <v>0</v>
      </c>
      <c r="E36">
        <f>IF($A36="","",COUNTIFS(route_calc!$A$2:$A$1209,E$2,route_calc!$P$2:$P$1209,$A36))</f>
        <v>0</v>
      </c>
      <c r="F36">
        <f>IF($A36="","",COUNTIFS(route_calc!$A$2:$A$1209,F$2,route_calc!$P$2:$P$1209,$A36))</f>
        <v>0</v>
      </c>
      <c r="G36">
        <f>IF($A36="","",COUNTIFS(route_calc!$A$2:$A$1209,G$2,route_calc!$P$2:$P$1209,$A36))</f>
        <v>0</v>
      </c>
      <c r="H36">
        <f>IF($A36="","",COUNTIFS(route_calc!$A$2:$A$1209,H$2,route_calc!$P$2:$P$1209,$A36))</f>
        <v>0</v>
      </c>
      <c r="I36">
        <f>IF($A36="","",COUNTIFS(route_calc!$A$2:$A$1209,I$2,route_calc!$P$2:$P$1209,$A36))</f>
        <v>0</v>
      </c>
      <c r="J36">
        <f>IF($A36="","",COUNTIFS(route_calc!$A$2:$A$1209,J$2,route_calc!$P$2:$P$1209,$A36))</f>
        <v>0</v>
      </c>
      <c r="K36" t="str">
        <f>IF($L36=0,"",_xlfn.MINIFS(route_calc!$Q$2:$Q$1209,route_calc!$P$2:$P$1209,$A36,route_calc!$A$2:$A$1209,MATCH(1,$R36:$Y36,0)))</f>
        <v/>
      </c>
      <c r="L36">
        <f t="shared" si="0"/>
        <v>0</v>
      </c>
      <c r="M36" t="str" cm="1">
        <f t="array" ref="M36">IF($L36=0,"",_xlfn.TEXTJOIN(", ",TRUE,IF($R36:$Y36&gt;0,$C$1:$J$1,"")))</f>
        <v/>
      </c>
      <c r="N36" t="str" cm="1">
        <f t="array" ref="N36">IF($L36=0,"",SUMPRODUCT(($L$3:$L$144=1)*($K$3:$K$144&lt;$K36))+1)</f>
        <v/>
      </c>
      <c r="O36" t="str">
        <f t="shared" si="1"/>
        <v/>
      </c>
      <c r="P36" t="str">
        <f>IF($A36="","",IFERROR(INDEX(countries!$G:$G,MATCH($A36,countries!$D:$D,0)),""))</f>
        <v>REQUIRED</v>
      </c>
      <c r="Q36" t="str">
        <f>IF($A36="","",IFERROR(IF(INDEX(countries!$I:$I,MATCH($A36,countries!$D:$D,0))=0,"",INDEX(countries!$I:$I,MATCH($A36,countries!$D:$D,0))),""))</f>
        <v/>
      </c>
      <c r="R36" cm="1">
        <f t="array" ref="R36">IF($A36="","",IF(AND(INDEX($C36:$J36,R$2)&gt;0,$A36&lt;&gt;INDEX('TRIP MANAGER'!$T$18:$T$25,R$2),$A36&lt;&gt;INDEX('TRIP MANAGER'!$U$18:$U$25,R$2)),1,0))</f>
        <v>0</v>
      </c>
      <c r="S36" cm="1">
        <f t="array" ref="S36">IF($A36="","",IF(AND(INDEX($C36:$J36,S$2)&gt;0,$A36&lt;&gt;INDEX('TRIP MANAGER'!$T$18:$T$25,S$2),$A36&lt;&gt;INDEX('TRIP MANAGER'!$U$18:$U$25,S$2)),1,0))</f>
        <v>0</v>
      </c>
      <c r="T36" cm="1">
        <f t="array" ref="T36">IF($A36="","",IF(AND(INDEX($C36:$J36,T$2)&gt;0,$A36&lt;&gt;INDEX('TRIP MANAGER'!$T$18:$T$25,T$2),$A36&lt;&gt;INDEX('TRIP MANAGER'!$U$18:$U$25,T$2)),1,0))</f>
        <v>0</v>
      </c>
      <c r="U36" cm="1">
        <f t="array" ref="U36">IF($A36="","",IF(AND(INDEX($C36:$J36,U$2)&gt;0,$A36&lt;&gt;INDEX('TRIP MANAGER'!$T$18:$T$25,U$2),$A36&lt;&gt;INDEX('TRIP MANAGER'!$U$18:$U$25,U$2)),1,0))</f>
        <v>0</v>
      </c>
      <c r="V36" cm="1">
        <f t="array" ref="V36">IF($A36="","",IF(AND(INDEX($C36:$J36,V$2)&gt;0,$A36&lt;&gt;INDEX('TRIP MANAGER'!$T$18:$T$25,V$2),$A36&lt;&gt;INDEX('TRIP MANAGER'!$U$18:$U$25,V$2)),1,0))</f>
        <v>0</v>
      </c>
      <c r="W36" cm="1">
        <f t="array" ref="W36">IF($A36="","",IF(AND(INDEX($C36:$J36,W$2)&gt;0,$A36&lt;&gt;INDEX('TRIP MANAGER'!$T$18:$T$25,W$2),$A36&lt;&gt;INDEX('TRIP MANAGER'!$U$18:$U$25,W$2)),1,0))</f>
        <v>0</v>
      </c>
      <c r="X36" cm="1">
        <f t="array" ref="X36">IF($A36="","",IF(AND(INDEX($C36:$J36,X$2)&gt;0,$A36&lt;&gt;INDEX('TRIP MANAGER'!$T$18:$T$25,X$2),$A36&lt;&gt;INDEX('TRIP MANAGER'!$U$18:$U$25,X$2)),1,0))</f>
        <v>0</v>
      </c>
      <c r="Y36" cm="1">
        <f t="array" ref="Y36">IF($A36="","",IF(AND(INDEX($C36:$J36,Y$2)&gt;0,$A36&lt;&gt;INDEX('TRIP MANAGER'!$T$18:$T$25,Y$2),$A36&lt;&gt;INDEX('TRIP MANAGER'!$U$18:$U$25,Y$2)),1,0))</f>
        <v>0</v>
      </c>
    </row>
    <row r="37" spans="1:25" x14ac:dyDescent="0.3">
      <c r="A37" t="str">
        <f>IF(countries!$D36="","",countries!$D36)</f>
        <v>MAR</v>
      </c>
      <c r="B37" t="str">
        <f>IF(countries!$B36="","",countries!$B36)</f>
        <v>Morocco</v>
      </c>
      <c r="C37">
        <f>IF($A37="","",COUNTIFS(route_calc!$A$2:$A$1209,C$2,route_calc!$P$2:$P$1209,$A37))</f>
        <v>0</v>
      </c>
      <c r="D37">
        <f>IF($A37="","",COUNTIFS(route_calc!$A$2:$A$1209,D$2,route_calc!$P$2:$P$1209,$A37))</f>
        <v>0</v>
      </c>
      <c r="E37">
        <f>IF($A37="","",COUNTIFS(route_calc!$A$2:$A$1209,E$2,route_calc!$P$2:$P$1209,$A37))</f>
        <v>22</v>
      </c>
      <c r="F37">
        <f>IF($A37="","",COUNTIFS(route_calc!$A$2:$A$1209,F$2,route_calc!$P$2:$P$1209,$A37))</f>
        <v>4</v>
      </c>
      <c r="G37">
        <f>IF($A37="","",COUNTIFS(route_calc!$A$2:$A$1209,G$2,route_calc!$P$2:$P$1209,$A37))</f>
        <v>0</v>
      </c>
      <c r="H37">
        <f>IF($A37="","",COUNTIFS(route_calc!$A$2:$A$1209,H$2,route_calc!$P$2:$P$1209,$A37))</f>
        <v>0</v>
      </c>
      <c r="I37">
        <f>IF($A37="","",COUNTIFS(route_calc!$A$2:$A$1209,I$2,route_calc!$P$2:$P$1209,$A37))</f>
        <v>0</v>
      </c>
      <c r="J37">
        <f>IF($A37="","",COUNTIFS(route_calc!$A$2:$A$1209,J$2,route_calc!$P$2:$P$1209,$A37))</f>
        <v>0</v>
      </c>
      <c r="K37" t="str">
        <f>IF($L37=0,"",_xlfn.MINIFS(route_calc!$Q$2:$Q$1209,route_calc!$P$2:$P$1209,$A37,route_calc!$A$2:$A$1209,MATCH(1,$R37:$Y37,0)))</f>
        <v/>
      </c>
      <c r="L37">
        <f t="shared" si="0"/>
        <v>0</v>
      </c>
      <c r="M37" t="str" cm="1">
        <f t="array" ref="M37">IF($L37=0,"",_xlfn.TEXTJOIN(", ",TRUE,IF($R37:$Y37&gt;0,$C$1:$J$1,"")))</f>
        <v/>
      </c>
      <c r="N37" t="str" cm="1">
        <f t="array" ref="N37">IF($L37=0,"",SUMPRODUCT(($L$3:$L$144=1)*($K$3:$K$144&lt;$K37))+1)</f>
        <v/>
      </c>
      <c r="O37" t="str">
        <f t="shared" si="1"/>
        <v/>
      </c>
      <c r="P37" t="str">
        <f>IF($A37="","",IFERROR(INDEX(countries!$G:$G,MATCH($A37,countries!$D:$D,0)),""))</f>
        <v>REQUIRED</v>
      </c>
      <c r="Q37" t="str">
        <f>IF($A37="","",IFERROR(IF(INDEX(countries!$I:$I,MATCH($A37,countries!$D:$D,0))=0,"",INDEX(countries!$I:$I,MATCH($A37,countries!$D:$D,0))),""))</f>
        <v/>
      </c>
      <c r="R37" cm="1">
        <f t="array" ref="R37">IF($A37="","",IF(AND(INDEX($C37:$J37,R$2)&gt;0,$A37&lt;&gt;INDEX('TRIP MANAGER'!$T$18:$T$25,R$2),$A37&lt;&gt;INDEX('TRIP MANAGER'!$U$18:$U$25,R$2)),1,0))</f>
        <v>0</v>
      </c>
      <c r="S37" cm="1">
        <f t="array" ref="S37">IF($A37="","",IF(AND(INDEX($C37:$J37,S$2)&gt;0,$A37&lt;&gt;INDEX('TRIP MANAGER'!$T$18:$T$25,S$2),$A37&lt;&gt;INDEX('TRIP MANAGER'!$U$18:$U$25,S$2)),1,0))</f>
        <v>0</v>
      </c>
      <c r="T37" cm="1">
        <f t="array" ref="T37">IF($A37="","",IF(AND(INDEX($C37:$J37,T$2)&gt;0,$A37&lt;&gt;INDEX('TRIP MANAGER'!$T$18:$T$25,T$2),$A37&lt;&gt;INDEX('TRIP MANAGER'!$U$18:$U$25,T$2)),1,0))</f>
        <v>0</v>
      </c>
      <c r="U37" cm="1">
        <f t="array" ref="U37">IF($A37="","",IF(AND(INDEX($C37:$J37,U$2)&gt;0,$A37&lt;&gt;INDEX('TRIP MANAGER'!$T$18:$T$25,U$2),$A37&lt;&gt;INDEX('TRIP MANAGER'!$U$18:$U$25,U$2)),1,0))</f>
        <v>0</v>
      </c>
      <c r="V37" cm="1">
        <f t="array" ref="V37">IF($A37="","",IF(AND(INDEX($C37:$J37,V$2)&gt;0,$A37&lt;&gt;INDEX('TRIP MANAGER'!$T$18:$T$25,V$2),$A37&lt;&gt;INDEX('TRIP MANAGER'!$U$18:$U$25,V$2)),1,0))</f>
        <v>0</v>
      </c>
      <c r="W37" cm="1">
        <f t="array" ref="W37">IF($A37="","",IF(AND(INDEX($C37:$J37,W$2)&gt;0,$A37&lt;&gt;INDEX('TRIP MANAGER'!$T$18:$T$25,W$2),$A37&lt;&gt;INDEX('TRIP MANAGER'!$U$18:$U$25,W$2)),1,0))</f>
        <v>0</v>
      </c>
      <c r="X37" cm="1">
        <f t="array" ref="X37">IF($A37="","",IF(AND(INDEX($C37:$J37,X$2)&gt;0,$A37&lt;&gt;INDEX('TRIP MANAGER'!$T$18:$T$25,X$2),$A37&lt;&gt;INDEX('TRIP MANAGER'!$U$18:$U$25,X$2)),1,0))</f>
        <v>0</v>
      </c>
      <c r="Y37" cm="1">
        <f t="array" ref="Y37">IF($A37="","",IF(AND(INDEX($C37:$J37,Y$2)&gt;0,$A37&lt;&gt;INDEX('TRIP MANAGER'!$T$18:$T$25,Y$2),$A37&lt;&gt;INDEX('TRIP MANAGER'!$U$18:$U$25,Y$2)),1,0))</f>
        <v>0</v>
      </c>
    </row>
    <row r="38" spans="1:25" x14ac:dyDescent="0.3">
      <c r="A38" t="str">
        <f>IF(countries!$D37="","",countries!$D37)</f>
        <v>MOZ</v>
      </c>
      <c r="B38" t="str">
        <f>IF(countries!$B37="","",countries!$B37)</f>
        <v>Mozambique</v>
      </c>
      <c r="C38">
        <f>IF($A38="","",COUNTIFS(route_calc!$A$2:$A$1209,C$2,route_calc!$P$2:$P$1209,$A38))</f>
        <v>0</v>
      </c>
      <c r="D38">
        <f>IF($A38="","",COUNTIFS(route_calc!$A$2:$A$1209,D$2,route_calc!$P$2:$P$1209,$A38))</f>
        <v>0</v>
      </c>
      <c r="E38">
        <f>IF($A38="","",COUNTIFS(route_calc!$A$2:$A$1209,E$2,route_calc!$P$2:$P$1209,$A38))</f>
        <v>0</v>
      </c>
      <c r="F38">
        <f>IF($A38="","",COUNTIFS(route_calc!$A$2:$A$1209,F$2,route_calc!$P$2:$P$1209,$A38))</f>
        <v>0</v>
      </c>
      <c r="G38">
        <f>IF($A38="","",COUNTIFS(route_calc!$A$2:$A$1209,G$2,route_calc!$P$2:$P$1209,$A38))</f>
        <v>0</v>
      </c>
      <c r="H38">
        <f>IF($A38="","",COUNTIFS(route_calc!$A$2:$A$1209,H$2,route_calc!$P$2:$P$1209,$A38))</f>
        <v>0</v>
      </c>
      <c r="I38">
        <f>IF($A38="","",COUNTIFS(route_calc!$A$2:$A$1209,I$2,route_calc!$P$2:$P$1209,$A38))</f>
        <v>0</v>
      </c>
      <c r="J38">
        <f>IF($A38="","",COUNTIFS(route_calc!$A$2:$A$1209,J$2,route_calc!$P$2:$P$1209,$A38))</f>
        <v>0</v>
      </c>
      <c r="K38" t="str">
        <f>IF($L38=0,"",_xlfn.MINIFS(route_calc!$Q$2:$Q$1209,route_calc!$P$2:$P$1209,$A38,route_calc!$A$2:$A$1209,MATCH(1,$R38:$Y38,0)))</f>
        <v/>
      </c>
      <c r="L38">
        <f t="shared" si="0"/>
        <v>0</v>
      </c>
      <c r="M38" t="str" cm="1">
        <f t="array" ref="M38">IF($L38=0,"",_xlfn.TEXTJOIN(", ",TRUE,IF($R38:$Y38&gt;0,$C$1:$J$1,"")))</f>
        <v/>
      </c>
      <c r="N38" t="str" cm="1">
        <f t="array" ref="N38">IF($L38=0,"",SUMPRODUCT(($L$3:$L$144=1)*($K$3:$K$144&lt;$K38))+1)</f>
        <v/>
      </c>
      <c r="O38" t="str">
        <f t="shared" si="1"/>
        <v/>
      </c>
      <c r="P38" t="str">
        <f>IF($A38="","",IFERROR(INDEX(countries!$G:$G,MATCH($A38,countries!$D:$D,0)),""))</f>
        <v>REQUIRED</v>
      </c>
      <c r="Q38" t="str">
        <f>IF($A38="","",IFERROR(IF(INDEX(countries!$I:$I,MATCH($A38,countries!$D:$D,0))=0,"",INDEX(countries!$I:$I,MATCH($A38,countries!$D:$D,0))),""))</f>
        <v/>
      </c>
      <c r="R38" cm="1">
        <f t="array" ref="R38">IF($A38="","",IF(AND(INDEX($C38:$J38,R$2)&gt;0,$A38&lt;&gt;INDEX('TRIP MANAGER'!$T$18:$T$25,R$2),$A38&lt;&gt;INDEX('TRIP MANAGER'!$U$18:$U$25,R$2)),1,0))</f>
        <v>0</v>
      </c>
      <c r="S38" cm="1">
        <f t="array" ref="S38">IF($A38="","",IF(AND(INDEX($C38:$J38,S$2)&gt;0,$A38&lt;&gt;INDEX('TRIP MANAGER'!$T$18:$T$25,S$2),$A38&lt;&gt;INDEX('TRIP MANAGER'!$U$18:$U$25,S$2)),1,0))</f>
        <v>0</v>
      </c>
      <c r="T38" cm="1">
        <f t="array" ref="T38">IF($A38="","",IF(AND(INDEX($C38:$J38,T$2)&gt;0,$A38&lt;&gt;INDEX('TRIP MANAGER'!$T$18:$T$25,T$2),$A38&lt;&gt;INDEX('TRIP MANAGER'!$U$18:$U$25,T$2)),1,0))</f>
        <v>0</v>
      </c>
      <c r="U38" cm="1">
        <f t="array" ref="U38">IF($A38="","",IF(AND(INDEX($C38:$J38,U$2)&gt;0,$A38&lt;&gt;INDEX('TRIP MANAGER'!$T$18:$T$25,U$2),$A38&lt;&gt;INDEX('TRIP MANAGER'!$U$18:$U$25,U$2)),1,0))</f>
        <v>0</v>
      </c>
      <c r="V38" cm="1">
        <f t="array" ref="V38">IF($A38="","",IF(AND(INDEX($C38:$J38,V$2)&gt;0,$A38&lt;&gt;INDEX('TRIP MANAGER'!$T$18:$T$25,V$2),$A38&lt;&gt;INDEX('TRIP MANAGER'!$U$18:$U$25,V$2)),1,0))</f>
        <v>0</v>
      </c>
      <c r="W38" cm="1">
        <f t="array" ref="W38">IF($A38="","",IF(AND(INDEX($C38:$J38,W$2)&gt;0,$A38&lt;&gt;INDEX('TRIP MANAGER'!$T$18:$T$25,W$2),$A38&lt;&gt;INDEX('TRIP MANAGER'!$U$18:$U$25,W$2)),1,0))</f>
        <v>0</v>
      </c>
      <c r="X38" cm="1">
        <f t="array" ref="X38">IF($A38="","",IF(AND(INDEX($C38:$J38,X$2)&gt;0,$A38&lt;&gt;INDEX('TRIP MANAGER'!$T$18:$T$25,X$2),$A38&lt;&gt;INDEX('TRIP MANAGER'!$U$18:$U$25,X$2)),1,0))</f>
        <v>0</v>
      </c>
      <c r="Y38" cm="1">
        <f t="array" ref="Y38">IF($A38="","",IF(AND(INDEX($C38:$J38,Y$2)&gt;0,$A38&lt;&gt;INDEX('TRIP MANAGER'!$T$18:$T$25,Y$2),$A38&lt;&gt;INDEX('TRIP MANAGER'!$U$18:$U$25,Y$2)),1,0))</f>
        <v>0</v>
      </c>
    </row>
    <row r="39" spans="1:25" x14ac:dyDescent="0.3">
      <c r="A39" t="str">
        <f>IF(countries!$D38="","",countries!$D38)</f>
        <v>NAM</v>
      </c>
      <c r="B39" t="str">
        <f>IF(countries!$B38="","",countries!$B38)</f>
        <v>Namibia</v>
      </c>
      <c r="C39">
        <f>IF($A39="","",COUNTIFS(route_calc!$A$2:$A$1209,C$2,route_calc!$P$2:$P$1209,$A39))</f>
        <v>2</v>
      </c>
      <c r="D39">
        <f>IF($A39="","",COUNTIFS(route_calc!$A$2:$A$1209,D$2,route_calc!$P$2:$P$1209,$A39))</f>
        <v>0</v>
      </c>
      <c r="E39">
        <f>IF($A39="","",COUNTIFS(route_calc!$A$2:$A$1209,E$2,route_calc!$P$2:$P$1209,$A39))</f>
        <v>0</v>
      </c>
      <c r="F39">
        <f>IF($A39="","",COUNTIFS(route_calc!$A$2:$A$1209,F$2,route_calc!$P$2:$P$1209,$A39))</f>
        <v>2</v>
      </c>
      <c r="G39">
        <f>IF($A39="","",COUNTIFS(route_calc!$A$2:$A$1209,G$2,route_calc!$P$2:$P$1209,$A39))</f>
        <v>0</v>
      </c>
      <c r="H39">
        <f>IF($A39="","",COUNTIFS(route_calc!$A$2:$A$1209,H$2,route_calc!$P$2:$P$1209,$A39))</f>
        <v>0</v>
      </c>
      <c r="I39">
        <f>IF($A39="","",COUNTIFS(route_calc!$A$2:$A$1209,I$2,route_calc!$P$2:$P$1209,$A39))</f>
        <v>0</v>
      </c>
      <c r="J39">
        <f>IF($A39="","",COUNTIFS(route_calc!$A$2:$A$1209,J$2,route_calc!$P$2:$P$1209,$A39))</f>
        <v>0</v>
      </c>
      <c r="K39">
        <f>IF($L39=0,"",_xlfn.MINIFS(route_calc!$Q$2:$Q$1209,route_calc!$P$2:$P$1209,$A39,route_calc!$A$2:$A$1209,MATCH(1,$R39:$Y39,0)))</f>
        <v>1032</v>
      </c>
      <c r="L39">
        <f t="shared" si="0"/>
        <v>1</v>
      </c>
      <c r="M39" t="str" cm="1">
        <f t="array" ref="M39">IF($L39=0,"",_xlfn.TEXTJOIN(", ",TRUE,IF($R39:$Y39&gt;0,$C$1:$J$1,"")))</f>
        <v>L1, L4</v>
      </c>
      <c r="N39" cm="1">
        <f t="array" ref="N39">IF($L39=0,"",SUMPRODUCT(($L$3:$L$144=1)*($K$3:$K$144&lt;$K39))+1)</f>
        <v>2</v>
      </c>
      <c r="O39">
        <f t="shared" si="1"/>
        <v>1</v>
      </c>
      <c r="P39" t="str">
        <f>IF($A39="","",IFERROR(INDEX(countries!$G:$G,MATCH($A39,countries!$D:$D,0)),""))</f>
        <v>REQUIRED</v>
      </c>
      <c r="Q39" t="str">
        <f>IF($A39="","",IFERROR(IF(INDEX(countries!$I:$I,MATCH($A39,countries!$D:$D,0))=0,"",INDEX(countries!$I:$I,MATCH($A39,countries!$D:$D,0))),""))</f>
        <v/>
      </c>
      <c r="R39" cm="1">
        <f t="array" ref="R39">IF($A39="","",IF(AND(INDEX($C39:$J39,R$2)&gt;0,$A39&lt;&gt;INDEX('TRIP MANAGER'!$T$18:$T$25,R$2),$A39&lt;&gt;INDEX('TRIP MANAGER'!$U$18:$U$25,R$2)),1,0))</f>
        <v>1</v>
      </c>
      <c r="S39" cm="1">
        <f t="array" ref="S39">IF($A39="","",IF(AND(INDEX($C39:$J39,S$2)&gt;0,$A39&lt;&gt;INDEX('TRIP MANAGER'!$T$18:$T$25,S$2),$A39&lt;&gt;INDEX('TRIP MANAGER'!$U$18:$U$25,S$2)),1,0))</f>
        <v>0</v>
      </c>
      <c r="T39" cm="1">
        <f t="array" ref="T39">IF($A39="","",IF(AND(INDEX($C39:$J39,T$2)&gt;0,$A39&lt;&gt;INDEX('TRIP MANAGER'!$T$18:$T$25,T$2),$A39&lt;&gt;INDEX('TRIP MANAGER'!$U$18:$U$25,T$2)),1,0))</f>
        <v>0</v>
      </c>
      <c r="U39" cm="1">
        <f t="array" ref="U39">IF($A39="","",IF(AND(INDEX($C39:$J39,U$2)&gt;0,$A39&lt;&gt;INDEX('TRIP MANAGER'!$T$18:$T$25,U$2),$A39&lt;&gt;INDEX('TRIP MANAGER'!$U$18:$U$25,U$2)),1,0))</f>
        <v>1</v>
      </c>
      <c r="V39" cm="1">
        <f t="array" ref="V39">IF($A39="","",IF(AND(INDEX($C39:$J39,V$2)&gt;0,$A39&lt;&gt;INDEX('TRIP MANAGER'!$T$18:$T$25,V$2),$A39&lt;&gt;INDEX('TRIP MANAGER'!$U$18:$U$25,V$2)),1,0))</f>
        <v>0</v>
      </c>
      <c r="W39" cm="1">
        <f t="array" ref="W39">IF($A39="","",IF(AND(INDEX($C39:$J39,W$2)&gt;0,$A39&lt;&gt;INDEX('TRIP MANAGER'!$T$18:$T$25,W$2),$A39&lt;&gt;INDEX('TRIP MANAGER'!$U$18:$U$25,W$2)),1,0))</f>
        <v>0</v>
      </c>
      <c r="X39" cm="1">
        <f t="array" ref="X39">IF($A39="","",IF(AND(INDEX($C39:$J39,X$2)&gt;0,$A39&lt;&gt;INDEX('TRIP MANAGER'!$T$18:$T$25,X$2),$A39&lt;&gt;INDEX('TRIP MANAGER'!$U$18:$U$25,X$2)),1,0))</f>
        <v>0</v>
      </c>
      <c r="Y39" cm="1">
        <f t="array" ref="Y39">IF($A39="","",IF(AND(INDEX($C39:$J39,Y$2)&gt;0,$A39&lt;&gt;INDEX('TRIP MANAGER'!$T$18:$T$25,Y$2),$A39&lt;&gt;INDEX('TRIP MANAGER'!$U$18:$U$25,Y$2)),1,0))</f>
        <v>0</v>
      </c>
    </row>
    <row r="40" spans="1:25" x14ac:dyDescent="0.3">
      <c r="A40" t="str">
        <f>IF(countries!$D39="","",countries!$D39)</f>
        <v>NER</v>
      </c>
      <c r="B40" t="str">
        <f>IF(countries!$B39="","",countries!$B39)</f>
        <v>Niger</v>
      </c>
      <c r="C40">
        <f>IF($A40="","",COUNTIFS(route_calc!$A$2:$A$1209,C$2,route_calc!$P$2:$P$1209,$A40))</f>
        <v>0</v>
      </c>
      <c r="D40">
        <f>IF($A40="","",COUNTIFS(route_calc!$A$2:$A$1209,D$2,route_calc!$P$2:$P$1209,$A40))</f>
        <v>0</v>
      </c>
      <c r="E40">
        <f>IF($A40="","",COUNTIFS(route_calc!$A$2:$A$1209,E$2,route_calc!$P$2:$P$1209,$A40))</f>
        <v>0</v>
      </c>
      <c r="F40">
        <f>IF($A40="","",COUNTIFS(route_calc!$A$2:$A$1209,F$2,route_calc!$P$2:$P$1209,$A40))</f>
        <v>8</v>
      </c>
      <c r="G40">
        <f>IF($A40="","",COUNTIFS(route_calc!$A$2:$A$1209,G$2,route_calc!$P$2:$P$1209,$A40))</f>
        <v>0</v>
      </c>
      <c r="H40">
        <f>IF($A40="","",COUNTIFS(route_calc!$A$2:$A$1209,H$2,route_calc!$P$2:$P$1209,$A40))</f>
        <v>0</v>
      </c>
      <c r="I40">
        <f>IF($A40="","",COUNTIFS(route_calc!$A$2:$A$1209,I$2,route_calc!$P$2:$P$1209,$A40))</f>
        <v>0</v>
      </c>
      <c r="J40">
        <f>IF($A40="","",COUNTIFS(route_calc!$A$2:$A$1209,J$2,route_calc!$P$2:$P$1209,$A40))</f>
        <v>0</v>
      </c>
      <c r="K40">
        <f>IF($L40=0,"",_xlfn.MINIFS(route_calc!$Q$2:$Q$1209,route_calc!$P$2:$P$1209,$A40,route_calc!$A$2:$A$1209,MATCH(1,$R40:$Y40,0)))</f>
        <v>4041</v>
      </c>
      <c r="L40">
        <f t="shared" si="0"/>
        <v>1</v>
      </c>
      <c r="M40" t="str" cm="1">
        <f t="array" ref="M40">IF($L40=0,"",_xlfn.TEXTJOIN(", ",TRUE,IF($R40:$Y40&gt;0,$C$1:$J$1,"")))</f>
        <v>L4</v>
      </c>
      <c r="N40" cm="1">
        <f t="array" ref="N40">IF($L40=0,"",SUMPRODUCT(($L$3:$L$144=1)*($K$3:$K$144&lt;$K40))+1)</f>
        <v>12</v>
      </c>
      <c r="O40">
        <f t="shared" si="1"/>
        <v>4</v>
      </c>
      <c r="P40" t="str">
        <f>IF($A40="","",IFERROR(INDEX(countries!$G:$G,MATCH($A40,countries!$D:$D,0)),""))</f>
        <v>REQUIRED</v>
      </c>
      <c r="Q40" t="str">
        <f>IF($A40="","",IFERROR(IF(INDEX(countries!$I:$I,MATCH($A40,countries!$D:$D,0))=0,"",INDEX(countries!$I:$I,MATCH($A40,countries!$D:$D,0))),""))</f>
        <v/>
      </c>
      <c r="R40" cm="1">
        <f t="array" ref="R40">IF($A40="","",IF(AND(INDEX($C40:$J40,R$2)&gt;0,$A40&lt;&gt;INDEX('TRIP MANAGER'!$T$18:$T$25,R$2),$A40&lt;&gt;INDEX('TRIP MANAGER'!$U$18:$U$25,R$2)),1,0))</f>
        <v>0</v>
      </c>
      <c r="S40" cm="1">
        <f t="array" ref="S40">IF($A40="","",IF(AND(INDEX($C40:$J40,S$2)&gt;0,$A40&lt;&gt;INDEX('TRIP MANAGER'!$T$18:$T$25,S$2),$A40&lt;&gt;INDEX('TRIP MANAGER'!$U$18:$U$25,S$2)),1,0))</f>
        <v>0</v>
      </c>
      <c r="T40" cm="1">
        <f t="array" ref="T40">IF($A40="","",IF(AND(INDEX($C40:$J40,T$2)&gt;0,$A40&lt;&gt;INDEX('TRIP MANAGER'!$T$18:$T$25,T$2),$A40&lt;&gt;INDEX('TRIP MANAGER'!$U$18:$U$25,T$2)),1,0))</f>
        <v>0</v>
      </c>
      <c r="U40" cm="1">
        <f t="array" ref="U40">IF($A40="","",IF(AND(INDEX($C40:$J40,U$2)&gt;0,$A40&lt;&gt;INDEX('TRIP MANAGER'!$T$18:$T$25,U$2),$A40&lt;&gt;INDEX('TRIP MANAGER'!$U$18:$U$25,U$2)),1,0))</f>
        <v>1</v>
      </c>
      <c r="V40" cm="1">
        <f t="array" ref="V40">IF($A40="","",IF(AND(INDEX($C40:$J40,V$2)&gt;0,$A40&lt;&gt;INDEX('TRIP MANAGER'!$T$18:$T$25,V$2),$A40&lt;&gt;INDEX('TRIP MANAGER'!$U$18:$U$25,V$2)),1,0))</f>
        <v>0</v>
      </c>
      <c r="W40" cm="1">
        <f t="array" ref="W40">IF($A40="","",IF(AND(INDEX($C40:$J40,W$2)&gt;0,$A40&lt;&gt;INDEX('TRIP MANAGER'!$T$18:$T$25,W$2),$A40&lt;&gt;INDEX('TRIP MANAGER'!$U$18:$U$25,W$2)),1,0))</f>
        <v>0</v>
      </c>
      <c r="X40" cm="1">
        <f t="array" ref="X40">IF($A40="","",IF(AND(INDEX($C40:$J40,X$2)&gt;0,$A40&lt;&gt;INDEX('TRIP MANAGER'!$T$18:$T$25,X$2),$A40&lt;&gt;INDEX('TRIP MANAGER'!$U$18:$U$25,X$2)),1,0))</f>
        <v>0</v>
      </c>
      <c r="Y40" cm="1">
        <f t="array" ref="Y40">IF($A40="","",IF(AND(INDEX($C40:$J40,Y$2)&gt;0,$A40&lt;&gt;INDEX('TRIP MANAGER'!$T$18:$T$25,Y$2),$A40&lt;&gt;INDEX('TRIP MANAGER'!$U$18:$U$25,Y$2)),1,0))</f>
        <v>0</v>
      </c>
    </row>
    <row r="41" spans="1:25" x14ac:dyDescent="0.3">
      <c r="A41" t="str">
        <f>IF(countries!$D40="","",countries!$D40)</f>
        <v>NGA</v>
      </c>
      <c r="B41" t="str">
        <f>IF(countries!$B40="","",countries!$B40)</f>
        <v>Nigeria</v>
      </c>
      <c r="C41">
        <f>IF($A41="","",COUNTIFS(route_calc!$A$2:$A$1209,C$2,route_calc!$P$2:$P$1209,$A41))</f>
        <v>0</v>
      </c>
      <c r="D41">
        <f>IF($A41="","",COUNTIFS(route_calc!$A$2:$A$1209,D$2,route_calc!$P$2:$P$1209,$A41))</f>
        <v>0</v>
      </c>
      <c r="E41">
        <f>IF($A41="","",COUNTIFS(route_calc!$A$2:$A$1209,E$2,route_calc!$P$2:$P$1209,$A41))</f>
        <v>0</v>
      </c>
      <c r="F41">
        <f>IF($A41="","",COUNTIFS(route_calc!$A$2:$A$1209,F$2,route_calc!$P$2:$P$1209,$A41))</f>
        <v>21</v>
      </c>
      <c r="G41">
        <f>IF($A41="","",COUNTIFS(route_calc!$A$2:$A$1209,G$2,route_calc!$P$2:$P$1209,$A41))</f>
        <v>0</v>
      </c>
      <c r="H41">
        <f>IF($A41="","",COUNTIFS(route_calc!$A$2:$A$1209,H$2,route_calc!$P$2:$P$1209,$A41))</f>
        <v>0</v>
      </c>
      <c r="I41">
        <f>IF($A41="","",COUNTIFS(route_calc!$A$2:$A$1209,I$2,route_calc!$P$2:$P$1209,$A41))</f>
        <v>0</v>
      </c>
      <c r="J41">
        <f>IF($A41="","",COUNTIFS(route_calc!$A$2:$A$1209,J$2,route_calc!$P$2:$P$1209,$A41))</f>
        <v>0</v>
      </c>
      <c r="K41">
        <f>IF($L41=0,"",_xlfn.MINIFS(route_calc!$Q$2:$Q$1209,route_calc!$P$2:$P$1209,$A41,route_calc!$A$2:$A$1209,MATCH(1,$R41:$Y41,0)))</f>
        <v>4049</v>
      </c>
      <c r="L41">
        <f t="shared" si="0"/>
        <v>1</v>
      </c>
      <c r="M41" t="str" cm="1">
        <f t="array" ref="M41">IF($L41=0,"",_xlfn.TEXTJOIN(", ",TRUE,IF($R41:$Y41&gt;0,$C$1:$J$1,"")))</f>
        <v>L4</v>
      </c>
      <c r="N41" cm="1">
        <f t="array" ref="N41">IF($L41=0,"",SUMPRODUCT(($L$3:$L$144=1)*($K$3:$K$144&lt;$K41))+1)</f>
        <v>13</v>
      </c>
      <c r="O41">
        <f t="shared" si="1"/>
        <v>4</v>
      </c>
      <c r="P41" t="str">
        <f>IF($A41="","",IFERROR(INDEX(countries!$G:$G,MATCH($A41,countries!$D:$D,0)),""))</f>
        <v>REQUIRED</v>
      </c>
      <c r="Q41" t="str">
        <f>IF($A41="","",IFERROR(IF(INDEX(countries!$I:$I,MATCH($A41,countries!$D:$D,0))=0,"",INDEX(countries!$I:$I,MATCH($A41,countries!$D:$D,0))),""))</f>
        <v/>
      </c>
      <c r="R41" cm="1">
        <f t="array" ref="R41">IF($A41="","",IF(AND(INDEX($C41:$J41,R$2)&gt;0,$A41&lt;&gt;INDEX('TRIP MANAGER'!$T$18:$T$25,R$2),$A41&lt;&gt;INDEX('TRIP MANAGER'!$U$18:$U$25,R$2)),1,0))</f>
        <v>0</v>
      </c>
      <c r="S41" cm="1">
        <f t="array" ref="S41">IF($A41="","",IF(AND(INDEX($C41:$J41,S$2)&gt;0,$A41&lt;&gt;INDEX('TRIP MANAGER'!$T$18:$T$25,S$2),$A41&lt;&gt;INDEX('TRIP MANAGER'!$U$18:$U$25,S$2)),1,0))</f>
        <v>0</v>
      </c>
      <c r="T41" cm="1">
        <f t="array" ref="T41">IF($A41="","",IF(AND(INDEX($C41:$J41,T$2)&gt;0,$A41&lt;&gt;INDEX('TRIP MANAGER'!$T$18:$T$25,T$2),$A41&lt;&gt;INDEX('TRIP MANAGER'!$U$18:$U$25,T$2)),1,0))</f>
        <v>0</v>
      </c>
      <c r="U41" cm="1">
        <f t="array" ref="U41">IF($A41="","",IF(AND(INDEX($C41:$J41,U$2)&gt;0,$A41&lt;&gt;INDEX('TRIP MANAGER'!$T$18:$T$25,U$2),$A41&lt;&gt;INDEX('TRIP MANAGER'!$U$18:$U$25,U$2)),1,0))</f>
        <v>1</v>
      </c>
      <c r="V41" cm="1">
        <f t="array" ref="V41">IF($A41="","",IF(AND(INDEX($C41:$J41,V$2)&gt;0,$A41&lt;&gt;INDEX('TRIP MANAGER'!$T$18:$T$25,V$2),$A41&lt;&gt;INDEX('TRIP MANAGER'!$U$18:$U$25,V$2)),1,0))</f>
        <v>0</v>
      </c>
      <c r="W41" cm="1">
        <f t="array" ref="W41">IF($A41="","",IF(AND(INDEX($C41:$J41,W$2)&gt;0,$A41&lt;&gt;INDEX('TRIP MANAGER'!$T$18:$T$25,W$2),$A41&lt;&gt;INDEX('TRIP MANAGER'!$U$18:$U$25,W$2)),1,0))</f>
        <v>0</v>
      </c>
      <c r="X41" cm="1">
        <f t="array" ref="X41">IF($A41="","",IF(AND(INDEX($C41:$J41,X$2)&gt;0,$A41&lt;&gt;INDEX('TRIP MANAGER'!$T$18:$T$25,X$2),$A41&lt;&gt;INDEX('TRIP MANAGER'!$U$18:$U$25,X$2)),1,0))</f>
        <v>0</v>
      </c>
      <c r="Y41" cm="1">
        <f t="array" ref="Y41">IF($A41="","",IF(AND(INDEX($C41:$J41,Y$2)&gt;0,$A41&lt;&gt;INDEX('TRIP MANAGER'!$T$18:$T$25,Y$2),$A41&lt;&gt;INDEX('TRIP MANAGER'!$U$18:$U$25,Y$2)),1,0))</f>
        <v>0</v>
      </c>
    </row>
    <row r="42" spans="1:25" x14ac:dyDescent="0.3">
      <c r="A42" t="str">
        <f>IF(countries!$D41="","",countries!$D41)</f>
        <v>COG</v>
      </c>
      <c r="B42" t="str">
        <f>IF(countries!$B41="","",countries!$B41)</f>
        <v>Republic of the Congo</v>
      </c>
      <c r="C42">
        <f>IF($A42="","",COUNTIFS(route_calc!$A$2:$A$1209,C$2,route_calc!$P$2:$P$1209,$A42))</f>
        <v>4</v>
      </c>
      <c r="D42">
        <f>IF($A42="","",COUNTIFS(route_calc!$A$2:$A$1209,D$2,route_calc!$P$2:$P$1209,$A42))</f>
        <v>0</v>
      </c>
      <c r="E42">
        <f>IF($A42="","",COUNTIFS(route_calc!$A$2:$A$1209,E$2,route_calc!$P$2:$P$1209,$A42))</f>
        <v>0</v>
      </c>
      <c r="F42">
        <f>IF($A42="","",COUNTIFS(route_calc!$A$2:$A$1209,F$2,route_calc!$P$2:$P$1209,$A42))</f>
        <v>6</v>
      </c>
      <c r="G42">
        <f>IF($A42="","",COUNTIFS(route_calc!$A$2:$A$1209,G$2,route_calc!$P$2:$P$1209,$A42))</f>
        <v>0</v>
      </c>
      <c r="H42">
        <f>IF($A42="","",COUNTIFS(route_calc!$A$2:$A$1209,H$2,route_calc!$P$2:$P$1209,$A42))</f>
        <v>0</v>
      </c>
      <c r="I42">
        <f>IF($A42="","",COUNTIFS(route_calc!$A$2:$A$1209,I$2,route_calc!$P$2:$P$1209,$A42))</f>
        <v>0</v>
      </c>
      <c r="J42">
        <f>IF($A42="","",COUNTIFS(route_calc!$A$2:$A$1209,J$2,route_calc!$P$2:$P$1209,$A42))</f>
        <v>0</v>
      </c>
      <c r="K42">
        <f>IF($L42=0,"",_xlfn.MINIFS(route_calc!$Q$2:$Q$1209,route_calc!$P$2:$P$1209,$A42,route_calc!$A$2:$A$1209,MATCH(1,$R42:$Y42,0)))</f>
        <v>1113</v>
      </c>
      <c r="L42">
        <f t="shared" si="0"/>
        <v>1</v>
      </c>
      <c r="M42" t="str" cm="1">
        <f t="array" ref="M42">IF($L42=0,"",_xlfn.TEXTJOIN(", ",TRUE,IF($R42:$Y42&gt;0,$C$1:$J$1,"")))</f>
        <v>L1, L4</v>
      </c>
      <c r="N42" cm="1">
        <f t="array" ref="N42">IF($L42=0,"",SUMPRODUCT(($L$3:$L$144=1)*($K$3:$K$144&lt;$K42))+1)</f>
        <v>6</v>
      </c>
      <c r="O42">
        <f t="shared" si="1"/>
        <v>1</v>
      </c>
      <c r="P42" t="str">
        <f>IF($A42="","",IFERROR(INDEX(countries!$G:$G,MATCH($A42,countries!$D:$D,0)),""))</f>
        <v>REQUIRED</v>
      </c>
      <c r="Q42" t="str">
        <f>IF($A42="","",IFERROR(IF(INDEX(countries!$I:$I,MATCH($A42,countries!$D:$D,0))=0,"",INDEX(countries!$I:$I,MATCH($A42,countries!$D:$D,0))),""))</f>
        <v/>
      </c>
      <c r="R42" cm="1">
        <f t="array" ref="R42">IF($A42="","",IF(AND(INDEX($C42:$J42,R$2)&gt;0,$A42&lt;&gt;INDEX('TRIP MANAGER'!$T$18:$T$25,R$2),$A42&lt;&gt;INDEX('TRIP MANAGER'!$U$18:$U$25,R$2)),1,0))</f>
        <v>1</v>
      </c>
      <c r="S42" cm="1">
        <f t="array" ref="S42">IF($A42="","",IF(AND(INDEX($C42:$J42,S$2)&gt;0,$A42&lt;&gt;INDEX('TRIP MANAGER'!$T$18:$T$25,S$2),$A42&lt;&gt;INDEX('TRIP MANAGER'!$U$18:$U$25,S$2)),1,0))</f>
        <v>0</v>
      </c>
      <c r="T42" cm="1">
        <f t="array" ref="T42">IF($A42="","",IF(AND(INDEX($C42:$J42,T$2)&gt;0,$A42&lt;&gt;INDEX('TRIP MANAGER'!$T$18:$T$25,T$2),$A42&lt;&gt;INDEX('TRIP MANAGER'!$U$18:$U$25,T$2)),1,0))</f>
        <v>0</v>
      </c>
      <c r="U42" cm="1">
        <f t="array" ref="U42">IF($A42="","",IF(AND(INDEX($C42:$J42,U$2)&gt;0,$A42&lt;&gt;INDEX('TRIP MANAGER'!$T$18:$T$25,U$2),$A42&lt;&gt;INDEX('TRIP MANAGER'!$U$18:$U$25,U$2)),1,0))</f>
        <v>1</v>
      </c>
      <c r="V42" cm="1">
        <f t="array" ref="V42">IF($A42="","",IF(AND(INDEX($C42:$J42,V$2)&gt;0,$A42&lt;&gt;INDEX('TRIP MANAGER'!$T$18:$T$25,V$2),$A42&lt;&gt;INDEX('TRIP MANAGER'!$U$18:$U$25,V$2)),1,0))</f>
        <v>0</v>
      </c>
      <c r="W42" cm="1">
        <f t="array" ref="W42">IF($A42="","",IF(AND(INDEX($C42:$J42,W$2)&gt;0,$A42&lt;&gt;INDEX('TRIP MANAGER'!$T$18:$T$25,W$2),$A42&lt;&gt;INDEX('TRIP MANAGER'!$U$18:$U$25,W$2)),1,0))</f>
        <v>0</v>
      </c>
      <c r="X42" cm="1">
        <f t="array" ref="X42">IF($A42="","",IF(AND(INDEX($C42:$J42,X$2)&gt;0,$A42&lt;&gt;INDEX('TRIP MANAGER'!$T$18:$T$25,X$2),$A42&lt;&gt;INDEX('TRIP MANAGER'!$U$18:$U$25,X$2)),1,0))</f>
        <v>0</v>
      </c>
      <c r="Y42" cm="1">
        <f t="array" ref="Y42">IF($A42="","",IF(AND(INDEX($C42:$J42,Y$2)&gt;0,$A42&lt;&gt;INDEX('TRIP MANAGER'!$T$18:$T$25,Y$2),$A42&lt;&gt;INDEX('TRIP MANAGER'!$U$18:$U$25,Y$2)),1,0))</f>
        <v>0</v>
      </c>
    </row>
    <row r="43" spans="1:25" x14ac:dyDescent="0.3">
      <c r="A43" t="str">
        <f>IF(countries!$D42="","",countries!$D42)</f>
        <v>RWA</v>
      </c>
      <c r="B43" t="str">
        <f>IF(countries!$B42="","",countries!$B42)</f>
        <v>Rwanda</v>
      </c>
      <c r="C43">
        <f>IF($A43="","",COUNTIFS(route_calc!$A$2:$A$1209,C$2,route_calc!$P$2:$P$1209,$A43))</f>
        <v>0</v>
      </c>
      <c r="D43">
        <f>IF($A43="","",COUNTIFS(route_calc!$A$2:$A$1209,D$2,route_calc!$P$2:$P$1209,$A43))</f>
        <v>0</v>
      </c>
      <c r="E43">
        <f>IF($A43="","",COUNTIFS(route_calc!$A$2:$A$1209,E$2,route_calc!$P$2:$P$1209,$A43))</f>
        <v>0</v>
      </c>
      <c r="F43">
        <f>IF($A43="","",COUNTIFS(route_calc!$A$2:$A$1209,F$2,route_calc!$P$2:$P$1209,$A43))</f>
        <v>0</v>
      </c>
      <c r="G43">
        <f>IF($A43="","",COUNTIFS(route_calc!$A$2:$A$1209,G$2,route_calc!$P$2:$P$1209,$A43))</f>
        <v>0</v>
      </c>
      <c r="H43">
        <f>IF($A43="","",COUNTIFS(route_calc!$A$2:$A$1209,H$2,route_calc!$P$2:$P$1209,$A43))</f>
        <v>0</v>
      </c>
      <c r="I43">
        <f>IF($A43="","",COUNTIFS(route_calc!$A$2:$A$1209,I$2,route_calc!$P$2:$P$1209,$A43))</f>
        <v>0</v>
      </c>
      <c r="J43">
        <f>IF($A43="","",COUNTIFS(route_calc!$A$2:$A$1209,J$2,route_calc!$P$2:$P$1209,$A43))</f>
        <v>0</v>
      </c>
      <c r="K43" t="str">
        <f>IF($L43=0,"",_xlfn.MINIFS(route_calc!$Q$2:$Q$1209,route_calc!$P$2:$P$1209,$A43,route_calc!$A$2:$A$1209,MATCH(1,$R43:$Y43,0)))</f>
        <v/>
      </c>
      <c r="L43">
        <f t="shared" si="0"/>
        <v>0</v>
      </c>
      <c r="M43" t="str" cm="1">
        <f t="array" ref="M43">IF($L43=0,"",_xlfn.TEXTJOIN(", ",TRUE,IF($R43:$Y43&gt;0,$C$1:$J$1,"")))</f>
        <v/>
      </c>
      <c r="N43" t="str" cm="1">
        <f t="array" ref="N43">IF($L43=0,"",SUMPRODUCT(($L$3:$L$144=1)*($K$3:$K$144&lt;$K43))+1)</f>
        <v/>
      </c>
      <c r="O43" t="str">
        <f t="shared" si="1"/>
        <v/>
      </c>
      <c r="P43" t="str">
        <f>IF($A43="","",IFERROR(INDEX(countries!$G:$G,MATCH($A43,countries!$D:$D,0)),""))</f>
        <v>REQUIRED</v>
      </c>
      <c r="Q43" t="str">
        <f>IF($A43="","",IFERROR(IF(INDEX(countries!$I:$I,MATCH($A43,countries!$D:$D,0))=0,"",INDEX(countries!$I:$I,MATCH($A43,countries!$D:$D,0))),""))</f>
        <v/>
      </c>
      <c r="R43" cm="1">
        <f t="array" ref="R43">IF($A43="","",IF(AND(INDEX($C43:$J43,R$2)&gt;0,$A43&lt;&gt;INDEX('TRIP MANAGER'!$T$18:$T$25,R$2),$A43&lt;&gt;INDEX('TRIP MANAGER'!$U$18:$U$25,R$2)),1,0))</f>
        <v>0</v>
      </c>
      <c r="S43" cm="1">
        <f t="array" ref="S43">IF($A43="","",IF(AND(INDEX($C43:$J43,S$2)&gt;0,$A43&lt;&gt;INDEX('TRIP MANAGER'!$T$18:$T$25,S$2),$A43&lt;&gt;INDEX('TRIP MANAGER'!$U$18:$U$25,S$2)),1,0))</f>
        <v>0</v>
      </c>
      <c r="T43" cm="1">
        <f t="array" ref="T43">IF($A43="","",IF(AND(INDEX($C43:$J43,T$2)&gt;0,$A43&lt;&gt;INDEX('TRIP MANAGER'!$T$18:$T$25,T$2),$A43&lt;&gt;INDEX('TRIP MANAGER'!$U$18:$U$25,T$2)),1,0))</f>
        <v>0</v>
      </c>
      <c r="U43" cm="1">
        <f t="array" ref="U43">IF($A43="","",IF(AND(INDEX($C43:$J43,U$2)&gt;0,$A43&lt;&gt;INDEX('TRIP MANAGER'!$T$18:$T$25,U$2),$A43&lt;&gt;INDEX('TRIP MANAGER'!$U$18:$U$25,U$2)),1,0))</f>
        <v>0</v>
      </c>
      <c r="V43" cm="1">
        <f t="array" ref="V43">IF($A43="","",IF(AND(INDEX($C43:$J43,V$2)&gt;0,$A43&lt;&gt;INDEX('TRIP MANAGER'!$T$18:$T$25,V$2),$A43&lt;&gt;INDEX('TRIP MANAGER'!$U$18:$U$25,V$2)),1,0))</f>
        <v>0</v>
      </c>
      <c r="W43" cm="1">
        <f t="array" ref="W43">IF($A43="","",IF(AND(INDEX($C43:$J43,W$2)&gt;0,$A43&lt;&gt;INDEX('TRIP MANAGER'!$T$18:$T$25,W$2),$A43&lt;&gt;INDEX('TRIP MANAGER'!$U$18:$U$25,W$2)),1,0))</f>
        <v>0</v>
      </c>
      <c r="X43" cm="1">
        <f t="array" ref="X43">IF($A43="","",IF(AND(INDEX($C43:$J43,X$2)&gt;0,$A43&lt;&gt;INDEX('TRIP MANAGER'!$T$18:$T$25,X$2),$A43&lt;&gt;INDEX('TRIP MANAGER'!$U$18:$U$25,X$2)),1,0))</f>
        <v>0</v>
      </c>
      <c r="Y43" cm="1">
        <f t="array" ref="Y43">IF($A43="","",IF(AND(INDEX($C43:$J43,Y$2)&gt;0,$A43&lt;&gt;INDEX('TRIP MANAGER'!$T$18:$T$25,Y$2),$A43&lt;&gt;INDEX('TRIP MANAGER'!$U$18:$U$25,Y$2)),1,0))</f>
        <v>0</v>
      </c>
    </row>
    <row r="44" spans="1:25" x14ac:dyDescent="0.3">
      <c r="A44" t="str">
        <f>IF(countries!$D43="","",countries!$D43)</f>
        <v>REU</v>
      </c>
      <c r="B44" t="str">
        <f>IF(countries!$B43="","",countries!$B43)</f>
        <v>Réunion</v>
      </c>
      <c r="C44">
        <f>IF($A44="","",COUNTIFS(route_calc!$A$2:$A$1209,C$2,route_calc!$P$2:$P$1209,$A44))</f>
        <v>0</v>
      </c>
      <c r="D44">
        <f>IF($A44="","",COUNTIFS(route_calc!$A$2:$A$1209,D$2,route_calc!$P$2:$P$1209,$A44))</f>
        <v>0</v>
      </c>
      <c r="E44">
        <f>IF($A44="","",COUNTIFS(route_calc!$A$2:$A$1209,E$2,route_calc!$P$2:$P$1209,$A44))</f>
        <v>0</v>
      </c>
      <c r="F44">
        <f>IF($A44="","",COUNTIFS(route_calc!$A$2:$A$1209,F$2,route_calc!$P$2:$P$1209,$A44))</f>
        <v>0</v>
      </c>
      <c r="G44">
        <f>IF($A44="","",COUNTIFS(route_calc!$A$2:$A$1209,G$2,route_calc!$P$2:$P$1209,$A44))</f>
        <v>0</v>
      </c>
      <c r="H44">
        <f>IF($A44="","",COUNTIFS(route_calc!$A$2:$A$1209,H$2,route_calc!$P$2:$P$1209,$A44))</f>
        <v>0</v>
      </c>
      <c r="I44">
        <f>IF($A44="","",COUNTIFS(route_calc!$A$2:$A$1209,I$2,route_calc!$P$2:$P$1209,$A44))</f>
        <v>0</v>
      </c>
      <c r="J44">
        <f>IF($A44="","",COUNTIFS(route_calc!$A$2:$A$1209,J$2,route_calc!$P$2:$P$1209,$A44))</f>
        <v>0</v>
      </c>
      <c r="K44" t="str">
        <f>IF($L44=0,"",_xlfn.MINIFS(route_calc!$Q$2:$Q$1209,route_calc!$P$2:$P$1209,$A44,route_calc!$A$2:$A$1209,MATCH(1,$R44:$Y44,0)))</f>
        <v/>
      </c>
      <c r="L44">
        <f t="shared" si="0"/>
        <v>0</v>
      </c>
      <c r="M44" t="str" cm="1">
        <f t="array" ref="M44">IF($L44=0,"",_xlfn.TEXTJOIN(", ",TRUE,IF($R44:$Y44&gt;0,$C$1:$J$1,"")))</f>
        <v/>
      </c>
      <c r="N44" t="str" cm="1">
        <f t="array" ref="N44">IF($L44=0,"",SUMPRODUCT(($L$3:$L$144=1)*($K$3:$K$144&lt;$K44))+1)</f>
        <v/>
      </c>
      <c r="O44" t="str">
        <f t="shared" si="1"/>
        <v/>
      </c>
      <c r="P44" t="str">
        <f>IF($A44="","",IFERROR(INDEX(countries!$G:$G,MATCH($A44,countries!$D:$D,0)),""))</f>
        <v>REQUIRED</v>
      </c>
      <c r="Q44" t="str">
        <f>IF($A44="","",IFERROR(IF(INDEX(countries!$I:$I,MATCH($A44,countries!$D:$D,0))=0,"",INDEX(countries!$I:$I,MATCH($A44,countries!$D:$D,0))),""))</f>
        <v/>
      </c>
      <c r="R44" cm="1">
        <f t="array" ref="R44">IF($A44="","",IF(AND(INDEX($C44:$J44,R$2)&gt;0,$A44&lt;&gt;INDEX('TRIP MANAGER'!$T$18:$T$25,R$2),$A44&lt;&gt;INDEX('TRIP MANAGER'!$U$18:$U$25,R$2)),1,0))</f>
        <v>0</v>
      </c>
      <c r="S44" cm="1">
        <f t="array" ref="S44">IF($A44="","",IF(AND(INDEX($C44:$J44,S$2)&gt;0,$A44&lt;&gt;INDEX('TRIP MANAGER'!$T$18:$T$25,S$2),$A44&lt;&gt;INDEX('TRIP MANAGER'!$U$18:$U$25,S$2)),1,0))</f>
        <v>0</v>
      </c>
      <c r="T44" cm="1">
        <f t="array" ref="T44">IF($A44="","",IF(AND(INDEX($C44:$J44,T$2)&gt;0,$A44&lt;&gt;INDEX('TRIP MANAGER'!$T$18:$T$25,T$2),$A44&lt;&gt;INDEX('TRIP MANAGER'!$U$18:$U$25,T$2)),1,0))</f>
        <v>0</v>
      </c>
      <c r="U44" cm="1">
        <f t="array" ref="U44">IF($A44="","",IF(AND(INDEX($C44:$J44,U$2)&gt;0,$A44&lt;&gt;INDEX('TRIP MANAGER'!$T$18:$T$25,U$2),$A44&lt;&gt;INDEX('TRIP MANAGER'!$U$18:$U$25,U$2)),1,0))</f>
        <v>0</v>
      </c>
      <c r="V44" cm="1">
        <f t="array" ref="V44">IF($A44="","",IF(AND(INDEX($C44:$J44,V$2)&gt;0,$A44&lt;&gt;INDEX('TRIP MANAGER'!$T$18:$T$25,V$2),$A44&lt;&gt;INDEX('TRIP MANAGER'!$U$18:$U$25,V$2)),1,0))</f>
        <v>0</v>
      </c>
      <c r="W44" cm="1">
        <f t="array" ref="W44">IF($A44="","",IF(AND(INDEX($C44:$J44,W$2)&gt;0,$A44&lt;&gt;INDEX('TRIP MANAGER'!$T$18:$T$25,W$2),$A44&lt;&gt;INDEX('TRIP MANAGER'!$U$18:$U$25,W$2)),1,0))</f>
        <v>0</v>
      </c>
      <c r="X44" cm="1">
        <f t="array" ref="X44">IF($A44="","",IF(AND(INDEX($C44:$J44,X$2)&gt;0,$A44&lt;&gt;INDEX('TRIP MANAGER'!$T$18:$T$25,X$2),$A44&lt;&gt;INDEX('TRIP MANAGER'!$U$18:$U$25,X$2)),1,0))</f>
        <v>0</v>
      </c>
      <c r="Y44" cm="1">
        <f t="array" ref="Y44">IF($A44="","",IF(AND(INDEX($C44:$J44,Y$2)&gt;0,$A44&lt;&gt;INDEX('TRIP MANAGER'!$T$18:$T$25,Y$2),$A44&lt;&gt;INDEX('TRIP MANAGER'!$U$18:$U$25,Y$2)),1,0))</f>
        <v>0</v>
      </c>
    </row>
    <row r="45" spans="1:25" x14ac:dyDescent="0.3">
      <c r="A45" t="str">
        <f>IF(countries!$D44="","",countries!$D44)</f>
        <v>SHN</v>
      </c>
      <c r="B45" t="str">
        <f>IF(countries!$B44="","",countries!$B44)</f>
        <v>Saint Helena, Ascension and Tristan da Cunha</v>
      </c>
      <c r="C45">
        <f>IF($A45="","",COUNTIFS(route_calc!$A$2:$A$1209,C$2,route_calc!$P$2:$P$1209,$A45))</f>
        <v>0</v>
      </c>
      <c r="D45">
        <f>IF($A45="","",COUNTIFS(route_calc!$A$2:$A$1209,D$2,route_calc!$P$2:$P$1209,$A45))</f>
        <v>0</v>
      </c>
      <c r="E45">
        <f>IF($A45="","",COUNTIFS(route_calc!$A$2:$A$1209,E$2,route_calc!$P$2:$P$1209,$A45))</f>
        <v>0</v>
      </c>
      <c r="F45">
        <f>IF($A45="","",COUNTIFS(route_calc!$A$2:$A$1209,F$2,route_calc!$P$2:$P$1209,$A45))</f>
        <v>0</v>
      </c>
      <c r="G45">
        <f>IF($A45="","",COUNTIFS(route_calc!$A$2:$A$1209,G$2,route_calc!$P$2:$P$1209,$A45))</f>
        <v>0</v>
      </c>
      <c r="H45">
        <f>IF($A45="","",COUNTIFS(route_calc!$A$2:$A$1209,H$2,route_calc!$P$2:$P$1209,$A45))</f>
        <v>0</v>
      </c>
      <c r="I45">
        <f>IF($A45="","",COUNTIFS(route_calc!$A$2:$A$1209,I$2,route_calc!$P$2:$P$1209,$A45))</f>
        <v>0</v>
      </c>
      <c r="J45">
        <f>IF($A45="","",COUNTIFS(route_calc!$A$2:$A$1209,J$2,route_calc!$P$2:$P$1209,$A45))</f>
        <v>0</v>
      </c>
      <c r="K45" t="str">
        <f>IF($L45=0,"",_xlfn.MINIFS(route_calc!$Q$2:$Q$1209,route_calc!$P$2:$P$1209,$A45,route_calc!$A$2:$A$1209,MATCH(1,$R45:$Y45,0)))</f>
        <v/>
      </c>
      <c r="L45">
        <f t="shared" si="0"/>
        <v>0</v>
      </c>
      <c r="M45" t="str" cm="1">
        <f t="array" ref="M45">IF($L45=0,"",_xlfn.TEXTJOIN(", ",TRUE,IF($R45:$Y45&gt;0,$C$1:$J$1,"")))</f>
        <v/>
      </c>
      <c r="N45" t="str" cm="1">
        <f t="array" ref="N45">IF($L45=0,"",SUMPRODUCT(($L$3:$L$144=1)*($K$3:$K$144&lt;$K45))+1)</f>
        <v/>
      </c>
      <c r="O45" t="str">
        <f t="shared" si="1"/>
        <v/>
      </c>
      <c r="P45" t="str">
        <f>IF($A45="","",IFERROR(INDEX(countries!$G:$G,MATCH($A45,countries!$D:$D,0)),""))</f>
        <v>REQUIRED</v>
      </c>
      <c r="Q45" t="str">
        <f>IF($A45="","",IFERROR(IF(INDEX(countries!$I:$I,MATCH($A45,countries!$D:$D,0))=0,"",INDEX(countries!$I:$I,MATCH($A45,countries!$D:$D,0))),""))</f>
        <v/>
      </c>
      <c r="R45" cm="1">
        <f t="array" ref="R45">IF($A45="","",IF(AND(INDEX($C45:$J45,R$2)&gt;0,$A45&lt;&gt;INDEX('TRIP MANAGER'!$T$18:$T$25,R$2),$A45&lt;&gt;INDEX('TRIP MANAGER'!$U$18:$U$25,R$2)),1,0))</f>
        <v>0</v>
      </c>
      <c r="S45" cm="1">
        <f t="array" ref="S45">IF($A45="","",IF(AND(INDEX($C45:$J45,S$2)&gt;0,$A45&lt;&gt;INDEX('TRIP MANAGER'!$T$18:$T$25,S$2),$A45&lt;&gt;INDEX('TRIP MANAGER'!$U$18:$U$25,S$2)),1,0))</f>
        <v>0</v>
      </c>
      <c r="T45" cm="1">
        <f t="array" ref="T45">IF($A45="","",IF(AND(INDEX($C45:$J45,T$2)&gt;0,$A45&lt;&gt;INDEX('TRIP MANAGER'!$T$18:$T$25,T$2),$A45&lt;&gt;INDEX('TRIP MANAGER'!$U$18:$U$25,T$2)),1,0))</f>
        <v>0</v>
      </c>
      <c r="U45" cm="1">
        <f t="array" ref="U45">IF($A45="","",IF(AND(INDEX($C45:$J45,U$2)&gt;0,$A45&lt;&gt;INDEX('TRIP MANAGER'!$T$18:$T$25,U$2),$A45&lt;&gt;INDEX('TRIP MANAGER'!$U$18:$U$25,U$2)),1,0))</f>
        <v>0</v>
      </c>
      <c r="V45" cm="1">
        <f t="array" ref="V45">IF($A45="","",IF(AND(INDEX($C45:$J45,V$2)&gt;0,$A45&lt;&gt;INDEX('TRIP MANAGER'!$T$18:$T$25,V$2),$A45&lt;&gt;INDEX('TRIP MANAGER'!$U$18:$U$25,V$2)),1,0))</f>
        <v>0</v>
      </c>
      <c r="W45" cm="1">
        <f t="array" ref="W45">IF($A45="","",IF(AND(INDEX($C45:$J45,W$2)&gt;0,$A45&lt;&gt;INDEX('TRIP MANAGER'!$T$18:$T$25,W$2),$A45&lt;&gt;INDEX('TRIP MANAGER'!$U$18:$U$25,W$2)),1,0))</f>
        <v>0</v>
      </c>
      <c r="X45" cm="1">
        <f t="array" ref="X45">IF($A45="","",IF(AND(INDEX($C45:$J45,X$2)&gt;0,$A45&lt;&gt;INDEX('TRIP MANAGER'!$T$18:$T$25,X$2),$A45&lt;&gt;INDEX('TRIP MANAGER'!$U$18:$U$25,X$2)),1,0))</f>
        <v>0</v>
      </c>
      <c r="Y45" cm="1">
        <f t="array" ref="Y45">IF($A45="","",IF(AND(INDEX($C45:$J45,Y$2)&gt;0,$A45&lt;&gt;INDEX('TRIP MANAGER'!$T$18:$T$25,Y$2),$A45&lt;&gt;INDEX('TRIP MANAGER'!$U$18:$U$25,Y$2)),1,0))</f>
        <v>0</v>
      </c>
    </row>
    <row r="46" spans="1:25" x14ac:dyDescent="0.3">
      <c r="A46" t="str">
        <f>IF(countries!$D45="","",countries!$D45)</f>
        <v>STP</v>
      </c>
      <c r="B46" t="str">
        <f>IF(countries!$B45="","",countries!$B45)</f>
        <v>São Tomé and Príncipe</v>
      </c>
      <c r="C46">
        <f>IF($A46="","",COUNTIFS(route_calc!$A$2:$A$1209,C$2,route_calc!$P$2:$P$1209,$A46))</f>
        <v>0</v>
      </c>
      <c r="D46">
        <f>IF($A46="","",COUNTIFS(route_calc!$A$2:$A$1209,D$2,route_calc!$P$2:$P$1209,$A46))</f>
        <v>0</v>
      </c>
      <c r="E46">
        <f>IF($A46="","",COUNTIFS(route_calc!$A$2:$A$1209,E$2,route_calc!$P$2:$P$1209,$A46))</f>
        <v>0</v>
      </c>
      <c r="F46">
        <f>IF($A46="","",COUNTIFS(route_calc!$A$2:$A$1209,F$2,route_calc!$P$2:$P$1209,$A46))</f>
        <v>0</v>
      </c>
      <c r="G46">
        <f>IF($A46="","",COUNTIFS(route_calc!$A$2:$A$1209,G$2,route_calc!$P$2:$P$1209,$A46))</f>
        <v>0</v>
      </c>
      <c r="H46">
        <f>IF($A46="","",COUNTIFS(route_calc!$A$2:$A$1209,H$2,route_calc!$P$2:$P$1209,$A46))</f>
        <v>0</v>
      </c>
      <c r="I46">
        <f>IF($A46="","",COUNTIFS(route_calc!$A$2:$A$1209,I$2,route_calc!$P$2:$P$1209,$A46))</f>
        <v>0</v>
      </c>
      <c r="J46">
        <f>IF($A46="","",COUNTIFS(route_calc!$A$2:$A$1209,J$2,route_calc!$P$2:$P$1209,$A46))</f>
        <v>0</v>
      </c>
      <c r="K46" t="str">
        <f>IF($L46=0,"",_xlfn.MINIFS(route_calc!$Q$2:$Q$1209,route_calc!$P$2:$P$1209,$A46,route_calc!$A$2:$A$1209,MATCH(1,$R46:$Y46,0)))</f>
        <v/>
      </c>
      <c r="L46">
        <f t="shared" si="0"/>
        <v>0</v>
      </c>
      <c r="M46" t="str" cm="1">
        <f t="array" ref="M46">IF($L46=0,"",_xlfn.TEXTJOIN(", ",TRUE,IF($R46:$Y46&gt;0,$C$1:$J$1,"")))</f>
        <v/>
      </c>
      <c r="N46" t="str" cm="1">
        <f t="array" ref="N46">IF($L46=0,"",SUMPRODUCT(($L$3:$L$144=1)*($K$3:$K$144&lt;$K46))+1)</f>
        <v/>
      </c>
      <c r="O46" t="str">
        <f t="shared" si="1"/>
        <v/>
      </c>
      <c r="P46" t="str">
        <f>IF($A46="","",IFERROR(INDEX(countries!$G:$G,MATCH($A46,countries!$D:$D,0)),""))</f>
        <v>REQUIRED</v>
      </c>
      <c r="Q46" t="str">
        <f>IF($A46="","",IFERROR(IF(INDEX(countries!$I:$I,MATCH($A46,countries!$D:$D,0))=0,"",INDEX(countries!$I:$I,MATCH($A46,countries!$D:$D,0))),""))</f>
        <v/>
      </c>
      <c r="R46" cm="1">
        <f t="array" ref="R46">IF($A46="","",IF(AND(INDEX($C46:$J46,R$2)&gt;0,$A46&lt;&gt;INDEX('TRIP MANAGER'!$T$18:$T$25,R$2),$A46&lt;&gt;INDEX('TRIP MANAGER'!$U$18:$U$25,R$2)),1,0))</f>
        <v>0</v>
      </c>
      <c r="S46" cm="1">
        <f t="array" ref="S46">IF($A46="","",IF(AND(INDEX($C46:$J46,S$2)&gt;0,$A46&lt;&gt;INDEX('TRIP MANAGER'!$T$18:$T$25,S$2),$A46&lt;&gt;INDEX('TRIP MANAGER'!$U$18:$U$25,S$2)),1,0))</f>
        <v>0</v>
      </c>
      <c r="T46" cm="1">
        <f t="array" ref="T46">IF($A46="","",IF(AND(INDEX($C46:$J46,T$2)&gt;0,$A46&lt;&gt;INDEX('TRIP MANAGER'!$T$18:$T$25,T$2),$A46&lt;&gt;INDEX('TRIP MANAGER'!$U$18:$U$25,T$2)),1,0))</f>
        <v>0</v>
      </c>
      <c r="U46" cm="1">
        <f t="array" ref="U46">IF($A46="","",IF(AND(INDEX($C46:$J46,U$2)&gt;0,$A46&lt;&gt;INDEX('TRIP MANAGER'!$T$18:$T$25,U$2),$A46&lt;&gt;INDEX('TRIP MANAGER'!$U$18:$U$25,U$2)),1,0))</f>
        <v>0</v>
      </c>
      <c r="V46" cm="1">
        <f t="array" ref="V46">IF($A46="","",IF(AND(INDEX($C46:$J46,V$2)&gt;0,$A46&lt;&gt;INDEX('TRIP MANAGER'!$T$18:$T$25,V$2),$A46&lt;&gt;INDEX('TRIP MANAGER'!$U$18:$U$25,V$2)),1,0))</f>
        <v>0</v>
      </c>
      <c r="W46" cm="1">
        <f t="array" ref="W46">IF($A46="","",IF(AND(INDEX($C46:$J46,W$2)&gt;0,$A46&lt;&gt;INDEX('TRIP MANAGER'!$T$18:$T$25,W$2),$A46&lt;&gt;INDEX('TRIP MANAGER'!$U$18:$U$25,W$2)),1,0))</f>
        <v>0</v>
      </c>
      <c r="X46" cm="1">
        <f t="array" ref="X46">IF($A46="","",IF(AND(INDEX($C46:$J46,X$2)&gt;0,$A46&lt;&gt;INDEX('TRIP MANAGER'!$T$18:$T$25,X$2),$A46&lt;&gt;INDEX('TRIP MANAGER'!$U$18:$U$25,X$2)),1,0))</f>
        <v>0</v>
      </c>
      <c r="Y46" cm="1">
        <f t="array" ref="Y46">IF($A46="","",IF(AND(INDEX($C46:$J46,Y$2)&gt;0,$A46&lt;&gt;INDEX('TRIP MANAGER'!$T$18:$T$25,Y$2),$A46&lt;&gt;INDEX('TRIP MANAGER'!$U$18:$U$25,Y$2)),1,0))</f>
        <v>0</v>
      </c>
    </row>
    <row r="47" spans="1:25" x14ac:dyDescent="0.3">
      <c r="A47" t="str">
        <f>IF(countries!$D46="","",countries!$D46)</f>
        <v>SEN</v>
      </c>
      <c r="B47" t="str">
        <f>IF(countries!$B46="","",countries!$B46)</f>
        <v>Senegal</v>
      </c>
      <c r="C47">
        <f>IF($A47="","",COUNTIFS(route_calc!$A$2:$A$1209,C$2,route_calc!$P$2:$P$1209,$A47))</f>
        <v>0</v>
      </c>
      <c r="D47">
        <f>IF($A47="","",COUNTIFS(route_calc!$A$2:$A$1209,D$2,route_calc!$P$2:$P$1209,$A47))</f>
        <v>0</v>
      </c>
      <c r="E47">
        <f>IF($A47="","",COUNTIFS(route_calc!$A$2:$A$1209,E$2,route_calc!$P$2:$P$1209,$A47))</f>
        <v>0</v>
      </c>
      <c r="F47">
        <f>IF($A47="","",COUNTIFS(route_calc!$A$2:$A$1209,F$2,route_calc!$P$2:$P$1209,$A47))</f>
        <v>0</v>
      </c>
      <c r="G47">
        <f>IF($A47="","",COUNTIFS(route_calc!$A$2:$A$1209,G$2,route_calc!$P$2:$P$1209,$A47))</f>
        <v>0</v>
      </c>
      <c r="H47">
        <f>IF($A47="","",COUNTIFS(route_calc!$A$2:$A$1209,H$2,route_calc!$P$2:$P$1209,$A47))</f>
        <v>0</v>
      </c>
      <c r="I47">
        <f>IF($A47="","",COUNTIFS(route_calc!$A$2:$A$1209,I$2,route_calc!$P$2:$P$1209,$A47))</f>
        <v>0</v>
      </c>
      <c r="J47">
        <f>IF($A47="","",COUNTIFS(route_calc!$A$2:$A$1209,J$2,route_calc!$P$2:$P$1209,$A47))</f>
        <v>0</v>
      </c>
      <c r="K47" t="str">
        <f>IF($L47=0,"",_xlfn.MINIFS(route_calc!$Q$2:$Q$1209,route_calc!$P$2:$P$1209,$A47,route_calc!$A$2:$A$1209,MATCH(1,$R47:$Y47,0)))</f>
        <v/>
      </c>
      <c r="L47">
        <f t="shared" si="0"/>
        <v>0</v>
      </c>
      <c r="M47" t="str" cm="1">
        <f t="array" ref="M47">IF($L47=0,"",_xlfn.TEXTJOIN(", ",TRUE,IF($R47:$Y47&gt;0,$C$1:$J$1,"")))</f>
        <v/>
      </c>
      <c r="N47" t="str" cm="1">
        <f t="array" ref="N47">IF($L47=0,"",SUMPRODUCT(($L$3:$L$144=1)*($K$3:$K$144&lt;$K47))+1)</f>
        <v/>
      </c>
      <c r="O47" t="str">
        <f t="shared" si="1"/>
        <v/>
      </c>
      <c r="P47" t="str">
        <f>IF($A47="","",IFERROR(INDEX(countries!$G:$G,MATCH($A47,countries!$D:$D,0)),""))</f>
        <v>REQUIRED</v>
      </c>
      <c r="Q47" t="str">
        <f>IF($A47="","",IFERROR(IF(INDEX(countries!$I:$I,MATCH($A47,countries!$D:$D,0))=0,"",INDEX(countries!$I:$I,MATCH($A47,countries!$D:$D,0))),""))</f>
        <v/>
      </c>
      <c r="R47" cm="1">
        <f t="array" ref="R47">IF($A47="","",IF(AND(INDEX($C47:$J47,R$2)&gt;0,$A47&lt;&gt;INDEX('TRIP MANAGER'!$T$18:$T$25,R$2),$A47&lt;&gt;INDEX('TRIP MANAGER'!$U$18:$U$25,R$2)),1,0))</f>
        <v>0</v>
      </c>
      <c r="S47" cm="1">
        <f t="array" ref="S47">IF($A47="","",IF(AND(INDEX($C47:$J47,S$2)&gt;0,$A47&lt;&gt;INDEX('TRIP MANAGER'!$T$18:$T$25,S$2),$A47&lt;&gt;INDEX('TRIP MANAGER'!$U$18:$U$25,S$2)),1,0))</f>
        <v>0</v>
      </c>
      <c r="T47" cm="1">
        <f t="array" ref="T47">IF($A47="","",IF(AND(INDEX($C47:$J47,T$2)&gt;0,$A47&lt;&gt;INDEX('TRIP MANAGER'!$T$18:$T$25,T$2),$A47&lt;&gt;INDEX('TRIP MANAGER'!$U$18:$U$25,T$2)),1,0))</f>
        <v>0</v>
      </c>
      <c r="U47" cm="1">
        <f t="array" ref="U47">IF($A47="","",IF(AND(INDEX($C47:$J47,U$2)&gt;0,$A47&lt;&gt;INDEX('TRIP MANAGER'!$T$18:$T$25,U$2),$A47&lt;&gt;INDEX('TRIP MANAGER'!$U$18:$U$25,U$2)),1,0))</f>
        <v>0</v>
      </c>
      <c r="V47" cm="1">
        <f t="array" ref="V47">IF($A47="","",IF(AND(INDEX($C47:$J47,V$2)&gt;0,$A47&lt;&gt;INDEX('TRIP MANAGER'!$T$18:$T$25,V$2),$A47&lt;&gt;INDEX('TRIP MANAGER'!$U$18:$U$25,V$2)),1,0))</f>
        <v>0</v>
      </c>
      <c r="W47" cm="1">
        <f t="array" ref="W47">IF($A47="","",IF(AND(INDEX($C47:$J47,W$2)&gt;0,$A47&lt;&gt;INDEX('TRIP MANAGER'!$T$18:$T$25,W$2),$A47&lt;&gt;INDEX('TRIP MANAGER'!$U$18:$U$25,W$2)),1,0))</f>
        <v>0</v>
      </c>
      <c r="X47" cm="1">
        <f t="array" ref="X47">IF($A47="","",IF(AND(INDEX($C47:$J47,X$2)&gt;0,$A47&lt;&gt;INDEX('TRIP MANAGER'!$T$18:$T$25,X$2),$A47&lt;&gt;INDEX('TRIP MANAGER'!$U$18:$U$25,X$2)),1,0))</f>
        <v>0</v>
      </c>
      <c r="Y47" cm="1">
        <f t="array" ref="Y47">IF($A47="","",IF(AND(INDEX($C47:$J47,Y$2)&gt;0,$A47&lt;&gt;INDEX('TRIP MANAGER'!$T$18:$T$25,Y$2),$A47&lt;&gt;INDEX('TRIP MANAGER'!$U$18:$U$25,Y$2)),1,0))</f>
        <v>0</v>
      </c>
    </row>
    <row r="48" spans="1:25" x14ac:dyDescent="0.3">
      <c r="A48" t="str">
        <f>IF(countries!$D47="","",countries!$D47)</f>
        <v>SYC</v>
      </c>
      <c r="B48" t="str">
        <f>IF(countries!$B47="","",countries!$B47)</f>
        <v>Seychelles</v>
      </c>
      <c r="C48">
        <f>IF($A48="","",COUNTIFS(route_calc!$A$2:$A$1209,C$2,route_calc!$P$2:$P$1209,$A48))</f>
        <v>0</v>
      </c>
      <c r="D48">
        <f>IF($A48="","",COUNTIFS(route_calc!$A$2:$A$1209,D$2,route_calc!$P$2:$P$1209,$A48))</f>
        <v>0</v>
      </c>
      <c r="E48">
        <f>IF($A48="","",COUNTIFS(route_calc!$A$2:$A$1209,E$2,route_calc!$P$2:$P$1209,$A48))</f>
        <v>0</v>
      </c>
      <c r="F48">
        <f>IF($A48="","",COUNTIFS(route_calc!$A$2:$A$1209,F$2,route_calc!$P$2:$P$1209,$A48))</f>
        <v>0</v>
      </c>
      <c r="G48">
        <f>IF($A48="","",COUNTIFS(route_calc!$A$2:$A$1209,G$2,route_calc!$P$2:$P$1209,$A48))</f>
        <v>0</v>
      </c>
      <c r="H48">
        <f>IF($A48="","",COUNTIFS(route_calc!$A$2:$A$1209,H$2,route_calc!$P$2:$P$1209,$A48))</f>
        <v>0</v>
      </c>
      <c r="I48">
        <f>IF($A48="","",COUNTIFS(route_calc!$A$2:$A$1209,I$2,route_calc!$P$2:$P$1209,$A48))</f>
        <v>0</v>
      </c>
      <c r="J48">
        <f>IF($A48="","",COUNTIFS(route_calc!$A$2:$A$1209,J$2,route_calc!$P$2:$P$1209,$A48))</f>
        <v>0</v>
      </c>
      <c r="K48" t="str">
        <f>IF($L48=0,"",_xlfn.MINIFS(route_calc!$Q$2:$Q$1209,route_calc!$P$2:$P$1209,$A48,route_calc!$A$2:$A$1209,MATCH(1,$R48:$Y48,0)))</f>
        <v/>
      </c>
      <c r="L48">
        <f t="shared" si="0"/>
        <v>0</v>
      </c>
      <c r="M48" t="str" cm="1">
        <f t="array" ref="M48">IF($L48=0,"",_xlfn.TEXTJOIN(", ",TRUE,IF($R48:$Y48&gt;0,$C$1:$J$1,"")))</f>
        <v/>
      </c>
      <c r="N48" t="str" cm="1">
        <f t="array" ref="N48">IF($L48=0,"",SUMPRODUCT(($L$3:$L$144=1)*($K$3:$K$144&lt;$K48))+1)</f>
        <v/>
      </c>
      <c r="O48" t="str">
        <f t="shared" si="1"/>
        <v/>
      </c>
      <c r="P48" t="str">
        <f>IF($A48="","",IFERROR(INDEX(countries!$G:$G,MATCH($A48,countries!$D:$D,0)),""))</f>
        <v>REQUIRED</v>
      </c>
      <c r="Q48" t="str">
        <f>IF($A48="","",IFERROR(IF(INDEX(countries!$I:$I,MATCH($A48,countries!$D:$D,0))=0,"",INDEX(countries!$I:$I,MATCH($A48,countries!$D:$D,0))),""))</f>
        <v/>
      </c>
      <c r="R48" cm="1">
        <f t="array" ref="R48">IF($A48="","",IF(AND(INDEX($C48:$J48,R$2)&gt;0,$A48&lt;&gt;INDEX('TRIP MANAGER'!$T$18:$T$25,R$2),$A48&lt;&gt;INDEX('TRIP MANAGER'!$U$18:$U$25,R$2)),1,0))</f>
        <v>0</v>
      </c>
      <c r="S48" cm="1">
        <f t="array" ref="S48">IF($A48="","",IF(AND(INDEX($C48:$J48,S$2)&gt;0,$A48&lt;&gt;INDEX('TRIP MANAGER'!$T$18:$T$25,S$2),$A48&lt;&gt;INDEX('TRIP MANAGER'!$U$18:$U$25,S$2)),1,0))</f>
        <v>0</v>
      </c>
      <c r="T48" cm="1">
        <f t="array" ref="T48">IF($A48="","",IF(AND(INDEX($C48:$J48,T$2)&gt;0,$A48&lt;&gt;INDEX('TRIP MANAGER'!$T$18:$T$25,T$2),$A48&lt;&gt;INDEX('TRIP MANAGER'!$U$18:$U$25,T$2)),1,0))</f>
        <v>0</v>
      </c>
      <c r="U48" cm="1">
        <f t="array" ref="U48">IF($A48="","",IF(AND(INDEX($C48:$J48,U$2)&gt;0,$A48&lt;&gt;INDEX('TRIP MANAGER'!$T$18:$T$25,U$2),$A48&lt;&gt;INDEX('TRIP MANAGER'!$U$18:$U$25,U$2)),1,0))</f>
        <v>0</v>
      </c>
      <c r="V48" cm="1">
        <f t="array" ref="V48">IF($A48="","",IF(AND(INDEX($C48:$J48,V$2)&gt;0,$A48&lt;&gt;INDEX('TRIP MANAGER'!$T$18:$T$25,V$2),$A48&lt;&gt;INDEX('TRIP MANAGER'!$U$18:$U$25,V$2)),1,0))</f>
        <v>0</v>
      </c>
      <c r="W48" cm="1">
        <f t="array" ref="W48">IF($A48="","",IF(AND(INDEX($C48:$J48,W$2)&gt;0,$A48&lt;&gt;INDEX('TRIP MANAGER'!$T$18:$T$25,W$2),$A48&lt;&gt;INDEX('TRIP MANAGER'!$U$18:$U$25,W$2)),1,0))</f>
        <v>0</v>
      </c>
      <c r="X48" cm="1">
        <f t="array" ref="X48">IF($A48="","",IF(AND(INDEX($C48:$J48,X$2)&gt;0,$A48&lt;&gt;INDEX('TRIP MANAGER'!$T$18:$T$25,X$2),$A48&lt;&gt;INDEX('TRIP MANAGER'!$U$18:$U$25,X$2)),1,0))</f>
        <v>0</v>
      </c>
      <c r="Y48" cm="1">
        <f t="array" ref="Y48">IF($A48="","",IF(AND(INDEX($C48:$J48,Y$2)&gt;0,$A48&lt;&gt;INDEX('TRIP MANAGER'!$T$18:$T$25,Y$2),$A48&lt;&gt;INDEX('TRIP MANAGER'!$U$18:$U$25,Y$2)),1,0))</f>
        <v>0</v>
      </c>
    </row>
    <row r="49" spans="1:25" x14ac:dyDescent="0.3">
      <c r="A49" t="str">
        <f>IF(countries!$D48="","",countries!$D48)</f>
        <v>SLE</v>
      </c>
      <c r="B49" t="str">
        <f>IF(countries!$B48="","",countries!$B48)</f>
        <v>Sierra Leone</v>
      </c>
      <c r="C49">
        <f>IF($A49="","",COUNTIFS(route_calc!$A$2:$A$1209,C$2,route_calc!$P$2:$P$1209,$A49))</f>
        <v>0</v>
      </c>
      <c r="D49">
        <f>IF($A49="","",COUNTIFS(route_calc!$A$2:$A$1209,D$2,route_calc!$P$2:$P$1209,$A49))</f>
        <v>0</v>
      </c>
      <c r="E49">
        <f>IF($A49="","",COUNTIFS(route_calc!$A$2:$A$1209,E$2,route_calc!$P$2:$P$1209,$A49))</f>
        <v>0</v>
      </c>
      <c r="F49">
        <f>IF($A49="","",COUNTIFS(route_calc!$A$2:$A$1209,F$2,route_calc!$P$2:$P$1209,$A49))</f>
        <v>0</v>
      </c>
      <c r="G49">
        <f>IF($A49="","",COUNTIFS(route_calc!$A$2:$A$1209,G$2,route_calc!$P$2:$P$1209,$A49))</f>
        <v>0</v>
      </c>
      <c r="H49">
        <f>IF($A49="","",COUNTIFS(route_calc!$A$2:$A$1209,H$2,route_calc!$P$2:$P$1209,$A49))</f>
        <v>0</v>
      </c>
      <c r="I49">
        <f>IF($A49="","",COUNTIFS(route_calc!$A$2:$A$1209,I$2,route_calc!$P$2:$P$1209,$A49))</f>
        <v>0</v>
      </c>
      <c r="J49">
        <f>IF($A49="","",COUNTIFS(route_calc!$A$2:$A$1209,J$2,route_calc!$P$2:$P$1209,$A49))</f>
        <v>0</v>
      </c>
      <c r="K49" t="str">
        <f>IF($L49=0,"",_xlfn.MINIFS(route_calc!$Q$2:$Q$1209,route_calc!$P$2:$P$1209,$A49,route_calc!$A$2:$A$1209,MATCH(1,$R49:$Y49,0)))</f>
        <v/>
      </c>
      <c r="L49">
        <f t="shared" si="0"/>
        <v>0</v>
      </c>
      <c r="M49" t="str" cm="1">
        <f t="array" ref="M49">IF($L49=0,"",_xlfn.TEXTJOIN(", ",TRUE,IF($R49:$Y49&gt;0,$C$1:$J$1,"")))</f>
        <v/>
      </c>
      <c r="N49" t="str" cm="1">
        <f t="array" ref="N49">IF($L49=0,"",SUMPRODUCT(($L$3:$L$144=1)*($K$3:$K$144&lt;$K49))+1)</f>
        <v/>
      </c>
      <c r="O49" t="str">
        <f t="shared" si="1"/>
        <v/>
      </c>
      <c r="P49" t="str">
        <f>IF($A49="","",IFERROR(INDEX(countries!$G:$G,MATCH($A49,countries!$D:$D,0)),""))</f>
        <v>REQUIRED</v>
      </c>
      <c r="Q49" t="str">
        <f>IF($A49="","",IFERROR(IF(INDEX(countries!$I:$I,MATCH($A49,countries!$D:$D,0))=0,"",INDEX(countries!$I:$I,MATCH($A49,countries!$D:$D,0))),""))</f>
        <v/>
      </c>
      <c r="R49" cm="1">
        <f t="array" ref="R49">IF($A49="","",IF(AND(INDEX($C49:$J49,R$2)&gt;0,$A49&lt;&gt;INDEX('TRIP MANAGER'!$T$18:$T$25,R$2),$A49&lt;&gt;INDEX('TRIP MANAGER'!$U$18:$U$25,R$2)),1,0))</f>
        <v>0</v>
      </c>
      <c r="S49" cm="1">
        <f t="array" ref="S49">IF($A49="","",IF(AND(INDEX($C49:$J49,S$2)&gt;0,$A49&lt;&gt;INDEX('TRIP MANAGER'!$T$18:$T$25,S$2),$A49&lt;&gt;INDEX('TRIP MANAGER'!$U$18:$U$25,S$2)),1,0))</f>
        <v>0</v>
      </c>
      <c r="T49" cm="1">
        <f t="array" ref="T49">IF($A49="","",IF(AND(INDEX($C49:$J49,T$2)&gt;0,$A49&lt;&gt;INDEX('TRIP MANAGER'!$T$18:$T$25,T$2),$A49&lt;&gt;INDEX('TRIP MANAGER'!$U$18:$U$25,T$2)),1,0))</f>
        <v>0</v>
      </c>
      <c r="U49" cm="1">
        <f t="array" ref="U49">IF($A49="","",IF(AND(INDEX($C49:$J49,U$2)&gt;0,$A49&lt;&gt;INDEX('TRIP MANAGER'!$T$18:$T$25,U$2),$A49&lt;&gt;INDEX('TRIP MANAGER'!$U$18:$U$25,U$2)),1,0))</f>
        <v>0</v>
      </c>
      <c r="V49" cm="1">
        <f t="array" ref="V49">IF($A49="","",IF(AND(INDEX($C49:$J49,V$2)&gt;0,$A49&lt;&gt;INDEX('TRIP MANAGER'!$T$18:$T$25,V$2),$A49&lt;&gt;INDEX('TRIP MANAGER'!$U$18:$U$25,V$2)),1,0))</f>
        <v>0</v>
      </c>
      <c r="W49" cm="1">
        <f t="array" ref="W49">IF($A49="","",IF(AND(INDEX($C49:$J49,W$2)&gt;0,$A49&lt;&gt;INDEX('TRIP MANAGER'!$T$18:$T$25,W$2),$A49&lt;&gt;INDEX('TRIP MANAGER'!$U$18:$U$25,W$2)),1,0))</f>
        <v>0</v>
      </c>
      <c r="X49" cm="1">
        <f t="array" ref="X49">IF($A49="","",IF(AND(INDEX($C49:$J49,X$2)&gt;0,$A49&lt;&gt;INDEX('TRIP MANAGER'!$T$18:$T$25,X$2),$A49&lt;&gt;INDEX('TRIP MANAGER'!$U$18:$U$25,X$2)),1,0))</f>
        <v>0</v>
      </c>
      <c r="Y49" cm="1">
        <f t="array" ref="Y49">IF($A49="","",IF(AND(INDEX($C49:$J49,Y$2)&gt;0,$A49&lt;&gt;INDEX('TRIP MANAGER'!$T$18:$T$25,Y$2),$A49&lt;&gt;INDEX('TRIP MANAGER'!$U$18:$U$25,Y$2)),1,0))</f>
        <v>0</v>
      </c>
    </row>
    <row r="50" spans="1:25" x14ac:dyDescent="0.3">
      <c r="A50" t="str">
        <f>IF(countries!$D49="","",countries!$D49)</f>
        <v>SOM</v>
      </c>
      <c r="B50" t="str">
        <f>IF(countries!$B49="","",countries!$B49)</f>
        <v>Somalia</v>
      </c>
      <c r="C50">
        <f>IF($A50="","",COUNTIFS(route_calc!$A$2:$A$1209,C$2,route_calc!$P$2:$P$1209,$A50))</f>
        <v>0</v>
      </c>
      <c r="D50">
        <f>IF($A50="","",COUNTIFS(route_calc!$A$2:$A$1209,D$2,route_calc!$P$2:$P$1209,$A50))</f>
        <v>0</v>
      </c>
      <c r="E50">
        <f>IF($A50="","",COUNTIFS(route_calc!$A$2:$A$1209,E$2,route_calc!$P$2:$P$1209,$A50))</f>
        <v>0</v>
      </c>
      <c r="F50">
        <f>IF($A50="","",COUNTIFS(route_calc!$A$2:$A$1209,F$2,route_calc!$P$2:$P$1209,$A50))</f>
        <v>0</v>
      </c>
      <c r="G50">
        <f>IF($A50="","",COUNTIFS(route_calc!$A$2:$A$1209,G$2,route_calc!$P$2:$P$1209,$A50))</f>
        <v>0</v>
      </c>
      <c r="H50">
        <f>IF($A50="","",COUNTIFS(route_calc!$A$2:$A$1209,H$2,route_calc!$P$2:$P$1209,$A50))</f>
        <v>0</v>
      </c>
      <c r="I50">
        <f>IF($A50="","",COUNTIFS(route_calc!$A$2:$A$1209,I$2,route_calc!$P$2:$P$1209,$A50))</f>
        <v>0</v>
      </c>
      <c r="J50">
        <f>IF($A50="","",COUNTIFS(route_calc!$A$2:$A$1209,J$2,route_calc!$P$2:$P$1209,$A50))</f>
        <v>0</v>
      </c>
      <c r="K50" t="str">
        <f>IF($L50=0,"",_xlfn.MINIFS(route_calc!$Q$2:$Q$1209,route_calc!$P$2:$P$1209,$A50,route_calc!$A$2:$A$1209,MATCH(1,$R50:$Y50,0)))</f>
        <v/>
      </c>
      <c r="L50">
        <f t="shared" si="0"/>
        <v>0</v>
      </c>
      <c r="M50" t="str" cm="1">
        <f t="array" ref="M50">IF($L50=0,"",_xlfn.TEXTJOIN(", ",TRUE,IF($R50:$Y50&gt;0,$C$1:$J$1,"")))</f>
        <v/>
      </c>
      <c r="N50" t="str" cm="1">
        <f t="array" ref="N50">IF($L50=0,"",SUMPRODUCT(($L$3:$L$144=1)*($K$3:$K$144&lt;$K50))+1)</f>
        <v/>
      </c>
      <c r="O50" t="str">
        <f t="shared" si="1"/>
        <v/>
      </c>
      <c r="P50" t="str">
        <f>IF($A50="","",IFERROR(INDEX(countries!$G:$G,MATCH($A50,countries!$D:$D,0)),""))</f>
        <v>REQUIRED</v>
      </c>
      <c r="Q50" t="str">
        <f>IF($A50="","",IFERROR(IF(INDEX(countries!$I:$I,MATCH($A50,countries!$D:$D,0))=0,"",INDEX(countries!$I:$I,MATCH($A50,countries!$D:$D,0))),""))</f>
        <v/>
      </c>
      <c r="R50" cm="1">
        <f t="array" ref="R50">IF($A50="","",IF(AND(INDEX($C50:$J50,R$2)&gt;0,$A50&lt;&gt;INDEX('TRIP MANAGER'!$T$18:$T$25,R$2),$A50&lt;&gt;INDEX('TRIP MANAGER'!$U$18:$U$25,R$2)),1,0))</f>
        <v>0</v>
      </c>
      <c r="S50" cm="1">
        <f t="array" ref="S50">IF($A50="","",IF(AND(INDEX($C50:$J50,S$2)&gt;0,$A50&lt;&gt;INDEX('TRIP MANAGER'!$T$18:$T$25,S$2),$A50&lt;&gt;INDEX('TRIP MANAGER'!$U$18:$U$25,S$2)),1,0))</f>
        <v>0</v>
      </c>
      <c r="T50" cm="1">
        <f t="array" ref="T50">IF($A50="","",IF(AND(INDEX($C50:$J50,T$2)&gt;0,$A50&lt;&gt;INDEX('TRIP MANAGER'!$T$18:$T$25,T$2),$A50&lt;&gt;INDEX('TRIP MANAGER'!$U$18:$U$25,T$2)),1,0))</f>
        <v>0</v>
      </c>
      <c r="U50" cm="1">
        <f t="array" ref="U50">IF($A50="","",IF(AND(INDEX($C50:$J50,U$2)&gt;0,$A50&lt;&gt;INDEX('TRIP MANAGER'!$T$18:$T$25,U$2),$A50&lt;&gt;INDEX('TRIP MANAGER'!$U$18:$U$25,U$2)),1,0))</f>
        <v>0</v>
      </c>
      <c r="V50" cm="1">
        <f t="array" ref="V50">IF($A50="","",IF(AND(INDEX($C50:$J50,V$2)&gt;0,$A50&lt;&gt;INDEX('TRIP MANAGER'!$T$18:$T$25,V$2),$A50&lt;&gt;INDEX('TRIP MANAGER'!$U$18:$U$25,V$2)),1,0))</f>
        <v>0</v>
      </c>
      <c r="W50" cm="1">
        <f t="array" ref="W50">IF($A50="","",IF(AND(INDEX($C50:$J50,W$2)&gt;0,$A50&lt;&gt;INDEX('TRIP MANAGER'!$T$18:$T$25,W$2),$A50&lt;&gt;INDEX('TRIP MANAGER'!$U$18:$U$25,W$2)),1,0))</f>
        <v>0</v>
      </c>
      <c r="X50" cm="1">
        <f t="array" ref="X50">IF($A50="","",IF(AND(INDEX($C50:$J50,X$2)&gt;0,$A50&lt;&gt;INDEX('TRIP MANAGER'!$T$18:$T$25,X$2),$A50&lt;&gt;INDEX('TRIP MANAGER'!$U$18:$U$25,X$2)),1,0))</f>
        <v>0</v>
      </c>
      <c r="Y50" cm="1">
        <f t="array" ref="Y50">IF($A50="","",IF(AND(INDEX($C50:$J50,Y$2)&gt;0,$A50&lt;&gt;INDEX('TRIP MANAGER'!$T$18:$T$25,Y$2),$A50&lt;&gt;INDEX('TRIP MANAGER'!$U$18:$U$25,Y$2)),1,0))</f>
        <v>0</v>
      </c>
    </row>
    <row r="51" spans="1:25" x14ac:dyDescent="0.3">
      <c r="A51" t="str">
        <f>IF(countries!$D50="","",countries!$D50)</f>
        <v>ZAF</v>
      </c>
      <c r="B51" t="str">
        <f>IF(countries!$B50="","",countries!$B50)</f>
        <v>South Africa</v>
      </c>
      <c r="C51">
        <f>IF($A51="","",COUNTIFS(route_calc!$A$2:$A$1209,C$2,route_calc!$P$2:$P$1209,$A51))</f>
        <v>10</v>
      </c>
      <c r="D51">
        <f>IF($A51="","",COUNTIFS(route_calc!$A$2:$A$1209,D$2,route_calc!$P$2:$P$1209,$A51))</f>
        <v>0</v>
      </c>
      <c r="E51">
        <f>IF($A51="","",COUNTIFS(route_calc!$A$2:$A$1209,E$2,route_calc!$P$2:$P$1209,$A51))</f>
        <v>0</v>
      </c>
      <c r="F51">
        <f>IF($A51="","",COUNTIFS(route_calc!$A$2:$A$1209,F$2,route_calc!$P$2:$P$1209,$A51))</f>
        <v>5</v>
      </c>
      <c r="G51">
        <f>IF($A51="","",COUNTIFS(route_calc!$A$2:$A$1209,G$2,route_calc!$P$2:$P$1209,$A51))</f>
        <v>0</v>
      </c>
      <c r="H51">
        <f>IF($A51="","",COUNTIFS(route_calc!$A$2:$A$1209,H$2,route_calc!$P$2:$P$1209,$A51))</f>
        <v>0</v>
      </c>
      <c r="I51">
        <f>IF($A51="","",COUNTIFS(route_calc!$A$2:$A$1209,I$2,route_calc!$P$2:$P$1209,$A51))</f>
        <v>0</v>
      </c>
      <c r="J51">
        <f>IF($A51="","",COUNTIFS(route_calc!$A$2:$A$1209,J$2,route_calc!$P$2:$P$1209,$A51))</f>
        <v>0</v>
      </c>
      <c r="K51" t="str">
        <f>IF($L51=0,"",_xlfn.MINIFS(route_calc!$Q$2:$Q$1209,route_calc!$P$2:$P$1209,$A51,route_calc!$A$2:$A$1209,MATCH(1,$R51:$Y51,0)))</f>
        <v/>
      </c>
      <c r="L51">
        <f t="shared" si="0"/>
        <v>0</v>
      </c>
      <c r="M51" t="str" cm="1">
        <f t="array" ref="M51">IF($L51=0,"",_xlfn.TEXTJOIN(", ",TRUE,IF($R51:$Y51&gt;0,$C$1:$J$1,"")))</f>
        <v/>
      </c>
      <c r="N51" t="str" cm="1">
        <f t="array" ref="N51">IF($L51=0,"",SUMPRODUCT(($L$3:$L$144=1)*($K$3:$K$144&lt;$K51))+1)</f>
        <v/>
      </c>
      <c r="O51" t="str">
        <f t="shared" si="1"/>
        <v/>
      </c>
      <c r="P51" t="str">
        <f>IF($A51="","",IFERROR(INDEX(countries!$G:$G,MATCH($A51,countries!$D:$D,0)),""))</f>
        <v>REQUIRED</v>
      </c>
      <c r="Q51" t="str">
        <f>IF($A51="","",IFERROR(IF(INDEX(countries!$I:$I,MATCH($A51,countries!$D:$D,0))=0,"",INDEX(countries!$I:$I,MATCH($A51,countries!$D:$D,0))),""))</f>
        <v/>
      </c>
      <c r="R51" cm="1">
        <f t="array" ref="R51">IF($A51="","",IF(AND(INDEX($C51:$J51,R$2)&gt;0,$A51&lt;&gt;INDEX('TRIP MANAGER'!$T$18:$T$25,R$2),$A51&lt;&gt;INDEX('TRIP MANAGER'!$U$18:$U$25,R$2)),1,0))</f>
        <v>0</v>
      </c>
      <c r="S51" cm="1">
        <f t="array" ref="S51">IF($A51="","",IF(AND(INDEX($C51:$J51,S$2)&gt;0,$A51&lt;&gt;INDEX('TRIP MANAGER'!$T$18:$T$25,S$2),$A51&lt;&gt;INDEX('TRIP MANAGER'!$U$18:$U$25,S$2)),1,0))</f>
        <v>0</v>
      </c>
      <c r="T51" cm="1">
        <f t="array" ref="T51">IF($A51="","",IF(AND(INDEX($C51:$J51,T$2)&gt;0,$A51&lt;&gt;INDEX('TRIP MANAGER'!$T$18:$T$25,T$2),$A51&lt;&gt;INDEX('TRIP MANAGER'!$U$18:$U$25,T$2)),1,0))</f>
        <v>0</v>
      </c>
      <c r="U51" cm="1">
        <f t="array" ref="U51">IF($A51="","",IF(AND(INDEX($C51:$J51,U$2)&gt;0,$A51&lt;&gt;INDEX('TRIP MANAGER'!$T$18:$T$25,U$2),$A51&lt;&gt;INDEX('TRIP MANAGER'!$U$18:$U$25,U$2)),1,0))</f>
        <v>0</v>
      </c>
      <c r="V51" cm="1">
        <f t="array" ref="V51">IF($A51="","",IF(AND(INDEX($C51:$J51,V$2)&gt;0,$A51&lt;&gt;INDEX('TRIP MANAGER'!$T$18:$T$25,V$2),$A51&lt;&gt;INDEX('TRIP MANAGER'!$U$18:$U$25,V$2)),1,0))</f>
        <v>0</v>
      </c>
      <c r="W51" cm="1">
        <f t="array" ref="W51">IF($A51="","",IF(AND(INDEX($C51:$J51,W$2)&gt;0,$A51&lt;&gt;INDEX('TRIP MANAGER'!$T$18:$T$25,W$2),$A51&lt;&gt;INDEX('TRIP MANAGER'!$U$18:$U$25,W$2)),1,0))</f>
        <v>0</v>
      </c>
      <c r="X51" cm="1">
        <f t="array" ref="X51">IF($A51="","",IF(AND(INDEX($C51:$J51,X$2)&gt;0,$A51&lt;&gt;INDEX('TRIP MANAGER'!$T$18:$T$25,X$2),$A51&lt;&gt;INDEX('TRIP MANAGER'!$U$18:$U$25,X$2)),1,0))</f>
        <v>0</v>
      </c>
      <c r="Y51" cm="1">
        <f t="array" ref="Y51">IF($A51="","",IF(AND(INDEX($C51:$J51,Y$2)&gt;0,$A51&lt;&gt;INDEX('TRIP MANAGER'!$T$18:$T$25,Y$2),$A51&lt;&gt;INDEX('TRIP MANAGER'!$U$18:$U$25,Y$2)),1,0))</f>
        <v>0</v>
      </c>
    </row>
    <row r="52" spans="1:25" x14ac:dyDescent="0.3">
      <c r="A52" t="str">
        <f>IF(countries!$D51="","",countries!$D51)</f>
        <v>SSD</v>
      </c>
      <c r="B52" t="str">
        <f>IF(countries!$B51="","",countries!$B51)</f>
        <v>South Sudan</v>
      </c>
      <c r="C52">
        <f>IF($A52="","",COUNTIFS(route_calc!$A$2:$A$1209,C$2,route_calc!$P$2:$P$1209,$A52))</f>
        <v>0</v>
      </c>
      <c r="D52">
        <f>IF($A52="","",COUNTIFS(route_calc!$A$2:$A$1209,D$2,route_calc!$P$2:$P$1209,$A52))</f>
        <v>0</v>
      </c>
      <c r="E52">
        <f>IF($A52="","",COUNTIFS(route_calc!$A$2:$A$1209,E$2,route_calc!$P$2:$P$1209,$A52))</f>
        <v>0</v>
      </c>
      <c r="F52">
        <f>IF($A52="","",COUNTIFS(route_calc!$A$2:$A$1209,F$2,route_calc!$P$2:$P$1209,$A52))</f>
        <v>0</v>
      </c>
      <c r="G52">
        <f>IF($A52="","",COUNTIFS(route_calc!$A$2:$A$1209,G$2,route_calc!$P$2:$P$1209,$A52))</f>
        <v>0</v>
      </c>
      <c r="H52">
        <f>IF($A52="","",COUNTIFS(route_calc!$A$2:$A$1209,H$2,route_calc!$P$2:$P$1209,$A52))</f>
        <v>0</v>
      </c>
      <c r="I52">
        <f>IF($A52="","",COUNTIFS(route_calc!$A$2:$A$1209,I$2,route_calc!$P$2:$P$1209,$A52))</f>
        <v>0</v>
      </c>
      <c r="J52">
        <f>IF($A52="","",COUNTIFS(route_calc!$A$2:$A$1209,J$2,route_calc!$P$2:$P$1209,$A52))</f>
        <v>0</v>
      </c>
      <c r="K52" t="str">
        <f>IF($L52=0,"",_xlfn.MINIFS(route_calc!$Q$2:$Q$1209,route_calc!$P$2:$P$1209,$A52,route_calc!$A$2:$A$1209,MATCH(1,$R52:$Y52,0)))</f>
        <v/>
      </c>
      <c r="L52">
        <f t="shared" si="0"/>
        <v>0</v>
      </c>
      <c r="M52" t="str" cm="1">
        <f t="array" ref="M52">IF($L52=0,"",_xlfn.TEXTJOIN(", ",TRUE,IF($R52:$Y52&gt;0,$C$1:$J$1,"")))</f>
        <v/>
      </c>
      <c r="N52" t="str" cm="1">
        <f t="array" ref="N52">IF($L52=0,"",SUMPRODUCT(($L$3:$L$144=1)*($K$3:$K$144&lt;$K52))+1)</f>
        <v/>
      </c>
      <c r="O52" t="str">
        <f t="shared" si="1"/>
        <v/>
      </c>
      <c r="P52" t="str">
        <f>IF($A52="","",IFERROR(INDEX(countries!$G:$G,MATCH($A52,countries!$D:$D,0)),""))</f>
        <v>REQUIRED</v>
      </c>
      <c r="Q52" t="str">
        <f>IF($A52="","",IFERROR(IF(INDEX(countries!$I:$I,MATCH($A52,countries!$D:$D,0))=0,"",INDEX(countries!$I:$I,MATCH($A52,countries!$D:$D,0))),""))</f>
        <v/>
      </c>
      <c r="R52" cm="1">
        <f t="array" ref="R52">IF($A52="","",IF(AND(INDEX($C52:$J52,R$2)&gt;0,$A52&lt;&gt;INDEX('TRIP MANAGER'!$T$18:$T$25,R$2),$A52&lt;&gt;INDEX('TRIP MANAGER'!$U$18:$U$25,R$2)),1,0))</f>
        <v>0</v>
      </c>
      <c r="S52" cm="1">
        <f t="array" ref="S52">IF($A52="","",IF(AND(INDEX($C52:$J52,S$2)&gt;0,$A52&lt;&gt;INDEX('TRIP MANAGER'!$T$18:$T$25,S$2),$A52&lt;&gt;INDEX('TRIP MANAGER'!$U$18:$U$25,S$2)),1,0))</f>
        <v>0</v>
      </c>
      <c r="T52" cm="1">
        <f t="array" ref="T52">IF($A52="","",IF(AND(INDEX($C52:$J52,T$2)&gt;0,$A52&lt;&gt;INDEX('TRIP MANAGER'!$T$18:$T$25,T$2),$A52&lt;&gt;INDEX('TRIP MANAGER'!$U$18:$U$25,T$2)),1,0))</f>
        <v>0</v>
      </c>
      <c r="U52" cm="1">
        <f t="array" ref="U52">IF($A52="","",IF(AND(INDEX($C52:$J52,U$2)&gt;0,$A52&lt;&gt;INDEX('TRIP MANAGER'!$T$18:$T$25,U$2),$A52&lt;&gt;INDEX('TRIP MANAGER'!$U$18:$U$25,U$2)),1,0))</f>
        <v>0</v>
      </c>
      <c r="V52" cm="1">
        <f t="array" ref="V52">IF($A52="","",IF(AND(INDEX($C52:$J52,V$2)&gt;0,$A52&lt;&gt;INDEX('TRIP MANAGER'!$T$18:$T$25,V$2),$A52&lt;&gt;INDEX('TRIP MANAGER'!$U$18:$U$25,V$2)),1,0))</f>
        <v>0</v>
      </c>
      <c r="W52" cm="1">
        <f t="array" ref="W52">IF($A52="","",IF(AND(INDEX($C52:$J52,W$2)&gt;0,$A52&lt;&gt;INDEX('TRIP MANAGER'!$T$18:$T$25,W$2),$A52&lt;&gt;INDEX('TRIP MANAGER'!$U$18:$U$25,W$2)),1,0))</f>
        <v>0</v>
      </c>
      <c r="X52" cm="1">
        <f t="array" ref="X52">IF($A52="","",IF(AND(INDEX($C52:$J52,X$2)&gt;0,$A52&lt;&gt;INDEX('TRIP MANAGER'!$T$18:$T$25,X$2),$A52&lt;&gt;INDEX('TRIP MANAGER'!$U$18:$U$25,X$2)),1,0))</f>
        <v>0</v>
      </c>
      <c r="Y52" cm="1">
        <f t="array" ref="Y52">IF($A52="","",IF(AND(INDEX($C52:$J52,Y$2)&gt;0,$A52&lt;&gt;INDEX('TRIP MANAGER'!$T$18:$T$25,Y$2),$A52&lt;&gt;INDEX('TRIP MANAGER'!$U$18:$U$25,Y$2)),1,0))</f>
        <v>0</v>
      </c>
    </row>
    <row r="53" spans="1:25" x14ac:dyDescent="0.3">
      <c r="A53" t="str">
        <f>IF(countries!$D52="","",countries!$D52)</f>
        <v>SDN</v>
      </c>
      <c r="B53" t="str">
        <f>IF(countries!$B52="","",countries!$B52)</f>
        <v>Sudan</v>
      </c>
      <c r="C53">
        <f>IF($A53="","",COUNTIFS(route_calc!$A$2:$A$1209,C$2,route_calc!$P$2:$P$1209,$A53))</f>
        <v>0</v>
      </c>
      <c r="D53">
        <f>IF($A53="","",COUNTIFS(route_calc!$A$2:$A$1209,D$2,route_calc!$P$2:$P$1209,$A53))</f>
        <v>0</v>
      </c>
      <c r="E53">
        <f>IF($A53="","",COUNTIFS(route_calc!$A$2:$A$1209,E$2,route_calc!$P$2:$P$1209,$A53))</f>
        <v>0</v>
      </c>
      <c r="F53">
        <f>IF($A53="","",COUNTIFS(route_calc!$A$2:$A$1209,F$2,route_calc!$P$2:$P$1209,$A53))</f>
        <v>0</v>
      </c>
      <c r="G53">
        <f>IF($A53="","",COUNTIFS(route_calc!$A$2:$A$1209,G$2,route_calc!$P$2:$P$1209,$A53))</f>
        <v>0</v>
      </c>
      <c r="H53">
        <f>IF($A53="","",COUNTIFS(route_calc!$A$2:$A$1209,H$2,route_calc!$P$2:$P$1209,$A53))</f>
        <v>0</v>
      </c>
      <c r="I53">
        <f>IF($A53="","",COUNTIFS(route_calc!$A$2:$A$1209,I$2,route_calc!$P$2:$P$1209,$A53))</f>
        <v>0</v>
      </c>
      <c r="J53">
        <f>IF($A53="","",COUNTIFS(route_calc!$A$2:$A$1209,J$2,route_calc!$P$2:$P$1209,$A53))</f>
        <v>0</v>
      </c>
      <c r="K53" t="str">
        <f>IF($L53=0,"",_xlfn.MINIFS(route_calc!$Q$2:$Q$1209,route_calc!$P$2:$P$1209,$A53,route_calc!$A$2:$A$1209,MATCH(1,$R53:$Y53,0)))</f>
        <v/>
      </c>
      <c r="L53">
        <f t="shared" si="0"/>
        <v>0</v>
      </c>
      <c r="M53" t="str" cm="1">
        <f t="array" ref="M53">IF($L53=0,"",_xlfn.TEXTJOIN(", ",TRUE,IF($R53:$Y53&gt;0,$C$1:$J$1,"")))</f>
        <v/>
      </c>
      <c r="N53" t="str" cm="1">
        <f t="array" ref="N53">IF($L53=0,"",SUMPRODUCT(($L$3:$L$144=1)*($K$3:$K$144&lt;$K53))+1)</f>
        <v/>
      </c>
      <c r="O53" t="str">
        <f t="shared" si="1"/>
        <v/>
      </c>
      <c r="P53" t="str">
        <f>IF($A53="","",IFERROR(INDEX(countries!$G:$G,MATCH($A53,countries!$D:$D,0)),""))</f>
        <v>REQUIRED</v>
      </c>
      <c r="Q53" t="str">
        <f>IF($A53="","",IFERROR(IF(INDEX(countries!$I:$I,MATCH($A53,countries!$D:$D,0))=0,"",INDEX(countries!$I:$I,MATCH($A53,countries!$D:$D,0))),""))</f>
        <v/>
      </c>
      <c r="R53" cm="1">
        <f t="array" ref="R53">IF($A53="","",IF(AND(INDEX($C53:$J53,R$2)&gt;0,$A53&lt;&gt;INDEX('TRIP MANAGER'!$T$18:$T$25,R$2),$A53&lt;&gt;INDEX('TRIP MANAGER'!$U$18:$U$25,R$2)),1,0))</f>
        <v>0</v>
      </c>
      <c r="S53" cm="1">
        <f t="array" ref="S53">IF($A53="","",IF(AND(INDEX($C53:$J53,S$2)&gt;0,$A53&lt;&gt;INDEX('TRIP MANAGER'!$T$18:$T$25,S$2),$A53&lt;&gt;INDEX('TRIP MANAGER'!$U$18:$U$25,S$2)),1,0))</f>
        <v>0</v>
      </c>
      <c r="T53" cm="1">
        <f t="array" ref="T53">IF($A53="","",IF(AND(INDEX($C53:$J53,T$2)&gt;0,$A53&lt;&gt;INDEX('TRIP MANAGER'!$T$18:$T$25,T$2),$A53&lt;&gt;INDEX('TRIP MANAGER'!$U$18:$U$25,T$2)),1,0))</f>
        <v>0</v>
      </c>
      <c r="U53" cm="1">
        <f t="array" ref="U53">IF($A53="","",IF(AND(INDEX($C53:$J53,U$2)&gt;0,$A53&lt;&gt;INDEX('TRIP MANAGER'!$T$18:$T$25,U$2),$A53&lt;&gt;INDEX('TRIP MANAGER'!$U$18:$U$25,U$2)),1,0))</f>
        <v>0</v>
      </c>
      <c r="V53" cm="1">
        <f t="array" ref="V53">IF($A53="","",IF(AND(INDEX($C53:$J53,V$2)&gt;0,$A53&lt;&gt;INDEX('TRIP MANAGER'!$T$18:$T$25,V$2),$A53&lt;&gt;INDEX('TRIP MANAGER'!$U$18:$U$25,V$2)),1,0))</f>
        <v>0</v>
      </c>
      <c r="W53" cm="1">
        <f t="array" ref="W53">IF($A53="","",IF(AND(INDEX($C53:$J53,W$2)&gt;0,$A53&lt;&gt;INDEX('TRIP MANAGER'!$T$18:$T$25,W$2),$A53&lt;&gt;INDEX('TRIP MANAGER'!$U$18:$U$25,W$2)),1,0))</f>
        <v>0</v>
      </c>
      <c r="X53" cm="1">
        <f t="array" ref="X53">IF($A53="","",IF(AND(INDEX($C53:$J53,X$2)&gt;0,$A53&lt;&gt;INDEX('TRIP MANAGER'!$T$18:$T$25,X$2),$A53&lt;&gt;INDEX('TRIP MANAGER'!$U$18:$U$25,X$2)),1,0))</f>
        <v>0</v>
      </c>
      <c r="Y53" cm="1">
        <f t="array" ref="Y53">IF($A53="","",IF(AND(INDEX($C53:$J53,Y$2)&gt;0,$A53&lt;&gt;INDEX('TRIP MANAGER'!$T$18:$T$25,Y$2),$A53&lt;&gt;INDEX('TRIP MANAGER'!$U$18:$U$25,Y$2)),1,0))</f>
        <v>0</v>
      </c>
    </row>
    <row r="54" spans="1:25" x14ac:dyDescent="0.3">
      <c r="A54" t="str">
        <f>IF(countries!$D53="","",countries!$D53)</f>
        <v>TZA</v>
      </c>
      <c r="B54" t="str">
        <f>IF(countries!$B53="","",countries!$B53)</f>
        <v>Tanzania</v>
      </c>
      <c r="C54">
        <f>IF($A54="","",COUNTIFS(route_calc!$A$2:$A$1209,C$2,route_calc!$P$2:$P$1209,$A54))</f>
        <v>0</v>
      </c>
      <c r="D54">
        <f>IF($A54="","",COUNTIFS(route_calc!$A$2:$A$1209,D$2,route_calc!$P$2:$P$1209,$A54))</f>
        <v>0</v>
      </c>
      <c r="E54">
        <f>IF($A54="","",COUNTIFS(route_calc!$A$2:$A$1209,E$2,route_calc!$P$2:$P$1209,$A54))</f>
        <v>0</v>
      </c>
      <c r="F54">
        <f>IF($A54="","",COUNTIFS(route_calc!$A$2:$A$1209,F$2,route_calc!$P$2:$P$1209,$A54))</f>
        <v>0</v>
      </c>
      <c r="G54">
        <f>IF($A54="","",COUNTIFS(route_calc!$A$2:$A$1209,G$2,route_calc!$P$2:$P$1209,$A54))</f>
        <v>0</v>
      </c>
      <c r="H54">
        <f>IF($A54="","",COUNTIFS(route_calc!$A$2:$A$1209,H$2,route_calc!$P$2:$P$1209,$A54))</f>
        <v>0</v>
      </c>
      <c r="I54">
        <f>IF($A54="","",COUNTIFS(route_calc!$A$2:$A$1209,I$2,route_calc!$P$2:$P$1209,$A54))</f>
        <v>0</v>
      </c>
      <c r="J54">
        <f>IF($A54="","",COUNTIFS(route_calc!$A$2:$A$1209,J$2,route_calc!$P$2:$P$1209,$A54))</f>
        <v>0</v>
      </c>
      <c r="K54" t="str">
        <f>IF($L54=0,"",_xlfn.MINIFS(route_calc!$Q$2:$Q$1209,route_calc!$P$2:$P$1209,$A54,route_calc!$A$2:$A$1209,MATCH(1,$R54:$Y54,0)))</f>
        <v/>
      </c>
      <c r="L54">
        <f t="shared" si="0"/>
        <v>0</v>
      </c>
      <c r="M54" t="str" cm="1">
        <f t="array" ref="M54">IF($L54=0,"",_xlfn.TEXTJOIN(", ",TRUE,IF($R54:$Y54&gt;0,$C$1:$J$1,"")))</f>
        <v/>
      </c>
      <c r="N54" t="str" cm="1">
        <f t="array" ref="N54">IF($L54=0,"",SUMPRODUCT(($L$3:$L$144=1)*($K$3:$K$144&lt;$K54))+1)</f>
        <v/>
      </c>
      <c r="O54" t="str">
        <f t="shared" si="1"/>
        <v/>
      </c>
      <c r="P54" t="str">
        <f>IF($A54="","",IFERROR(INDEX(countries!$G:$G,MATCH($A54,countries!$D:$D,0)),""))</f>
        <v>REQUIRED</v>
      </c>
      <c r="Q54" t="str">
        <f>IF($A54="","",IFERROR(IF(INDEX(countries!$I:$I,MATCH($A54,countries!$D:$D,0))=0,"",INDEX(countries!$I:$I,MATCH($A54,countries!$D:$D,0))),""))</f>
        <v/>
      </c>
      <c r="R54" cm="1">
        <f t="array" ref="R54">IF($A54="","",IF(AND(INDEX($C54:$J54,R$2)&gt;0,$A54&lt;&gt;INDEX('TRIP MANAGER'!$T$18:$T$25,R$2),$A54&lt;&gt;INDEX('TRIP MANAGER'!$U$18:$U$25,R$2)),1,0))</f>
        <v>0</v>
      </c>
      <c r="S54" cm="1">
        <f t="array" ref="S54">IF($A54="","",IF(AND(INDEX($C54:$J54,S$2)&gt;0,$A54&lt;&gt;INDEX('TRIP MANAGER'!$T$18:$T$25,S$2),$A54&lt;&gt;INDEX('TRIP MANAGER'!$U$18:$U$25,S$2)),1,0))</f>
        <v>0</v>
      </c>
      <c r="T54" cm="1">
        <f t="array" ref="T54">IF($A54="","",IF(AND(INDEX($C54:$J54,T$2)&gt;0,$A54&lt;&gt;INDEX('TRIP MANAGER'!$T$18:$T$25,T$2),$A54&lt;&gt;INDEX('TRIP MANAGER'!$U$18:$U$25,T$2)),1,0))</f>
        <v>0</v>
      </c>
      <c r="U54" cm="1">
        <f t="array" ref="U54">IF($A54="","",IF(AND(INDEX($C54:$J54,U$2)&gt;0,$A54&lt;&gt;INDEX('TRIP MANAGER'!$T$18:$T$25,U$2),$A54&lt;&gt;INDEX('TRIP MANAGER'!$U$18:$U$25,U$2)),1,0))</f>
        <v>0</v>
      </c>
      <c r="V54" cm="1">
        <f t="array" ref="V54">IF($A54="","",IF(AND(INDEX($C54:$J54,V$2)&gt;0,$A54&lt;&gt;INDEX('TRIP MANAGER'!$T$18:$T$25,V$2),$A54&lt;&gt;INDEX('TRIP MANAGER'!$U$18:$U$25,V$2)),1,0))</f>
        <v>0</v>
      </c>
      <c r="W54" cm="1">
        <f t="array" ref="W54">IF($A54="","",IF(AND(INDEX($C54:$J54,W$2)&gt;0,$A54&lt;&gt;INDEX('TRIP MANAGER'!$T$18:$T$25,W$2),$A54&lt;&gt;INDEX('TRIP MANAGER'!$U$18:$U$25,W$2)),1,0))</f>
        <v>0</v>
      </c>
      <c r="X54" cm="1">
        <f t="array" ref="X54">IF($A54="","",IF(AND(INDEX($C54:$J54,X$2)&gt;0,$A54&lt;&gt;INDEX('TRIP MANAGER'!$T$18:$T$25,X$2),$A54&lt;&gt;INDEX('TRIP MANAGER'!$U$18:$U$25,X$2)),1,0))</f>
        <v>0</v>
      </c>
      <c r="Y54" cm="1">
        <f t="array" ref="Y54">IF($A54="","",IF(AND(INDEX($C54:$J54,Y$2)&gt;0,$A54&lt;&gt;INDEX('TRIP MANAGER'!$T$18:$T$25,Y$2),$A54&lt;&gt;INDEX('TRIP MANAGER'!$U$18:$U$25,Y$2)),1,0))</f>
        <v>0</v>
      </c>
    </row>
    <row r="55" spans="1:25" x14ac:dyDescent="0.3">
      <c r="A55" t="str">
        <f>IF(countries!$D54="","",countries!$D54)</f>
        <v>TGO</v>
      </c>
      <c r="B55" t="str">
        <f>IF(countries!$B54="","",countries!$B54)</f>
        <v>Togo</v>
      </c>
      <c r="C55">
        <f>IF($A55="","",COUNTIFS(route_calc!$A$2:$A$1209,C$2,route_calc!$P$2:$P$1209,$A55))</f>
        <v>0</v>
      </c>
      <c r="D55">
        <f>IF($A55="","",COUNTIFS(route_calc!$A$2:$A$1209,D$2,route_calc!$P$2:$P$1209,$A55))</f>
        <v>0</v>
      </c>
      <c r="E55">
        <f>IF($A55="","",COUNTIFS(route_calc!$A$2:$A$1209,E$2,route_calc!$P$2:$P$1209,$A55))</f>
        <v>0</v>
      </c>
      <c r="F55">
        <f>IF($A55="","",COUNTIFS(route_calc!$A$2:$A$1209,F$2,route_calc!$P$2:$P$1209,$A55))</f>
        <v>0</v>
      </c>
      <c r="G55">
        <f>IF($A55="","",COUNTIFS(route_calc!$A$2:$A$1209,G$2,route_calc!$P$2:$P$1209,$A55))</f>
        <v>0</v>
      </c>
      <c r="H55">
        <f>IF($A55="","",COUNTIFS(route_calc!$A$2:$A$1209,H$2,route_calc!$P$2:$P$1209,$A55))</f>
        <v>0</v>
      </c>
      <c r="I55">
        <f>IF($A55="","",COUNTIFS(route_calc!$A$2:$A$1209,I$2,route_calc!$P$2:$P$1209,$A55))</f>
        <v>0</v>
      </c>
      <c r="J55">
        <f>IF($A55="","",COUNTIFS(route_calc!$A$2:$A$1209,J$2,route_calc!$P$2:$P$1209,$A55))</f>
        <v>0</v>
      </c>
      <c r="K55" t="str">
        <f>IF($L55=0,"",_xlfn.MINIFS(route_calc!$Q$2:$Q$1209,route_calc!$P$2:$P$1209,$A55,route_calc!$A$2:$A$1209,MATCH(1,$R55:$Y55,0)))</f>
        <v/>
      </c>
      <c r="L55">
        <f t="shared" si="0"/>
        <v>0</v>
      </c>
      <c r="M55" t="str" cm="1">
        <f t="array" ref="M55">IF($L55=0,"",_xlfn.TEXTJOIN(", ",TRUE,IF($R55:$Y55&gt;0,$C$1:$J$1,"")))</f>
        <v/>
      </c>
      <c r="N55" t="str" cm="1">
        <f t="array" ref="N55">IF($L55=0,"",SUMPRODUCT(($L$3:$L$144=1)*($K$3:$K$144&lt;$K55))+1)</f>
        <v/>
      </c>
      <c r="O55" t="str">
        <f t="shared" si="1"/>
        <v/>
      </c>
      <c r="P55" t="str">
        <f>IF($A55="","",IFERROR(INDEX(countries!$G:$G,MATCH($A55,countries!$D:$D,0)),""))</f>
        <v>REQUIRED</v>
      </c>
      <c r="Q55" t="str">
        <f>IF($A55="","",IFERROR(IF(INDEX(countries!$I:$I,MATCH($A55,countries!$D:$D,0))=0,"",INDEX(countries!$I:$I,MATCH($A55,countries!$D:$D,0))),""))</f>
        <v/>
      </c>
      <c r="R55" cm="1">
        <f t="array" ref="R55">IF($A55="","",IF(AND(INDEX($C55:$J55,R$2)&gt;0,$A55&lt;&gt;INDEX('TRIP MANAGER'!$T$18:$T$25,R$2),$A55&lt;&gt;INDEX('TRIP MANAGER'!$U$18:$U$25,R$2)),1,0))</f>
        <v>0</v>
      </c>
      <c r="S55" cm="1">
        <f t="array" ref="S55">IF($A55="","",IF(AND(INDEX($C55:$J55,S$2)&gt;0,$A55&lt;&gt;INDEX('TRIP MANAGER'!$T$18:$T$25,S$2),$A55&lt;&gt;INDEX('TRIP MANAGER'!$U$18:$U$25,S$2)),1,0))</f>
        <v>0</v>
      </c>
      <c r="T55" cm="1">
        <f t="array" ref="T55">IF($A55="","",IF(AND(INDEX($C55:$J55,T$2)&gt;0,$A55&lt;&gt;INDEX('TRIP MANAGER'!$T$18:$T$25,T$2),$A55&lt;&gt;INDEX('TRIP MANAGER'!$U$18:$U$25,T$2)),1,0))</f>
        <v>0</v>
      </c>
      <c r="U55" cm="1">
        <f t="array" ref="U55">IF($A55="","",IF(AND(INDEX($C55:$J55,U$2)&gt;0,$A55&lt;&gt;INDEX('TRIP MANAGER'!$T$18:$T$25,U$2),$A55&lt;&gt;INDEX('TRIP MANAGER'!$U$18:$U$25,U$2)),1,0))</f>
        <v>0</v>
      </c>
      <c r="V55" cm="1">
        <f t="array" ref="V55">IF($A55="","",IF(AND(INDEX($C55:$J55,V$2)&gt;0,$A55&lt;&gt;INDEX('TRIP MANAGER'!$T$18:$T$25,V$2),$A55&lt;&gt;INDEX('TRIP MANAGER'!$U$18:$U$25,V$2)),1,0))</f>
        <v>0</v>
      </c>
      <c r="W55" cm="1">
        <f t="array" ref="W55">IF($A55="","",IF(AND(INDEX($C55:$J55,W$2)&gt;0,$A55&lt;&gt;INDEX('TRIP MANAGER'!$T$18:$T$25,W$2),$A55&lt;&gt;INDEX('TRIP MANAGER'!$U$18:$U$25,W$2)),1,0))</f>
        <v>0</v>
      </c>
      <c r="X55" cm="1">
        <f t="array" ref="X55">IF($A55="","",IF(AND(INDEX($C55:$J55,X$2)&gt;0,$A55&lt;&gt;INDEX('TRIP MANAGER'!$T$18:$T$25,X$2),$A55&lt;&gt;INDEX('TRIP MANAGER'!$U$18:$U$25,X$2)),1,0))</f>
        <v>0</v>
      </c>
      <c r="Y55" cm="1">
        <f t="array" ref="Y55">IF($A55="","",IF(AND(INDEX($C55:$J55,Y$2)&gt;0,$A55&lt;&gt;INDEX('TRIP MANAGER'!$T$18:$T$25,Y$2),$A55&lt;&gt;INDEX('TRIP MANAGER'!$U$18:$U$25,Y$2)),1,0))</f>
        <v>0</v>
      </c>
    </row>
    <row r="56" spans="1:25" x14ac:dyDescent="0.3">
      <c r="A56" t="str">
        <f>IF(countries!$D55="","",countries!$D55)</f>
        <v>TUN</v>
      </c>
      <c r="B56" t="str">
        <f>IF(countries!$B55="","",countries!$B55)</f>
        <v>Tunisia</v>
      </c>
      <c r="C56">
        <f>IF($A56="","",COUNTIFS(route_calc!$A$2:$A$1209,C$2,route_calc!$P$2:$P$1209,$A56))</f>
        <v>0</v>
      </c>
      <c r="D56">
        <f>IF($A56="","",COUNTIFS(route_calc!$A$2:$A$1209,D$2,route_calc!$P$2:$P$1209,$A56))</f>
        <v>0</v>
      </c>
      <c r="E56">
        <f>IF($A56="","",COUNTIFS(route_calc!$A$2:$A$1209,E$2,route_calc!$P$2:$P$1209,$A56))</f>
        <v>6</v>
      </c>
      <c r="F56">
        <f>IF($A56="","",COUNTIFS(route_calc!$A$2:$A$1209,F$2,route_calc!$P$2:$P$1209,$A56))</f>
        <v>0</v>
      </c>
      <c r="G56">
        <f>IF($A56="","",COUNTIFS(route_calc!$A$2:$A$1209,G$2,route_calc!$P$2:$P$1209,$A56))</f>
        <v>0</v>
      </c>
      <c r="H56">
        <f>IF($A56="","",COUNTIFS(route_calc!$A$2:$A$1209,H$2,route_calc!$P$2:$P$1209,$A56))</f>
        <v>0</v>
      </c>
      <c r="I56">
        <f>IF($A56="","",COUNTIFS(route_calc!$A$2:$A$1209,I$2,route_calc!$P$2:$P$1209,$A56))</f>
        <v>0</v>
      </c>
      <c r="J56">
        <f>IF($A56="","",COUNTIFS(route_calc!$A$2:$A$1209,J$2,route_calc!$P$2:$P$1209,$A56))</f>
        <v>0</v>
      </c>
      <c r="K56">
        <f>IF($L56=0,"",_xlfn.MINIFS(route_calc!$Q$2:$Q$1209,route_calc!$P$2:$P$1209,$A56,route_calc!$A$2:$A$1209,MATCH(1,$R56:$Y56,0)))</f>
        <v>3077</v>
      </c>
      <c r="L56">
        <f t="shared" si="0"/>
        <v>1</v>
      </c>
      <c r="M56" t="str" cm="1">
        <f t="array" ref="M56">IF($L56=0,"",_xlfn.TEXTJOIN(", ",TRUE,IF($R56:$Y56&gt;0,$C$1:$J$1,"")))</f>
        <v>L3</v>
      </c>
      <c r="N56" cm="1">
        <f t="array" ref="N56">IF($L56=0,"",SUMPRODUCT(($L$3:$L$144=1)*($K$3:$K$144&lt;$K56))+1)</f>
        <v>9</v>
      </c>
      <c r="O56">
        <f t="shared" si="1"/>
        <v>3</v>
      </c>
      <c r="P56" t="str">
        <f>IF($A56="","",IFERROR(INDEX(countries!$G:$G,MATCH($A56,countries!$D:$D,0)),""))</f>
        <v>REQUIRED</v>
      </c>
      <c r="Q56" t="str">
        <f>IF($A56="","",IFERROR(IF(INDEX(countries!$I:$I,MATCH($A56,countries!$D:$D,0))=0,"",INDEX(countries!$I:$I,MATCH($A56,countries!$D:$D,0))),""))</f>
        <v/>
      </c>
      <c r="R56" cm="1">
        <f t="array" ref="R56">IF($A56="","",IF(AND(INDEX($C56:$J56,R$2)&gt;0,$A56&lt;&gt;INDEX('TRIP MANAGER'!$T$18:$T$25,R$2),$A56&lt;&gt;INDEX('TRIP MANAGER'!$U$18:$U$25,R$2)),1,0))</f>
        <v>0</v>
      </c>
      <c r="S56" cm="1">
        <f t="array" ref="S56">IF($A56="","",IF(AND(INDEX($C56:$J56,S$2)&gt;0,$A56&lt;&gt;INDEX('TRIP MANAGER'!$T$18:$T$25,S$2),$A56&lt;&gt;INDEX('TRIP MANAGER'!$U$18:$U$25,S$2)),1,0))</f>
        <v>0</v>
      </c>
      <c r="T56" cm="1">
        <f t="array" ref="T56">IF($A56="","",IF(AND(INDEX($C56:$J56,T$2)&gt;0,$A56&lt;&gt;INDEX('TRIP MANAGER'!$T$18:$T$25,T$2),$A56&lt;&gt;INDEX('TRIP MANAGER'!$U$18:$U$25,T$2)),1,0))</f>
        <v>1</v>
      </c>
      <c r="U56" cm="1">
        <f t="array" ref="U56">IF($A56="","",IF(AND(INDEX($C56:$J56,U$2)&gt;0,$A56&lt;&gt;INDEX('TRIP MANAGER'!$T$18:$T$25,U$2),$A56&lt;&gt;INDEX('TRIP MANAGER'!$U$18:$U$25,U$2)),1,0))</f>
        <v>0</v>
      </c>
      <c r="V56" cm="1">
        <f t="array" ref="V56">IF($A56="","",IF(AND(INDEX($C56:$J56,V$2)&gt;0,$A56&lt;&gt;INDEX('TRIP MANAGER'!$T$18:$T$25,V$2),$A56&lt;&gt;INDEX('TRIP MANAGER'!$U$18:$U$25,V$2)),1,0))</f>
        <v>0</v>
      </c>
      <c r="W56" cm="1">
        <f t="array" ref="W56">IF($A56="","",IF(AND(INDEX($C56:$J56,W$2)&gt;0,$A56&lt;&gt;INDEX('TRIP MANAGER'!$T$18:$T$25,W$2),$A56&lt;&gt;INDEX('TRIP MANAGER'!$U$18:$U$25,W$2)),1,0))</f>
        <v>0</v>
      </c>
      <c r="X56" cm="1">
        <f t="array" ref="X56">IF($A56="","",IF(AND(INDEX($C56:$J56,X$2)&gt;0,$A56&lt;&gt;INDEX('TRIP MANAGER'!$T$18:$T$25,X$2),$A56&lt;&gt;INDEX('TRIP MANAGER'!$U$18:$U$25,X$2)),1,0))</f>
        <v>0</v>
      </c>
      <c r="Y56" cm="1">
        <f t="array" ref="Y56">IF($A56="","",IF(AND(INDEX($C56:$J56,Y$2)&gt;0,$A56&lt;&gt;INDEX('TRIP MANAGER'!$T$18:$T$25,Y$2),$A56&lt;&gt;INDEX('TRIP MANAGER'!$U$18:$U$25,Y$2)),1,0))</f>
        <v>0</v>
      </c>
    </row>
    <row r="57" spans="1:25" x14ac:dyDescent="0.3">
      <c r="A57" t="str">
        <f>IF(countries!$D56="","",countries!$D56)</f>
        <v>UGA</v>
      </c>
      <c r="B57" t="str">
        <f>IF(countries!$B56="","",countries!$B56)</f>
        <v>Uganda</v>
      </c>
      <c r="C57">
        <f>IF($A57="","",COUNTIFS(route_calc!$A$2:$A$1209,C$2,route_calc!$P$2:$P$1209,$A57))</f>
        <v>0</v>
      </c>
      <c r="D57">
        <f>IF($A57="","",COUNTIFS(route_calc!$A$2:$A$1209,D$2,route_calc!$P$2:$P$1209,$A57))</f>
        <v>0</v>
      </c>
      <c r="E57">
        <f>IF($A57="","",COUNTIFS(route_calc!$A$2:$A$1209,E$2,route_calc!$P$2:$P$1209,$A57))</f>
        <v>0</v>
      </c>
      <c r="F57">
        <f>IF($A57="","",COUNTIFS(route_calc!$A$2:$A$1209,F$2,route_calc!$P$2:$P$1209,$A57))</f>
        <v>0</v>
      </c>
      <c r="G57">
        <f>IF($A57="","",COUNTIFS(route_calc!$A$2:$A$1209,G$2,route_calc!$P$2:$P$1209,$A57))</f>
        <v>0</v>
      </c>
      <c r="H57">
        <f>IF($A57="","",COUNTIFS(route_calc!$A$2:$A$1209,H$2,route_calc!$P$2:$P$1209,$A57))</f>
        <v>0</v>
      </c>
      <c r="I57">
        <f>IF($A57="","",COUNTIFS(route_calc!$A$2:$A$1209,I$2,route_calc!$P$2:$P$1209,$A57))</f>
        <v>0</v>
      </c>
      <c r="J57">
        <f>IF($A57="","",COUNTIFS(route_calc!$A$2:$A$1209,J$2,route_calc!$P$2:$P$1209,$A57))</f>
        <v>0</v>
      </c>
      <c r="K57" t="str">
        <f>IF($L57=0,"",_xlfn.MINIFS(route_calc!$Q$2:$Q$1209,route_calc!$P$2:$P$1209,$A57,route_calc!$A$2:$A$1209,MATCH(1,$R57:$Y57,0)))</f>
        <v/>
      </c>
      <c r="L57">
        <f t="shared" si="0"/>
        <v>0</v>
      </c>
      <c r="M57" t="str" cm="1">
        <f t="array" ref="M57">IF($L57=0,"",_xlfn.TEXTJOIN(", ",TRUE,IF($R57:$Y57&gt;0,$C$1:$J$1,"")))</f>
        <v/>
      </c>
      <c r="N57" t="str" cm="1">
        <f t="array" ref="N57">IF($L57=0,"",SUMPRODUCT(($L$3:$L$144=1)*($K$3:$K$144&lt;$K57))+1)</f>
        <v/>
      </c>
      <c r="O57" t="str">
        <f t="shared" si="1"/>
        <v/>
      </c>
      <c r="P57" t="str">
        <f>IF($A57="","",IFERROR(INDEX(countries!$G:$G,MATCH($A57,countries!$D:$D,0)),""))</f>
        <v>REQUIRED</v>
      </c>
      <c r="Q57" t="str">
        <f>IF($A57="","",IFERROR(IF(INDEX(countries!$I:$I,MATCH($A57,countries!$D:$D,0))=0,"",INDEX(countries!$I:$I,MATCH($A57,countries!$D:$D,0))),""))</f>
        <v/>
      </c>
      <c r="R57" cm="1">
        <f t="array" ref="R57">IF($A57="","",IF(AND(INDEX($C57:$J57,R$2)&gt;0,$A57&lt;&gt;INDEX('TRIP MANAGER'!$T$18:$T$25,R$2),$A57&lt;&gt;INDEX('TRIP MANAGER'!$U$18:$U$25,R$2)),1,0))</f>
        <v>0</v>
      </c>
      <c r="S57" cm="1">
        <f t="array" ref="S57">IF($A57="","",IF(AND(INDEX($C57:$J57,S$2)&gt;0,$A57&lt;&gt;INDEX('TRIP MANAGER'!$T$18:$T$25,S$2),$A57&lt;&gt;INDEX('TRIP MANAGER'!$U$18:$U$25,S$2)),1,0))</f>
        <v>0</v>
      </c>
      <c r="T57" cm="1">
        <f t="array" ref="T57">IF($A57="","",IF(AND(INDEX($C57:$J57,T$2)&gt;0,$A57&lt;&gt;INDEX('TRIP MANAGER'!$T$18:$T$25,T$2),$A57&lt;&gt;INDEX('TRIP MANAGER'!$U$18:$U$25,T$2)),1,0))</f>
        <v>0</v>
      </c>
      <c r="U57" cm="1">
        <f t="array" ref="U57">IF($A57="","",IF(AND(INDEX($C57:$J57,U$2)&gt;0,$A57&lt;&gt;INDEX('TRIP MANAGER'!$T$18:$T$25,U$2),$A57&lt;&gt;INDEX('TRIP MANAGER'!$U$18:$U$25,U$2)),1,0))</f>
        <v>0</v>
      </c>
      <c r="V57" cm="1">
        <f t="array" ref="V57">IF($A57="","",IF(AND(INDEX($C57:$J57,V$2)&gt;0,$A57&lt;&gt;INDEX('TRIP MANAGER'!$T$18:$T$25,V$2),$A57&lt;&gt;INDEX('TRIP MANAGER'!$U$18:$U$25,V$2)),1,0))</f>
        <v>0</v>
      </c>
      <c r="W57" cm="1">
        <f t="array" ref="W57">IF($A57="","",IF(AND(INDEX($C57:$J57,W$2)&gt;0,$A57&lt;&gt;INDEX('TRIP MANAGER'!$T$18:$T$25,W$2),$A57&lt;&gt;INDEX('TRIP MANAGER'!$U$18:$U$25,W$2)),1,0))</f>
        <v>0</v>
      </c>
      <c r="X57" cm="1">
        <f t="array" ref="X57">IF($A57="","",IF(AND(INDEX($C57:$J57,X$2)&gt;0,$A57&lt;&gt;INDEX('TRIP MANAGER'!$T$18:$T$25,X$2),$A57&lt;&gt;INDEX('TRIP MANAGER'!$U$18:$U$25,X$2)),1,0))</f>
        <v>0</v>
      </c>
      <c r="Y57" cm="1">
        <f t="array" ref="Y57">IF($A57="","",IF(AND(INDEX($C57:$J57,Y$2)&gt;0,$A57&lt;&gt;INDEX('TRIP MANAGER'!$T$18:$T$25,Y$2),$A57&lt;&gt;INDEX('TRIP MANAGER'!$U$18:$U$25,Y$2)),1,0))</f>
        <v>0</v>
      </c>
    </row>
    <row r="58" spans="1:25" x14ac:dyDescent="0.3">
      <c r="A58" t="str">
        <f>IF(countries!$D57="","",countries!$D57)</f>
        <v>ESH</v>
      </c>
      <c r="B58" t="str">
        <f>IF(countries!$B57="","",countries!$B57)</f>
        <v>Western Sahara</v>
      </c>
      <c r="C58">
        <f>IF($A58="","",COUNTIFS(route_calc!$A$2:$A$1209,C$2,route_calc!$P$2:$P$1209,$A58))</f>
        <v>0</v>
      </c>
      <c r="D58">
        <f>IF($A58="","",COUNTIFS(route_calc!$A$2:$A$1209,D$2,route_calc!$P$2:$P$1209,$A58))</f>
        <v>0</v>
      </c>
      <c r="E58">
        <f>IF($A58="","",COUNTIFS(route_calc!$A$2:$A$1209,E$2,route_calc!$P$2:$P$1209,$A58))</f>
        <v>0</v>
      </c>
      <c r="F58">
        <f>IF($A58="","",COUNTIFS(route_calc!$A$2:$A$1209,F$2,route_calc!$P$2:$P$1209,$A58))</f>
        <v>0</v>
      </c>
      <c r="G58">
        <f>IF($A58="","",COUNTIFS(route_calc!$A$2:$A$1209,G$2,route_calc!$P$2:$P$1209,$A58))</f>
        <v>0</v>
      </c>
      <c r="H58">
        <f>IF($A58="","",COUNTIFS(route_calc!$A$2:$A$1209,H$2,route_calc!$P$2:$P$1209,$A58))</f>
        <v>0</v>
      </c>
      <c r="I58">
        <f>IF($A58="","",COUNTIFS(route_calc!$A$2:$A$1209,I$2,route_calc!$P$2:$P$1209,$A58))</f>
        <v>0</v>
      </c>
      <c r="J58">
        <f>IF($A58="","",COUNTIFS(route_calc!$A$2:$A$1209,J$2,route_calc!$P$2:$P$1209,$A58))</f>
        <v>0</v>
      </c>
      <c r="K58" t="str">
        <f>IF($L58=0,"",_xlfn.MINIFS(route_calc!$Q$2:$Q$1209,route_calc!$P$2:$P$1209,$A58,route_calc!$A$2:$A$1209,MATCH(1,$R58:$Y58,0)))</f>
        <v/>
      </c>
      <c r="L58">
        <f t="shared" si="0"/>
        <v>0</v>
      </c>
      <c r="M58" t="str" cm="1">
        <f t="array" ref="M58">IF($L58=0,"",_xlfn.TEXTJOIN(", ",TRUE,IF($R58:$Y58&gt;0,$C$1:$J$1,"")))</f>
        <v/>
      </c>
      <c r="N58" t="str" cm="1">
        <f t="array" ref="N58">IF($L58=0,"",SUMPRODUCT(($L$3:$L$144=1)*($K$3:$K$144&lt;$K58))+1)</f>
        <v/>
      </c>
      <c r="O58" t="str">
        <f t="shared" si="1"/>
        <v/>
      </c>
      <c r="P58" t="str">
        <f>IF($A58="","",IFERROR(INDEX(countries!$G:$G,MATCH($A58,countries!$D:$D,0)),""))</f>
        <v>REQUIRED</v>
      </c>
      <c r="Q58" t="str">
        <f>IF($A58="","",IFERROR(IF(INDEX(countries!$I:$I,MATCH($A58,countries!$D:$D,0))=0,"",INDEX(countries!$I:$I,MATCH($A58,countries!$D:$D,0))),""))</f>
        <v/>
      </c>
      <c r="R58" cm="1">
        <f t="array" ref="R58">IF($A58="","",IF(AND(INDEX($C58:$J58,R$2)&gt;0,$A58&lt;&gt;INDEX('TRIP MANAGER'!$T$18:$T$25,R$2),$A58&lt;&gt;INDEX('TRIP MANAGER'!$U$18:$U$25,R$2)),1,0))</f>
        <v>0</v>
      </c>
      <c r="S58" cm="1">
        <f t="array" ref="S58">IF($A58="","",IF(AND(INDEX($C58:$J58,S$2)&gt;0,$A58&lt;&gt;INDEX('TRIP MANAGER'!$T$18:$T$25,S$2),$A58&lt;&gt;INDEX('TRIP MANAGER'!$U$18:$U$25,S$2)),1,0))</f>
        <v>0</v>
      </c>
      <c r="T58" cm="1">
        <f t="array" ref="T58">IF($A58="","",IF(AND(INDEX($C58:$J58,T$2)&gt;0,$A58&lt;&gt;INDEX('TRIP MANAGER'!$T$18:$T$25,T$2),$A58&lt;&gt;INDEX('TRIP MANAGER'!$U$18:$U$25,T$2)),1,0))</f>
        <v>0</v>
      </c>
      <c r="U58" cm="1">
        <f t="array" ref="U58">IF($A58="","",IF(AND(INDEX($C58:$J58,U$2)&gt;0,$A58&lt;&gt;INDEX('TRIP MANAGER'!$T$18:$T$25,U$2),$A58&lt;&gt;INDEX('TRIP MANAGER'!$U$18:$U$25,U$2)),1,0))</f>
        <v>0</v>
      </c>
      <c r="V58" cm="1">
        <f t="array" ref="V58">IF($A58="","",IF(AND(INDEX($C58:$J58,V$2)&gt;0,$A58&lt;&gt;INDEX('TRIP MANAGER'!$T$18:$T$25,V$2),$A58&lt;&gt;INDEX('TRIP MANAGER'!$U$18:$U$25,V$2)),1,0))</f>
        <v>0</v>
      </c>
      <c r="W58" cm="1">
        <f t="array" ref="W58">IF($A58="","",IF(AND(INDEX($C58:$J58,W$2)&gt;0,$A58&lt;&gt;INDEX('TRIP MANAGER'!$T$18:$T$25,W$2),$A58&lt;&gt;INDEX('TRIP MANAGER'!$U$18:$U$25,W$2)),1,0))</f>
        <v>0</v>
      </c>
      <c r="X58" cm="1">
        <f t="array" ref="X58">IF($A58="","",IF(AND(INDEX($C58:$J58,X$2)&gt;0,$A58&lt;&gt;INDEX('TRIP MANAGER'!$T$18:$T$25,X$2),$A58&lt;&gt;INDEX('TRIP MANAGER'!$U$18:$U$25,X$2)),1,0))</f>
        <v>0</v>
      </c>
      <c r="Y58" cm="1">
        <f t="array" ref="Y58">IF($A58="","",IF(AND(INDEX($C58:$J58,Y$2)&gt;0,$A58&lt;&gt;INDEX('TRIP MANAGER'!$T$18:$T$25,Y$2),$A58&lt;&gt;INDEX('TRIP MANAGER'!$U$18:$U$25,Y$2)),1,0))</f>
        <v>0</v>
      </c>
    </row>
    <row r="59" spans="1:25" x14ac:dyDescent="0.3">
      <c r="A59" t="str">
        <f>IF(countries!$D58="","",countries!$D58)</f>
        <v>ZMB</v>
      </c>
      <c r="B59" t="str">
        <f>IF(countries!$B58="","",countries!$B58)</f>
        <v>Zambia</v>
      </c>
      <c r="C59">
        <f>IF($A59="","",COUNTIFS(route_calc!$A$2:$A$1209,C$2,route_calc!$P$2:$P$1209,$A59))</f>
        <v>18</v>
      </c>
      <c r="D59">
        <f>IF($A59="","",COUNTIFS(route_calc!$A$2:$A$1209,D$2,route_calc!$P$2:$P$1209,$A59))</f>
        <v>0</v>
      </c>
      <c r="E59">
        <f>IF($A59="","",COUNTIFS(route_calc!$A$2:$A$1209,E$2,route_calc!$P$2:$P$1209,$A59))</f>
        <v>0</v>
      </c>
      <c r="F59">
        <f>IF($A59="","",COUNTIFS(route_calc!$A$2:$A$1209,F$2,route_calc!$P$2:$P$1209,$A59))</f>
        <v>0</v>
      </c>
      <c r="G59">
        <f>IF($A59="","",COUNTIFS(route_calc!$A$2:$A$1209,G$2,route_calc!$P$2:$P$1209,$A59))</f>
        <v>0</v>
      </c>
      <c r="H59">
        <f>IF($A59="","",COUNTIFS(route_calc!$A$2:$A$1209,H$2,route_calc!$P$2:$P$1209,$A59))</f>
        <v>0</v>
      </c>
      <c r="I59">
        <f>IF($A59="","",COUNTIFS(route_calc!$A$2:$A$1209,I$2,route_calc!$P$2:$P$1209,$A59))</f>
        <v>0</v>
      </c>
      <c r="J59">
        <f>IF($A59="","",COUNTIFS(route_calc!$A$2:$A$1209,J$2,route_calc!$P$2:$P$1209,$A59))</f>
        <v>0</v>
      </c>
      <c r="K59">
        <f>IF($L59=0,"",_xlfn.MINIFS(route_calc!$Q$2:$Q$1209,route_calc!$P$2:$P$1209,$A59,route_calc!$A$2:$A$1209,MATCH(1,$R59:$Y59,0)))</f>
        <v>1034</v>
      </c>
      <c r="L59">
        <f t="shared" si="0"/>
        <v>1</v>
      </c>
      <c r="M59" t="str" cm="1">
        <f t="array" ref="M59">IF($L59=0,"",_xlfn.TEXTJOIN(", ",TRUE,IF($R59:$Y59&gt;0,$C$1:$J$1,"")))</f>
        <v>L1</v>
      </c>
      <c r="N59" cm="1">
        <f t="array" ref="N59">IF($L59=0,"",SUMPRODUCT(($L$3:$L$144=1)*($K$3:$K$144&lt;$K59))+1)</f>
        <v>3</v>
      </c>
      <c r="O59">
        <f t="shared" si="1"/>
        <v>1</v>
      </c>
      <c r="P59" t="str">
        <f>IF($A59="","",IFERROR(INDEX(countries!$G:$G,MATCH($A59,countries!$D:$D,0)),""))</f>
        <v>REQUIRED</v>
      </c>
      <c r="Q59" t="str">
        <f>IF($A59="","",IFERROR(IF(INDEX(countries!$I:$I,MATCH($A59,countries!$D:$D,0))=0,"",INDEX(countries!$I:$I,MATCH($A59,countries!$D:$D,0))),""))</f>
        <v/>
      </c>
      <c r="R59" cm="1">
        <f t="array" ref="R59">IF($A59="","",IF(AND(INDEX($C59:$J59,R$2)&gt;0,$A59&lt;&gt;INDEX('TRIP MANAGER'!$T$18:$T$25,R$2),$A59&lt;&gt;INDEX('TRIP MANAGER'!$U$18:$U$25,R$2)),1,0))</f>
        <v>1</v>
      </c>
      <c r="S59" cm="1">
        <f t="array" ref="S59">IF($A59="","",IF(AND(INDEX($C59:$J59,S$2)&gt;0,$A59&lt;&gt;INDEX('TRIP MANAGER'!$T$18:$T$25,S$2),$A59&lt;&gt;INDEX('TRIP MANAGER'!$U$18:$U$25,S$2)),1,0))</f>
        <v>0</v>
      </c>
      <c r="T59" cm="1">
        <f t="array" ref="T59">IF($A59="","",IF(AND(INDEX($C59:$J59,T$2)&gt;0,$A59&lt;&gt;INDEX('TRIP MANAGER'!$T$18:$T$25,T$2),$A59&lt;&gt;INDEX('TRIP MANAGER'!$U$18:$U$25,T$2)),1,0))</f>
        <v>0</v>
      </c>
      <c r="U59" cm="1">
        <f t="array" ref="U59">IF($A59="","",IF(AND(INDEX($C59:$J59,U$2)&gt;0,$A59&lt;&gt;INDEX('TRIP MANAGER'!$T$18:$T$25,U$2),$A59&lt;&gt;INDEX('TRIP MANAGER'!$U$18:$U$25,U$2)),1,0))</f>
        <v>0</v>
      </c>
      <c r="V59" cm="1">
        <f t="array" ref="V59">IF($A59="","",IF(AND(INDEX($C59:$J59,V$2)&gt;0,$A59&lt;&gt;INDEX('TRIP MANAGER'!$T$18:$T$25,V$2),$A59&lt;&gt;INDEX('TRIP MANAGER'!$U$18:$U$25,V$2)),1,0))</f>
        <v>0</v>
      </c>
      <c r="W59" cm="1">
        <f t="array" ref="W59">IF($A59="","",IF(AND(INDEX($C59:$J59,W$2)&gt;0,$A59&lt;&gt;INDEX('TRIP MANAGER'!$T$18:$T$25,W$2),$A59&lt;&gt;INDEX('TRIP MANAGER'!$U$18:$U$25,W$2)),1,0))</f>
        <v>0</v>
      </c>
      <c r="X59" cm="1">
        <f t="array" ref="X59">IF($A59="","",IF(AND(INDEX($C59:$J59,X$2)&gt;0,$A59&lt;&gt;INDEX('TRIP MANAGER'!$T$18:$T$25,X$2),$A59&lt;&gt;INDEX('TRIP MANAGER'!$U$18:$U$25,X$2)),1,0))</f>
        <v>0</v>
      </c>
      <c r="Y59" cm="1">
        <f t="array" ref="Y59">IF($A59="","",IF(AND(INDEX($C59:$J59,Y$2)&gt;0,$A59&lt;&gt;INDEX('TRIP MANAGER'!$T$18:$T$25,Y$2),$A59&lt;&gt;INDEX('TRIP MANAGER'!$U$18:$U$25,Y$2)),1,0))</f>
        <v>0</v>
      </c>
    </row>
    <row r="60" spans="1:25" x14ac:dyDescent="0.3">
      <c r="A60" t="str">
        <f>IF(countries!$D59="","",countries!$D59)</f>
        <v>SAU</v>
      </c>
      <c r="B60" t="str">
        <f>IF(countries!$B59="","",countries!$B59)</f>
        <v>Saudi Arabia</v>
      </c>
      <c r="C60">
        <f>IF($A60="","",COUNTIFS(route_calc!$A$2:$A$1209,C$2,route_calc!$P$2:$P$1209,$A60))</f>
        <v>0</v>
      </c>
      <c r="D60">
        <f>IF($A60="","",COUNTIFS(route_calc!$A$2:$A$1209,D$2,route_calc!$P$2:$P$1209,$A60))</f>
        <v>0</v>
      </c>
      <c r="E60">
        <f>IF($A60="","",COUNTIFS(route_calc!$A$2:$A$1209,E$2,route_calc!$P$2:$P$1209,$A60))</f>
        <v>0</v>
      </c>
      <c r="F60">
        <f>IF($A60="","",COUNTIFS(route_calc!$A$2:$A$1209,F$2,route_calc!$P$2:$P$1209,$A60))</f>
        <v>0</v>
      </c>
      <c r="G60">
        <f>IF($A60="","",COUNTIFS(route_calc!$A$2:$A$1209,G$2,route_calc!$P$2:$P$1209,$A60))</f>
        <v>0</v>
      </c>
      <c r="H60">
        <f>IF($A60="","",COUNTIFS(route_calc!$A$2:$A$1209,H$2,route_calc!$P$2:$P$1209,$A60))</f>
        <v>0</v>
      </c>
      <c r="I60">
        <f>IF($A60="","",COUNTIFS(route_calc!$A$2:$A$1209,I$2,route_calc!$P$2:$P$1209,$A60))</f>
        <v>0</v>
      </c>
      <c r="J60">
        <f>IF($A60="","",COUNTIFS(route_calc!$A$2:$A$1209,J$2,route_calc!$P$2:$P$1209,$A60))</f>
        <v>0</v>
      </c>
      <c r="K60" t="str">
        <f>IF($L60=0,"",_xlfn.MINIFS(route_calc!$Q$2:$Q$1209,route_calc!$P$2:$P$1209,$A60,route_calc!$A$2:$A$1209,MATCH(1,$R60:$Y60,0)))</f>
        <v/>
      </c>
      <c r="L60">
        <f t="shared" si="0"/>
        <v>0</v>
      </c>
      <c r="M60" t="str" cm="1">
        <f t="array" ref="M60">IF($L60=0,"",_xlfn.TEXTJOIN(", ",TRUE,IF($R60:$Y60&gt;0,$C$1:$J$1,"")))</f>
        <v/>
      </c>
      <c r="N60" t="str" cm="1">
        <f t="array" ref="N60">IF($L60=0,"",SUMPRODUCT(($L$3:$L$144=1)*($K$3:$K$144&lt;$K60))+1)</f>
        <v/>
      </c>
      <c r="O60" t="str">
        <f t="shared" si="1"/>
        <v/>
      </c>
      <c r="P60" t="str">
        <f>IF($A60="","",IFERROR(INDEX(countries!$G:$G,MATCH($A60,countries!$D:$D,0)),""))</f>
        <v>REQUIRED</v>
      </c>
      <c r="Q60" t="str">
        <f>IF($A60="","",IFERROR(IF(INDEX(countries!$I:$I,MATCH($A60,countries!$D:$D,0))=0,"",INDEX(countries!$I:$I,MATCH($A60,countries!$D:$D,0))),""))</f>
        <v/>
      </c>
      <c r="R60" cm="1">
        <f t="array" ref="R60">IF($A60="","",IF(AND(INDEX($C60:$J60,R$2)&gt;0,$A60&lt;&gt;INDEX('TRIP MANAGER'!$T$18:$T$25,R$2),$A60&lt;&gt;INDEX('TRIP MANAGER'!$U$18:$U$25,R$2)),1,0))</f>
        <v>0</v>
      </c>
      <c r="S60" cm="1">
        <f t="array" ref="S60">IF($A60="","",IF(AND(INDEX($C60:$J60,S$2)&gt;0,$A60&lt;&gt;INDEX('TRIP MANAGER'!$T$18:$T$25,S$2),$A60&lt;&gt;INDEX('TRIP MANAGER'!$U$18:$U$25,S$2)),1,0))</f>
        <v>0</v>
      </c>
      <c r="T60" cm="1">
        <f t="array" ref="T60">IF($A60="","",IF(AND(INDEX($C60:$J60,T$2)&gt;0,$A60&lt;&gt;INDEX('TRIP MANAGER'!$T$18:$T$25,T$2),$A60&lt;&gt;INDEX('TRIP MANAGER'!$U$18:$U$25,T$2)),1,0))</f>
        <v>0</v>
      </c>
      <c r="U60" cm="1">
        <f t="array" ref="U60">IF($A60="","",IF(AND(INDEX($C60:$J60,U$2)&gt;0,$A60&lt;&gt;INDEX('TRIP MANAGER'!$T$18:$T$25,U$2),$A60&lt;&gt;INDEX('TRIP MANAGER'!$U$18:$U$25,U$2)),1,0))</f>
        <v>0</v>
      </c>
      <c r="V60" cm="1">
        <f t="array" ref="V60">IF($A60="","",IF(AND(INDEX($C60:$J60,V$2)&gt;0,$A60&lt;&gt;INDEX('TRIP MANAGER'!$T$18:$T$25,V$2),$A60&lt;&gt;INDEX('TRIP MANAGER'!$U$18:$U$25,V$2)),1,0))</f>
        <v>0</v>
      </c>
      <c r="W60" cm="1">
        <f t="array" ref="W60">IF($A60="","",IF(AND(INDEX($C60:$J60,W$2)&gt;0,$A60&lt;&gt;INDEX('TRIP MANAGER'!$T$18:$T$25,W$2),$A60&lt;&gt;INDEX('TRIP MANAGER'!$U$18:$U$25,W$2)),1,0))</f>
        <v>0</v>
      </c>
      <c r="X60" cm="1">
        <f t="array" ref="X60">IF($A60="","",IF(AND(INDEX($C60:$J60,X$2)&gt;0,$A60&lt;&gt;INDEX('TRIP MANAGER'!$T$18:$T$25,X$2),$A60&lt;&gt;INDEX('TRIP MANAGER'!$U$18:$U$25,X$2)),1,0))</f>
        <v>0</v>
      </c>
      <c r="Y60" cm="1">
        <f t="array" ref="Y60">IF($A60="","",IF(AND(INDEX($C60:$J60,Y$2)&gt;0,$A60&lt;&gt;INDEX('TRIP MANAGER'!$T$18:$T$25,Y$2),$A60&lt;&gt;INDEX('TRIP MANAGER'!$U$18:$U$25,Y$2)),1,0))</f>
        <v>0</v>
      </c>
    </row>
    <row r="61" spans="1:25" x14ac:dyDescent="0.3">
      <c r="A61" t="str">
        <f>IF(countries!$D60="","",countries!$D60)</f>
        <v>ARE</v>
      </c>
      <c r="B61" t="str">
        <f>IF(countries!$B60="","",countries!$B60)</f>
        <v>United Arab Emirates</v>
      </c>
      <c r="C61">
        <f>IF($A61="","",COUNTIFS(route_calc!$A$2:$A$1209,C$2,route_calc!$P$2:$P$1209,$A61))</f>
        <v>0</v>
      </c>
      <c r="D61">
        <f>IF($A61="","",COUNTIFS(route_calc!$A$2:$A$1209,D$2,route_calc!$P$2:$P$1209,$A61))</f>
        <v>0</v>
      </c>
      <c r="E61">
        <f>IF($A61="","",COUNTIFS(route_calc!$A$2:$A$1209,E$2,route_calc!$P$2:$P$1209,$A61))</f>
        <v>0</v>
      </c>
      <c r="F61">
        <f>IF($A61="","",COUNTIFS(route_calc!$A$2:$A$1209,F$2,route_calc!$P$2:$P$1209,$A61))</f>
        <v>0</v>
      </c>
      <c r="G61">
        <f>IF($A61="","",COUNTIFS(route_calc!$A$2:$A$1209,G$2,route_calc!$P$2:$P$1209,$A61))</f>
        <v>0</v>
      </c>
      <c r="H61">
        <f>IF($A61="","",COUNTIFS(route_calc!$A$2:$A$1209,H$2,route_calc!$P$2:$P$1209,$A61))</f>
        <v>0</v>
      </c>
      <c r="I61">
        <f>IF($A61="","",COUNTIFS(route_calc!$A$2:$A$1209,I$2,route_calc!$P$2:$P$1209,$A61))</f>
        <v>0</v>
      </c>
      <c r="J61">
        <f>IF($A61="","",COUNTIFS(route_calc!$A$2:$A$1209,J$2,route_calc!$P$2:$P$1209,$A61))</f>
        <v>0</v>
      </c>
      <c r="K61" t="str">
        <f>IF($L61=0,"",_xlfn.MINIFS(route_calc!$Q$2:$Q$1209,route_calc!$P$2:$P$1209,$A61,route_calc!$A$2:$A$1209,MATCH(1,$R61:$Y61,0)))</f>
        <v/>
      </c>
      <c r="L61">
        <f t="shared" si="0"/>
        <v>0</v>
      </c>
      <c r="M61" t="str" cm="1">
        <f t="array" ref="M61">IF($L61=0,"",_xlfn.TEXTJOIN(", ",TRUE,IF($R61:$Y61&gt;0,$C$1:$J$1,"")))</f>
        <v/>
      </c>
      <c r="N61" t="str" cm="1">
        <f t="array" ref="N61">IF($L61=0,"",SUMPRODUCT(($L$3:$L$144=1)*($K$3:$K$144&lt;$K61))+1)</f>
        <v/>
      </c>
      <c r="O61" t="str">
        <f t="shared" si="1"/>
        <v/>
      </c>
      <c r="P61" t="str">
        <f>IF($A61="","",IFERROR(INDEX(countries!$G:$G,MATCH($A61,countries!$D:$D,0)),""))</f>
        <v>REQUIRED</v>
      </c>
      <c r="Q61" t="str">
        <f>IF($A61="","",IFERROR(IF(INDEX(countries!$I:$I,MATCH($A61,countries!$D:$D,0))=0,"",INDEX(countries!$I:$I,MATCH($A61,countries!$D:$D,0))),""))</f>
        <v/>
      </c>
      <c r="R61" cm="1">
        <f t="array" ref="R61">IF($A61="","",IF(AND(INDEX($C61:$J61,R$2)&gt;0,$A61&lt;&gt;INDEX('TRIP MANAGER'!$T$18:$T$25,R$2),$A61&lt;&gt;INDEX('TRIP MANAGER'!$U$18:$U$25,R$2)),1,0))</f>
        <v>0</v>
      </c>
      <c r="S61" cm="1">
        <f t="array" ref="S61">IF($A61="","",IF(AND(INDEX($C61:$J61,S$2)&gt;0,$A61&lt;&gt;INDEX('TRIP MANAGER'!$T$18:$T$25,S$2),$A61&lt;&gt;INDEX('TRIP MANAGER'!$U$18:$U$25,S$2)),1,0))</f>
        <v>0</v>
      </c>
      <c r="T61" cm="1">
        <f t="array" ref="T61">IF($A61="","",IF(AND(INDEX($C61:$J61,T$2)&gt;0,$A61&lt;&gt;INDEX('TRIP MANAGER'!$T$18:$T$25,T$2),$A61&lt;&gt;INDEX('TRIP MANAGER'!$U$18:$U$25,T$2)),1,0))</f>
        <v>0</v>
      </c>
      <c r="U61" cm="1">
        <f t="array" ref="U61">IF($A61="","",IF(AND(INDEX($C61:$J61,U$2)&gt;0,$A61&lt;&gt;INDEX('TRIP MANAGER'!$T$18:$T$25,U$2),$A61&lt;&gt;INDEX('TRIP MANAGER'!$U$18:$U$25,U$2)),1,0))</f>
        <v>0</v>
      </c>
      <c r="V61" cm="1">
        <f t="array" ref="V61">IF($A61="","",IF(AND(INDEX($C61:$J61,V$2)&gt;0,$A61&lt;&gt;INDEX('TRIP MANAGER'!$T$18:$T$25,V$2),$A61&lt;&gt;INDEX('TRIP MANAGER'!$U$18:$U$25,V$2)),1,0))</f>
        <v>0</v>
      </c>
      <c r="W61" cm="1">
        <f t="array" ref="W61">IF($A61="","",IF(AND(INDEX($C61:$J61,W$2)&gt;0,$A61&lt;&gt;INDEX('TRIP MANAGER'!$T$18:$T$25,W$2),$A61&lt;&gt;INDEX('TRIP MANAGER'!$U$18:$U$25,W$2)),1,0))</f>
        <v>0</v>
      </c>
      <c r="X61" cm="1">
        <f t="array" ref="X61">IF($A61="","",IF(AND(INDEX($C61:$J61,X$2)&gt;0,$A61&lt;&gt;INDEX('TRIP MANAGER'!$T$18:$T$25,X$2),$A61&lt;&gt;INDEX('TRIP MANAGER'!$U$18:$U$25,X$2)),1,0))</f>
        <v>0</v>
      </c>
      <c r="Y61" cm="1">
        <f t="array" ref="Y61">IF($A61="","",IF(AND(INDEX($C61:$J61,Y$2)&gt;0,$A61&lt;&gt;INDEX('TRIP MANAGER'!$T$18:$T$25,Y$2),$A61&lt;&gt;INDEX('TRIP MANAGER'!$U$18:$U$25,Y$2)),1,0))</f>
        <v>0</v>
      </c>
    </row>
    <row r="62" spans="1:25" x14ac:dyDescent="0.3">
      <c r="A62" t="str">
        <f>IF(countries!$D61="","",countries!$D61)</f>
        <v>OMN</v>
      </c>
      <c r="B62" t="str">
        <f>IF(countries!$B61="","",countries!$B61)</f>
        <v>Oman</v>
      </c>
      <c r="C62">
        <f>IF($A62="","",COUNTIFS(route_calc!$A$2:$A$1209,C$2,route_calc!$P$2:$P$1209,$A62))</f>
        <v>0</v>
      </c>
      <c r="D62">
        <f>IF($A62="","",COUNTIFS(route_calc!$A$2:$A$1209,D$2,route_calc!$P$2:$P$1209,$A62))</f>
        <v>0</v>
      </c>
      <c r="E62">
        <f>IF($A62="","",COUNTIFS(route_calc!$A$2:$A$1209,E$2,route_calc!$P$2:$P$1209,$A62))</f>
        <v>0</v>
      </c>
      <c r="F62">
        <f>IF($A62="","",COUNTIFS(route_calc!$A$2:$A$1209,F$2,route_calc!$P$2:$P$1209,$A62))</f>
        <v>0</v>
      </c>
      <c r="G62">
        <f>IF($A62="","",COUNTIFS(route_calc!$A$2:$A$1209,G$2,route_calc!$P$2:$P$1209,$A62))</f>
        <v>0</v>
      </c>
      <c r="H62">
        <f>IF($A62="","",COUNTIFS(route_calc!$A$2:$A$1209,H$2,route_calc!$P$2:$P$1209,$A62))</f>
        <v>0</v>
      </c>
      <c r="I62">
        <f>IF($A62="","",COUNTIFS(route_calc!$A$2:$A$1209,I$2,route_calc!$P$2:$P$1209,$A62))</f>
        <v>0</v>
      </c>
      <c r="J62">
        <f>IF($A62="","",COUNTIFS(route_calc!$A$2:$A$1209,J$2,route_calc!$P$2:$P$1209,$A62))</f>
        <v>0</v>
      </c>
      <c r="K62" t="str">
        <f>IF($L62=0,"",_xlfn.MINIFS(route_calc!$Q$2:$Q$1209,route_calc!$P$2:$P$1209,$A62,route_calc!$A$2:$A$1209,MATCH(1,$R62:$Y62,0)))</f>
        <v/>
      </c>
      <c r="L62">
        <f t="shared" si="0"/>
        <v>0</v>
      </c>
      <c r="M62" t="str" cm="1">
        <f t="array" ref="M62">IF($L62=0,"",_xlfn.TEXTJOIN(", ",TRUE,IF($R62:$Y62&gt;0,$C$1:$J$1,"")))</f>
        <v/>
      </c>
      <c r="N62" t="str" cm="1">
        <f t="array" ref="N62">IF($L62=0,"",SUMPRODUCT(($L$3:$L$144=1)*($K$3:$K$144&lt;$K62))+1)</f>
        <v/>
      </c>
      <c r="O62" t="str">
        <f t="shared" si="1"/>
        <v/>
      </c>
      <c r="P62" t="str">
        <f>IF($A62="","",IFERROR(INDEX(countries!$G:$G,MATCH($A62,countries!$D:$D,0)),""))</f>
        <v>REQUIRED</v>
      </c>
      <c r="Q62" t="str">
        <f>IF($A62="","",IFERROR(IF(INDEX(countries!$I:$I,MATCH($A62,countries!$D:$D,0))=0,"",INDEX(countries!$I:$I,MATCH($A62,countries!$D:$D,0))),""))</f>
        <v/>
      </c>
      <c r="R62" cm="1">
        <f t="array" ref="R62">IF($A62="","",IF(AND(INDEX($C62:$J62,R$2)&gt;0,$A62&lt;&gt;INDEX('TRIP MANAGER'!$T$18:$T$25,R$2),$A62&lt;&gt;INDEX('TRIP MANAGER'!$U$18:$U$25,R$2)),1,0))</f>
        <v>0</v>
      </c>
      <c r="S62" cm="1">
        <f t="array" ref="S62">IF($A62="","",IF(AND(INDEX($C62:$J62,S$2)&gt;0,$A62&lt;&gt;INDEX('TRIP MANAGER'!$T$18:$T$25,S$2),$A62&lt;&gt;INDEX('TRIP MANAGER'!$U$18:$U$25,S$2)),1,0))</f>
        <v>0</v>
      </c>
      <c r="T62" cm="1">
        <f t="array" ref="T62">IF($A62="","",IF(AND(INDEX($C62:$J62,T$2)&gt;0,$A62&lt;&gt;INDEX('TRIP MANAGER'!$T$18:$T$25,T$2),$A62&lt;&gt;INDEX('TRIP MANAGER'!$U$18:$U$25,T$2)),1,0))</f>
        <v>0</v>
      </c>
      <c r="U62" cm="1">
        <f t="array" ref="U62">IF($A62="","",IF(AND(INDEX($C62:$J62,U$2)&gt;0,$A62&lt;&gt;INDEX('TRIP MANAGER'!$T$18:$T$25,U$2),$A62&lt;&gt;INDEX('TRIP MANAGER'!$U$18:$U$25,U$2)),1,0))</f>
        <v>0</v>
      </c>
      <c r="V62" cm="1">
        <f t="array" ref="V62">IF($A62="","",IF(AND(INDEX($C62:$J62,V$2)&gt;0,$A62&lt;&gt;INDEX('TRIP MANAGER'!$T$18:$T$25,V$2),$A62&lt;&gt;INDEX('TRIP MANAGER'!$U$18:$U$25,V$2)),1,0))</f>
        <v>0</v>
      </c>
      <c r="W62" cm="1">
        <f t="array" ref="W62">IF($A62="","",IF(AND(INDEX($C62:$J62,W$2)&gt;0,$A62&lt;&gt;INDEX('TRIP MANAGER'!$T$18:$T$25,W$2),$A62&lt;&gt;INDEX('TRIP MANAGER'!$U$18:$U$25,W$2)),1,0))</f>
        <v>0</v>
      </c>
      <c r="X62" cm="1">
        <f t="array" ref="X62">IF($A62="","",IF(AND(INDEX($C62:$J62,X$2)&gt;0,$A62&lt;&gt;INDEX('TRIP MANAGER'!$T$18:$T$25,X$2),$A62&lt;&gt;INDEX('TRIP MANAGER'!$U$18:$U$25,X$2)),1,0))</f>
        <v>0</v>
      </c>
      <c r="Y62" cm="1">
        <f t="array" ref="Y62">IF($A62="","",IF(AND(INDEX($C62:$J62,Y$2)&gt;0,$A62&lt;&gt;INDEX('TRIP MANAGER'!$T$18:$T$25,Y$2),$A62&lt;&gt;INDEX('TRIP MANAGER'!$U$18:$U$25,Y$2)),1,0))</f>
        <v>0</v>
      </c>
    </row>
    <row r="63" spans="1:25" x14ac:dyDescent="0.3">
      <c r="A63" t="str">
        <f>IF(countries!$D62="","",countries!$D62)</f>
        <v>ISR</v>
      </c>
      <c r="B63" t="str">
        <f>IF(countries!$B62="","",countries!$B62)</f>
        <v>Israel</v>
      </c>
      <c r="C63">
        <f>IF($A63="","",COUNTIFS(route_calc!$A$2:$A$1209,C$2,route_calc!$P$2:$P$1209,$A63))</f>
        <v>0</v>
      </c>
      <c r="D63">
        <f>IF($A63="","",COUNTIFS(route_calc!$A$2:$A$1209,D$2,route_calc!$P$2:$P$1209,$A63))</f>
        <v>0</v>
      </c>
      <c r="E63">
        <f>IF($A63="","",COUNTIFS(route_calc!$A$2:$A$1209,E$2,route_calc!$P$2:$P$1209,$A63))</f>
        <v>0</v>
      </c>
      <c r="F63">
        <f>IF($A63="","",COUNTIFS(route_calc!$A$2:$A$1209,F$2,route_calc!$P$2:$P$1209,$A63))</f>
        <v>0</v>
      </c>
      <c r="G63">
        <f>IF($A63="","",COUNTIFS(route_calc!$A$2:$A$1209,G$2,route_calc!$P$2:$P$1209,$A63))</f>
        <v>0</v>
      </c>
      <c r="H63">
        <f>IF($A63="","",COUNTIFS(route_calc!$A$2:$A$1209,H$2,route_calc!$P$2:$P$1209,$A63))</f>
        <v>0</v>
      </c>
      <c r="I63">
        <f>IF($A63="","",COUNTIFS(route_calc!$A$2:$A$1209,I$2,route_calc!$P$2:$P$1209,$A63))</f>
        <v>0</v>
      </c>
      <c r="J63">
        <f>IF($A63="","",COUNTIFS(route_calc!$A$2:$A$1209,J$2,route_calc!$P$2:$P$1209,$A63))</f>
        <v>0</v>
      </c>
      <c r="K63" t="str">
        <f>IF($L63=0,"",_xlfn.MINIFS(route_calc!$Q$2:$Q$1209,route_calc!$P$2:$P$1209,$A63,route_calc!$A$2:$A$1209,MATCH(1,$R63:$Y63,0)))</f>
        <v/>
      </c>
      <c r="L63">
        <f t="shared" si="0"/>
        <v>0</v>
      </c>
      <c r="M63" t="str" cm="1">
        <f t="array" ref="M63">IF($L63=0,"",_xlfn.TEXTJOIN(", ",TRUE,IF($R63:$Y63&gt;0,$C$1:$J$1,"")))</f>
        <v/>
      </c>
      <c r="N63" t="str" cm="1">
        <f t="array" ref="N63">IF($L63=0,"",SUMPRODUCT(($L$3:$L$144=1)*($K$3:$K$144&lt;$K63))+1)</f>
        <v/>
      </c>
      <c r="O63" t="str">
        <f t="shared" si="1"/>
        <v/>
      </c>
      <c r="P63" t="str">
        <f>IF($A63="","",IFERROR(INDEX(countries!$G:$G,MATCH($A63,countries!$D:$D,0)),""))</f>
        <v>REQUIRED</v>
      </c>
      <c r="Q63" t="str">
        <f>IF($A63="","",IFERROR(IF(INDEX(countries!$I:$I,MATCH($A63,countries!$D:$D,0))=0,"",INDEX(countries!$I:$I,MATCH($A63,countries!$D:$D,0))),""))</f>
        <v/>
      </c>
      <c r="R63" cm="1">
        <f t="array" ref="R63">IF($A63="","",IF(AND(INDEX($C63:$J63,R$2)&gt;0,$A63&lt;&gt;INDEX('TRIP MANAGER'!$T$18:$T$25,R$2),$A63&lt;&gt;INDEX('TRIP MANAGER'!$U$18:$U$25,R$2)),1,0))</f>
        <v>0</v>
      </c>
      <c r="S63" cm="1">
        <f t="array" ref="S63">IF($A63="","",IF(AND(INDEX($C63:$J63,S$2)&gt;0,$A63&lt;&gt;INDEX('TRIP MANAGER'!$T$18:$T$25,S$2),$A63&lt;&gt;INDEX('TRIP MANAGER'!$U$18:$U$25,S$2)),1,0))</f>
        <v>0</v>
      </c>
      <c r="T63" cm="1">
        <f t="array" ref="T63">IF($A63="","",IF(AND(INDEX($C63:$J63,T$2)&gt;0,$A63&lt;&gt;INDEX('TRIP MANAGER'!$T$18:$T$25,T$2),$A63&lt;&gt;INDEX('TRIP MANAGER'!$U$18:$U$25,T$2)),1,0))</f>
        <v>0</v>
      </c>
      <c r="U63" cm="1">
        <f t="array" ref="U63">IF($A63="","",IF(AND(INDEX($C63:$J63,U$2)&gt;0,$A63&lt;&gt;INDEX('TRIP MANAGER'!$T$18:$T$25,U$2),$A63&lt;&gt;INDEX('TRIP MANAGER'!$U$18:$U$25,U$2)),1,0))</f>
        <v>0</v>
      </c>
      <c r="V63" cm="1">
        <f t="array" ref="V63">IF($A63="","",IF(AND(INDEX($C63:$J63,V$2)&gt;0,$A63&lt;&gt;INDEX('TRIP MANAGER'!$T$18:$T$25,V$2),$A63&lt;&gt;INDEX('TRIP MANAGER'!$U$18:$U$25,V$2)),1,0))</f>
        <v>0</v>
      </c>
      <c r="W63" cm="1">
        <f t="array" ref="W63">IF($A63="","",IF(AND(INDEX($C63:$J63,W$2)&gt;0,$A63&lt;&gt;INDEX('TRIP MANAGER'!$T$18:$T$25,W$2),$A63&lt;&gt;INDEX('TRIP MANAGER'!$U$18:$U$25,W$2)),1,0))</f>
        <v>0</v>
      </c>
      <c r="X63" cm="1">
        <f t="array" ref="X63">IF($A63="","",IF(AND(INDEX($C63:$J63,X$2)&gt;0,$A63&lt;&gt;INDEX('TRIP MANAGER'!$T$18:$T$25,X$2),$A63&lt;&gt;INDEX('TRIP MANAGER'!$U$18:$U$25,X$2)),1,0))</f>
        <v>0</v>
      </c>
      <c r="Y63" cm="1">
        <f t="array" ref="Y63">IF($A63="","",IF(AND(INDEX($C63:$J63,Y$2)&gt;0,$A63&lt;&gt;INDEX('TRIP MANAGER'!$T$18:$T$25,Y$2),$A63&lt;&gt;INDEX('TRIP MANAGER'!$U$18:$U$25,Y$2)),1,0))</f>
        <v>0</v>
      </c>
    </row>
    <row r="64" spans="1:25" x14ac:dyDescent="0.3">
      <c r="A64" t="str">
        <f>IF(countries!$D63="","",countries!$D63)</f>
        <v>QAT</v>
      </c>
      <c r="B64" t="str">
        <f>IF(countries!$B63="","",countries!$B63)</f>
        <v>Qatar</v>
      </c>
      <c r="C64">
        <f>IF($A64="","",COUNTIFS(route_calc!$A$2:$A$1209,C$2,route_calc!$P$2:$P$1209,$A64))</f>
        <v>0</v>
      </c>
      <c r="D64">
        <f>IF($A64="","",COUNTIFS(route_calc!$A$2:$A$1209,D$2,route_calc!$P$2:$P$1209,$A64))</f>
        <v>0</v>
      </c>
      <c r="E64">
        <f>IF($A64="","",COUNTIFS(route_calc!$A$2:$A$1209,E$2,route_calc!$P$2:$P$1209,$A64))</f>
        <v>0</v>
      </c>
      <c r="F64">
        <f>IF($A64="","",COUNTIFS(route_calc!$A$2:$A$1209,F$2,route_calc!$P$2:$P$1209,$A64))</f>
        <v>0</v>
      </c>
      <c r="G64">
        <f>IF($A64="","",COUNTIFS(route_calc!$A$2:$A$1209,G$2,route_calc!$P$2:$P$1209,$A64))</f>
        <v>0</v>
      </c>
      <c r="H64">
        <f>IF($A64="","",COUNTIFS(route_calc!$A$2:$A$1209,H$2,route_calc!$P$2:$P$1209,$A64))</f>
        <v>0</v>
      </c>
      <c r="I64">
        <f>IF($A64="","",COUNTIFS(route_calc!$A$2:$A$1209,I$2,route_calc!$P$2:$P$1209,$A64))</f>
        <v>0</v>
      </c>
      <c r="J64">
        <f>IF($A64="","",COUNTIFS(route_calc!$A$2:$A$1209,J$2,route_calc!$P$2:$P$1209,$A64))</f>
        <v>0</v>
      </c>
      <c r="K64" t="str">
        <f>IF($L64=0,"",_xlfn.MINIFS(route_calc!$Q$2:$Q$1209,route_calc!$P$2:$P$1209,$A64,route_calc!$A$2:$A$1209,MATCH(1,$R64:$Y64,0)))</f>
        <v/>
      </c>
      <c r="L64">
        <f t="shared" si="0"/>
        <v>0</v>
      </c>
      <c r="M64" t="str" cm="1">
        <f t="array" ref="M64">IF($L64=0,"",_xlfn.TEXTJOIN(", ",TRUE,IF($R64:$Y64&gt;0,$C$1:$J$1,"")))</f>
        <v/>
      </c>
      <c r="N64" t="str" cm="1">
        <f t="array" ref="N64">IF($L64=0,"",SUMPRODUCT(($L$3:$L$144=1)*($K$3:$K$144&lt;$K64))+1)</f>
        <v/>
      </c>
      <c r="O64" t="str">
        <f t="shared" si="1"/>
        <v/>
      </c>
      <c r="P64" t="str">
        <f>IF($A64="","",IFERROR(INDEX(countries!$G:$G,MATCH($A64,countries!$D:$D,0)),""))</f>
        <v>REQUIRED</v>
      </c>
      <c r="Q64" t="str">
        <f>IF($A64="","",IFERROR(IF(INDEX(countries!$I:$I,MATCH($A64,countries!$D:$D,0))=0,"",INDEX(countries!$I:$I,MATCH($A64,countries!$D:$D,0))),""))</f>
        <v/>
      </c>
      <c r="R64" cm="1">
        <f t="array" ref="R64">IF($A64="","",IF(AND(INDEX($C64:$J64,R$2)&gt;0,$A64&lt;&gt;INDEX('TRIP MANAGER'!$T$18:$T$25,R$2),$A64&lt;&gt;INDEX('TRIP MANAGER'!$U$18:$U$25,R$2)),1,0))</f>
        <v>0</v>
      </c>
      <c r="S64" cm="1">
        <f t="array" ref="S64">IF($A64="","",IF(AND(INDEX($C64:$J64,S$2)&gt;0,$A64&lt;&gt;INDEX('TRIP MANAGER'!$T$18:$T$25,S$2),$A64&lt;&gt;INDEX('TRIP MANAGER'!$U$18:$U$25,S$2)),1,0))</f>
        <v>0</v>
      </c>
      <c r="T64" cm="1">
        <f t="array" ref="T64">IF($A64="","",IF(AND(INDEX($C64:$J64,T$2)&gt;0,$A64&lt;&gt;INDEX('TRIP MANAGER'!$T$18:$T$25,T$2),$A64&lt;&gt;INDEX('TRIP MANAGER'!$U$18:$U$25,T$2)),1,0))</f>
        <v>0</v>
      </c>
      <c r="U64" cm="1">
        <f t="array" ref="U64">IF($A64="","",IF(AND(INDEX($C64:$J64,U$2)&gt;0,$A64&lt;&gt;INDEX('TRIP MANAGER'!$T$18:$T$25,U$2),$A64&lt;&gt;INDEX('TRIP MANAGER'!$U$18:$U$25,U$2)),1,0))</f>
        <v>0</v>
      </c>
      <c r="V64" cm="1">
        <f t="array" ref="V64">IF($A64="","",IF(AND(INDEX($C64:$J64,V$2)&gt;0,$A64&lt;&gt;INDEX('TRIP MANAGER'!$T$18:$T$25,V$2),$A64&lt;&gt;INDEX('TRIP MANAGER'!$U$18:$U$25,V$2)),1,0))</f>
        <v>0</v>
      </c>
      <c r="W64" cm="1">
        <f t="array" ref="W64">IF($A64="","",IF(AND(INDEX($C64:$J64,W$2)&gt;0,$A64&lt;&gt;INDEX('TRIP MANAGER'!$T$18:$T$25,W$2),$A64&lt;&gt;INDEX('TRIP MANAGER'!$U$18:$U$25,W$2)),1,0))</f>
        <v>0</v>
      </c>
      <c r="X64" cm="1">
        <f t="array" ref="X64">IF($A64="","",IF(AND(INDEX($C64:$J64,X$2)&gt;0,$A64&lt;&gt;INDEX('TRIP MANAGER'!$T$18:$T$25,X$2),$A64&lt;&gt;INDEX('TRIP MANAGER'!$U$18:$U$25,X$2)),1,0))</f>
        <v>0</v>
      </c>
      <c r="Y64" cm="1">
        <f t="array" ref="Y64">IF($A64="","",IF(AND(INDEX($C64:$J64,Y$2)&gt;0,$A64&lt;&gt;INDEX('TRIP MANAGER'!$T$18:$T$25,Y$2),$A64&lt;&gt;INDEX('TRIP MANAGER'!$U$18:$U$25,Y$2)),1,0))</f>
        <v>0</v>
      </c>
    </row>
    <row r="65" spans="1:25" x14ac:dyDescent="0.3">
      <c r="A65" t="str">
        <f>IF(countries!$D64="","",countries!$D64)</f>
        <v>JOR</v>
      </c>
      <c r="B65" t="str">
        <f>IF(countries!$B64="","",countries!$B64)</f>
        <v>Jordan</v>
      </c>
      <c r="C65">
        <f>IF($A65="","",COUNTIFS(route_calc!$A$2:$A$1209,C$2,route_calc!$P$2:$P$1209,$A65))</f>
        <v>0</v>
      </c>
      <c r="D65">
        <f>IF($A65="","",COUNTIFS(route_calc!$A$2:$A$1209,D$2,route_calc!$P$2:$P$1209,$A65))</f>
        <v>0</v>
      </c>
      <c r="E65">
        <f>IF($A65="","",COUNTIFS(route_calc!$A$2:$A$1209,E$2,route_calc!$P$2:$P$1209,$A65))</f>
        <v>0</v>
      </c>
      <c r="F65">
        <f>IF($A65="","",COUNTIFS(route_calc!$A$2:$A$1209,F$2,route_calc!$P$2:$P$1209,$A65))</f>
        <v>0</v>
      </c>
      <c r="G65">
        <f>IF($A65="","",COUNTIFS(route_calc!$A$2:$A$1209,G$2,route_calc!$P$2:$P$1209,$A65))</f>
        <v>0</v>
      </c>
      <c r="H65">
        <f>IF($A65="","",COUNTIFS(route_calc!$A$2:$A$1209,H$2,route_calc!$P$2:$P$1209,$A65))</f>
        <v>0</v>
      </c>
      <c r="I65">
        <f>IF($A65="","",COUNTIFS(route_calc!$A$2:$A$1209,I$2,route_calc!$P$2:$P$1209,$A65))</f>
        <v>0</v>
      </c>
      <c r="J65">
        <f>IF($A65="","",COUNTIFS(route_calc!$A$2:$A$1209,J$2,route_calc!$P$2:$P$1209,$A65))</f>
        <v>0</v>
      </c>
      <c r="K65" t="str">
        <f>IF($L65=0,"",_xlfn.MINIFS(route_calc!$Q$2:$Q$1209,route_calc!$P$2:$P$1209,$A65,route_calc!$A$2:$A$1209,MATCH(1,$R65:$Y65,0)))</f>
        <v/>
      </c>
      <c r="L65">
        <f t="shared" si="0"/>
        <v>0</v>
      </c>
      <c r="M65" t="str" cm="1">
        <f t="array" ref="M65">IF($L65=0,"",_xlfn.TEXTJOIN(", ",TRUE,IF($R65:$Y65&gt;0,$C$1:$J$1,"")))</f>
        <v/>
      </c>
      <c r="N65" t="str" cm="1">
        <f t="array" ref="N65">IF($L65=0,"",SUMPRODUCT(($L$3:$L$144=1)*($K$3:$K$144&lt;$K65))+1)</f>
        <v/>
      </c>
      <c r="O65" t="str">
        <f t="shared" si="1"/>
        <v/>
      </c>
      <c r="P65" t="str">
        <f>IF($A65="","",IFERROR(INDEX(countries!$G:$G,MATCH($A65,countries!$D:$D,0)),""))</f>
        <v>REQUIRED</v>
      </c>
      <c r="Q65" t="str">
        <f>IF($A65="","",IFERROR(IF(INDEX(countries!$I:$I,MATCH($A65,countries!$D:$D,0))=0,"",INDEX(countries!$I:$I,MATCH($A65,countries!$D:$D,0))),""))</f>
        <v/>
      </c>
      <c r="R65" cm="1">
        <f t="array" ref="R65">IF($A65="","",IF(AND(INDEX($C65:$J65,R$2)&gt;0,$A65&lt;&gt;INDEX('TRIP MANAGER'!$T$18:$T$25,R$2),$A65&lt;&gt;INDEX('TRIP MANAGER'!$U$18:$U$25,R$2)),1,0))</f>
        <v>0</v>
      </c>
      <c r="S65" cm="1">
        <f t="array" ref="S65">IF($A65="","",IF(AND(INDEX($C65:$J65,S$2)&gt;0,$A65&lt;&gt;INDEX('TRIP MANAGER'!$T$18:$T$25,S$2),$A65&lt;&gt;INDEX('TRIP MANAGER'!$U$18:$U$25,S$2)),1,0))</f>
        <v>0</v>
      </c>
      <c r="T65" cm="1">
        <f t="array" ref="T65">IF($A65="","",IF(AND(INDEX($C65:$J65,T$2)&gt;0,$A65&lt;&gt;INDEX('TRIP MANAGER'!$T$18:$T$25,T$2),$A65&lt;&gt;INDEX('TRIP MANAGER'!$U$18:$U$25,T$2)),1,0))</f>
        <v>0</v>
      </c>
      <c r="U65" cm="1">
        <f t="array" ref="U65">IF($A65="","",IF(AND(INDEX($C65:$J65,U$2)&gt;0,$A65&lt;&gt;INDEX('TRIP MANAGER'!$T$18:$T$25,U$2),$A65&lt;&gt;INDEX('TRIP MANAGER'!$U$18:$U$25,U$2)),1,0))</f>
        <v>0</v>
      </c>
      <c r="V65" cm="1">
        <f t="array" ref="V65">IF($A65="","",IF(AND(INDEX($C65:$J65,V$2)&gt;0,$A65&lt;&gt;INDEX('TRIP MANAGER'!$T$18:$T$25,V$2),$A65&lt;&gt;INDEX('TRIP MANAGER'!$U$18:$U$25,V$2)),1,0))</f>
        <v>0</v>
      </c>
      <c r="W65" cm="1">
        <f t="array" ref="W65">IF($A65="","",IF(AND(INDEX($C65:$J65,W$2)&gt;0,$A65&lt;&gt;INDEX('TRIP MANAGER'!$T$18:$T$25,W$2),$A65&lt;&gt;INDEX('TRIP MANAGER'!$U$18:$U$25,W$2)),1,0))</f>
        <v>0</v>
      </c>
      <c r="X65" cm="1">
        <f t="array" ref="X65">IF($A65="","",IF(AND(INDEX($C65:$J65,X$2)&gt;0,$A65&lt;&gt;INDEX('TRIP MANAGER'!$T$18:$T$25,X$2),$A65&lt;&gt;INDEX('TRIP MANAGER'!$U$18:$U$25,X$2)),1,0))</f>
        <v>0</v>
      </c>
      <c r="Y65" cm="1">
        <f t="array" ref="Y65">IF($A65="","",IF(AND(INDEX($C65:$J65,Y$2)&gt;0,$A65&lt;&gt;INDEX('TRIP MANAGER'!$T$18:$T$25,Y$2),$A65&lt;&gt;INDEX('TRIP MANAGER'!$U$18:$U$25,Y$2)),1,0))</f>
        <v>0</v>
      </c>
    </row>
    <row r="66" spans="1:25" x14ac:dyDescent="0.3">
      <c r="A66" t="str">
        <f>IF(countries!$D65="","",countries!$D65)</f>
        <v>KWT</v>
      </c>
      <c r="B66" t="str">
        <f>IF(countries!$B65="","",countries!$B65)</f>
        <v>Kuwait</v>
      </c>
      <c r="C66">
        <f>IF($A66="","",COUNTIFS(route_calc!$A$2:$A$1209,C$2,route_calc!$P$2:$P$1209,$A66))</f>
        <v>0</v>
      </c>
      <c r="D66">
        <f>IF($A66="","",COUNTIFS(route_calc!$A$2:$A$1209,D$2,route_calc!$P$2:$P$1209,$A66))</f>
        <v>0</v>
      </c>
      <c r="E66">
        <f>IF($A66="","",COUNTIFS(route_calc!$A$2:$A$1209,E$2,route_calc!$P$2:$P$1209,$A66))</f>
        <v>0</v>
      </c>
      <c r="F66">
        <f>IF($A66="","",COUNTIFS(route_calc!$A$2:$A$1209,F$2,route_calc!$P$2:$P$1209,$A66))</f>
        <v>0</v>
      </c>
      <c r="G66">
        <f>IF($A66="","",COUNTIFS(route_calc!$A$2:$A$1209,G$2,route_calc!$P$2:$P$1209,$A66))</f>
        <v>0</v>
      </c>
      <c r="H66">
        <f>IF($A66="","",COUNTIFS(route_calc!$A$2:$A$1209,H$2,route_calc!$P$2:$P$1209,$A66))</f>
        <v>0</v>
      </c>
      <c r="I66">
        <f>IF($A66="","",COUNTIFS(route_calc!$A$2:$A$1209,I$2,route_calc!$P$2:$P$1209,$A66))</f>
        <v>0</v>
      </c>
      <c r="J66">
        <f>IF($A66="","",COUNTIFS(route_calc!$A$2:$A$1209,J$2,route_calc!$P$2:$P$1209,$A66))</f>
        <v>0</v>
      </c>
      <c r="K66" t="str">
        <f>IF($L66=0,"",_xlfn.MINIFS(route_calc!$Q$2:$Q$1209,route_calc!$P$2:$P$1209,$A66,route_calc!$A$2:$A$1209,MATCH(1,$R66:$Y66,0)))</f>
        <v/>
      </c>
      <c r="L66">
        <f t="shared" si="0"/>
        <v>0</v>
      </c>
      <c r="M66" t="str" cm="1">
        <f t="array" ref="M66">IF($L66=0,"",_xlfn.TEXTJOIN(", ",TRUE,IF($R66:$Y66&gt;0,$C$1:$J$1,"")))</f>
        <v/>
      </c>
      <c r="N66" t="str" cm="1">
        <f t="array" ref="N66">IF($L66=0,"",SUMPRODUCT(($L$3:$L$144=1)*($K$3:$K$144&lt;$K66))+1)</f>
        <v/>
      </c>
      <c r="O66" t="str">
        <f t="shared" si="1"/>
        <v/>
      </c>
      <c r="P66" t="str">
        <f>IF($A66="","",IFERROR(INDEX(countries!$G:$G,MATCH($A66,countries!$D:$D,0)),""))</f>
        <v>REQUIRED</v>
      </c>
      <c r="Q66" t="str">
        <f>IF($A66="","",IFERROR(IF(INDEX(countries!$I:$I,MATCH($A66,countries!$D:$D,0))=0,"",INDEX(countries!$I:$I,MATCH($A66,countries!$D:$D,0))),""))</f>
        <v/>
      </c>
      <c r="R66" cm="1">
        <f t="array" ref="R66">IF($A66="","",IF(AND(INDEX($C66:$J66,R$2)&gt;0,$A66&lt;&gt;INDEX('TRIP MANAGER'!$T$18:$T$25,R$2),$A66&lt;&gt;INDEX('TRIP MANAGER'!$U$18:$U$25,R$2)),1,0))</f>
        <v>0</v>
      </c>
      <c r="S66" cm="1">
        <f t="array" ref="S66">IF($A66="","",IF(AND(INDEX($C66:$J66,S$2)&gt;0,$A66&lt;&gt;INDEX('TRIP MANAGER'!$T$18:$T$25,S$2),$A66&lt;&gt;INDEX('TRIP MANAGER'!$U$18:$U$25,S$2)),1,0))</f>
        <v>0</v>
      </c>
      <c r="T66" cm="1">
        <f t="array" ref="T66">IF($A66="","",IF(AND(INDEX($C66:$J66,T$2)&gt;0,$A66&lt;&gt;INDEX('TRIP MANAGER'!$T$18:$T$25,T$2),$A66&lt;&gt;INDEX('TRIP MANAGER'!$U$18:$U$25,T$2)),1,0))</f>
        <v>0</v>
      </c>
      <c r="U66" cm="1">
        <f t="array" ref="U66">IF($A66="","",IF(AND(INDEX($C66:$J66,U$2)&gt;0,$A66&lt;&gt;INDEX('TRIP MANAGER'!$T$18:$T$25,U$2),$A66&lt;&gt;INDEX('TRIP MANAGER'!$U$18:$U$25,U$2)),1,0))</f>
        <v>0</v>
      </c>
      <c r="V66" cm="1">
        <f t="array" ref="V66">IF($A66="","",IF(AND(INDEX($C66:$J66,V$2)&gt;0,$A66&lt;&gt;INDEX('TRIP MANAGER'!$T$18:$T$25,V$2),$A66&lt;&gt;INDEX('TRIP MANAGER'!$U$18:$U$25,V$2)),1,0))</f>
        <v>0</v>
      </c>
      <c r="W66" cm="1">
        <f t="array" ref="W66">IF($A66="","",IF(AND(INDEX($C66:$J66,W$2)&gt;0,$A66&lt;&gt;INDEX('TRIP MANAGER'!$T$18:$T$25,W$2),$A66&lt;&gt;INDEX('TRIP MANAGER'!$U$18:$U$25,W$2)),1,0))</f>
        <v>0</v>
      </c>
      <c r="X66" cm="1">
        <f t="array" ref="X66">IF($A66="","",IF(AND(INDEX($C66:$J66,X$2)&gt;0,$A66&lt;&gt;INDEX('TRIP MANAGER'!$T$18:$T$25,X$2),$A66&lt;&gt;INDEX('TRIP MANAGER'!$U$18:$U$25,X$2)),1,0))</f>
        <v>0</v>
      </c>
      <c r="Y66" cm="1">
        <f t="array" ref="Y66">IF($A66="","",IF(AND(INDEX($C66:$J66,Y$2)&gt;0,$A66&lt;&gt;INDEX('TRIP MANAGER'!$T$18:$T$25,Y$2),$A66&lt;&gt;INDEX('TRIP MANAGER'!$U$18:$U$25,Y$2)),1,0))</f>
        <v>0</v>
      </c>
    </row>
    <row r="67" spans="1:25" x14ac:dyDescent="0.3">
      <c r="A67" t="str">
        <f>IF(countries!$D66="","",countries!$D66)</f>
        <v>BHR</v>
      </c>
      <c r="B67" t="str">
        <f>IF(countries!$B66="","",countries!$B66)</f>
        <v>Bahrain</v>
      </c>
      <c r="C67">
        <f>IF($A67="","",COUNTIFS(route_calc!$A$2:$A$1209,C$2,route_calc!$P$2:$P$1209,$A67))</f>
        <v>0</v>
      </c>
      <c r="D67">
        <f>IF($A67="","",COUNTIFS(route_calc!$A$2:$A$1209,D$2,route_calc!$P$2:$P$1209,$A67))</f>
        <v>0</v>
      </c>
      <c r="E67">
        <f>IF($A67="","",COUNTIFS(route_calc!$A$2:$A$1209,E$2,route_calc!$P$2:$P$1209,$A67))</f>
        <v>0</v>
      </c>
      <c r="F67">
        <f>IF($A67="","",COUNTIFS(route_calc!$A$2:$A$1209,F$2,route_calc!$P$2:$P$1209,$A67))</f>
        <v>0</v>
      </c>
      <c r="G67">
        <f>IF($A67="","",COUNTIFS(route_calc!$A$2:$A$1209,G$2,route_calc!$P$2:$P$1209,$A67))</f>
        <v>0</v>
      </c>
      <c r="H67">
        <f>IF($A67="","",COUNTIFS(route_calc!$A$2:$A$1209,H$2,route_calc!$P$2:$P$1209,$A67))</f>
        <v>0</v>
      </c>
      <c r="I67">
        <f>IF($A67="","",COUNTIFS(route_calc!$A$2:$A$1209,I$2,route_calc!$P$2:$P$1209,$A67))</f>
        <v>0</v>
      </c>
      <c r="J67">
        <f>IF($A67="","",COUNTIFS(route_calc!$A$2:$A$1209,J$2,route_calc!$P$2:$P$1209,$A67))</f>
        <v>0</v>
      </c>
      <c r="K67" t="str">
        <f>IF($L67=0,"",_xlfn.MINIFS(route_calc!$Q$2:$Q$1209,route_calc!$P$2:$P$1209,$A67,route_calc!$A$2:$A$1209,MATCH(1,$R67:$Y67,0)))</f>
        <v/>
      </c>
      <c r="L67">
        <f t="shared" si="0"/>
        <v>0</v>
      </c>
      <c r="M67" t="str" cm="1">
        <f t="array" ref="M67">IF($L67=0,"",_xlfn.TEXTJOIN(", ",TRUE,IF($R67:$Y67&gt;0,$C$1:$J$1,"")))</f>
        <v/>
      </c>
      <c r="N67" t="str" cm="1">
        <f t="array" ref="N67">IF($L67=0,"",SUMPRODUCT(($L$3:$L$144=1)*($K$3:$K$144&lt;$K67))+1)</f>
        <v/>
      </c>
      <c r="O67" t="str">
        <f t="shared" si="1"/>
        <v/>
      </c>
      <c r="P67" t="str">
        <f>IF($A67="","",IFERROR(INDEX(countries!$G:$G,MATCH($A67,countries!$D:$D,0)),""))</f>
        <v>REQUIRED</v>
      </c>
      <c r="Q67" t="str">
        <f>IF($A67="","",IFERROR(IF(INDEX(countries!$I:$I,MATCH($A67,countries!$D:$D,0))=0,"",INDEX(countries!$I:$I,MATCH($A67,countries!$D:$D,0))),""))</f>
        <v/>
      </c>
      <c r="R67" cm="1">
        <f t="array" ref="R67">IF($A67="","",IF(AND(INDEX($C67:$J67,R$2)&gt;0,$A67&lt;&gt;INDEX('TRIP MANAGER'!$T$18:$T$25,R$2),$A67&lt;&gt;INDEX('TRIP MANAGER'!$U$18:$U$25,R$2)),1,0))</f>
        <v>0</v>
      </c>
      <c r="S67" cm="1">
        <f t="array" ref="S67">IF($A67="","",IF(AND(INDEX($C67:$J67,S$2)&gt;0,$A67&lt;&gt;INDEX('TRIP MANAGER'!$T$18:$T$25,S$2),$A67&lt;&gt;INDEX('TRIP MANAGER'!$U$18:$U$25,S$2)),1,0))</f>
        <v>0</v>
      </c>
      <c r="T67" cm="1">
        <f t="array" ref="T67">IF($A67="","",IF(AND(INDEX($C67:$J67,T$2)&gt;0,$A67&lt;&gt;INDEX('TRIP MANAGER'!$T$18:$T$25,T$2),$A67&lt;&gt;INDEX('TRIP MANAGER'!$U$18:$U$25,T$2)),1,0))</f>
        <v>0</v>
      </c>
      <c r="U67" cm="1">
        <f t="array" ref="U67">IF($A67="","",IF(AND(INDEX($C67:$J67,U$2)&gt;0,$A67&lt;&gt;INDEX('TRIP MANAGER'!$T$18:$T$25,U$2),$A67&lt;&gt;INDEX('TRIP MANAGER'!$U$18:$U$25,U$2)),1,0))</f>
        <v>0</v>
      </c>
      <c r="V67" cm="1">
        <f t="array" ref="V67">IF($A67="","",IF(AND(INDEX($C67:$J67,V$2)&gt;0,$A67&lt;&gt;INDEX('TRIP MANAGER'!$T$18:$T$25,V$2),$A67&lt;&gt;INDEX('TRIP MANAGER'!$U$18:$U$25,V$2)),1,0))</f>
        <v>0</v>
      </c>
      <c r="W67" cm="1">
        <f t="array" ref="W67">IF($A67="","",IF(AND(INDEX($C67:$J67,W$2)&gt;0,$A67&lt;&gt;INDEX('TRIP MANAGER'!$T$18:$T$25,W$2),$A67&lt;&gt;INDEX('TRIP MANAGER'!$U$18:$U$25,W$2)),1,0))</f>
        <v>0</v>
      </c>
      <c r="X67" cm="1">
        <f t="array" ref="X67">IF($A67="","",IF(AND(INDEX($C67:$J67,X$2)&gt;0,$A67&lt;&gt;INDEX('TRIP MANAGER'!$T$18:$T$25,X$2),$A67&lt;&gt;INDEX('TRIP MANAGER'!$U$18:$U$25,X$2)),1,0))</f>
        <v>0</v>
      </c>
      <c r="Y67" cm="1">
        <f t="array" ref="Y67">IF($A67="","",IF(AND(INDEX($C67:$J67,Y$2)&gt;0,$A67&lt;&gt;INDEX('TRIP MANAGER'!$T$18:$T$25,Y$2),$A67&lt;&gt;INDEX('TRIP MANAGER'!$U$18:$U$25,Y$2)),1,0))</f>
        <v>0</v>
      </c>
    </row>
    <row r="68" spans="1:25" x14ac:dyDescent="0.3">
      <c r="A68" t="str">
        <f>IF(countries!$D67="","",countries!$D67)</f>
        <v>LBN</v>
      </c>
      <c r="B68" t="str">
        <f>IF(countries!$B67="","",countries!$B67)</f>
        <v>Lebanon</v>
      </c>
      <c r="C68">
        <f>IF($A68="","",COUNTIFS(route_calc!$A$2:$A$1209,C$2,route_calc!$P$2:$P$1209,$A68))</f>
        <v>0</v>
      </c>
      <c r="D68">
        <f>IF($A68="","",COUNTIFS(route_calc!$A$2:$A$1209,D$2,route_calc!$P$2:$P$1209,$A68))</f>
        <v>0</v>
      </c>
      <c r="E68">
        <f>IF($A68="","",COUNTIFS(route_calc!$A$2:$A$1209,E$2,route_calc!$P$2:$P$1209,$A68))</f>
        <v>0</v>
      </c>
      <c r="F68">
        <f>IF($A68="","",COUNTIFS(route_calc!$A$2:$A$1209,F$2,route_calc!$P$2:$P$1209,$A68))</f>
        <v>0</v>
      </c>
      <c r="G68">
        <f>IF($A68="","",COUNTIFS(route_calc!$A$2:$A$1209,G$2,route_calc!$P$2:$P$1209,$A68))</f>
        <v>0</v>
      </c>
      <c r="H68">
        <f>IF($A68="","",COUNTIFS(route_calc!$A$2:$A$1209,H$2,route_calc!$P$2:$P$1209,$A68))</f>
        <v>0</v>
      </c>
      <c r="I68">
        <f>IF($A68="","",COUNTIFS(route_calc!$A$2:$A$1209,I$2,route_calc!$P$2:$P$1209,$A68))</f>
        <v>0</v>
      </c>
      <c r="J68">
        <f>IF($A68="","",COUNTIFS(route_calc!$A$2:$A$1209,J$2,route_calc!$P$2:$P$1209,$A68))</f>
        <v>0</v>
      </c>
      <c r="K68" t="str">
        <f>IF($L68=0,"",_xlfn.MINIFS(route_calc!$Q$2:$Q$1209,route_calc!$P$2:$P$1209,$A68,route_calc!$A$2:$A$1209,MATCH(1,$R68:$Y68,0)))</f>
        <v/>
      </c>
      <c r="L68">
        <f t="shared" ref="L68:L131" si="2">IF($A68="",0,IF(SUM($R68:$Y68)&gt;0,1,0))</f>
        <v>0</v>
      </c>
      <c r="M68" t="str" cm="1">
        <f t="array" ref="M68">IF($L68=0,"",_xlfn.TEXTJOIN(", ",TRUE,IF($R68:$Y68&gt;0,$C$1:$J$1,"")))</f>
        <v/>
      </c>
      <c r="N68" t="str" cm="1">
        <f t="array" ref="N68">IF($L68=0,"",SUMPRODUCT(($L$3:$L$144=1)*($K$3:$K$144&lt;$K68))+1)</f>
        <v/>
      </c>
      <c r="O68" t="str">
        <f t="shared" ref="O68:O131" si="3">IF($L68=0,"",MATCH(1,$R68:$Y68,0))</f>
        <v/>
      </c>
      <c r="P68" t="str">
        <f>IF($A68="","",IFERROR(INDEX(countries!$G:$G,MATCH($A68,countries!$D:$D,0)),""))</f>
        <v>REQUIRED</v>
      </c>
      <c r="Q68" t="str">
        <f>IF($A68="","",IFERROR(IF(INDEX(countries!$I:$I,MATCH($A68,countries!$D:$D,0))=0,"",INDEX(countries!$I:$I,MATCH($A68,countries!$D:$D,0))),""))</f>
        <v/>
      </c>
      <c r="R68" cm="1">
        <f t="array" ref="R68">IF($A68="","",IF(AND(INDEX($C68:$J68,R$2)&gt;0,$A68&lt;&gt;INDEX('TRIP MANAGER'!$T$18:$T$25,R$2),$A68&lt;&gt;INDEX('TRIP MANAGER'!$U$18:$U$25,R$2)),1,0))</f>
        <v>0</v>
      </c>
      <c r="S68" cm="1">
        <f t="array" ref="S68">IF($A68="","",IF(AND(INDEX($C68:$J68,S$2)&gt;0,$A68&lt;&gt;INDEX('TRIP MANAGER'!$T$18:$T$25,S$2),$A68&lt;&gt;INDEX('TRIP MANAGER'!$U$18:$U$25,S$2)),1,0))</f>
        <v>0</v>
      </c>
      <c r="T68" cm="1">
        <f t="array" ref="T68">IF($A68="","",IF(AND(INDEX($C68:$J68,T$2)&gt;0,$A68&lt;&gt;INDEX('TRIP MANAGER'!$T$18:$T$25,T$2),$A68&lt;&gt;INDEX('TRIP MANAGER'!$U$18:$U$25,T$2)),1,0))</f>
        <v>0</v>
      </c>
      <c r="U68" cm="1">
        <f t="array" ref="U68">IF($A68="","",IF(AND(INDEX($C68:$J68,U$2)&gt;0,$A68&lt;&gt;INDEX('TRIP MANAGER'!$T$18:$T$25,U$2),$A68&lt;&gt;INDEX('TRIP MANAGER'!$U$18:$U$25,U$2)),1,0))</f>
        <v>0</v>
      </c>
      <c r="V68" cm="1">
        <f t="array" ref="V68">IF($A68="","",IF(AND(INDEX($C68:$J68,V$2)&gt;0,$A68&lt;&gt;INDEX('TRIP MANAGER'!$T$18:$T$25,V$2),$A68&lt;&gt;INDEX('TRIP MANAGER'!$U$18:$U$25,V$2)),1,0))</f>
        <v>0</v>
      </c>
      <c r="W68" cm="1">
        <f t="array" ref="W68">IF($A68="","",IF(AND(INDEX($C68:$J68,W$2)&gt;0,$A68&lt;&gt;INDEX('TRIP MANAGER'!$T$18:$T$25,W$2),$A68&lt;&gt;INDEX('TRIP MANAGER'!$U$18:$U$25,W$2)),1,0))</f>
        <v>0</v>
      </c>
      <c r="X68" cm="1">
        <f t="array" ref="X68">IF($A68="","",IF(AND(INDEX($C68:$J68,X$2)&gt;0,$A68&lt;&gt;INDEX('TRIP MANAGER'!$T$18:$T$25,X$2),$A68&lt;&gt;INDEX('TRIP MANAGER'!$U$18:$U$25,X$2)),1,0))</f>
        <v>0</v>
      </c>
      <c r="Y68" cm="1">
        <f t="array" ref="Y68">IF($A68="","",IF(AND(INDEX($C68:$J68,Y$2)&gt;0,$A68&lt;&gt;INDEX('TRIP MANAGER'!$T$18:$T$25,Y$2),$A68&lt;&gt;INDEX('TRIP MANAGER'!$U$18:$U$25,Y$2)),1,0))</f>
        <v>0</v>
      </c>
    </row>
    <row r="69" spans="1:25" x14ac:dyDescent="0.3">
      <c r="A69" t="str">
        <f>IF(countries!$D68="","",countries!$D68)</f>
        <v>IRQ</v>
      </c>
      <c r="B69" t="str">
        <f>IF(countries!$B68="","",countries!$B68)</f>
        <v>Iraq</v>
      </c>
      <c r="C69">
        <f>IF($A69="","",COUNTIFS(route_calc!$A$2:$A$1209,C$2,route_calc!$P$2:$P$1209,$A69))</f>
        <v>0</v>
      </c>
      <c r="D69">
        <f>IF($A69="","",COUNTIFS(route_calc!$A$2:$A$1209,D$2,route_calc!$P$2:$P$1209,$A69))</f>
        <v>0</v>
      </c>
      <c r="E69">
        <f>IF($A69="","",COUNTIFS(route_calc!$A$2:$A$1209,E$2,route_calc!$P$2:$P$1209,$A69))</f>
        <v>0</v>
      </c>
      <c r="F69">
        <f>IF($A69="","",COUNTIFS(route_calc!$A$2:$A$1209,F$2,route_calc!$P$2:$P$1209,$A69))</f>
        <v>0</v>
      </c>
      <c r="G69">
        <f>IF($A69="","",COUNTIFS(route_calc!$A$2:$A$1209,G$2,route_calc!$P$2:$P$1209,$A69))</f>
        <v>0</v>
      </c>
      <c r="H69">
        <f>IF($A69="","",COUNTIFS(route_calc!$A$2:$A$1209,H$2,route_calc!$P$2:$P$1209,$A69))</f>
        <v>0</v>
      </c>
      <c r="I69">
        <f>IF($A69="","",COUNTIFS(route_calc!$A$2:$A$1209,I$2,route_calc!$P$2:$P$1209,$A69))</f>
        <v>0</v>
      </c>
      <c r="J69">
        <f>IF($A69="","",COUNTIFS(route_calc!$A$2:$A$1209,J$2,route_calc!$P$2:$P$1209,$A69))</f>
        <v>0</v>
      </c>
      <c r="K69" t="str">
        <f>IF($L69=0,"",_xlfn.MINIFS(route_calc!$Q$2:$Q$1209,route_calc!$P$2:$P$1209,$A69,route_calc!$A$2:$A$1209,MATCH(1,$R69:$Y69,0)))</f>
        <v/>
      </c>
      <c r="L69">
        <f t="shared" si="2"/>
        <v>0</v>
      </c>
      <c r="M69" t="str" cm="1">
        <f t="array" ref="M69">IF($L69=0,"",_xlfn.TEXTJOIN(", ",TRUE,IF($R69:$Y69&gt;0,$C$1:$J$1,"")))</f>
        <v/>
      </c>
      <c r="N69" t="str" cm="1">
        <f t="array" ref="N69">IF($L69=0,"",SUMPRODUCT(($L$3:$L$144=1)*($K$3:$K$144&lt;$K69))+1)</f>
        <v/>
      </c>
      <c r="O69" t="str">
        <f t="shared" si="3"/>
        <v/>
      </c>
      <c r="P69" t="str">
        <f>IF($A69="","",IFERROR(INDEX(countries!$G:$G,MATCH($A69,countries!$D:$D,0)),""))</f>
        <v>REQUIRED</v>
      </c>
      <c r="Q69" t="str">
        <f>IF($A69="","",IFERROR(IF(INDEX(countries!$I:$I,MATCH($A69,countries!$D:$D,0))=0,"",INDEX(countries!$I:$I,MATCH($A69,countries!$D:$D,0))),""))</f>
        <v/>
      </c>
      <c r="R69" cm="1">
        <f t="array" ref="R69">IF($A69="","",IF(AND(INDEX($C69:$J69,R$2)&gt;0,$A69&lt;&gt;INDEX('TRIP MANAGER'!$T$18:$T$25,R$2),$A69&lt;&gt;INDEX('TRIP MANAGER'!$U$18:$U$25,R$2)),1,0))</f>
        <v>0</v>
      </c>
      <c r="S69" cm="1">
        <f t="array" ref="S69">IF($A69="","",IF(AND(INDEX($C69:$J69,S$2)&gt;0,$A69&lt;&gt;INDEX('TRIP MANAGER'!$T$18:$T$25,S$2),$A69&lt;&gt;INDEX('TRIP MANAGER'!$U$18:$U$25,S$2)),1,0))</f>
        <v>0</v>
      </c>
      <c r="T69" cm="1">
        <f t="array" ref="T69">IF($A69="","",IF(AND(INDEX($C69:$J69,T$2)&gt;0,$A69&lt;&gt;INDEX('TRIP MANAGER'!$T$18:$T$25,T$2),$A69&lt;&gt;INDEX('TRIP MANAGER'!$U$18:$U$25,T$2)),1,0))</f>
        <v>0</v>
      </c>
      <c r="U69" cm="1">
        <f t="array" ref="U69">IF($A69="","",IF(AND(INDEX($C69:$J69,U$2)&gt;0,$A69&lt;&gt;INDEX('TRIP MANAGER'!$T$18:$T$25,U$2),$A69&lt;&gt;INDEX('TRIP MANAGER'!$U$18:$U$25,U$2)),1,0))</f>
        <v>0</v>
      </c>
      <c r="V69" cm="1">
        <f t="array" ref="V69">IF($A69="","",IF(AND(INDEX($C69:$J69,V$2)&gt;0,$A69&lt;&gt;INDEX('TRIP MANAGER'!$T$18:$T$25,V$2),$A69&lt;&gt;INDEX('TRIP MANAGER'!$U$18:$U$25,V$2)),1,0))</f>
        <v>0</v>
      </c>
      <c r="W69" cm="1">
        <f t="array" ref="W69">IF($A69="","",IF(AND(INDEX($C69:$J69,W$2)&gt;0,$A69&lt;&gt;INDEX('TRIP MANAGER'!$T$18:$T$25,W$2),$A69&lt;&gt;INDEX('TRIP MANAGER'!$U$18:$U$25,W$2)),1,0))</f>
        <v>0</v>
      </c>
      <c r="X69" cm="1">
        <f t="array" ref="X69">IF($A69="","",IF(AND(INDEX($C69:$J69,X$2)&gt;0,$A69&lt;&gt;INDEX('TRIP MANAGER'!$T$18:$T$25,X$2),$A69&lt;&gt;INDEX('TRIP MANAGER'!$U$18:$U$25,X$2)),1,0))</f>
        <v>0</v>
      </c>
      <c r="Y69" cm="1">
        <f t="array" ref="Y69">IF($A69="","",IF(AND(INDEX($C69:$J69,Y$2)&gt;0,$A69&lt;&gt;INDEX('TRIP MANAGER'!$T$18:$T$25,Y$2),$A69&lt;&gt;INDEX('TRIP MANAGER'!$U$18:$U$25,Y$2)),1,0))</f>
        <v>0</v>
      </c>
    </row>
    <row r="70" spans="1:25" x14ac:dyDescent="0.3">
      <c r="A70" t="str">
        <f>IF(countries!$D69="","",countries!$D69)</f>
        <v>YEM</v>
      </c>
      <c r="B70" t="str">
        <f>IF(countries!$B69="","",countries!$B69)</f>
        <v>Yemen</v>
      </c>
      <c r="C70">
        <f>IF($A70="","",COUNTIFS(route_calc!$A$2:$A$1209,C$2,route_calc!$P$2:$P$1209,$A70))</f>
        <v>0</v>
      </c>
      <c r="D70">
        <f>IF($A70="","",COUNTIFS(route_calc!$A$2:$A$1209,D$2,route_calc!$P$2:$P$1209,$A70))</f>
        <v>0</v>
      </c>
      <c r="E70">
        <f>IF($A70="","",COUNTIFS(route_calc!$A$2:$A$1209,E$2,route_calc!$P$2:$P$1209,$A70))</f>
        <v>0</v>
      </c>
      <c r="F70">
        <f>IF($A70="","",COUNTIFS(route_calc!$A$2:$A$1209,F$2,route_calc!$P$2:$P$1209,$A70))</f>
        <v>0</v>
      </c>
      <c r="G70">
        <f>IF($A70="","",COUNTIFS(route_calc!$A$2:$A$1209,G$2,route_calc!$P$2:$P$1209,$A70))</f>
        <v>0</v>
      </c>
      <c r="H70">
        <f>IF($A70="","",COUNTIFS(route_calc!$A$2:$A$1209,H$2,route_calc!$P$2:$P$1209,$A70))</f>
        <v>0</v>
      </c>
      <c r="I70">
        <f>IF($A70="","",COUNTIFS(route_calc!$A$2:$A$1209,I$2,route_calc!$P$2:$P$1209,$A70))</f>
        <v>0</v>
      </c>
      <c r="J70">
        <f>IF($A70="","",COUNTIFS(route_calc!$A$2:$A$1209,J$2,route_calc!$P$2:$P$1209,$A70))</f>
        <v>0</v>
      </c>
      <c r="K70" t="str">
        <f>IF($L70=0,"",_xlfn.MINIFS(route_calc!$Q$2:$Q$1209,route_calc!$P$2:$P$1209,$A70,route_calc!$A$2:$A$1209,MATCH(1,$R70:$Y70,0)))</f>
        <v/>
      </c>
      <c r="L70">
        <f t="shared" si="2"/>
        <v>0</v>
      </c>
      <c r="M70" t="str" cm="1">
        <f t="array" ref="M70">IF($L70=0,"",_xlfn.TEXTJOIN(", ",TRUE,IF($R70:$Y70&gt;0,$C$1:$J$1,"")))</f>
        <v/>
      </c>
      <c r="N70" t="str" cm="1">
        <f t="array" ref="N70">IF($L70=0,"",SUMPRODUCT(($L$3:$L$144=1)*($K$3:$K$144&lt;$K70))+1)</f>
        <v/>
      </c>
      <c r="O70" t="str">
        <f t="shared" si="3"/>
        <v/>
      </c>
      <c r="P70" t="str">
        <f>IF($A70="","",IFERROR(INDEX(countries!$G:$G,MATCH($A70,countries!$D:$D,0)),""))</f>
        <v>REQUIRED</v>
      </c>
      <c r="Q70" t="str">
        <f>IF($A70="","",IFERROR(IF(INDEX(countries!$I:$I,MATCH($A70,countries!$D:$D,0))=0,"",INDEX(countries!$I:$I,MATCH($A70,countries!$D:$D,0))),""))</f>
        <v/>
      </c>
      <c r="R70" cm="1">
        <f t="array" ref="R70">IF($A70="","",IF(AND(INDEX($C70:$J70,R$2)&gt;0,$A70&lt;&gt;INDEX('TRIP MANAGER'!$T$18:$T$25,R$2),$A70&lt;&gt;INDEX('TRIP MANAGER'!$U$18:$U$25,R$2)),1,0))</f>
        <v>0</v>
      </c>
      <c r="S70" cm="1">
        <f t="array" ref="S70">IF($A70="","",IF(AND(INDEX($C70:$J70,S$2)&gt;0,$A70&lt;&gt;INDEX('TRIP MANAGER'!$T$18:$T$25,S$2),$A70&lt;&gt;INDEX('TRIP MANAGER'!$U$18:$U$25,S$2)),1,0))</f>
        <v>0</v>
      </c>
      <c r="T70" cm="1">
        <f t="array" ref="T70">IF($A70="","",IF(AND(INDEX($C70:$J70,T$2)&gt;0,$A70&lt;&gt;INDEX('TRIP MANAGER'!$T$18:$T$25,T$2),$A70&lt;&gt;INDEX('TRIP MANAGER'!$U$18:$U$25,T$2)),1,0))</f>
        <v>0</v>
      </c>
      <c r="U70" cm="1">
        <f t="array" ref="U70">IF($A70="","",IF(AND(INDEX($C70:$J70,U$2)&gt;0,$A70&lt;&gt;INDEX('TRIP MANAGER'!$T$18:$T$25,U$2),$A70&lt;&gt;INDEX('TRIP MANAGER'!$U$18:$U$25,U$2)),1,0))</f>
        <v>0</v>
      </c>
      <c r="V70" cm="1">
        <f t="array" ref="V70">IF($A70="","",IF(AND(INDEX($C70:$J70,V$2)&gt;0,$A70&lt;&gt;INDEX('TRIP MANAGER'!$T$18:$T$25,V$2),$A70&lt;&gt;INDEX('TRIP MANAGER'!$U$18:$U$25,V$2)),1,0))</f>
        <v>0</v>
      </c>
      <c r="W70" cm="1">
        <f t="array" ref="W70">IF($A70="","",IF(AND(INDEX($C70:$J70,W$2)&gt;0,$A70&lt;&gt;INDEX('TRIP MANAGER'!$T$18:$T$25,W$2),$A70&lt;&gt;INDEX('TRIP MANAGER'!$U$18:$U$25,W$2)),1,0))</f>
        <v>0</v>
      </c>
      <c r="X70" cm="1">
        <f t="array" ref="X70">IF($A70="","",IF(AND(INDEX($C70:$J70,X$2)&gt;0,$A70&lt;&gt;INDEX('TRIP MANAGER'!$T$18:$T$25,X$2),$A70&lt;&gt;INDEX('TRIP MANAGER'!$U$18:$U$25,X$2)),1,0))</f>
        <v>0</v>
      </c>
      <c r="Y70" cm="1">
        <f t="array" ref="Y70">IF($A70="","",IF(AND(INDEX($C70:$J70,Y$2)&gt;0,$A70&lt;&gt;INDEX('TRIP MANAGER'!$T$18:$T$25,Y$2),$A70&lt;&gt;INDEX('TRIP MANAGER'!$U$18:$U$25,Y$2)),1,0))</f>
        <v>0</v>
      </c>
    </row>
    <row r="71" spans="1:25" x14ac:dyDescent="0.3">
      <c r="A71" t="str">
        <f>IF(countries!$D70="","",countries!$D70)</f>
        <v>AFG</v>
      </c>
      <c r="B71" t="str">
        <f>IF(countries!$B70="","",countries!$B70)</f>
        <v>Afghanistan</v>
      </c>
      <c r="C71">
        <f>IF($A71="","",COUNTIFS(route_calc!$A$2:$A$1209,C$2,route_calc!$P$2:$P$1209,$A71))</f>
        <v>0</v>
      </c>
      <c r="D71">
        <f>IF($A71="","",COUNTIFS(route_calc!$A$2:$A$1209,D$2,route_calc!$P$2:$P$1209,$A71))</f>
        <v>0</v>
      </c>
      <c r="E71">
        <f>IF($A71="","",COUNTIFS(route_calc!$A$2:$A$1209,E$2,route_calc!$P$2:$P$1209,$A71))</f>
        <v>0</v>
      </c>
      <c r="F71">
        <f>IF($A71="","",COUNTIFS(route_calc!$A$2:$A$1209,F$2,route_calc!$P$2:$P$1209,$A71))</f>
        <v>0</v>
      </c>
      <c r="G71">
        <f>IF($A71="","",COUNTIFS(route_calc!$A$2:$A$1209,G$2,route_calc!$P$2:$P$1209,$A71))</f>
        <v>0</v>
      </c>
      <c r="H71">
        <f>IF($A71="","",COUNTIFS(route_calc!$A$2:$A$1209,H$2,route_calc!$P$2:$P$1209,$A71))</f>
        <v>0</v>
      </c>
      <c r="I71">
        <f>IF($A71="","",COUNTIFS(route_calc!$A$2:$A$1209,I$2,route_calc!$P$2:$P$1209,$A71))</f>
        <v>0</v>
      </c>
      <c r="J71">
        <f>IF($A71="","",COUNTIFS(route_calc!$A$2:$A$1209,J$2,route_calc!$P$2:$P$1209,$A71))</f>
        <v>0</v>
      </c>
      <c r="K71" t="str">
        <f>IF($L71=0,"",_xlfn.MINIFS(route_calc!$Q$2:$Q$1209,route_calc!$P$2:$P$1209,$A71,route_calc!$A$2:$A$1209,MATCH(1,$R71:$Y71,0)))</f>
        <v/>
      </c>
      <c r="L71">
        <f t="shared" si="2"/>
        <v>0</v>
      </c>
      <c r="M71" t="str" cm="1">
        <f t="array" ref="M71">IF($L71=0,"",_xlfn.TEXTJOIN(", ",TRUE,IF($R71:$Y71&gt;0,$C$1:$J$1,"")))</f>
        <v/>
      </c>
      <c r="N71" t="str" cm="1">
        <f t="array" ref="N71">IF($L71=0,"",SUMPRODUCT(($L$3:$L$144=1)*($K$3:$K$144&lt;$K71))+1)</f>
        <v/>
      </c>
      <c r="O71" t="str">
        <f t="shared" si="3"/>
        <v/>
      </c>
      <c r="P71" t="str">
        <f>IF($A71="","",IFERROR(INDEX(countries!$G:$G,MATCH($A71,countries!$D:$D,0)),""))</f>
        <v>REQUIRED</v>
      </c>
      <c r="Q71" t="str">
        <f>IF($A71="","",IFERROR(IF(INDEX(countries!$I:$I,MATCH($A71,countries!$D:$D,0))=0,"",INDEX(countries!$I:$I,MATCH($A71,countries!$D:$D,0))),""))</f>
        <v/>
      </c>
      <c r="R71" cm="1">
        <f t="array" ref="R71">IF($A71="","",IF(AND(INDEX($C71:$J71,R$2)&gt;0,$A71&lt;&gt;INDEX('TRIP MANAGER'!$T$18:$T$25,R$2),$A71&lt;&gt;INDEX('TRIP MANAGER'!$U$18:$U$25,R$2)),1,0))</f>
        <v>0</v>
      </c>
      <c r="S71" cm="1">
        <f t="array" ref="S71">IF($A71="","",IF(AND(INDEX($C71:$J71,S$2)&gt;0,$A71&lt;&gt;INDEX('TRIP MANAGER'!$T$18:$T$25,S$2),$A71&lt;&gt;INDEX('TRIP MANAGER'!$U$18:$U$25,S$2)),1,0))</f>
        <v>0</v>
      </c>
      <c r="T71" cm="1">
        <f t="array" ref="T71">IF($A71="","",IF(AND(INDEX($C71:$J71,T$2)&gt;0,$A71&lt;&gt;INDEX('TRIP MANAGER'!$T$18:$T$25,T$2),$A71&lt;&gt;INDEX('TRIP MANAGER'!$U$18:$U$25,T$2)),1,0))</f>
        <v>0</v>
      </c>
      <c r="U71" cm="1">
        <f t="array" ref="U71">IF($A71="","",IF(AND(INDEX($C71:$J71,U$2)&gt;0,$A71&lt;&gt;INDEX('TRIP MANAGER'!$T$18:$T$25,U$2),$A71&lt;&gt;INDEX('TRIP MANAGER'!$U$18:$U$25,U$2)),1,0))</f>
        <v>0</v>
      </c>
      <c r="V71" cm="1">
        <f t="array" ref="V71">IF($A71="","",IF(AND(INDEX($C71:$J71,V$2)&gt;0,$A71&lt;&gt;INDEX('TRIP MANAGER'!$T$18:$T$25,V$2),$A71&lt;&gt;INDEX('TRIP MANAGER'!$U$18:$U$25,V$2)),1,0))</f>
        <v>0</v>
      </c>
      <c r="W71" cm="1">
        <f t="array" ref="W71">IF($A71="","",IF(AND(INDEX($C71:$J71,W$2)&gt;0,$A71&lt;&gt;INDEX('TRIP MANAGER'!$T$18:$T$25,W$2),$A71&lt;&gt;INDEX('TRIP MANAGER'!$U$18:$U$25,W$2)),1,0))</f>
        <v>0</v>
      </c>
      <c r="X71" cm="1">
        <f t="array" ref="X71">IF($A71="","",IF(AND(INDEX($C71:$J71,X$2)&gt;0,$A71&lt;&gt;INDEX('TRIP MANAGER'!$T$18:$T$25,X$2),$A71&lt;&gt;INDEX('TRIP MANAGER'!$U$18:$U$25,X$2)),1,0))</f>
        <v>0</v>
      </c>
      <c r="Y71" cm="1">
        <f t="array" ref="Y71">IF($A71="","",IF(AND(INDEX($C71:$J71,Y$2)&gt;0,$A71&lt;&gt;INDEX('TRIP MANAGER'!$T$18:$T$25,Y$2),$A71&lt;&gt;INDEX('TRIP MANAGER'!$U$18:$U$25,Y$2)),1,0))</f>
        <v>0</v>
      </c>
    </row>
    <row r="72" spans="1:25" x14ac:dyDescent="0.3">
      <c r="A72" t="str">
        <f>IF(countries!$D71="","",countries!$D71)</f>
        <v>ZWE</v>
      </c>
      <c r="B72" t="str">
        <f>IF(countries!$B71="","",countries!$B71)</f>
        <v>Zimbabwe</v>
      </c>
      <c r="C72">
        <f>IF($A72="","",COUNTIFS(route_calc!$A$2:$A$1209,C$2,route_calc!$P$2:$P$1209,$A72))</f>
        <v>0</v>
      </c>
      <c r="D72">
        <f>IF($A72="","",COUNTIFS(route_calc!$A$2:$A$1209,D$2,route_calc!$P$2:$P$1209,$A72))</f>
        <v>0</v>
      </c>
      <c r="E72">
        <f>IF($A72="","",COUNTIFS(route_calc!$A$2:$A$1209,E$2,route_calc!$P$2:$P$1209,$A72))</f>
        <v>0</v>
      </c>
      <c r="F72">
        <f>IF($A72="","",COUNTIFS(route_calc!$A$2:$A$1209,F$2,route_calc!$P$2:$P$1209,$A72))</f>
        <v>0</v>
      </c>
      <c r="G72">
        <f>IF($A72="","",COUNTIFS(route_calc!$A$2:$A$1209,G$2,route_calc!$P$2:$P$1209,$A72))</f>
        <v>0</v>
      </c>
      <c r="H72">
        <f>IF($A72="","",COUNTIFS(route_calc!$A$2:$A$1209,H$2,route_calc!$P$2:$P$1209,$A72))</f>
        <v>0</v>
      </c>
      <c r="I72">
        <f>IF($A72="","",COUNTIFS(route_calc!$A$2:$A$1209,I$2,route_calc!$P$2:$P$1209,$A72))</f>
        <v>0</v>
      </c>
      <c r="J72">
        <f>IF($A72="","",COUNTIFS(route_calc!$A$2:$A$1209,J$2,route_calc!$P$2:$P$1209,$A72))</f>
        <v>0</v>
      </c>
      <c r="K72" t="str">
        <f>IF($L72=0,"",_xlfn.MINIFS(route_calc!$Q$2:$Q$1209,route_calc!$P$2:$P$1209,$A72,route_calc!$A$2:$A$1209,MATCH(1,$R72:$Y72,0)))</f>
        <v/>
      </c>
      <c r="L72">
        <f t="shared" si="2"/>
        <v>0</v>
      </c>
      <c r="M72" t="str" cm="1">
        <f t="array" ref="M72">IF($L72=0,"",_xlfn.TEXTJOIN(", ",TRUE,IF($R72:$Y72&gt;0,$C$1:$J$1,"")))</f>
        <v/>
      </c>
      <c r="N72" t="str" cm="1">
        <f t="array" ref="N72">IF($L72=0,"",SUMPRODUCT(($L$3:$L$144=1)*($K$3:$K$144&lt;$K72))+1)</f>
        <v/>
      </c>
      <c r="O72" t="str">
        <f t="shared" si="3"/>
        <v/>
      </c>
      <c r="P72" t="str">
        <f>IF($A72="","",IFERROR(INDEX(countries!$G:$G,MATCH($A72,countries!$D:$D,0)),""))</f>
        <v>REQUIRED</v>
      </c>
      <c r="Q72" t="str">
        <f>IF($A72="","",IFERROR(IF(INDEX(countries!$I:$I,MATCH($A72,countries!$D:$D,0))=0,"",INDEX(countries!$I:$I,MATCH($A72,countries!$D:$D,0))),""))</f>
        <v/>
      </c>
      <c r="R72" cm="1">
        <f t="array" ref="R72">IF($A72="","",IF(AND(INDEX($C72:$J72,R$2)&gt;0,$A72&lt;&gt;INDEX('TRIP MANAGER'!$T$18:$T$25,R$2),$A72&lt;&gt;INDEX('TRIP MANAGER'!$U$18:$U$25,R$2)),1,0))</f>
        <v>0</v>
      </c>
      <c r="S72" cm="1">
        <f t="array" ref="S72">IF($A72="","",IF(AND(INDEX($C72:$J72,S$2)&gt;0,$A72&lt;&gt;INDEX('TRIP MANAGER'!$T$18:$T$25,S$2),$A72&lt;&gt;INDEX('TRIP MANAGER'!$U$18:$U$25,S$2)),1,0))</f>
        <v>0</v>
      </c>
      <c r="T72" cm="1">
        <f t="array" ref="T72">IF($A72="","",IF(AND(INDEX($C72:$J72,T$2)&gt;0,$A72&lt;&gt;INDEX('TRIP MANAGER'!$T$18:$T$25,T$2),$A72&lt;&gt;INDEX('TRIP MANAGER'!$U$18:$U$25,T$2)),1,0))</f>
        <v>0</v>
      </c>
      <c r="U72" cm="1">
        <f t="array" ref="U72">IF($A72="","",IF(AND(INDEX($C72:$J72,U$2)&gt;0,$A72&lt;&gt;INDEX('TRIP MANAGER'!$T$18:$T$25,U$2),$A72&lt;&gt;INDEX('TRIP MANAGER'!$U$18:$U$25,U$2)),1,0))</f>
        <v>0</v>
      </c>
      <c r="V72" cm="1">
        <f t="array" ref="V72">IF($A72="","",IF(AND(INDEX($C72:$J72,V$2)&gt;0,$A72&lt;&gt;INDEX('TRIP MANAGER'!$T$18:$T$25,V$2),$A72&lt;&gt;INDEX('TRIP MANAGER'!$U$18:$U$25,V$2)),1,0))</f>
        <v>0</v>
      </c>
      <c r="W72" cm="1">
        <f t="array" ref="W72">IF($A72="","",IF(AND(INDEX($C72:$J72,W$2)&gt;0,$A72&lt;&gt;INDEX('TRIP MANAGER'!$T$18:$T$25,W$2),$A72&lt;&gt;INDEX('TRIP MANAGER'!$U$18:$U$25,W$2)),1,0))</f>
        <v>0</v>
      </c>
      <c r="X72" cm="1">
        <f t="array" ref="X72">IF($A72="","",IF(AND(INDEX($C72:$J72,X$2)&gt;0,$A72&lt;&gt;INDEX('TRIP MANAGER'!$T$18:$T$25,X$2),$A72&lt;&gt;INDEX('TRIP MANAGER'!$U$18:$U$25,X$2)),1,0))</f>
        <v>0</v>
      </c>
      <c r="Y72" cm="1">
        <f t="array" ref="Y72">IF($A72="","",IF(AND(INDEX($C72:$J72,Y$2)&gt;0,$A72&lt;&gt;INDEX('TRIP MANAGER'!$T$18:$T$25,Y$2),$A72&lt;&gt;INDEX('TRIP MANAGER'!$U$18:$U$25,Y$2)),1,0))</f>
        <v>0</v>
      </c>
    </row>
    <row r="73" spans="1:25" x14ac:dyDescent="0.3">
      <c r="A73" t="str">
        <f>IF(countries!$D72="","",countries!$D72)</f>
        <v>XKX</v>
      </c>
      <c r="B73" t="str">
        <f>IF(countries!$B72="","",countries!$B72)</f>
        <v>Kosovo</v>
      </c>
      <c r="C73">
        <f>IF($A73="","",COUNTIFS(route_calc!$A$2:$A$1209,C$2,route_calc!$P$2:$P$1209,$A73))</f>
        <v>0</v>
      </c>
      <c r="D73">
        <f>IF($A73="","",COUNTIFS(route_calc!$A$2:$A$1209,D$2,route_calc!$P$2:$P$1209,$A73))</f>
        <v>0</v>
      </c>
      <c r="E73">
        <f>IF($A73="","",COUNTIFS(route_calc!$A$2:$A$1209,E$2,route_calc!$P$2:$P$1209,$A73))</f>
        <v>0</v>
      </c>
      <c r="F73">
        <f>IF($A73="","",COUNTIFS(route_calc!$A$2:$A$1209,F$2,route_calc!$P$2:$P$1209,$A73))</f>
        <v>0</v>
      </c>
      <c r="G73">
        <f>IF($A73="","",COUNTIFS(route_calc!$A$2:$A$1209,G$2,route_calc!$P$2:$P$1209,$A73))</f>
        <v>0</v>
      </c>
      <c r="H73">
        <f>IF($A73="","",COUNTIFS(route_calc!$A$2:$A$1209,H$2,route_calc!$P$2:$P$1209,$A73))</f>
        <v>0</v>
      </c>
      <c r="I73">
        <f>IF($A73="","",COUNTIFS(route_calc!$A$2:$A$1209,I$2,route_calc!$P$2:$P$1209,$A73))</f>
        <v>0</v>
      </c>
      <c r="J73">
        <f>IF($A73="","",COUNTIFS(route_calc!$A$2:$A$1209,J$2,route_calc!$P$2:$P$1209,$A73))</f>
        <v>0</v>
      </c>
      <c r="K73" t="str">
        <f>IF($L73=0,"",_xlfn.MINIFS(route_calc!$Q$2:$Q$1209,route_calc!$P$2:$P$1209,$A73,route_calc!$A$2:$A$1209,MATCH(1,$R73:$Y73,0)))</f>
        <v/>
      </c>
      <c r="L73">
        <f t="shared" si="2"/>
        <v>0</v>
      </c>
      <c r="M73" t="str" cm="1">
        <f t="array" ref="M73">IF($L73=0,"",_xlfn.TEXTJOIN(", ",TRUE,IF($R73:$Y73&gt;0,$C$1:$J$1,"")))</f>
        <v/>
      </c>
      <c r="N73" t="str" cm="1">
        <f t="array" ref="N73">IF($L73=0,"",SUMPRODUCT(($L$3:$L$144=1)*($K$3:$K$144&lt;$K73))+1)</f>
        <v/>
      </c>
      <c r="O73" t="str">
        <f t="shared" si="3"/>
        <v/>
      </c>
      <c r="P73" t="str">
        <f>IF($A73="","",IFERROR(INDEX(countries!$G:$G,MATCH($A73,countries!$D:$D,0)),""))</f>
        <v>REQUIRED</v>
      </c>
      <c r="Q73" t="str">
        <f>IF($A73="","",IFERROR(IF(INDEX(countries!$I:$I,MATCH($A73,countries!$D:$D,0))=0,"",INDEX(countries!$I:$I,MATCH($A73,countries!$D:$D,0))),""))</f>
        <v/>
      </c>
      <c r="R73" cm="1">
        <f t="array" ref="R73">IF($A73="","",IF(AND(INDEX($C73:$J73,R$2)&gt;0,$A73&lt;&gt;INDEX('TRIP MANAGER'!$T$18:$T$25,R$2),$A73&lt;&gt;INDEX('TRIP MANAGER'!$U$18:$U$25,R$2)),1,0))</f>
        <v>0</v>
      </c>
      <c r="S73" cm="1">
        <f t="array" ref="S73">IF($A73="","",IF(AND(INDEX($C73:$J73,S$2)&gt;0,$A73&lt;&gt;INDEX('TRIP MANAGER'!$T$18:$T$25,S$2),$A73&lt;&gt;INDEX('TRIP MANAGER'!$U$18:$U$25,S$2)),1,0))</f>
        <v>0</v>
      </c>
      <c r="T73" cm="1">
        <f t="array" ref="T73">IF($A73="","",IF(AND(INDEX($C73:$J73,T$2)&gt;0,$A73&lt;&gt;INDEX('TRIP MANAGER'!$T$18:$T$25,T$2),$A73&lt;&gt;INDEX('TRIP MANAGER'!$U$18:$U$25,T$2)),1,0))</f>
        <v>0</v>
      </c>
      <c r="U73" cm="1">
        <f t="array" ref="U73">IF($A73="","",IF(AND(INDEX($C73:$J73,U$2)&gt;0,$A73&lt;&gt;INDEX('TRIP MANAGER'!$T$18:$T$25,U$2),$A73&lt;&gt;INDEX('TRIP MANAGER'!$U$18:$U$25,U$2)),1,0))</f>
        <v>0</v>
      </c>
      <c r="V73" cm="1">
        <f t="array" ref="V73">IF($A73="","",IF(AND(INDEX($C73:$J73,V$2)&gt;0,$A73&lt;&gt;INDEX('TRIP MANAGER'!$T$18:$T$25,V$2),$A73&lt;&gt;INDEX('TRIP MANAGER'!$U$18:$U$25,V$2)),1,0))</f>
        <v>0</v>
      </c>
      <c r="W73" cm="1">
        <f t="array" ref="W73">IF($A73="","",IF(AND(INDEX($C73:$J73,W$2)&gt;0,$A73&lt;&gt;INDEX('TRIP MANAGER'!$T$18:$T$25,W$2),$A73&lt;&gt;INDEX('TRIP MANAGER'!$U$18:$U$25,W$2)),1,0))</f>
        <v>0</v>
      </c>
      <c r="X73" cm="1">
        <f t="array" ref="X73">IF($A73="","",IF(AND(INDEX($C73:$J73,X$2)&gt;0,$A73&lt;&gt;INDEX('TRIP MANAGER'!$T$18:$T$25,X$2),$A73&lt;&gt;INDEX('TRIP MANAGER'!$U$18:$U$25,X$2)),1,0))</f>
        <v>0</v>
      </c>
      <c r="Y73" cm="1">
        <f t="array" ref="Y73">IF($A73="","",IF(AND(INDEX($C73:$J73,Y$2)&gt;0,$A73&lt;&gt;INDEX('TRIP MANAGER'!$T$18:$T$25,Y$2),$A73&lt;&gt;INDEX('TRIP MANAGER'!$U$18:$U$25,Y$2)),1,0))</f>
        <v>0</v>
      </c>
    </row>
    <row r="74" spans="1:25" x14ac:dyDescent="0.3">
      <c r="A74" t="str">
        <f>IF(countries!$D73="","",countries!$D73)</f>
        <v>ALB</v>
      </c>
      <c r="B74" t="str">
        <f>IF(countries!$B73="","",countries!$B73)</f>
        <v>Albania</v>
      </c>
      <c r="C74">
        <f>IF($A74="","",COUNTIFS(route_calc!$A$2:$A$1209,C$2,route_calc!$P$2:$P$1209,$A74))</f>
        <v>0</v>
      </c>
      <c r="D74">
        <f>IF($A74="","",COUNTIFS(route_calc!$A$2:$A$1209,D$2,route_calc!$P$2:$P$1209,$A74))</f>
        <v>0</v>
      </c>
      <c r="E74">
        <f>IF($A74="","",COUNTIFS(route_calc!$A$2:$A$1209,E$2,route_calc!$P$2:$P$1209,$A74))</f>
        <v>0</v>
      </c>
      <c r="F74">
        <f>IF($A74="","",COUNTIFS(route_calc!$A$2:$A$1209,F$2,route_calc!$P$2:$P$1209,$A74))</f>
        <v>0</v>
      </c>
      <c r="G74">
        <f>IF($A74="","",COUNTIFS(route_calc!$A$2:$A$1209,G$2,route_calc!$P$2:$P$1209,$A74))</f>
        <v>0</v>
      </c>
      <c r="H74">
        <f>IF($A74="","",COUNTIFS(route_calc!$A$2:$A$1209,H$2,route_calc!$P$2:$P$1209,$A74))</f>
        <v>0</v>
      </c>
      <c r="I74">
        <f>IF($A74="","",COUNTIFS(route_calc!$A$2:$A$1209,I$2,route_calc!$P$2:$P$1209,$A74))</f>
        <v>0</v>
      </c>
      <c r="J74">
        <f>IF($A74="","",COUNTIFS(route_calc!$A$2:$A$1209,J$2,route_calc!$P$2:$P$1209,$A74))</f>
        <v>0</v>
      </c>
      <c r="K74" t="str">
        <f>IF($L74=0,"",_xlfn.MINIFS(route_calc!$Q$2:$Q$1209,route_calc!$P$2:$P$1209,$A74,route_calc!$A$2:$A$1209,MATCH(1,$R74:$Y74,0)))</f>
        <v/>
      </c>
      <c r="L74">
        <f t="shared" si="2"/>
        <v>0</v>
      </c>
      <c r="M74" t="str" cm="1">
        <f t="array" ref="M74">IF($L74=0,"",_xlfn.TEXTJOIN(", ",TRUE,IF($R74:$Y74&gt;0,$C$1:$J$1,"")))</f>
        <v/>
      </c>
      <c r="N74" t="str" cm="1">
        <f t="array" ref="N74">IF($L74=0,"",SUMPRODUCT(($L$3:$L$144=1)*($K$3:$K$144&lt;$K74))+1)</f>
        <v/>
      </c>
      <c r="O74" t="str">
        <f t="shared" si="3"/>
        <v/>
      </c>
      <c r="P74" t="str">
        <f>IF($A74="","",IFERROR(INDEX(countries!$G:$G,MATCH($A74,countries!$D:$D,0)),""))</f>
        <v>REQUIRED</v>
      </c>
      <c r="Q74" t="str">
        <f>IF($A74="","",IFERROR(IF(INDEX(countries!$I:$I,MATCH($A74,countries!$D:$D,0))=0,"",INDEX(countries!$I:$I,MATCH($A74,countries!$D:$D,0))),""))</f>
        <v/>
      </c>
      <c r="R74" cm="1">
        <f t="array" ref="R74">IF($A74="","",IF(AND(INDEX($C74:$J74,R$2)&gt;0,$A74&lt;&gt;INDEX('TRIP MANAGER'!$T$18:$T$25,R$2),$A74&lt;&gt;INDEX('TRIP MANAGER'!$U$18:$U$25,R$2)),1,0))</f>
        <v>0</v>
      </c>
      <c r="S74" cm="1">
        <f t="array" ref="S74">IF($A74="","",IF(AND(INDEX($C74:$J74,S$2)&gt;0,$A74&lt;&gt;INDEX('TRIP MANAGER'!$T$18:$T$25,S$2),$A74&lt;&gt;INDEX('TRIP MANAGER'!$U$18:$U$25,S$2)),1,0))</f>
        <v>0</v>
      </c>
      <c r="T74" cm="1">
        <f t="array" ref="T74">IF($A74="","",IF(AND(INDEX($C74:$J74,T$2)&gt;0,$A74&lt;&gt;INDEX('TRIP MANAGER'!$T$18:$T$25,T$2),$A74&lt;&gt;INDEX('TRIP MANAGER'!$U$18:$U$25,T$2)),1,0))</f>
        <v>0</v>
      </c>
      <c r="U74" cm="1">
        <f t="array" ref="U74">IF($A74="","",IF(AND(INDEX($C74:$J74,U$2)&gt;0,$A74&lt;&gt;INDEX('TRIP MANAGER'!$T$18:$T$25,U$2),$A74&lt;&gt;INDEX('TRIP MANAGER'!$U$18:$U$25,U$2)),1,0))</f>
        <v>0</v>
      </c>
      <c r="V74" cm="1">
        <f t="array" ref="V74">IF($A74="","",IF(AND(INDEX($C74:$J74,V$2)&gt;0,$A74&lt;&gt;INDEX('TRIP MANAGER'!$T$18:$T$25,V$2),$A74&lt;&gt;INDEX('TRIP MANAGER'!$U$18:$U$25,V$2)),1,0))</f>
        <v>0</v>
      </c>
      <c r="W74" cm="1">
        <f t="array" ref="W74">IF($A74="","",IF(AND(INDEX($C74:$J74,W$2)&gt;0,$A74&lt;&gt;INDEX('TRIP MANAGER'!$T$18:$T$25,W$2),$A74&lt;&gt;INDEX('TRIP MANAGER'!$U$18:$U$25,W$2)),1,0))</f>
        <v>0</v>
      </c>
      <c r="X74" cm="1">
        <f t="array" ref="X74">IF($A74="","",IF(AND(INDEX($C74:$J74,X$2)&gt;0,$A74&lt;&gt;INDEX('TRIP MANAGER'!$T$18:$T$25,X$2),$A74&lt;&gt;INDEX('TRIP MANAGER'!$U$18:$U$25,X$2)),1,0))</f>
        <v>0</v>
      </c>
      <c r="Y74" cm="1">
        <f t="array" ref="Y74">IF($A74="","",IF(AND(INDEX($C74:$J74,Y$2)&gt;0,$A74&lt;&gt;INDEX('TRIP MANAGER'!$T$18:$T$25,Y$2),$A74&lt;&gt;INDEX('TRIP MANAGER'!$U$18:$U$25,Y$2)),1,0))</f>
        <v>0</v>
      </c>
    </row>
    <row r="75" spans="1:25" x14ac:dyDescent="0.3">
      <c r="A75" t="str">
        <f>IF(countries!$D74="","",countries!$D74)</f>
        <v>ARM</v>
      </c>
      <c r="B75" t="str">
        <f>IF(countries!$B74="","",countries!$B74)</f>
        <v>Armenia</v>
      </c>
      <c r="C75">
        <f>IF($A75="","",COUNTIFS(route_calc!$A$2:$A$1209,C$2,route_calc!$P$2:$P$1209,$A75))</f>
        <v>0</v>
      </c>
      <c r="D75">
        <f>IF($A75="","",COUNTIFS(route_calc!$A$2:$A$1209,D$2,route_calc!$P$2:$P$1209,$A75))</f>
        <v>0</v>
      </c>
      <c r="E75">
        <f>IF($A75="","",COUNTIFS(route_calc!$A$2:$A$1209,E$2,route_calc!$P$2:$P$1209,$A75))</f>
        <v>0</v>
      </c>
      <c r="F75">
        <f>IF($A75="","",COUNTIFS(route_calc!$A$2:$A$1209,F$2,route_calc!$P$2:$P$1209,$A75))</f>
        <v>0</v>
      </c>
      <c r="G75">
        <f>IF($A75="","",COUNTIFS(route_calc!$A$2:$A$1209,G$2,route_calc!$P$2:$P$1209,$A75))</f>
        <v>0</v>
      </c>
      <c r="H75">
        <f>IF($A75="","",COUNTIFS(route_calc!$A$2:$A$1209,H$2,route_calc!$P$2:$P$1209,$A75))</f>
        <v>0</v>
      </c>
      <c r="I75">
        <f>IF($A75="","",COUNTIFS(route_calc!$A$2:$A$1209,I$2,route_calc!$P$2:$P$1209,$A75))</f>
        <v>0</v>
      </c>
      <c r="J75">
        <f>IF($A75="","",COUNTIFS(route_calc!$A$2:$A$1209,J$2,route_calc!$P$2:$P$1209,$A75))</f>
        <v>0</v>
      </c>
      <c r="K75" t="str">
        <f>IF($L75=0,"",_xlfn.MINIFS(route_calc!$Q$2:$Q$1209,route_calc!$P$2:$P$1209,$A75,route_calc!$A$2:$A$1209,MATCH(1,$R75:$Y75,0)))</f>
        <v/>
      </c>
      <c r="L75">
        <f t="shared" si="2"/>
        <v>0</v>
      </c>
      <c r="M75" t="str" cm="1">
        <f t="array" ref="M75">IF($L75=0,"",_xlfn.TEXTJOIN(", ",TRUE,IF($R75:$Y75&gt;0,$C$1:$J$1,"")))</f>
        <v/>
      </c>
      <c r="N75" t="str" cm="1">
        <f t="array" ref="N75">IF($L75=0,"",SUMPRODUCT(($L$3:$L$144=1)*($K$3:$K$144&lt;$K75))+1)</f>
        <v/>
      </c>
      <c r="O75" t="str">
        <f t="shared" si="3"/>
        <v/>
      </c>
      <c r="P75" t="str">
        <f>IF($A75="","",IFERROR(INDEX(countries!$G:$G,MATCH($A75,countries!$D:$D,0)),""))</f>
        <v>REQUIRED</v>
      </c>
      <c r="Q75" t="str">
        <f>IF($A75="","",IFERROR(IF(INDEX(countries!$I:$I,MATCH($A75,countries!$D:$D,0))=0,"",INDEX(countries!$I:$I,MATCH($A75,countries!$D:$D,0))),""))</f>
        <v/>
      </c>
      <c r="R75" cm="1">
        <f t="array" ref="R75">IF($A75="","",IF(AND(INDEX($C75:$J75,R$2)&gt;0,$A75&lt;&gt;INDEX('TRIP MANAGER'!$T$18:$T$25,R$2),$A75&lt;&gt;INDEX('TRIP MANAGER'!$U$18:$U$25,R$2)),1,0))</f>
        <v>0</v>
      </c>
      <c r="S75" cm="1">
        <f t="array" ref="S75">IF($A75="","",IF(AND(INDEX($C75:$J75,S$2)&gt;0,$A75&lt;&gt;INDEX('TRIP MANAGER'!$T$18:$T$25,S$2),$A75&lt;&gt;INDEX('TRIP MANAGER'!$U$18:$U$25,S$2)),1,0))</f>
        <v>0</v>
      </c>
      <c r="T75" cm="1">
        <f t="array" ref="T75">IF($A75="","",IF(AND(INDEX($C75:$J75,T$2)&gt;0,$A75&lt;&gt;INDEX('TRIP MANAGER'!$T$18:$T$25,T$2),$A75&lt;&gt;INDEX('TRIP MANAGER'!$U$18:$U$25,T$2)),1,0))</f>
        <v>0</v>
      </c>
      <c r="U75" cm="1">
        <f t="array" ref="U75">IF($A75="","",IF(AND(INDEX($C75:$J75,U$2)&gt;0,$A75&lt;&gt;INDEX('TRIP MANAGER'!$T$18:$T$25,U$2),$A75&lt;&gt;INDEX('TRIP MANAGER'!$U$18:$U$25,U$2)),1,0))</f>
        <v>0</v>
      </c>
      <c r="V75" cm="1">
        <f t="array" ref="V75">IF($A75="","",IF(AND(INDEX($C75:$J75,V$2)&gt;0,$A75&lt;&gt;INDEX('TRIP MANAGER'!$T$18:$T$25,V$2),$A75&lt;&gt;INDEX('TRIP MANAGER'!$U$18:$U$25,V$2)),1,0))</f>
        <v>0</v>
      </c>
      <c r="W75" cm="1">
        <f t="array" ref="W75">IF($A75="","",IF(AND(INDEX($C75:$J75,W$2)&gt;0,$A75&lt;&gt;INDEX('TRIP MANAGER'!$T$18:$T$25,W$2),$A75&lt;&gt;INDEX('TRIP MANAGER'!$U$18:$U$25,W$2)),1,0))</f>
        <v>0</v>
      </c>
      <c r="X75" cm="1">
        <f t="array" ref="X75">IF($A75="","",IF(AND(INDEX($C75:$J75,X$2)&gt;0,$A75&lt;&gt;INDEX('TRIP MANAGER'!$T$18:$T$25,X$2),$A75&lt;&gt;INDEX('TRIP MANAGER'!$U$18:$U$25,X$2)),1,0))</f>
        <v>0</v>
      </c>
      <c r="Y75" cm="1">
        <f t="array" ref="Y75">IF($A75="","",IF(AND(INDEX($C75:$J75,Y$2)&gt;0,$A75&lt;&gt;INDEX('TRIP MANAGER'!$T$18:$T$25,Y$2),$A75&lt;&gt;INDEX('TRIP MANAGER'!$U$18:$U$25,Y$2)),1,0))</f>
        <v>0</v>
      </c>
    </row>
    <row r="76" spans="1:25" x14ac:dyDescent="0.3">
      <c r="A76" t="str">
        <f>IF(countries!$D75="","",countries!$D75)</f>
        <v>AUT</v>
      </c>
      <c r="B76" t="str">
        <f>IF(countries!$B75="","",countries!$B75)</f>
        <v>Austria</v>
      </c>
      <c r="C76">
        <f>IF($A76="","",COUNTIFS(route_calc!$A$2:$A$1209,C$2,route_calc!$P$2:$P$1209,$A76))</f>
        <v>0</v>
      </c>
      <c r="D76">
        <f>IF($A76="","",COUNTIFS(route_calc!$A$2:$A$1209,D$2,route_calc!$P$2:$P$1209,$A76))</f>
        <v>0</v>
      </c>
      <c r="E76">
        <f>IF($A76="","",COUNTIFS(route_calc!$A$2:$A$1209,E$2,route_calc!$P$2:$P$1209,$A76))</f>
        <v>0</v>
      </c>
      <c r="F76">
        <f>IF($A76="","",COUNTIFS(route_calc!$A$2:$A$1209,F$2,route_calc!$P$2:$P$1209,$A76))</f>
        <v>0</v>
      </c>
      <c r="G76">
        <f>IF($A76="","",COUNTIFS(route_calc!$A$2:$A$1209,G$2,route_calc!$P$2:$P$1209,$A76))</f>
        <v>0</v>
      </c>
      <c r="H76">
        <f>IF($A76="","",COUNTIFS(route_calc!$A$2:$A$1209,H$2,route_calc!$P$2:$P$1209,$A76))</f>
        <v>0</v>
      </c>
      <c r="I76">
        <f>IF($A76="","",COUNTIFS(route_calc!$A$2:$A$1209,I$2,route_calc!$P$2:$P$1209,$A76))</f>
        <v>0</v>
      </c>
      <c r="J76">
        <f>IF($A76="","",COUNTIFS(route_calc!$A$2:$A$1209,J$2,route_calc!$P$2:$P$1209,$A76))</f>
        <v>0</v>
      </c>
      <c r="K76" t="str">
        <f>IF($L76=0,"",_xlfn.MINIFS(route_calc!$Q$2:$Q$1209,route_calc!$P$2:$P$1209,$A76,route_calc!$A$2:$A$1209,MATCH(1,$R76:$Y76,0)))</f>
        <v/>
      </c>
      <c r="L76">
        <f t="shared" si="2"/>
        <v>0</v>
      </c>
      <c r="M76" t="str" cm="1">
        <f t="array" ref="M76">IF($L76=0,"",_xlfn.TEXTJOIN(", ",TRUE,IF($R76:$Y76&gt;0,$C$1:$J$1,"")))</f>
        <v/>
      </c>
      <c r="N76" t="str" cm="1">
        <f t="array" ref="N76">IF($L76=0,"",SUMPRODUCT(($L$3:$L$144=1)*($K$3:$K$144&lt;$K76))+1)</f>
        <v/>
      </c>
      <c r="O76" t="str">
        <f t="shared" si="3"/>
        <v/>
      </c>
      <c r="P76" t="str">
        <f>IF($A76="","",IFERROR(INDEX(countries!$G:$G,MATCH($A76,countries!$D:$D,0)),""))</f>
        <v>REQUIRED</v>
      </c>
      <c r="Q76" t="str">
        <f>IF($A76="","",IFERROR(IF(INDEX(countries!$I:$I,MATCH($A76,countries!$D:$D,0))=0,"",INDEX(countries!$I:$I,MATCH($A76,countries!$D:$D,0))),""))</f>
        <v/>
      </c>
      <c r="R76" cm="1">
        <f t="array" ref="R76">IF($A76="","",IF(AND(INDEX($C76:$J76,R$2)&gt;0,$A76&lt;&gt;INDEX('TRIP MANAGER'!$T$18:$T$25,R$2),$A76&lt;&gt;INDEX('TRIP MANAGER'!$U$18:$U$25,R$2)),1,0))</f>
        <v>0</v>
      </c>
      <c r="S76" cm="1">
        <f t="array" ref="S76">IF($A76="","",IF(AND(INDEX($C76:$J76,S$2)&gt;0,$A76&lt;&gt;INDEX('TRIP MANAGER'!$T$18:$T$25,S$2),$A76&lt;&gt;INDEX('TRIP MANAGER'!$U$18:$U$25,S$2)),1,0))</f>
        <v>0</v>
      </c>
      <c r="T76" cm="1">
        <f t="array" ref="T76">IF($A76="","",IF(AND(INDEX($C76:$J76,T$2)&gt;0,$A76&lt;&gt;INDEX('TRIP MANAGER'!$T$18:$T$25,T$2),$A76&lt;&gt;INDEX('TRIP MANAGER'!$U$18:$U$25,T$2)),1,0))</f>
        <v>0</v>
      </c>
      <c r="U76" cm="1">
        <f t="array" ref="U76">IF($A76="","",IF(AND(INDEX($C76:$J76,U$2)&gt;0,$A76&lt;&gt;INDEX('TRIP MANAGER'!$T$18:$T$25,U$2),$A76&lt;&gt;INDEX('TRIP MANAGER'!$U$18:$U$25,U$2)),1,0))</f>
        <v>0</v>
      </c>
      <c r="V76" cm="1">
        <f t="array" ref="V76">IF($A76="","",IF(AND(INDEX($C76:$J76,V$2)&gt;0,$A76&lt;&gt;INDEX('TRIP MANAGER'!$T$18:$T$25,V$2),$A76&lt;&gt;INDEX('TRIP MANAGER'!$U$18:$U$25,V$2)),1,0))</f>
        <v>0</v>
      </c>
      <c r="W76" cm="1">
        <f t="array" ref="W76">IF($A76="","",IF(AND(INDEX($C76:$J76,W$2)&gt;0,$A76&lt;&gt;INDEX('TRIP MANAGER'!$T$18:$T$25,W$2),$A76&lt;&gt;INDEX('TRIP MANAGER'!$U$18:$U$25,W$2)),1,0))</f>
        <v>0</v>
      </c>
      <c r="X76" cm="1">
        <f t="array" ref="X76">IF($A76="","",IF(AND(INDEX($C76:$J76,X$2)&gt;0,$A76&lt;&gt;INDEX('TRIP MANAGER'!$T$18:$T$25,X$2),$A76&lt;&gt;INDEX('TRIP MANAGER'!$U$18:$U$25,X$2)),1,0))</f>
        <v>0</v>
      </c>
      <c r="Y76" cm="1">
        <f t="array" ref="Y76">IF($A76="","",IF(AND(INDEX($C76:$J76,Y$2)&gt;0,$A76&lt;&gt;INDEX('TRIP MANAGER'!$T$18:$T$25,Y$2),$A76&lt;&gt;INDEX('TRIP MANAGER'!$U$18:$U$25,Y$2)),1,0))</f>
        <v>0</v>
      </c>
    </row>
    <row r="77" spans="1:25" x14ac:dyDescent="0.3">
      <c r="A77" t="str">
        <f>IF(countries!$D76="","",countries!$D76)</f>
        <v>AZE</v>
      </c>
      <c r="B77" t="str">
        <f>IF(countries!$B76="","",countries!$B76)</f>
        <v>Azerbaijan</v>
      </c>
      <c r="C77">
        <f>IF($A77="","",COUNTIFS(route_calc!$A$2:$A$1209,C$2,route_calc!$P$2:$P$1209,$A77))</f>
        <v>0</v>
      </c>
      <c r="D77">
        <f>IF($A77="","",COUNTIFS(route_calc!$A$2:$A$1209,D$2,route_calc!$P$2:$P$1209,$A77))</f>
        <v>0</v>
      </c>
      <c r="E77">
        <f>IF($A77="","",COUNTIFS(route_calc!$A$2:$A$1209,E$2,route_calc!$P$2:$P$1209,$A77))</f>
        <v>0</v>
      </c>
      <c r="F77">
        <f>IF($A77="","",COUNTIFS(route_calc!$A$2:$A$1209,F$2,route_calc!$P$2:$P$1209,$A77))</f>
        <v>0</v>
      </c>
      <c r="G77">
        <f>IF($A77="","",COUNTIFS(route_calc!$A$2:$A$1209,G$2,route_calc!$P$2:$P$1209,$A77))</f>
        <v>0</v>
      </c>
      <c r="H77">
        <f>IF($A77="","",COUNTIFS(route_calc!$A$2:$A$1209,H$2,route_calc!$P$2:$P$1209,$A77))</f>
        <v>0</v>
      </c>
      <c r="I77">
        <f>IF($A77="","",COUNTIFS(route_calc!$A$2:$A$1209,I$2,route_calc!$P$2:$P$1209,$A77))</f>
        <v>0</v>
      </c>
      <c r="J77">
        <f>IF($A77="","",COUNTIFS(route_calc!$A$2:$A$1209,J$2,route_calc!$P$2:$P$1209,$A77))</f>
        <v>0</v>
      </c>
      <c r="K77" t="str">
        <f>IF($L77=0,"",_xlfn.MINIFS(route_calc!$Q$2:$Q$1209,route_calc!$P$2:$P$1209,$A77,route_calc!$A$2:$A$1209,MATCH(1,$R77:$Y77,0)))</f>
        <v/>
      </c>
      <c r="L77">
        <f t="shared" si="2"/>
        <v>0</v>
      </c>
      <c r="M77" t="str" cm="1">
        <f t="array" ref="M77">IF($L77=0,"",_xlfn.TEXTJOIN(", ",TRUE,IF($R77:$Y77&gt;0,$C$1:$J$1,"")))</f>
        <v/>
      </c>
      <c r="N77" t="str" cm="1">
        <f t="array" ref="N77">IF($L77=0,"",SUMPRODUCT(($L$3:$L$144=1)*($K$3:$K$144&lt;$K77))+1)</f>
        <v/>
      </c>
      <c r="O77" t="str">
        <f t="shared" si="3"/>
        <v/>
      </c>
      <c r="P77" t="str">
        <f>IF($A77="","",IFERROR(INDEX(countries!$G:$G,MATCH($A77,countries!$D:$D,0)),""))</f>
        <v>REQUIRED</v>
      </c>
      <c r="Q77" t="str">
        <f>IF($A77="","",IFERROR(IF(INDEX(countries!$I:$I,MATCH($A77,countries!$D:$D,0))=0,"",INDEX(countries!$I:$I,MATCH($A77,countries!$D:$D,0))),""))</f>
        <v/>
      </c>
      <c r="R77" cm="1">
        <f t="array" ref="R77">IF($A77="","",IF(AND(INDEX($C77:$J77,R$2)&gt;0,$A77&lt;&gt;INDEX('TRIP MANAGER'!$T$18:$T$25,R$2),$A77&lt;&gt;INDEX('TRIP MANAGER'!$U$18:$U$25,R$2)),1,0))</f>
        <v>0</v>
      </c>
      <c r="S77" cm="1">
        <f t="array" ref="S77">IF($A77="","",IF(AND(INDEX($C77:$J77,S$2)&gt;0,$A77&lt;&gt;INDEX('TRIP MANAGER'!$T$18:$T$25,S$2),$A77&lt;&gt;INDEX('TRIP MANAGER'!$U$18:$U$25,S$2)),1,0))</f>
        <v>0</v>
      </c>
      <c r="T77" cm="1">
        <f t="array" ref="T77">IF($A77="","",IF(AND(INDEX($C77:$J77,T$2)&gt;0,$A77&lt;&gt;INDEX('TRIP MANAGER'!$T$18:$T$25,T$2),$A77&lt;&gt;INDEX('TRIP MANAGER'!$U$18:$U$25,T$2)),1,0))</f>
        <v>0</v>
      </c>
      <c r="U77" cm="1">
        <f t="array" ref="U77">IF($A77="","",IF(AND(INDEX($C77:$J77,U$2)&gt;0,$A77&lt;&gt;INDEX('TRIP MANAGER'!$T$18:$T$25,U$2),$A77&lt;&gt;INDEX('TRIP MANAGER'!$U$18:$U$25,U$2)),1,0))</f>
        <v>0</v>
      </c>
      <c r="V77" cm="1">
        <f t="array" ref="V77">IF($A77="","",IF(AND(INDEX($C77:$J77,V$2)&gt;0,$A77&lt;&gt;INDEX('TRIP MANAGER'!$T$18:$T$25,V$2),$A77&lt;&gt;INDEX('TRIP MANAGER'!$U$18:$U$25,V$2)),1,0))</f>
        <v>0</v>
      </c>
      <c r="W77" cm="1">
        <f t="array" ref="W77">IF($A77="","",IF(AND(INDEX($C77:$J77,W$2)&gt;0,$A77&lt;&gt;INDEX('TRIP MANAGER'!$T$18:$T$25,W$2),$A77&lt;&gt;INDEX('TRIP MANAGER'!$U$18:$U$25,W$2)),1,0))</f>
        <v>0</v>
      </c>
      <c r="X77" cm="1">
        <f t="array" ref="X77">IF($A77="","",IF(AND(INDEX($C77:$J77,X$2)&gt;0,$A77&lt;&gt;INDEX('TRIP MANAGER'!$T$18:$T$25,X$2),$A77&lt;&gt;INDEX('TRIP MANAGER'!$U$18:$U$25,X$2)),1,0))</f>
        <v>0</v>
      </c>
      <c r="Y77" cm="1">
        <f t="array" ref="Y77">IF($A77="","",IF(AND(INDEX($C77:$J77,Y$2)&gt;0,$A77&lt;&gt;INDEX('TRIP MANAGER'!$T$18:$T$25,Y$2),$A77&lt;&gt;INDEX('TRIP MANAGER'!$U$18:$U$25,Y$2)),1,0))</f>
        <v>0</v>
      </c>
    </row>
    <row r="78" spans="1:25" x14ac:dyDescent="0.3">
      <c r="A78" t="str">
        <f>IF(countries!$D77="","",countries!$D77)</f>
        <v>BEL</v>
      </c>
      <c r="B78" t="str">
        <f>IF(countries!$B77="","",countries!$B77)</f>
        <v>Belgium</v>
      </c>
      <c r="C78">
        <f>IF($A78="","",COUNTIFS(route_calc!$A$2:$A$1209,C$2,route_calc!$P$2:$P$1209,$A78))</f>
        <v>0</v>
      </c>
      <c r="D78">
        <f>IF($A78="","",COUNTIFS(route_calc!$A$2:$A$1209,D$2,route_calc!$P$2:$P$1209,$A78))</f>
        <v>0</v>
      </c>
      <c r="E78">
        <f>IF($A78="","",COUNTIFS(route_calc!$A$2:$A$1209,E$2,route_calc!$P$2:$P$1209,$A78))</f>
        <v>0</v>
      </c>
      <c r="F78">
        <f>IF($A78="","",COUNTIFS(route_calc!$A$2:$A$1209,F$2,route_calc!$P$2:$P$1209,$A78))</f>
        <v>0</v>
      </c>
      <c r="G78">
        <f>IF($A78="","",COUNTIFS(route_calc!$A$2:$A$1209,G$2,route_calc!$P$2:$P$1209,$A78))</f>
        <v>0</v>
      </c>
      <c r="H78">
        <f>IF($A78="","",COUNTIFS(route_calc!$A$2:$A$1209,H$2,route_calc!$P$2:$P$1209,$A78))</f>
        <v>0</v>
      </c>
      <c r="I78">
        <f>IF($A78="","",COUNTIFS(route_calc!$A$2:$A$1209,I$2,route_calc!$P$2:$P$1209,$A78))</f>
        <v>0</v>
      </c>
      <c r="J78">
        <f>IF($A78="","",COUNTIFS(route_calc!$A$2:$A$1209,J$2,route_calc!$P$2:$P$1209,$A78))</f>
        <v>0</v>
      </c>
      <c r="K78" t="str">
        <f>IF($L78=0,"",_xlfn.MINIFS(route_calc!$Q$2:$Q$1209,route_calc!$P$2:$P$1209,$A78,route_calc!$A$2:$A$1209,MATCH(1,$R78:$Y78,0)))</f>
        <v/>
      </c>
      <c r="L78">
        <f t="shared" si="2"/>
        <v>0</v>
      </c>
      <c r="M78" t="str" cm="1">
        <f t="array" ref="M78">IF($L78=0,"",_xlfn.TEXTJOIN(", ",TRUE,IF($R78:$Y78&gt;0,$C$1:$J$1,"")))</f>
        <v/>
      </c>
      <c r="N78" t="str" cm="1">
        <f t="array" ref="N78">IF($L78=0,"",SUMPRODUCT(($L$3:$L$144=1)*($K$3:$K$144&lt;$K78))+1)</f>
        <v/>
      </c>
      <c r="O78" t="str">
        <f t="shared" si="3"/>
        <v/>
      </c>
      <c r="P78" t="str">
        <f>IF($A78="","",IFERROR(INDEX(countries!$G:$G,MATCH($A78,countries!$D:$D,0)),""))</f>
        <v>REQUIRED</v>
      </c>
      <c r="Q78" t="str">
        <f>IF($A78="","",IFERROR(IF(INDEX(countries!$I:$I,MATCH($A78,countries!$D:$D,0))=0,"",INDEX(countries!$I:$I,MATCH($A78,countries!$D:$D,0))),""))</f>
        <v/>
      </c>
      <c r="R78" cm="1">
        <f t="array" ref="R78">IF($A78="","",IF(AND(INDEX($C78:$J78,R$2)&gt;0,$A78&lt;&gt;INDEX('TRIP MANAGER'!$T$18:$T$25,R$2),$A78&lt;&gt;INDEX('TRIP MANAGER'!$U$18:$U$25,R$2)),1,0))</f>
        <v>0</v>
      </c>
      <c r="S78" cm="1">
        <f t="array" ref="S78">IF($A78="","",IF(AND(INDEX($C78:$J78,S$2)&gt;0,$A78&lt;&gt;INDEX('TRIP MANAGER'!$T$18:$T$25,S$2),$A78&lt;&gt;INDEX('TRIP MANAGER'!$U$18:$U$25,S$2)),1,0))</f>
        <v>0</v>
      </c>
      <c r="T78" cm="1">
        <f t="array" ref="T78">IF($A78="","",IF(AND(INDEX($C78:$J78,T$2)&gt;0,$A78&lt;&gt;INDEX('TRIP MANAGER'!$T$18:$T$25,T$2),$A78&lt;&gt;INDEX('TRIP MANAGER'!$U$18:$U$25,T$2)),1,0))</f>
        <v>0</v>
      </c>
      <c r="U78" cm="1">
        <f t="array" ref="U78">IF($A78="","",IF(AND(INDEX($C78:$J78,U$2)&gt;0,$A78&lt;&gt;INDEX('TRIP MANAGER'!$T$18:$T$25,U$2),$A78&lt;&gt;INDEX('TRIP MANAGER'!$U$18:$U$25,U$2)),1,0))</f>
        <v>0</v>
      </c>
      <c r="V78" cm="1">
        <f t="array" ref="V78">IF($A78="","",IF(AND(INDEX($C78:$J78,V$2)&gt;0,$A78&lt;&gt;INDEX('TRIP MANAGER'!$T$18:$T$25,V$2),$A78&lt;&gt;INDEX('TRIP MANAGER'!$U$18:$U$25,V$2)),1,0))</f>
        <v>0</v>
      </c>
      <c r="W78" cm="1">
        <f t="array" ref="W78">IF($A78="","",IF(AND(INDEX($C78:$J78,W$2)&gt;0,$A78&lt;&gt;INDEX('TRIP MANAGER'!$T$18:$T$25,W$2),$A78&lt;&gt;INDEX('TRIP MANAGER'!$U$18:$U$25,W$2)),1,0))</f>
        <v>0</v>
      </c>
      <c r="X78" cm="1">
        <f t="array" ref="X78">IF($A78="","",IF(AND(INDEX($C78:$J78,X$2)&gt;0,$A78&lt;&gt;INDEX('TRIP MANAGER'!$T$18:$T$25,X$2),$A78&lt;&gt;INDEX('TRIP MANAGER'!$U$18:$U$25,X$2)),1,0))</f>
        <v>0</v>
      </c>
      <c r="Y78" cm="1">
        <f t="array" ref="Y78">IF($A78="","",IF(AND(INDEX($C78:$J78,Y$2)&gt;0,$A78&lt;&gt;INDEX('TRIP MANAGER'!$T$18:$T$25,Y$2),$A78&lt;&gt;INDEX('TRIP MANAGER'!$U$18:$U$25,Y$2)),1,0))</f>
        <v>0</v>
      </c>
    </row>
    <row r="79" spans="1:25" x14ac:dyDescent="0.3">
      <c r="A79" t="str">
        <f>IF(countries!$D78="","",countries!$D78)</f>
        <v>BGD</v>
      </c>
      <c r="B79" t="str">
        <f>IF(countries!$B78="","",countries!$B78)</f>
        <v>Bangladesh</v>
      </c>
      <c r="C79">
        <f>IF($A79="","",COUNTIFS(route_calc!$A$2:$A$1209,C$2,route_calc!$P$2:$P$1209,$A79))</f>
        <v>0</v>
      </c>
      <c r="D79">
        <f>IF($A79="","",COUNTIFS(route_calc!$A$2:$A$1209,D$2,route_calc!$P$2:$P$1209,$A79))</f>
        <v>0</v>
      </c>
      <c r="E79">
        <f>IF($A79="","",COUNTIFS(route_calc!$A$2:$A$1209,E$2,route_calc!$P$2:$P$1209,$A79))</f>
        <v>0</v>
      </c>
      <c r="F79">
        <f>IF($A79="","",COUNTIFS(route_calc!$A$2:$A$1209,F$2,route_calc!$P$2:$P$1209,$A79))</f>
        <v>0</v>
      </c>
      <c r="G79">
        <f>IF($A79="","",COUNTIFS(route_calc!$A$2:$A$1209,G$2,route_calc!$P$2:$P$1209,$A79))</f>
        <v>0</v>
      </c>
      <c r="H79">
        <f>IF($A79="","",COUNTIFS(route_calc!$A$2:$A$1209,H$2,route_calc!$P$2:$P$1209,$A79))</f>
        <v>0</v>
      </c>
      <c r="I79">
        <f>IF($A79="","",COUNTIFS(route_calc!$A$2:$A$1209,I$2,route_calc!$P$2:$P$1209,$A79))</f>
        <v>0</v>
      </c>
      <c r="J79">
        <f>IF($A79="","",COUNTIFS(route_calc!$A$2:$A$1209,J$2,route_calc!$P$2:$P$1209,$A79))</f>
        <v>0</v>
      </c>
      <c r="K79" t="str">
        <f>IF($L79=0,"",_xlfn.MINIFS(route_calc!$Q$2:$Q$1209,route_calc!$P$2:$P$1209,$A79,route_calc!$A$2:$A$1209,MATCH(1,$R79:$Y79,0)))</f>
        <v/>
      </c>
      <c r="L79">
        <f t="shared" si="2"/>
        <v>0</v>
      </c>
      <c r="M79" t="str" cm="1">
        <f t="array" ref="M79">IF($L79=0,"",_xlfn.TEXTJOIN(", ",TRUE,IF($R79:$Y79&gt;0,$C$1:$J$1,"")))</f>
        <v/>
      </c>
      <c r="N79" t="str" cm="1">
        <f t="array" ref="N79">IF($L79=0,"",SUMPRODUCT(($L$3:$L$144=1)*($K$3:$K$144&lt;$K79))+1)</f>
        <v/>
      </c>
      <c r="O79" t="str">
        <f t="shared" si="3"/>
        <v/>
      </c>
      <c r="P79" t="str">
        <f>IF($A79="","",IFERROR(INDEX(countries!$G:$G,MATCH($A79,countries!$D:$D,0)),""))</f>
        <v>REQUIRED</v>
      </c>
      <c r="Q79" t="str">
        <f>IF($A79="","",IFERROR(IF(INDEX(countries!$I:$I,MATCH($A79,countries!$D:$D,0))=0,"",INDEX(countries!$I:$I,MATCH($A79,countries!$D:$D,0))),""))</f>
        <v/>
      </c>
      <c r="R79" cm="1">
        <f t="array" ref="R79">IF($A79="","",IF(AND(INDEX($C79:$J79,R$2)&gt;0,$A79&lt;&gt;INDEX('TRIP MANAGER'!$T$18:$T$25,R$2),$A79&lt;&gt;INDEX('TRIP MANAGER'!$U$18:$U$25,R$2)),1,0))</f>
        <v>0</v>
      </c>
      <c r="S79" cm="1">
        <f t="array" ref="S79">IF($A79="","",IF(AND(INDEX($C79:$J79,S$2)&gt;0,$A79&lt;&gt;INDEX('TRIP MANAGER'!$T$18:$T$25,S$2),$A79&lt;&gt;INDEX('TRIP MANAGER'!$U$18:$U$25,S$2)),1,0))</f>
        <v>0</v>
      </c>
      <c r="T79" cm="1">
        <f t="array" ref="T79">IF($A79="","",IF(AND(INDEX($C79:$J79,T$2)&gt;0,$A79&lt;&gt;INDEX('TRIP MANAGER'!$T$18:$T$25,T$2),$A79&lt;&gt;INDEX('TRIP MANAGER'!$U$18:$U$25,T$2)),1,0))</f>
        <v>0</v>
      </c>
      <c r="U79" cm="1">
        <f t="array" ref="U79">IF($A79="","",IF(AND(INDEX($C79:$J79,U$2)&gt;0,$A79&lt;&gt;INDEX('TRIP MANAGER'!$T$18:$T$25,U$2),$A79&lt;&gt;INDEX('TRIP MANAGER'!$U$18:$U$25,U$2)),1,0))</f>
        <v>0</v>
      </c>
      <c r="V79" cm="1">
        <f t="array" ref="V79">IF($A79="","",IF(AND(INDEX($C79:$J79,V$2)&gt;0,$A79&lt;&gt;INDEX('TRIP MANAGER'!$T$18:$T$25,V$2),$A79&lt;&gt;INDEX('TRIP MANAGER'!$U$18:$U$25,V$2)),1,0))</f>
        <v>0</v>
      </c>
      <c r="W79" cm="1">
        <f t="array" ref="W79">IF($A79="","",IF(AND(INDEX($C79:$J79,W$2)&gt;0,$A79&lt;&gt;INDEX('TRIP MANAGER'!$T$18:$T$25,W$2),$A79&lt;&gt;INDEX('TRIP MANAGER'!$U$18:$U$25,W$2)),1,0))</f>
        <v>0</v>
      </c>
      <c r="X79" cm="1">
        <f t="array" ref="X79">IF($A79="","",IF(AND(INDEX($C79:$J79,X$2)&gt;0,$A79&lt;&gt;INDEX('TRIP MANAGER'!$T$18:$T$25,X$2),$A79&lt;&gt;INDEX('TRIP MANAGER'!$U$18:$U$25,X$2)),1,0))</f>
        <v>0</v>
      </c>
      <c r="Y79" cm="1">
        <f t="array" ref="Y79">IF($A79="","",IF(AND(INDEX($C79:$J79,Y$2)&gt;0,$A79&lt;&gt;INDEX('TRIP MANAGER'!$T$18:$T$25,Y$2),$A79&lt;&gt;INDEX('TRIP MANAGER'!$U$18:$U$25,Y$2)),1,0))</f>
        <v>0</v>
      </c>
    </row>
    <row r="80" spans="1:25" x14ac:dyDescent="0.3">
      <c r="A80" t="str">
        <f>IF(countries!$D79="","",countries!$D79)</f>
        <v>BGR</v>
      </c>
      <c r="B80" t="str">
        <f>IF(countries!$B79="","",countries!$B79)</f>
        <v>Bulgaria</v>
      </c>
      <c r="C80">
        <f>IF($A80="","",COUNTIFS(route_calc!$A$2:$A$1209,C$2,route_calc!$P$2:$P$1209,$A80))</f>
        <v>0</v>
      </c>
      <c r="D80">
        <f>IF($A80="","",COUNTIFS(route_calc!$A$2:$A$1209,D$2,route_calc!$P$2:$P$1209,$A80))</f>
        <v>0</v>
      </c>
      <c r="E80">
        <f>IF($A80="","",COUNTIFS(route_calc!$A$2:$A$1209,E$2,route_calc!$P$2:$P$1209,$A80))</f>
        <v>0</v>
      </c>
      <c r="F80">
        <f>IF($A80="","",COUNTIFS(route_calc!$A$2:$A$1209,F$2,route_calc!$P$2:$P$1209,$A80))</f>
        <v>0</v>
      </c>
      <c r="G80">
        <f>IF($A80="","",COUNTIFS(route_calc!$A$2:$A$1209,G$2,route_calc!$P$2:$P$1209,$A80))</f>
        <v>0</v>
      </c>
      <c r="H80">
        <f>IF($A80="","",COUNTIFS(route_calc!$A$2:$A$1209,H$2,route_calc!$P$2:$P$1209,$A80))</f>
        <v>0</v>
      </c>
      <c r="I80">
        <f>IF($A80="","",COUNTIFS(route_calc!$A$2:$A$1209,I$2,route_calc!$P$2:$P$1209,$A80))</f>
        <v>0</v>
      </c>
      <c r="J80">
        <f>IF($A80="","",COUNTIFS(route_calc!$A$2:$A$1209,J$2,route_calc!$P$2:$P$1209,$A80))</f>
        <v>0</v>
      </c>
      <c r="K80" t="str">
        <f>IF($L80=0,"",_xlfn.MINIFS(route_calc!$Q$2:$Q$1209,route_calc!$P$2:$P$1209,$A80,route_calc!$A$2:$A$1209,MATCH(1,$R80:$Y80,0)))</f>
        <v/>
      </c>
      <c r="L80">
        <f t="shared" si="2"/>
        <v>0</v>
      </c>
      <c r="M80" t="str" cm="1">
        <f t="array" ref="M80">IF($L80=0,"",_xlfn.TEXTJOIN(", ",TRUE,IF($R80:$Y80&gt;0,$C$1:$J$1,"")))</f>
        <v/>
      </c>
      <c r="N80" t="str" cm="1">
        <f t="array" ref="N80">IF($L80=0,"",SUMPRODUCT(($L$3:$L$144=1)*($K$3:$K$144&lt;$K80))+1)</f>
        <v/>
      </c>
      <c r="O80" t="str">
        <f t="shared" si="3"/>
        <v/>
      </c>
      <c r="P80" t="str">
        <f>IF($A80="","",IFERROR(INDEX(countries!$G:$G,MATCH($A80,countries!$D:$D,0)),""))</f>
        <v>REQUIRED</v>
      </c>
      <c r="Q80" t="str">
        <f>IF($A80="","",IFERROR(IF(INDEX(countries!$I:$I,MATCH($A80,countries!$D:$D,0))=0,"",INDEX(countries!$I:$I,MATCH($A80,countries!$D:$D,0))),""))</f>
        <v/>
      </c>
      <c r="R80" cm="1">
        <f t="array" ref="R80">IF($A80="","",IF(AND(INDEX($C80:$J80,R$2)&gt;0,$A80&lt;&gt;INDEX('TRIP MANAGER'!$T$18:$T$25,R$2),$A80&lt;&gt;INDEX('TRIP MANAGER'!$U$18:$U$25,R$2)),1,0))</f>
        <v>0</v>
      </c>
      <c r="S80" cm="1">
        <f t="array" ref="S80">IF($A80="","",IF(AND(INDEX($C80:$J80,S$2)&gt;0,$A80&lt;&gt;INDEX('TRIP MANAGER'!$T$18:$T$25,S$2),$A80&lt;&gt;INDEX('TRIP MANAGER'!$U$18:$U$25,S$2)),1,0))</f>
        <v>0</v>
      </c>
      <c r="T80" cm="1">
        <f t="array" ref="T80">IF($A80="","",IF(AND(INDEX($C80:$J80,T$2)&gt;0,$A80&lt;&gt;INDEX('TRIP MANAGER'!$T$18:$T$25,T$2),$A80&lt;&gt;INDEX('TRIP MANAGER'!$U$18:$U$25,T$2)),1,0))</f>
        <v>0</v>
      </c>
      <c r="U80" cm="1">
        <f t="array" ref="U80">IF($A80="","",IF(AND(INDEX($C80:$J80,U$2)&gt;0,$A80&lt;&gt;INDEX('TRIP MANAGER'!$T$18:$T$25,U$2),$A80&lt;&gt;INDEX('TRIP MANAGER'!$U$18:$U$25,U$2)),1,0))</f>
        <v>0</v>
      </c>
      <c r="V80" cm="1">
        <f t="array" ref="V80">IF($A80="","",IF(AND(INDEX($C80:$J80,V$2)&gt;0,$A80&lt;&gt;INDEX('TRIP MANAGER'!$T$18:$T$25,V$2),$A80&lt;&gt;INDEX('TRIP MANAGER'!$U$18:$U$25,V$2)),1,0))</f>
        <v>0</v>
      </c>
      <c r="W80" cm="1">
        <f t="array" ref="W80">IF($A80="","",IF(AND(INDEX($C80:$J80,W$2)&gt;0,$A80&lt;&gt;INDEX('TRIP MANAGER'!$T$18:$T$25,W$2),$A80&lt;&gt;INDEX('TRIP MANAGER'!$U$18:$U$25,W$2)),1,0))</f>
        <v>0</v>
      </c>
      <c r="X80" cm="1">
        <f t="array" ref="X80">IF($A80="","",IF(AND(INDEX($C80:$J80,X$2)&gt;0,$A80&lt;&gt;INDEX('TRIP MANAGER'!$T$18:$T$25,X$2),$A80&lt;&gt;INDEX('TRIP MANAGER'!$U$18:$U$25,X$2)),1,0))</f>
        <v>0</v>
      </c>
      <c r="Y80" cm="1">
        <f t="array" ref="Y80">IF($A80="","",IF(AND(INDEX($C80:$J80,Y$2)&gt;0,$A80&lt;&gt;INDEX('TRIP MANAGER'!$T$18:$T$25,Y$2),$A80&lt;&gt;INDEX('TRIP MANAGER'!$U$18:$U$25,Y$2)),1,0))</f>
        <v>0</v>
      </c>
    </row>
    <row r="81" spans="1:25" x14ac:dyDescent="0.3">
      <c r="A81" t="str">
        <f>IF(countries!$D80="","",countries!$D80)</f>
        <v>BIH</v>
      </c>
      <c r="B81" t="str">
        <f>IF(countries!$B80="","",countries!$B80)</f>
        <v>Bosnia and Herzegovina</v>
      </c>
      <c r="C81">
        <f>IF($A81="","",COUNTIFS(route_calc!$A$2:$A$1209,C$2,route_calc!$P$2:$P$1209,$A81))</f>
        <v>0</v>
      </c>
      <c r="D81">
        <f>IF($A81="","",COUNTIFS(route_calc!$A$2:$A$1209,D$2,route_calc!$P$2:$P$1209,$A81))</f>
        <v>0</v>
      </c>
      <c r="E81">
        <f>IF($A81="","",COUNTIFS(route_calc!$A$2:$A$1209,E$2,route_calc!$P$2:$P$1209,$A81))</f>
        <v>0</v>
      </c>
      <c r="F81">
        <f>IF($A81="","",COUNTIFS(route_calc!$A$2:$A$1209,F$2,route_calc!$P$2:$P$1209,$A81))</f>
        <v>0</v>
      </c>
      <c r="G81">
        <f>IF($A81="","",COUNTIFS(route_calc!$A$2:$A$1209,G$2,route_calc!$P$2:$P$1209,$A81))</f>
        <v>0</v>
      </c>
      <c r="H81">
        <f>IF($A81="","",COUNTIFS(route_calc!$A$2:$A$1209,H$2,route_calc!$P$2:$P$1209,$A81))</f>
        <v>0</v>
      </c>
      <c r="I81">
        <f>IF($A81="","",COUNTIFS(route_calc!$A$2:$A$1209,I$2,route_calc!$P$2:$P$1209,$A81))</f>
        <v>0</v>
      </c>
      <c r="J81">
        <f>IF($A81="","",COUNTIFS(route_calc!$A$2:$A$1209,J$2,route_calc!$P$2:$P$1209,$A81))</f>
        <v>0</v>
      </c>
      <c r="K81" t="str">
        <f>IF($L81=0,"",_xlfn.MINIFS(route_calc!$Q$2:$Q$1209,route_calc!$P$2:$P$1209,$A81,route_calc!$A$2:$A$1209,MATCH(1,$R81:$Y81,0)))</f>
        <v/>
      </c>
      <c r="L81">
        <f t="shared" si="2"/>
        <v>0</v>
      </c>
      <c r="M81" t="str" cm="1">
        <f t="array" ref="M81">IF($L81=0,"",_xlfn.TEXTJOIN(", ",TRUE,IF($R81:$Y81&gt;0,$C$1:$J$1,"")))</f>
        <v/>
      </c>
      <c r="N81" t="str" cm="1">
        <f t="array" ref="N81">IF($L81=0,"",SUMPRODUCT(($L$3:$L$144=1)*($K$3:$K$144&lt;$K81))+1)</f>
        <v/>
      </c>
      <c r="O81" t="str">
        <f t="shared" si="3"/>
        <v/>
      </c>
      <c r="P81" t="str">
        <f>IF($A81="","",IFERROR(INDEX(countries!$G:$G,MATCH($A81,countries!$D:$D,0)),""))</f>
        <v>REQUIRED</v>
      </c>
      <c r="Q81" t="str">
        <f>IF($A81="","",IFERROR(IF(INDEX(countries!$I:$I,MATCH($A81,countries!$D:$D,0))=0,"",INDEX(countries!$I:$I,MATCH($A81,countries!$D:$D,0))),""))</f>
        <v/>
      </c>
      <c r="R81" cm="1">
        <f t="array" ref="R81">IF($A81="","",IF(AND(INDEX($C81:$J81,R$2)&gt;0,$A81&lt;&gt;INDEX('TRIP MANAGER'!$T$18:$T$25,R$2),$A81&lt;&gt;INDEX('TRIP MANAGER'!$U$18:$U$25,R$2)),1,0))</f>
        <v>0</v>
      </c>
      <c r="S81" cm="1">
        <f t="array" ref="S81">IF($A81="","",IF(AND(INDEX($C81:$J81,S$2)&gt;0,$A81&lt;&gt;INDEX('TRIP MANAGER'!$T$18:$T$25,S$2),$A81&lt;&gt;INDEX('TRIP MANAGER'!$U$18:$U$25,S$2)),1,0))</f>
        <v>0</v>
      </c>
      <c r="T81" cm="1">
        <f t="array" ref="T81">IF($A81="","",IF(AND(INDEX($C81:$J81,T$2)&gt;0,$A81&lt;&gt;INDEX('TRIP MANAGER'!$T$18:$T$25,T$2),$A81&lt;&gt;INDEX('TRIP MANAGER'!$U$18:$U$25,T$2)),1,0))</f>
        <v>0</v>
      </c>
      <c r="U81" cm="1">
        <f t="array" ref="U81">IF($A81="","",IF(AND(INDEX($C81:$J81,U$2)&gt;0,$A81&lt;&gt;INDEX('TRIP MANAGER'!$T$18:$T$25,U$2),$A81&lt;&gt;INDEX('TRIP MANAGER'!$U$18:$U$25,U$2)),1,0))</f>
        <v>0</v>
      </c>
      <c r="V81" cm="1">
        <f t="array" ref="V81">IF($A81="","",IF(AND(INDEX($C81:$J81,V$2)&gt;0,$A81&lt;&gt;INDEX('TRIP MANAGER'!$T$18:$T$25,V$2),$A81&lt;&gt;INDEX('TRIP MANAGER'!$U$18:$U$25,V$2)),1,0))</f>
        <v>0</v>
      </c>
      <c r="W81" cm="1">
        <f t="array" ref="W81">IF($A81="","",IF(AND(INDEX($C81:$J81,W$2)&gt;0,$A81&lt;&gt;INDEX('TRIP MANAGER'!$T$18:$T$25,W$2),$A81&lt;&gt;INDEX('TRIP MANAGER'!$U$18:$U$25,W$2)),1,0))</f>
        <v>0</v>
      </c>
      <c r="X81" cm="1">
        <f t="array" ref="X81">IF($A81="","",IF(AND(INDEX($C81:$J81,X$2)&gt;0,$A81&lt;&gt;INDEX('TRIP MANAGER'!$T$18:$T$25,X$2),$A81&lt;&gt;INDEX('TRIP MANAGER'!$U$18:$U$25,X$2)),1,0))</f>
        <v>0</v>
      </c>
      <c r="Y81" cm="1">
        <f t="array" ref="Y81">IF($A81="","",IF(AND(INDEX($C81:$J81,Y$2)&gt;0,$A81&lt;&gt;INDEX('TRIP MANAGER'!$T$18:$T$25,Y$2),$A81&lt;&gt;INDEX('TRIP MANAGER'!$U$18:$U$25,Y$2)),1,0))</f>
        <v>0</v>
      </c>
    </row>
    <row r="82" spans="1:25" x14ac:dyDescent="0.3">
      <c r="A82" t="str">
        <f>IF(countries!$D81="","",countries!$D81)</f>
        <v>BLR</v>
      </c>
      <c r="B82" t="str">
        <f>IF(countries!$B81="","",countries!$B81)</f>
        <v>Belarus</v>
      </c>
      <c r="C82">
        <f>IF($A82="","",COUNTIFS(route_calc!$A$2:$A$1209,C$2,route_calc!$P$2:$P$1209,$A82))</f>
        <v>0</v>
      </c>
      <c r="D82">
        <f>IF($A82="","",COUNTIFS(route_calc!$A$2:$A$1209,D$2,route_calc!$P$2:$P$1209,$A82))</f>
        <v>0</v>
      </c>
      <c r="E82">
        <f>IF($A82="","",COUNTIFS(route_calc!$A$2:$A$1209,E$2,route_calc!$P$2:$P$1209,$A82))</f>
        <v>0</v>
      </c>
      <c r="F82">
        <f>IF($A82="","",COUNTIFS(route_calc!$A$2:$A$1209,F$2,route_calc!$P$2:$P$1209,$A82))</f>
        <v>0</v>
      </c>
      <c r="G82">
        <f>IF($A82="","",COUNTIFS(route_calc!$A$2:$A$1209,G$2,route_calc!$P$2:$P$1209,$A82))</f>
        <v>0</v>
      </c>
      <c r="H82">
        <f>IF($A82="","",COUNTIFS(route_calc!$A$2:$A$1209,H$2,route_calc!$P$2:$P$1209,$A82))</f>
        <v>0</v>
      </c>
      <c r="I82">
        <f>IF($A82="","",COUNTIFS(route_calc!$A$2:$A$1209,I$2,route_calc!$P$2:$P$1209,$A82))</f>
        <v>0</v>
      </c>
      <c r="J82">
        <f>IF($A82="","",COUNTIFS(route_calc!$A$2:$A$1209,J$2,route_calc!$P$2:$P$1209,$A82))</f>
        <v>0</v>
      </c>
      <c r="K82" t="str">
        <f>IF($L82=0,"",_xlfn.MINIFS(route_calc!$Q$2:$Q$1209,route_calc!$P$2:$P$1209,$A82,route_calc!$A$2:$A$1209,MATCH(1,$R82:$Y82,0)))</f>
        <v/>
      </c>
      <c r="L82">
        <f t="shared" si="2"/>
        <v>0</v>
      </c>
      <c r="M82" t="str" cm="1">
        <f t="array" ref="M82">IF($L82=0,"",_xlfn.TEXTJOIN(", ",TRUE,IF($R82:$Y82&gt;0,$C$1:$J$1,"")))</f>
        <v/>
      </c>
      <c r="N82" t="str" cm="1">
        <f t="array" ref="N82">IF($L82=0,"",SUMPRODUCT(($L$3:$L$144=1)*($K$3:$K$144&lt;$K82))+1)</f>
        <v/>
      </c>
      <c r="O82" t="str">
        <f t="shared" si="3"/>
        <v/>
      </c>
      <c r="P82" t="str">
        <f>IF($A82="","",IFERROR(INDEX(countries!$G:$G,MATCH($A82,countries!$D:$D,0)),""))</f>
        <v>REQUIRED</v>
      </c>
      <c r="Q82" t="str">
        <f>IF($A82="","",IFERROR(IF(INDEX(countries!$I:$I,MATCH($A82,countries!$D:$D,0))=0,"",INDEX(countries!$I:$I,MATCH($A82,countries!$D:$D,0))),""))</f>
        <v/>
      </c>
      <c r="R82" cm="1">
        <f t="array" ref="R82">IF($A82="","",IF(AND(INDEX($C82:$J82,R$2)&gt;0,$A82&lt;&gt;INDEX('TRIP MANAGER'!$T$18:$T$25,R$2),$A82&lt;&gt;INDEX('TRIP MANAGER'!$U$18:$U$25,R$2)),1,0))</f>
        <v>0</v>
      </c>
      <c r="S82" cm="1">
        <f t="array" ref="S82">IF($A82="","",IF(AND(INDEX($C82:$J82,S$2)&gt;0,$A82&lt;&gt;INDEX('TRIP MANAGER'!$T$18:$T$25,S$2),$A82&lt;&gt;INDEX('TRIP MANAGER'!$U$18:$U$25,S$2)),1,0))</f>
        <v>0</v>
      </c>
      <c r="T82" cm="1">
        <f t="array" ref="T82">IF($A82="","",IF(AND(INDEX($C82:$J82,T$2)&gt;0,$A82&lt;&gt;INDEX('TRIP MANAGER'!$T$18:$T$25,T$2),$A82&lt;&gt;INDEX('TRIP MANAGER'!$U$18:$U$25,T$2)),1,0))</f>
        <v>0</v>
      </c>
      <c r="U82" cm="1">
        <f t="array" ref="U82">IF($A82="","",IF(AND(INDEX($C82:$J82,U$2)&gt;0,$A82&lt;&gt;INDEX('TRIP MANAGER'!$T$18:$T$25,U$2),$A82&lt;&gt;INDEX('TRIP MANAGER'!$U$18:$U$25,U$2)),1,0))</f>
        <v>0</v>
      </c>
      <c r="V82" cm="1">
        <f t="array" ref="V82">IF($A82="","",IF(AND(INDEX($C82:$J82,V$2)&gt;0,$A82&lt;&gt;INDEX('TRIP MANAGER'!$T$18:$T$25,V$2),$A82&lt;&gt;INDEX('TRIP MANAGER'!$U$18:$U$25,V$2)),1,0))</f>
        <v>0</v>
      </c>
      <c r="W82" cm="1">
        <f t="array" ref="W82">IF($A82="","",IF(AND(INDEX($C82:$J82,W$2)&gt;0,$A82&lt;&gt;INDEX('TRIP MANAGER'!$T$18:$T$25,W$2),$A82&lt;&gt;INDEX('TRIP MANAGER'!$U$18:$U$25,W$2)),1,0))</f>
        <v>0</v>
      </c>
      <c r="X82" cm="1">
        <f t="array" ref="X82">IF($A82="","",IF(AND(INDEX($C82:$J82,X$2)&gt;0,$A82&lt;&gt;INDEX('TRIP MANAGER'!$T$18:$T$25,X$2),$A82&lt;&gt;INDEX('TRIP MANAGER'!$U$18:$U$25,X$2)),1,0))</f>
        <v>0</v>
      </c>
      <c r="Y82" cm="1">
        <f t="array" ref="Y82">IF($A82="","",IF(AND(INDEX($C82:$J82,Y$2)&gt;0,$A82&lt;&gt;INDEX('TRIP MANAGER'!$T$18:$T$25,Y$2),$A82&lt;&gt;INDEX('TRIP MANAGER'!$U$18:$U$25,Y$2)),1,0))</f>
        <v>0</v>
      </c>
    </row>
    <row r="83" spans="1:25" x14ac:dyDescent="0.3">
      <c r="A83" t="str">
        <f>IF(countries!$D82="","",countries!$D82)</f>
        <v>BTN</v>
      </c>
      <c r="B83" t="str">
        <f>IF(countries!$B82="","",countries!$B82)</f>
        <v>Bhutan</v>
      </c>
      <c r="C83">
        <f>IF($A83="","",COUNTIFS(route_calc!$A$2:$A$1209,C$2,route_calc!$P$2:$P$1209,$A83))</f>
        <v>0</v>
      </c>
      <c r="D83">
        <f>IF($A83="","",COUNTIFS(route_calc!$A$2:$A$1209,D$2,route_calc!$P$2:$P$1209,$A83))</f>
        <v>0</v>
      </c>
      <c r="E83">
        <f>IF($A83="","",COUNTIFS(route_calc!$A$2:$A$1209,E$2,route_calc!$P$2:$P$1209,$A83))</f>
        <v>0</v>
      </c>
      <c r="F83">
        <f>IF($A83="","",COUNTIFS(route_calc!$A$2:$A$1209,F$2,route_calc!$P$2:$P$1209,$A83))</f>
        <v>0</v>
      </c>
      <c r="G83">
        <f>IF($A83="","",COUNTIFS(route_calc!$A$2:$A$1209,G$2,route_calc!$P$2:$P$1209,$A83))</f>
        <v>0</v>
      </c>
      <c r="H83">
        <f>IF($A83="","",COUNTIFS(route_calc!$A$2:$A$1209,H$2,route_calc!$P$2:$P$1209,$A83))</f>
        <v>0</v>
      </c>
      <c r="I83">
        <f>IF($A83="","",COUNTIFS(route_calc!$A$2:$A$1209,I$2,route_calc!$P$2:$P$1209,$A83))</f>
        <v>0</v>
      </c>
      <c r="J83">
        <f>IF($A83="","",COUNTIFS(route_calc!$A$2:$A$1209,J$2,route_calc!$P$2:$P$1209,$A83))</f>
        <v>0</v>
      </c>
      <c r="K83" t="str">
        <f>IF($L83=0,"",_xlfn.MINIFS(route_calc!$Q$2:$Q$1209,route_calc!$P$2:$P$1209,$A83,route_calc!$A$2:$A$1209,MATCH(1,$R83:$Y83,0)))</f>
        <v/>
      </c>
      <c r="L83">
        <f t="shared" si="2"/>
        <v>0</v>
      </c>
      <c r="M83" t="str" cm="1">
        <f t="array" ref="M83">IF($L83=0,"",_xlfn.TEXTJOIN(", ",TRUE,IF($R83:$Y83&gt;0,$C$1:$J$1,"")))</f>
        <v/>
      </c>
      <c r="N83" t="str" cm="1">
        <f t="array" ref="N83">IF($L83=0,"",SUMPRODUCT(($L$3:$L$144=1)*($K$3:$K$144&lt;$K83))+1)</f>
        <v/>
      </c>
      <c r="O83" t="str">
        <f t="shared" si="3"/>
        <v/>
      </c>
      <c r="P83" t="str">
        <f>IF($A83="","",IFERROR(INDEX(countries!$G:$G,MATCH($A83,countries!$D:$D,0)),""))</f>
        <v>REQUIRED</v>
      </c>
      <c r="Q83" t="str">
        <f>IF($A83="","",IFERROR(IF(INDEX(countries!$I:$I,MATCH($A83,countries!$D:$D,0))=0,"",INDEX(countries!$I:$I,MATCH($A83,countries!$D:$D,0))),""))</f>
        <v/>
      </c>
      <c r="R83" cm="1">
        <f t="array" ref="R83">IF($A83="","",IF(AND(INDEX($C83:$J83,R$2)&gt;0,$A83&lt;&gt;INDEX('TRIP MANAGER'!$T$18:$T$25,R$2),$A83&lt;&gt;INDEX('TRIP MANAGER'!$U$18:$U$25,R$2)),1,0))</f>
        <v>0</v>
      </c>
      <c r="S83" cm="1">
        <f t="array" ref="S83">IF($A83="","",IF(AND(INDEX($C83:$J83,S$2)&gt;0,$A83&lt;&gt;INDEX('TRIP MANAGER'!$T$18:$T$25,S$2),$A83&lt;&gt;INDEX('TRIP MANAGER'!$U$18:$U$25,S$2)),1,0))</f>
        <v>0</v>
      </c>
      <c r="T83" cm="1">
        <f t="array" ref="T83">IF($A83="","",IF(AND(INDEX($C83:$J83,T$2)&gt;0,$A83&lt;&gt;INDEX('TRIP MANAGER'!$T$18:$T$25,T$2),$A83&lt;&gt;INDEX('TRIP MANAGER'!$U$18:$U$25,T$2)),1,0))</f>
        <v>0</v>
      </c>
      <c r="U83" cm="1">
        <f t="array" ref="U83">IF($A83="","",IF(AND(INDEX($C83:$J83,U$2)&gt;0,$A83&lt;&gt;INDEX('TRIP MANAGER'!$T$18:$T$25,U$2),$A83&lt;&gt;INDEX('TRIP MANAGER'!$U$18:$U$25,U$2)),1,0))</f>
        <v>0</v>
      </c>
      <c r="V83" cm="1">
        <f t="array" ref="V83">IF($A83="","",IF(AND(INDEX($C83:$J83,V$2)&gt;0,$A83&lt;&gt;INDEX('TRIP MANAGER'!$T$18:$T$25,V$2),$A83&lt;&gt;INDEX('TRIP MANAGER'!$U$18:$U$25,V$2)),1,0))</f>
        <v>0</v>
      </c>
      <c r="W83" cm="1">
        <f t="array" ref="W83">IF($A83="","",IF(AND(INDEX($C83:$J83,W$2)&gt;0,$A83&lt;&gt;INDEX('TRIP MANAGER'!$T$18:$T$25,W$2),$A83&lt;&gt;INDEX('TRIP MANAGER'!$U$18:$U$25,W$2)),1,0))</f>
        <v>0</v>
      </c>
      <c r="X83" cm="1">
        <f t="array" ref="X83">IF($A83="","",IF(AND(INDEX($C83:$J83,X$2)&gt;0,$A83&lt;&gt;INDEX('TRIP MANAGER'!$T$18:$T$25,X$2),$A83&lt;&gt;INDEX('TRIP MANAGER'!$U$18:$U$25,X$2)),1,0))</f>
        <v>0</v>
      </c>
      <c r="Y83" cm="1">
        <f t="array" ref="Y83">IF($A83="","",IF(AND(INDEX($C83:$J83,Y$2)&gt;0,$A83&lt;&gt;INDEX('TRIP MANAGER'!$T$18:$T$25,Y$2),$A83&lt;&gt;INDEX('TRIP MANAGER'!$U$18:$U$25,Y$2)),1,0))</f>
        <v>0</v>
      </c>
    </row>
    <row r="84" spans="1:25" x14ac:dyDescent="0.3">
      <c r="A84" t="str">
        <f>IF(countries!$D83="","",countries!$D83)</f>
        <v>CHE</v>
      </c>
      <c r="B84" t="str">
        <f>IF(countries!$B83="","",countries!$B83)</f>
        <v>Switzerland</v>
      </c>
      <c r="C84">
        <f>IF($A84="","",COUNTIFS(route_calc!$A$2:$A$1209,C$2,route_calc!$P$2:$P$1209,$A84))</f>
        <v>0</v>
      </c>
      <c r="D84">
        <f>IF($A84="","",COUNTIFS(route_calc!$A$2:$A$1209,D$2,route_calc!$P$2:$P$1209,$A84))</f>
        <v>0</v>
      </c>
      <c r="E84">
        <f>IF($A84="","",COUNTIFS(route_calc!$A$2:$A$1209,E$2,route_calc!$P$2:$P$1209,$A84))</f>
        <v>0</v>
      </c>
      <c r="F84">
        <f>IF($A84="","",COUNTIFS(route_calc!$A$2:$A$1209,F$2,route_calc!$P$2:$P$1209,$A84))</f>
        <v>0</v>
      </c>
      <c r="G84">
        <f>IF($A84="","",COUNTIFS(route_calc!$A$2:$A$1209,G$2,route_calc!$P$2:$P$1209,$A84))</f>
        <v>0</v>
      </c>
      <c r="H84">
        <f>IF($A84="","",COUNTIFS(route_calc!$A$2:$A$1209,H$2,route_calc!$P$2:$P$1209,$A84))</f>
        <v>0</v>
      </c>
      <c r="I84">
        <f>IF($A84="","",COUNTIFS(route_calc!$A$2:$A$1209,I$2,route_calc!$P$2:$P$1209,$A84))</f>
        <v>0</v>
      </c>
      <c r="J84">
        <f>IF($A84="","",COUNTIFS(route_calc!$A$2:$A$1209,J$2,route_calc!$P$2:$P$1209,$A84))</f>
        <v>0</v>
      </c>
      <c r="K84" t="str">
        <f>IF($L84=0,"",_xlfn.MINIFS(route_calc!$Q$2:$Q$1209,route_calc!$P$2:$P$1209,$A84,route_calc!$A$2:$A$1209,MATCH(1,$R84:$Y84,0)))</f>
        <v/>
      </c>
      <c r="L84">
        <f t="shared" si="2"/>
        <v>0</v>
      </c>
      <c r="M84" t="str" cm="1">
        <f t="array" ref="M84">IF($L84=0,"",_xlfn.TEXTJOIN(", ",TRUE,IF($R84:$Y84&gt;0,$C$1:$J$1,"")))</f>
        <v/>
      </c>
      <c r="N84" t="str" cm="1">
        <f t="array" ref="N84">IF($L84=0,"",SUMPRODUCT(($L$3:$L$144=1)*($K$3:$K$144&lt;$K84))+1)</f>
        <v/>
      </c>
      <c r="O84" t="str">
        <f t="shared" si="3"/>
        <v/>
      </c>
      <c r="P84" t="str">
        <f>IF($A84="","",IFERROR(INDEX(countries!$G:$G,MATCH($A84,countries!$D:$D,0)),""))</f>
        <v>REQUIRED</v>
      </c>
      <c r="Q84" t="str">
        <f>IF($A84="","",IFERROR(IF(INDEX(countries!$I:$I,MATCH($A84,countries!$D:$D,0))=0,"",INDEX(countries!$I:$I,MATCH($A84,countries!$D:$D,0))),""))</f>
        <v/>
      </c>
      <c r="R84" cm="1">
        <f t="array" ref="R84">IF($A84="","",IF(AND(INDEX($C84:$J84,R$2)&gt;0,$A84&lt;&gt;INDEX('TRIP MANAGER'!$T$18:$T$25,R$2),$A84&lt;&gt;INDEX('TRIP MANAGER'!$U$18:$U$25,R$2)),1,0))</f>
        <v>0</v>
      </c>
      <c r="S84" cm="1">
        <f t="array" ref="S84">IF($A84="","",IF(AND(INDEX($C84:$J84,S$2)&gt;0,$A84&lt;&gt;INDEX('TRIP MANAGER'!$T$18:$T$25,S$2),$A84&lt;&gt;INDEX('TRIP MANAGER'!$U$18:$U$25,S$2)),1,0))</f>
        <v>0</v>
      </c>
      <c r="T84" cm="1">
        <f t="array" ref="T84">IF($A84="","",IF(AND(INDEX($C84:$J84,T$2)&gt;0,$A84&lt;&gt;INDEX('TRIP MANAGER'!$T$18:$T$25,T$2),$A84&lt;&gt;INDEX('TRIP MANAGER'!$U$18:$U$25,T$2)),1,0))</f>
        <v>0</v>
      </c>
      <c r="U84" cm="1">
        <f t="array" ref="U84">IF($A84="","",IF(AND(INDEX($C84:$J84,U$2)&gt;0,$A84&lt;&gt;INDEX('TRIP MANAGER'!$T$18:$T$25,U$2),$A84&lt;&gt;INDEX('TRIP MANAGER'!$U$18:$U$25,U$2)),1,0))</f>
        <v>0</v>
      </c>
      <c r="V84" cm="1">
        <f t="array" ref="V84">IF($A84="","",IF(AND(INDEX($C84:$J84,V$2)&gt;0,$A84&lt;&gt;INDEX('TRIP MANAGER'!$T$18:$T$25,V$2),$A84&lt;&gt;INDEX('TRIP MANAGER'!$U$18:$U$25,V$2)),1,0))</f>
        <v>0</v>
      </c>
      <c r="W84" cm="1">
        <f t="array" ref="W84">IF($A84="","",IF(AND(INDEX($C84:$J84,W$2)&gt;0,$A84&lt;&gt;INDEX('TRIP MANAGER'!$T$18:$T$25,W$2),$A84&lt;&gt;INDEX('TRIP MANAGER'!$U$18:$U$25,W$2)),1,0))</f>
        <v>0</v>
      </c>
      <c r="X84" cm="1">
        <f t="array" ref="X84">IF($A84="","",IF(AND(INDEX($C84:$J84,X$2)&gt;0,$A84&lt;&gt;INDEX('TRIP MANAGER'!$T$18:$T$25,X$2),$A84&lt;&gt;INDEX('TRIP MANAGER'!$U$18:$U$25,X$2)),1,0))</f>
        <v>0</v>
      </c>
      <c r="Y84" cm="1">
        <f t="array" ref="Y84">IF($A84="","",IF(AND(INDEX($C84:$J84,Y$2)&gt;0,$A84&lt;&gt;INDEX('TRIP MANAGER'!$T$18:$T$25,Y$2),$A84&lt;&gt;INDEX('TRIP MANAGER'!$U$18:$U$25,Y$2)),1,0))</f>
        <v>0</v>
      </c>
    </row>
    <row r="85" spans="1:25" x14ac:dyDescent="0.3">
      <c r="A85" t="str">
        <f>IF(countries!$D84="","",countries!$D84)</f>
        <v>CHN</v>
      </c>
      <c r="B85" t="str">
        <f>IF(countries!$B84="","",countries!$B84)</f>
        <v>China</v>
      </c>
      <c r="C85">
        <f>IF($A85="","",COUNTIFS(route_calc!$A$2:$A$1209,C$2,route_calc!$P$2:$P$1209,$A85))</f>
        <v>0</v>
      </c>
      <c r="D85">
        <f>IF($A85="","",COUNTIFS(route_calc!$A$2:$A$1209,D$2,route_calc!$P$2:$P$1209,$A85))</f>
        <v>0</v>
      </c>
      <c r="E85">
        <f>IF($A85="","",COUNTIFS(route_calc!$A$2:$A$1209,E$2,route_calc!$P$2:$P$1209,$A85))</f>
        <v>0</v>
      </c>
      <c r="F85">
        <f>IF($A85="","",COUNTIFS(route_calc!$A$2:$A$1209,F$2,route_calc!$P$2:$P$1209,$A85))</f>
        <v>0</v>
      </c>
      <c r="G85">
        <f>IF($A85="","",COUNTIFS(route_calc!$A$2:$A$1209,G$2,route_calc!$P$2:$P$1209,$A85))</f>
        <v>0</v>
      </c>
      <c r="H85">
        <f>IF($A85="","",COUNTIFS(route_calc!$A$2:$A$1209,H$2,route_calc!$P$2:$P$1209,$A85))</f>
        <v>0</v>
      </c>
      <c r="I85">
        <f>IF($A85="","",COUNTIFS(route_calc!$A$2:$A$1209,I$2,route_calc!$P$2:$P$1209,$A85))</f>
        <v>0</v>
      </c>
      <c r="J85">
        <f>IF($A85="","",COUNTIFS(route_calc!$A$2:$A$1209,J$2,route_calc!$P$2:$P$1209,$A85))</f>
        <v>0</v>
      </c>
      <c r="K85" t="str">
        <f>IF($L85=0,"",_xlfn.MINIFS(route_calc!$Q$2:$Q$1209,route_calc!$P$2:$P$1209,$A85,route_calc!$A$2:$A$1209,MATCH(1,$R85:$Y85,0)))</f>
        <v/>
      </c>
      <c r="L85">
        <f t="shared" si="2"/>
        <v>0</v>
      </c>
      <c r="M85" t="str" cm="1">
        <f t="array" ref="M85">IF($L85=0,"",_xlfn.TEXTJOIN(", ",TRUE,IF($R85:$Y85&gt;0,$C$1:$J$1,"")))</f>
        <v/>
      </c>
      <c r="N85" t="str" cm="1">
        <f t="array" ref="N85">IF($L85=0,"",SUMPRODUCT(($L$3:$L$144=1)*($K$3:$K$144&lt;$K85))+1)</f>
        <v/>
      </c>
      <c r="O85" t="str">
        <f t="shared" si="3"/>
        <v/>
      </c>
      <c r="P85" t="str">
        <f>IF($A85="","",IFERROR(INDEX(countries!$G:$G,MATCH($A85,countries!$D:$D,0)),""))</f>
        <v>REQUIRED</v>
      </c>
      <c r="Q85" t="str">
        <f>IF($A85="","",IFERROR(IF(INDEX(countries!$I:$I,MATCH($A85,countries!$D:$D,0))=0,"",INDEX(countries!$I:$I,MATCH($A85,countries!$D:$D,0))),""))</f>
        <v/>
      </c>
      <c r="R85" cm="1">
        <f t="array" ref="R85">IF($A85="","",IF(AND(INDEX($C85:$J85,R$2)&gt;0,$A85&lt;&gt;INDEX('TRIP MANAGER'!$T$18:$T$25,R$2),$A85&lt;&gt;INDEX('TRIP MANAGER'!$U$18:$U$25,R$2)),1,0))</f>
        <v>0</v>
      </c>
      <c r="S85" cm="1">
        <f t="array" ref="S85">IF($A85="","",IF(AND(INDEX($C85:$J85,S$2)&gt;0,$A85&lt;&gt;INDEX('TRIP MANAGER'!$T$18:$T$25,S$2),$A85&lt;&gt;INDEX('TRIP MANAGER'!$U$18:$U$25,S$2)),1,0))</f>
        <v>0</v>
      </c>
      <c r="T85" cm="1">
        <f t="array" ref="T85">IF($A85="","",IF(AND(INDEX($C85:$J85,T$2)&gt;0,$A85&lt;&gt;INDEX('TRIP MANAGER'!$T$18:$T$25,T$2),$A85&lt;&gt;INDEX('TRIP MANAGER'!$U$18:$U$25,T$2)),1,0))</f>
        <v>0</v>
      </c>
      <c r="U85" cm="1">
        <f t="array" ref="U85">IF($A85="","",IF(AND(INDEX($C85:$J85,U$2)&gt;0,$A85&lt;&gt;INDEX('TRIP MANAGER'!$T$18:$T$25,U$2),$A85&lt;&gt;INDEX('TRIP MANAGER'!$U$18:$U$25,U$2)),1,0))</f>
        <v>0</v>
      </c>
      <c r="V85" cm="1">
        <f t="array" ref="V85">IF($A85="","",IF(AND(INDEX($C85:$J85,V$2)&gt;0,$A85&lt;&gt;INDEX('TRIP MANAGER'!$T$18:$T$25,V$2),$A85&lt;&gt;INDEX('TRIP MANAGER'!$U$18:$U$25,V$2)),1,0))</f>
        <v>0</v>
      </c>
      <c r="W85" cm="1">
        <f t="array" ref="W85">IF($A85="","",IF(AND(INDEX($C85:$J85,W$2)&gt;0,$A85&lt;&gt;INDEX('TRIP MANAGER'!$T$18:$T$25,W$2),$A85&lt;&gt;INDEX('TRIP MANAGER'!$U$18:$U$25,W$2)),1,0))</f>
        <v>0</v>
      </c>
      <c r="X85" cm="1">
        <f t="array" ref="X85">IF($A85="","",IF(AND(INDEX($C85:$J85,X$2)&gt;0,$A85&lt;&gt;INDEX('TRIP MANAGER'!$T$18:$T$25,X$2),$A85&lt;&gt;INDEX('TRIP MANAGER'!$U$18:$U$25,X$2)),1,0))</f>
        <v>0</v>
      </c>
      <c r="Y85" cm="1">
        <f t="array" ref="Y85">IF($A85="","",IF(AND(INDEX($C85:$J85,Y$2)&gt;0,$A85&lt;&gt;INDEX('TRIP MANAGER'!$T$18:$T$25,Y$2),$A85&lt;&gt;INDEX('TRIP MANAGER'!$U$18:$U$25,Y$2)),1,0))</f>
        <v>0</v>
      </c>
    </row>
    <row r="86" spans="1:25" x14ac:dyDescent="0.3">
      <c r="A86" t="str">
        <f>IF(countries!$D85="","",countries!$D85)</f>
        <v>CYN</v>
      </c>
      <c r="B86" t="str">
        <f>IF(countries!$B85="","",countries!$B85)</f>
        <v>Northern Cyprus</v>
      </c>
      <c r="C86">
        <f>IF($A86="","",COUNTIFS(route_calc!$A$2:$A$1209,C$2,route_calc!$P$2:$P$1209,$A86))</f>
        <v>0</v>
      </c>
      <c r="D86">
        <f>IF($A86="","",COUNTIFS(route_calc!$A$2:$A$1209,D$2,route_calc!$P$2:$P$1209,$A86))</f>
        <v>0</v>
      </c>
      <c r="E86">
        <f>IF($A86="","",COUNTIFS(route_calc!$A$2:$A$1209,E$2,route_calc!$P$2:$P$1209,$A86))</f>
        <v>0</v>
      </c>
      <c r="F86">
        <f>IF($A86="","",COUNTIFS(route_calc!$A$2:$A$1209,F$2,route_calc!$P$2:$P$1209,$A86))</f>
        <v>0</v>
      </c>
      <c r="G86">
        <f>IF($A86="","",COUNTIFS(route_calc!$A$2:$A$1209,G$2,route_calc!$P$2:$P$1209,$A86))</f>
        <v>0</v>
      </c>
      <c r="H86">
        <f>IF($A86="","",COUNTIFS(route_calc!$A$2:$A$1209,H$2,route_calc!$P$2:$P$1209,$A86))</f>
        <v>0</v>
      </c>
      <c r="I86">
        <f>IF($A86="","",COUNTIFS(route_calc!$A$2:$A$1209,I$2,route_calc!$P$2:$P$1209,$A86))</f>
        <v>0</v>
      </c>
      <c r="J86">
        <f>IF($A86="","",COUNTIFS(route_calc!$A$2:$A$1209,J$2,route_calc!$P$2:$P$1209,$A86))</f>
        <v>0</v>
      </c>
      <c r="K86" t="str">
        <f>IF($L86=0,"",_xlfn.MINIFS(route_calc!$Q$2:$Q$1209,route_calc!$P$2:$P$1209,$A86,route_calc!$A$2:$A$1209,MATCH(1,$R86:$Y86,0)))</f>
        <v/>
      </c>
      <c r="L86">
        <f t="shared" si="2"/>
        <v>0</v>
      </c>
      <c r="M86" t="str" cm="1">
        <f t="array" ref="M86">IF($L86=0,"",_xlfn.TEXTJOIN(", ",TRUE,IF($R86:$Y86&gt;0,$C$1:$J$1,"")))</f>
        <v/>
      </c>
      <c r="N86" t="str" cm="1">
        <f t="array" ref="N86">IF($L86=0,"",SUMPRODUCT(($L$3:$L$144=1)*($K$3:$K$144&lt;$K86))+1)</f>
        <v/>
      </c>
      <c r="O86" t="str">
        <f t="shared" si="3"/>
        <v/>
      </c>
      <c r="P86" t="str">
        <f>IF($A86="","",IFERROR(INDEX(countries!$G:$G,MATCH($A86,countries!$D:$D,0)),""))</f>
        <v>REQUIRED</v>
      </c>
      <c r="Q86" t="str">
        <f>IF($A86="","",IFERROR(IF(INDEX(countries!$I:$I,MATCH($A86,countries!$D:$D,0))=0,"",INDEX(countries!$I:$I,MATCH($A86,countries!$D:$D,0))),""))</f>
        <v/>
      </c>
      <c r="R86" cm="1">
        <f t="array" ref="R86">IF($A86="","",IF(AND(INDEX($C86:$J86,R$2)&gt;0,$A86&lt;&gt;INDEX('TRIP MANAGER'!$T$18:$T$25,R$2),$A86&lt;&gt;INDEX('TRIP MANAGER'!$U$18:$U$25,R$2)),1,0))</f>
        <v>0</v>
      </c>
      <c r="S86" cm="1">
        <f t="array" ref="S86">IF($A86="","",IF(AND(INDEX($C86:$J86,S$2)&gt;0,$A86&lt;&gt;INDEX('TRIP MANAGER'!$T$18:$T$25,S$2),$A86&lt;&gt;INDEX('TRIP MANAGER'!$U$18:$U$25,S$2)),1,0))</f>
        <v>0</v>
      </c>
      <c r="T86" cm="1">
        <f t="array" ref="T86">IF($A86="","",IF(AND(INDEX($C86:$J86,T$2)&gt;0,$A86&lt;&gt;INDEX('TRIP MANAGER'!$T$18:$T$25,T$2),$A86&lt;&gt;INDEX('TRIP MANAGER'!$U$18:$U$25,T$2)),1,0))</f>
        <v>0</v>
      </c>
      <c r="U86" cm="1">
        <f t="array" ref="U86">IF($A86="","",IF(AND(INDEX($C86:$J86,U$2)&gt;0,$A86&lt;&gt;INDEX('TRIP MANAGER'!$T$18:$T$25,U$2),$A86&lt;&gt;INDEX('TRIP MANAGER'!$U$18:$U$25,U$2)),1,0))</f>
        <v>0</v>
      </c>
      <c r="V86" cm="1">
        <f t="array" ref="V86">IF($A86="","",IF(AND(INDEX($C86:$J86,V$2)&gt;0,$A86&lt;&gt;INDEX('TRIP MANAGER'!$T$18:$T$25,V$2),$A86&lt;&gt;INDEX('TRIP MANAGER'!$U$18:$U$25,V$2)),1,0))</f>
        <v>0</v>
      </c>
      <c r="W86" cm="1">
        <f t="array" ref="W86">IF($A86="","",IF(AND(INDEX($C86:$J86,W$2)&gt;0,$A86&lt;&gt;INDEX('TRIP MANAGER'!$T$18:$T$25,W$2),$A86&lt;&gt;INDEX('TRIP MANAGER'!$U$18:$U$25,W$2)),1,0))</f>
        <v>0</v>
      </c>
      <c r="X86" cm="1">
        <f t="array" ref="X86">IF($A86="","",IF(AND(INDEX($C86:$J86,X$2)&gt;0,$A86&lt;&gt;INDEX('TRIP MANAGER'!$T$18:$T$25,X$2),$A86&lt;&gt;INDEX('TRIP MANAGER'!$U$18:$U$25,X$2)),1,0))</f>
        <v>0</v>
      </c>
      <c r="Y86" cm="1">
        <f t="array" ref="Y86">IF($A86="","",IF(AND(INDEX($C86:$J86,Y$2)&gt;0,$A86&lt;&gt;INDEX('TRIP MANAGER'!$T$18:$T$25,Y$2),$A86&lt;&gt;INDEX('TRIP MANAGER'!$U$18:$U$25,Y$2)),1,0))</f>
        <v>0</v>
      </c>
    </row>
    <row r="87" spans="1:25" x14ac:dyDescent="0.3">
      <c r="A87" t="str">
        <f>IF(countries!$D86="","",countries!$D86)</f>
        <v>CYP</v>
      </c>
      <c r="B87" t="str">
        <f>IF(countries!$B86="","",countries!$B86)</f>
        <v>Cyprus</v>
      </c>
      <c r="C87">
        <f>IF($A87="","",COUNTIFS(route_calc!$A$2:$A$1209,C$2,route_calc!$P$2:$P$1209,$A87))</f>
        <v>0</v>
      </c>
      <c r="D87">
        <f>IF($A87="","",COUNTIFS(route_calc!$A$2:$A$1209,D$2,route_calc!$P$2:$P$1209,$A87))</f>
        <v>0</v>
      </c>
      <c r="E87">
        <f>IF($A87="","",COUNTIFS(route_calc!$A$2:$A$1209,E$2,route_calc!$P$2:$P$1209,$A87))</f>
        <v>0</v>
      </c>
      <c r="F87">
        <f>IF($A87="","",COUNTIFS(route_calc!$A$2:$A$1209,F$2,route_calc!$P$2:$P$1209,$A87))</f>
        <v>0</v>
      </c>
      <c r="G87">
        <f>IF($A87="","",COUNTIFS(route_calc!$A$2:$A$1209,G$2,route_calc!$P$2:$P$1209,$A87))</f>
        <v>0</v>
      </c>
      <c r="H87">
        <f>IF($A87="","",COUNTIFS(route_calc!$A$2:$A$1209,H$2,route_calc!$P$2:$P$1209,$A87))</f>
        <v>0</v>
      </c>
      <c r="I87">
        <f>IF($A87="","",COUNTIFS(route_calc!$A$2:$A$1209,I$2,route_calc!$P$2:$P$1209,$A87))</f>
        <v>0</v>
      </c>
      <c r="J87">
        <f>IF($A87="","",COUNTIFS(route_calc!$A$2:$A$1209,J$2,route_calc!$P$2:$P$1209,$A87))</f>
        <v>0</v>
      </c>
      <c r="K87" t="str">
        <f>IF($L87=0,"",_xlfn.MINIFS(route_calc!$Q$2:$Q$1209,route_calc!$P$2:$P$1209,$A87,route_calc!$A$2:$A$1209,MATCH(1,$R87:$Y87,0)))</f>
        <v/>
      </c>
      <c r="L87">
        <f t="shared" si="2"/>
        <v>0</v>
      </c>
      <c r="M87" t="str" cm="1">
        <f t="array" ref="M87">IF($L87=0,"",_xlfn.TEXTJOIN(", ",TRUE,IF($R87:$Y87&gt;0,$C$1:$J$1,"")))</f>
        <v/>
      </c>
      <c r="N87" t="str" cm="1">
        <f t="array" ref="N87">IF($L87=0,"",SUMPRODUCT(($L$3:$L$144=1)*($K$3:$K$144&lt;$K87))+1)</f>
        <v/>
      </c>
      <c r="O87" t="str">
        <f t="shared" si="3"/>
        <v/>
      </c>
      <c r="P87" t="str">
        <f>IF($A87="","",IFERROR(INDEX(countries!$G:$G,MATCH($A87,countries!$D:$D,0)),""))</f>
        <v>REQUIRED</v>
      </c>
      <c r="Q87" t="str">
        <f>IF($A87="","",IFERROR(IF(INDEX(countries!$I:$I,MATCH($A87,countries!$D:$D,0))=0,"",INDEX(countries!$I:$I,MATCH($A87,countries!$D:$D,0))),""))</f>
        <v/>
      </c>
      <c r="R87" cm="1">
        <f t="array" ref="R87">IF($A87="","",IF(AND(INDEX($C87:$J87,R$2)&gt;0,$A87&lt;&gt;INDEX('TRIP MANAGER'!$T$18:$T$25,R$2),$A87&lt;&gt;INDEX('TRIP MANAGER'!$U$18:$U$25,R$2)),1,0))</f>
        <v>0</v>
      </c>
      <c r="S87" cm="1">
        <f t="array" ref="S87">IF($A87="","",IF(AND(INDEX($C87:$J87,S$2)&gt;0,$A87&lt;&gt;INDEX('TRIP MANAGER'!$T$18:$T$25,S$2),$A87&lt;&gt;INDEX('TRIP MANAGER'!$U$18:$U$25,S$2)),1,0))</f>
        <v>0</v>
      </c>
      <c r="T87" cm="1">
        <f t="array" ref="T87">IF($A87="","",IF(AND(INDEX($C87:$J87,T$2)&gt;0,$A87&lt;&gt;INDEX('TRIP MANAGER'!$T$18:$T$25,T$2),$A87&lt;&gt;INDEX('TRIP MANAGER'!$U$18:$U$25,T$2)),1,0))</f>
        <v>0</v>
      </c>
      <c r="U87" cm="1">
        <f t="array" ref="U87">IF($A87="","",IF(AND(INDEX($C87:$J87,U$2)&gt;0,$A87&lt;&gt;INDEX('TRIP MANAGER'!$T$18:$T$25,U$2),$A87&lt;&gt;INDEX('TRIP MANAGER'!$U$18:$U$25,U$2)),1,0))</f>
        <v>0</v>
      </c>
      <c r="V87" cm="1">
        <f t="array" ref="V87">IF($A87="","",IF(AND(INDEX($C87:$J87,V$2)&gt;0,$A87&lt;&gt;INDEX('TRIP MANAGER'!$T$18:$T$25,V$2),$A87&lt;&gt;INDEX('TRIP MANAGER'!$U$18:$U$25,V$2)),1,0))</f>
        <v>0</v>
      </c>
      <c r="W87" cm="1">
        <f t="array" ref="W87">IF($A87="","",IF(AND(INDEX($C87:$J87,W$2)&gt;0,$A87&lt;&gt;INDEX('TRIP MANAGER'!$T$18:$T$25,W$2),$A87&lt;&gt;INDEX('TRIP MANAGER'!$U$18:$U$25,W$2)),1,0))</f>
        <v>0</v>
      </c>
      <c r="X87" cm="1">
        <f t="array" ref="X87">IF($A87="","",IF(AND(INDEX($C87:$J87,X$2)&gt;0,$A87&lt;&gt;INDEX('TRIP MANAGER'!$T$18:$T$25,X$2),$A87&lt;&gt;INDEX('TRIP MANAGER'!$U$18:$U$25,X$2)),1,0))</f>
        <v>0</v>
      </c>
      <c r="Y87" cm="1">
        <f t="array" ref="Y87">IF($A87="","",IF(AND(INDEX($C87:$J87,Y$2)&gt;0,$A87&lt;&gt;INDEX('TRIP MANAGER'!$T$18:$T$25,Y$2),$A87&lt;&gt;INDEX('TRIP MANAGER'!$U$18:$U$25,Y$2)),1,0))</f>
        <v>0</v>
      </c>
    </row>
    <row r="88" spans="1:25" x14ac:dyDescent="0.3">
      <c r="A88" t="str">
        <f>IF(countries!$D87="","",countries!$D87)</f>
        <v>CZE</v>
      </c>
      <c r="B88" t="str">
        <f>IF(countries!$B87="","",countries!$B87)</f>
        <v>Czechia</v>
      </c>
      <c r="C88">
        <f>IF($A88="","",COUNTIFS(route_calc!$A$2:$A$1209,C$2,route_calc!$P$2:$P$1209,$A88))</f>
        <v>0</v>
      </c>
      <c r="D88">
        <f>IF($A88="","",COUNTIFS(route_calc!$A$2:$A$1209,D$2,route_calc!$P$2:$P$1209,$A88))</f>
        <v>0</v>
      </c>
      <c r="E88">
        <f>IF($A88="","",COUNTIFS(route_calc!$A$2:$A$1209,E$2,route_calc!$P$2:$P$1209,$A88))</f>
        <v>0</v>
      </c>
      <c r="F88">
        <f>IF($A88="","",COUNTIFS(route_calc!$A$2:$A$1209,F$2,route_calc!$P$2:$P$1209,$A88))</f>
        <v>0</v>
      </c>
      <c r="G88">
        <f>IF($A88="","",COUNTIFS(route_calc!$A$2:$A$1209,G$2,route_calc!$P$2:$P$1209,$A88))</f>
        <v>0</v>
      </c>
      <c r="H88">
        <f>IF($A88="","",COUNTIFS(route_calc!$A$2:$A$1209,H$2,route_calc!$P$2:$P$1209,$A88))</f>
        <v>0</v>
      </c>
      <c r="I88">
        <f>IF($A88="","",COUNTIFS(route_calc!$A$2:$A$1209,I$2,route_calc!$P$2:$P$1209,$A88))</f>
        <v>0</v>
      </c>
      <c r="J88">
        <f>IF($A88="","",COUNTIFS(route_calc!$A$2:$A$1209,J$2,route_calc!$P$2:$P$1209,$A88))</f>
        <v>0</v>
      </c>
      <c r="K88" t="str">
        <f>IF($L88=0,"",_xlfn.MINIFS(route_calc!$Q$2:$Q$1209,route_calc!$P$2:$P$1209,$A88,route_calc!$A$2:$A$1209,MATCH(1,$R88:$Y88,0)))</f>
        <v/>
      </c>
      <c r="L88">
        <f t="shared" si="2"/>
        <v>0</v>
      </c>
      <c r="M88" t="str" cm="1">
        <f t="array" ref="M88">IF($L88=0,"",_xlfn.TEXTJOIN(", ",TRUE,IF($R88:$Y88&gt;0,$C$1:$J$1,"")))</f>
        <v/>
      </c>
      <c r="N88" t="str" cm="1">
        <f t="array" ref="N88">IF($L88=0,"",SUMPRODUCT(($L$3:$L$144=1)*($K$3:$K$144&lt;$K88))+1)</f>
        <v/>
      </c>
      <c r="O88" t="str">
        <f t="shared" si="3"/>
        <v/>
      </c>
      <c r="P88" t="str">
        <f>IF($A88="","",IFERROR(INDEX(countries!$G:$G,MATCH($A88,countries!$D:$D,0)),""))</f>
        <v>REQUIRED</v>
      </c>
      <c r="Q88" t="str">
        <f>IF($A88="","",IFERROR(IF(INDEX(countries!$I:$I,MATCH($A88,countries!$D:$D,0))=0,"",INDEX(countries!$I:$I,MATCH($A88,countries!$D:$D,0))),""))</f>
        <v/>
      </c>
      <c r="R88" cm="1">
        <f t="array" ref="R88">IF($A88="","",IF(AND(INDEX($C88:$J88,R$2)&gt;0,$A88&lt;&gt;INDEX('TRIP MANAGER'!$T$18:$T$25,R$2),$A88&lt;&gt;INDEX('TRIP MANAGER'!$U$18:$U$25,R$2)),1,0))</f>
        <v>0</v>
      </c>
      <c r="S88" cm="1">
        <f t="array" ref="S88">IF($A88="","",IF(AND(INDEX($C88:$J88,S$2)&gt;0,$A88&lt;&gt;INDEX('TRIP MANAGER'!$T$18:$T$25,S$2),$A88&lt;&gt;INDEX('TRIP MANAGER'!$U$18:$U$25,S$2)),1,0))</f>
        <v>0</v>
      </c>
      <c r="T88" cm="1">
        <f t="array" ref="T88">IF($A88="","",IF(AND(INDEX($C88:$J88,T$2)&gt;0,$A88&lt;&gt;INDEX('TRIP MANAGER'!$T$18:$T$25,T$2),$A88&lt;&gt;INDEX('TRIP MANAGER'!$U$18:$U$25,T$2)),1,0))</f>
        <v>0</v>
      </c>
      <c r="U88" cm="1">
        <f t="array" ref="U88">IF($A88="","",IF(AND(INDEX($C88:$J88,U$2)&gt;0,$A88&lt;&gt;INDEX('TRIP MANAGER'!$T$18:$T$25,U$2),$A88&lt;&gt;INDEX('TRIP MANAGER'!$U$18:$U$25,U$2)),1,0))</f>
        <v>0</v>
      </c>
      <c r="V88" cm="1">
        <f t="array" ref="V88">IF($A88="","",IF(AND(INDEX($C88:$J88,V$2)&gt;0,$A88&lt;&gt;INDEX('TRIP MANAGER'!$T$18:$T$25,V$2),$A88&lt;&gt;INDEX('TRIP MANAGER'!$U$18:$U$25,V$2)),1,0))</f>
        <v>0</v>
      </c>
      <c r="W88" cm="1">
        <f t="array" ref="W88">IF($A88="","",IF(AND(INDEX($C88:$J88,W$2)&gt;0,$A88&lt;&gt;INDEX('TRIP MANAGER'!$T$18:$T$25,W$2),$A88&lt;&gt;INDEX('TRIP MANAGER'!$U$18:$U$25,W$2)),1,0))</f>
        <v>0</v>
      </c>
      <c r="X88" cm="1">
        <f t="array" ref="X88">IF($A88="","",IF(AND(INDEX($C88:$J88,X$2)&gt;0,$A88&lt;&gt;INDEX('TRIP MANAGER'!$T$18:$T$25,X$2),$A88&lt;&gt;INDEX('TRIP MANAGER'!$U$18:$U$25,X$2)),1,0))</f>
        <v>0</v>
      </c>
      <c r="Y88" cm="1">
        <f t="array" ref="Y88">IF($A88="","",IF(AND(INDEX($C88:$J88,Y$2)&gt;0,$A88&lt;&gt;INDEX('TRIP MANAGER'!$T$18:$T$25,Y$2),$A88&lt;&gt;INDEX('TRIP MANAGER'!$U$18:$U$25,Y$2)),1,0))</f>
        <v>0</v>
      </c>
    </row>
    <row r="89" spans="1:25" x14ac:dyDescent="0.3">
      <c r="A89" t="str">
        <f>IF(countries!$D88="","",countries!$D88)</f>
        <v>DEU</v>
      </c>
      <c r="B89" t="str">
        <f>IF(countries!$B88="","",countries!$B88)</f>
        <v>Germany</v>
      </c>
      <c r="C89">
        <f>IF($A89="","",COUNTIFS(route_calc!$A$2:$A$1209,C$2,route_calc!$P$2:$P$1209,$A89))</f>
        <v>0</v>
      </c>
      <c r="D89">
        <f>IF($A89="","",COUNTIFS(route_calc!$A$2:$A$1209,D$2,route_calc!$P$2:$P$1209,$A89))</f>
        <v>0</v>
      </c>
      <c r="E89">
        <f>IF($A89="","",COUNTIFS(route_calc!$A$2:$A$1209,E$2,route_calc!$P$2:$P$1209,$A89))</f>
        <v>0</v>
      </c>
      <c r="F89">
        <f>IF($A89="","",COUNTIFS(route_calc!$A$2:$A$1209,F$2,route_calc!$P$2:$P$1209,$A89))</f>
        <v>0</v>
      </c>
      <c r="G89">
        <f>IF($A89="","",COUNTIFS(route_calc!$A$2:$A$1209,G$2,route_calc!$P$2:$P$1209,$A89))</f>
        <v>0</v>
      </c>
      <c r="H89">
        <f>IF($A89="","",COUNTIFS(route_calc!$A$2:$A$1209,H$2,route_calc!$P$2:$P$1209,$A89))</f>
        <v>0</v>
      </c>
      <c r="I89">
        <f>IF($A89="","",COUNTIFS(route_calc!$A$2:$A$1209,I$2,route_calc!$P$2:$P$1209,$A89))</f>
        <v>0</v>
      </c>
      <c r="J89">
        <f>IF($A89="","",COUNTIFS(route_calc!$A$2:$A$1209,J$2,route_calc!$P$2:$P$1209,$A89))</f>
        <v>0</v>
      </c>
      <c r="K89" t="str">
        <f>IF($L89=0,"",_xlfn.MINIFS(route_calc!$Q$2:$Q$1209,route_calc!$P$2:$P$1209,$A89,route_calc!$A$2:$A$1209,MATCH(1,$R89:$Y89,0)))</f>
        <v/>
      </c>
      <c r="L89">
        <f t="shared" si="2"/>
        <v>0</v>
      </c>
      <c r="M89" t="str" cm="1">
        <f t="array" ref="M89">IF($L89=0,"",_xlfn.TEXTJOIN(", ",TRUE,IF($R89:$Y89&gt;0,$C$1:$J$1,"")))</f>
        <v/>
      </c>
      <c r="N89" t="str" cm="1">
        <f t="array" ref="N89">IF($L89=0,"",SUMPRODUCT(($L$3:$L$144=1)*($K$3:$K$144&lt;$K89))+1)</f>
        <v/>
      </c>
      <c r="O89" t="str">
        <f t="shared" si="3"/>
        <v/>
      </c>
      <c r="P89" t="str">
        <f>IF($A89="","",IFERROR(INDEX(countries!$G:$G,MATCH($A89,countries!$D:$D,0)),""))</f>
        <v>REQUIRED</v>
      </c>
      <c r="Q89" t="str">
        <f>IF($A89="","",IFERROR(IF(INDEX(countries!$I:$I,MATCH($A89,countries!$D:$D,0))=0,"",INDEX(countries!$I:$I,MATCH($A89,countries!$D:$D,0))),""))</f>
        <v/>
      </c>
      <c r="R89" cm="1">
        <f t="array" ref="R89">IF($A89="","",IF(AND(INDEX($C89:$J89,R$2)&gt;0,$A89&lt;&gt;INDEX('TRIP MANAGER'!$T$18:$T$25,R$2),$A89&lt;&gt;INDEX('TRIP MANAGER'!$U$18:$U$25,R$2)),1,0))</f>
        <v>0</v>
      </c>
      <c r="S89" cm="1">
        <f t="array" ref="S89">IF($A89="","",IF(AND(INDEX($C89:$J89,S$2)&gt;0,$A89&lt;&gt;INDEX('TRIP MANAGER'!$T$18:$T$25,S$2),$A89&lt;&gt;INDEX('TRIP MANAGER'!$U$18:$U$25,S$2)),1,0))</f>
        <v>0</v>
      </c>
      <c r="T89" cm="1">
        <f t="array" ref="T89">IF($A89="","",IF(AND(INDEX($C89:$J89,T$2)&gt;0,$A89&lt;&gt;INDEX('TRIP MANAGER'!$T$18:$T$25,T$2),$A89&lt;&gt;INDEX('TRIP MANAGER'!$U$18:$U$25,T$2)),1,0))</f>
        <v>0</v>
      </c>
      <c r="U89" cm="1">
        <f t="array" ref="U89">IF($A89="","",IF(AND(INDEX($C89:$J89,U$2)&gt;0,$A89&lt;&gt;INDEX('TRIP MANAGER'!$T$18:$T$25,U$2),$A89&lt;&gt;INDEX('TRIP MANAGER'!$U$18:$U$25,U$2)),1,0))</f>
        <v>0</v>
      </c>
      <c r="V89" cm="1">
        <f t="array" ref="V89">IF($A89="","",IF(AND(INDEX($C89:$J89,V$2)&gt;0,$A89&lt;&gt;INDEX('TRIP MANAGER'!$T$18:$T$25,V$2),$A89&lt;&gt;INDEX('TRIP MANAGER'!$U$18:$U$25,V$2)),1,0))</f>
        <v>0</v>
      </c>
      <c r="W89" cm="1">
        <f t="array" ref="W89">IF($A89="","",IF(AND(INDEX($C89:$J89,W$2)&gt;0,$A89&lt;&gt;INDEX('TRIP MANAGER'!$T$18:$T$25,W$2),$A89&lt;&gt;INDEX('TRIP MANAGER'!$U$18:$U$25,W$2)),1,0))</f>
        <v>0</v>
      </c>
      <c r="X89" cm="1">
        <f t="array" ref="X89">IF($A89="","",IF(AND(INDEX($C89:$J89,X$2)&gt;0,$A89&lt;&gt;INDEX('TRIP MANAGER'!$T$18:$T$25,X$2),$A89&lt;&gt;INDEX('TRIP MANAGER'!$U$18:$U$25,X$2)),1,0))</f>
        <v>0</v>
      </c>
      <c r="Y89" cm="1">
        <f t="array" ref="Y89">IF($A89="","",IF(AND(INDEX($C89:$J89,Y$2)&gt;0,$A89&lt;&gt;INDEX('TRIP MANAGER'!$T$18:$T$25,Y$2),$A89&lt;&gt;INDEX('TRIP MANAGER'!$U$18:$U$25,Y$2)),1,0))</f>
        <v>0</v>
      </c>
    </row>
    <row r="90" spans="1:25" x14ac:dyDescent="0.3">
      <c r="A90" t="str">
        <f>IF(countries!$D89="","",countries!$D89)</f>
        <v>DNK</v>
      </c>
      <c r="B90" t="str">
        <f>IF(countries!$B89="","",countries!$B89)</f>
        <v>Denmark</v>
      </c>
      <c r="C90">
        <f>IF($A90="","",COUNTIFS(route_calc!$A$2:$A$1209,C$2,route_calc!$P$2:$P$1209,$A90))</f>
        <v>0</v>
      </c>
      <c r="D90">
        <f>IF($A90="","",COUNTIFS(route_calc!$A$2:$A$1209,D$2,route_calc!$P$2:$P$1209,$A90))</f>
        <v>0</v>
      </c>
      <c r="E90">
        <f>IF($A90="","",COUNTIFS(route_calc!$A$2:$A$1209,E$2,route_calc!$P$2:$P$1209,$A90))</f>
        <v>0</v>
      </c>
      <c r="F90">
        <f>IF($A90="","",COUNTIFS(route_calc!$A$2:$A$1209,F$2,route_calc!$P$2:$P$1209,$A90))</f>
        <v>0</v>
      </c>
      <c r="G90">
        <f>IF($A90="","",COUNTIFS(route_calc!$A$2:$A$1209,G$2,route_calc!$P$2:$P$1209,$A90))</f>
        <v>0</v>
      </c>
      <c r="H90">
        <f>IF($A90="","",COUNTIFS(route_calc!$A$2:$A$1209,H$2,route_calc!$P$2:$P$1209,$A90))</f>
        <v>0</v>
      </c>
      <c r="I90">
        <f>IF($A90="","",COUNTIFS(route_calc!$A$2:$A$1209,I$2,route_calc!$P$2:$P$1209,$A90))</f>
        <v>0</v>
      </c>
      <c r="J90">
        <f>IF($A90="","",COUNTIFS(route_calc!$A$2:$A$1209,J$2,route_calc!$P$2:$P$1209,$A90))</f>
        <v>0</v>
      </c>
      <c r="K90" t="str">
        <f>IF($L90=0,"",_xlfn.MINIFS(route_calc!$Q$2:$Q$1209,route_calc!$P$2:$P$1209,$A90,route_calc!$A$2:$A$1209,MATCH(1,$R90:$Y90,0)))</f>
        <v/>
      </c>
      <c r="L90">
        <f t="shared" si="2"/>
        <v>0</v>
      </c>
      <c r="M90" t="str" cm="1">
        <f t="array" ref="M90">IF($L90=0,"",_xlfn.TEXTJOIN(", ",TRUE,IF($R90:$Y90&gt;0,$C$1:$J$1,"")))</f>
        <v/>
      </c>
      <c r="N90" t="str" cm="1">
        <f t="array" ref="N90">IF($L90=0,"",SUMPRODUCT(($L$3:$L$144=1)*($K$3:$K$144&lt;$K90))+1)</f>
        <v/>
      </c>
      <c r="O90" t="str">
        <f t="shared" si="3"/>
        <v/>
      </c>
      <c r="P90" t="str">
        <f>IF($A90="","",IFERROR(INDEX(countries!$G:$G,MATCH($A90,countries!$D:$D,0)),""))</f>
        <v>REQUIRED</v>
      </c>
      <c r="Q90" t="str">
        <f>IF($A90="","",IFERROR(IF(INDEX(countries!$I:$I,MATCH($A90,countries!$D:$D,0))=0,"",INDEX(countries!$I:$I,MATCH($A90,countries!$D:$D,0))),""))</f>
        <v/>
      </c>
      <c r="R90" cm="1">
        <f t="array" ref="R90">IF($A90="","",IF(AND(INDEX($C90:$J90,R$2)&gt;0,$A90&lt;&gt;INDEX('TRIP MANAGER'!$T$18:$T$25,R$2),$A90&lt;&gt;INDEX('TRIP MANAGER'!$U$18:$U$25,R$2)),1,0))</f>
        <v>0</v>
      </c>
      <c r="S90" cm="1">
        <f t="array" ref="S90">IF($A90="","",IF(AND(INDEX($C90:$J90,S$2)&gt;0,$A90&lt;&gt;INDEX('TRIP MANAGER'!$T$18:$T$25,S$2),$A90&lt;&gt;INDEX('TRIP MANAGER'!$U$18:$U$25,S$2)),1,0))</f>
        <v>0</v>
      </c>
      <c r="T90" cm="1">
        <f t="array" ref="T90">IF($A90="","",IF(AND(INDEX($C90:$J90,T$2)&gt;0,$A90&lt;&gt;INDEX('TRIP MANAGER'!$T$18:$T$25,T$2),$A90&lt;&gt;INDEX('TRIP MANAGER'!$U$18:$U$25,T$2)),1,0))</f>
        <v>0</v>
      </c>
      <c r="U90" cm="1">
        <f t="array" ref="U90">IF($A90="","",IF(AND(INDEX($C90:$J90,U$2)&gt;0,$A90&lt;&gt;INDEX('TRIP MANAGER'!$T$18:$T$25,U$2),$A90&lt;&gt;INDEX('TRIP MANAGER'!$U$18:$U$25,U$2)),1,0))</f>
        <v>0</v>
      </c>
      <c r="V90" cm="1">
        <f t="array" ref="V90">IF($A90="","",IF(AND(INDEX($C90:$J90,V$2)&gt;0,$A90&lt;&gt;INDEX('TRIP MANAGER'!$T$18:$T$25,V$2),$A90&lt;&gt;INDEX('TRIP MANAGER'!$U$18:$U$25,V$2)),1,0))</f>
        <v>0</v>
      </c>
      <c r="W90" cm="1">
        <f t="array" ref="W90">IF($A90="","",IF(AND(INDEX($C90:$J90,W$2)&gt;0,$A90&lt;&gt;INDEX('TRIP MANAGER'!$T$18:$T$25,W$2),$A90&lt;&gt;INDEX('TRIP MANAGER'!$U$18:$U$25,W$2)),1,0))</f>
        <v>0</v>
      </c>
      <c r="X90" cm="1">
        <f t="array" ref="X90">IF($A90="","",IF(AND(INDEX($C90:$J90,X$2)&gt;0,$A90&lt;&gt;INDEX('TRIP MANAGER'!$T$18:$T$25,X$2),$A90&lt;&gt;INDEX('TRIP MANAGER'!$U$18:$U$25,X$2)),1,0))</f>
        <v>0</v>
      </c>
      <c r="Y90" cm="1">
        <f t="array" ref="Y90">IF($A90="","",IF(AND(INDEX($C90:$J90,Y$2)&gt;0,$A90&lt;&gt;INDEX('TRIP MANAGER'!$T$18:$T$25,Y$2),$A90&lt;&gt;INDEX('TRIP MANAGER'!$U$18:$U$25,Y$2)),1,0))</f>
        <v>0</v>
      </c>
    </row>
    <row r="91" spans="1:25" x14ac:dyDescent="0.3">
      <c r="A91" t="str">
        <f>IF(countries!$D90="","",countries!$D90)</f>
        <v>ESP</v>
      </c>
      <c r="B91" t="str">
        <f>IF(countries!$B90="","",countries!$B90)</f>
        <v>Spain</v>
      </c>
      <c r="C91">
        <f>IF($A91="","",COUNTIFS(route_calc!$A$2:$A$1209,C$2,route_calc!$P$2:$P$1209,$A91))</f>
        <v>0</v>
      </c>
      <c r="D91">
        <f>IF($A91="","",COUNTIFS(route_calc!$A$2:$A$1209,D$2,route_calc!$P$2:$P$1209,$A91))</f>
        <v>0</v>
      </c>
      <c r="E91">
        <f>IF($A91="","",COUNTIFS(route_calc!$A$2:$A$1209,E$2,route_calc!$P$2:$P$1209,$A91))</f>
        <v>0</v>
      </c>
      <c r="F91">
        <f>IF($A91="","",COUNTIFS(route_calc!$A$2:$A$1209,F$2,route_calc!$P$2:$P$1209,$A91))</f>
        <v>0</v>
      </c>
      <c r="G91">
        <f>IF($A91="","",COUNTIFS(route_calc!$A$2:$A$1209,G$2,route_calc!$P$2:$P$1209,$A91))</f>
        <v>0</v>
      </c>
      <c r="H91">
        <f>IF($A91="","",COUNTIFS(route_calc!$A$2:$A$1209,H$2,route_calc!$P$2:$P$1209,$A91))</f>
        <v>0</v>
      </c>
      <c r="I91">
        <f>IF($A91="","",COUNTIFS(route_calc!$A$2:$A$1209,I$2,route_calc!$P$2:$P$1209,$A91))</f>
        <v>0</v>
      </c>
      <c r="J91">
        <f>IF($A91="","",COUNTIFS(route_calc!$A$2:$A$1209,J$2,route_calc!$P$2:$P$1209,$A91))</f>
        <v>0</v>
      </c>
      <c r="K91" t="str">
        <f>IF($L91=0,"",_xlfn.MINIFS(route_calc!$Q$2:$Q$1209,route_calc!$P$2:$P$1209,$A91,route_calc!$A$2:$A$1209,MATCH(1,$R91:$Y91,0)))</f>
        <v/>
      </c>
      <c r="L91">
        <f t="shared" si="2"/>
        <v>0</v>
      </c>
      <c r="M91" t="str" cm="1">
        <f t="array" ref="M91">IF($L91=0,"",_xlfn.TEXTJOIN(", ",TRUE,IF($R91:$Y91&gt;0,$C$1:$J$1,"")))</f>
        <v/>
      </c>
      <c r="N91" t="str" cm="1">
        <f t="array" ref="N91">IF($L91=0,"",SUMPRODUCT(($L$3:$L$144=1)*($K$3:$K$144&lt;$K91))+1)</f>
        <v/>
      </c>
      <c r="O91" t="str">
        <f t="shared" si="3"/>
        <v/>
      </c>
      <c r="P91" t="str">
        <f>IF($A91="","",IFERROR(INDEX(countries!$G:$G,MATCH($A91,countries!$D:$D,0)),""))</f>
        <v>REQUIRED</v>
      </c>
      <c r="Q91" t="str">
        <f>IF($A91="","",IFERROR(IF(INDEX(countries!$I:$I,MATCH($A91,countries!$D:$D,0))=0,"",INDEX(countries!$I:$I,MATCH($A91,countries!$D:$D,0))),""))</f>
        <v/>
      </c>
      <c r="R91" cm="1">
        <f t="array" ref="R91">IF($A91="","",IF(AND(INDEX($C91:$J91,R$2)&gt;0,$A91&lt;&gt;INDEX('TRIP MANAGER'!$T$18:$T$25,R$2),$A91&lt;&gt;INDEX('TRIP MANAGER'!$U$18:$U$25,R$2)),1,0))</f>
        <v>0</v>
      </c>
      <c r="S91" cm="1">
        <f t="array" ref="S91">IF($A91="","",IF(AND(INDEX($C91:$J91,S$2)&gt;0,$A91&lt;&gt;INDEX('TRIP MANAGER'!$T$18:$T$25,S$2),$A91&lt;&gt;INDEX('TRIP MANAGER'!$U$18:$U$25,S$2)),1,0))</f>
        <v>0</v>
      </c>
      <c r="T91" cm="1">
        <f t="array" ref="T91">IF($A91="","",IF(AND(INDEX($C91:$J91,T$2)&gt;0,$A91&lt;&gt;INDEX('TRIP MANAGER'!$T$18:$T$25,T$2),$A91&lt;&gt;INDEX('TRIP MANAGER'!$U$18:$U$25,T$2)),1,0))</f>
        <v>0</v>
      </c>
      <c r="U91" cm="1">
        <f t="array" ref="U91">IF($A91="","",IF(AND(INDEX($C91:$J91,U$2)&gt;0,$A91&lt;&gt;INDEX('TRIP MANAGER'!$T$18:$T$25,U$2),$A91&lt;&gt;INDEX('TRIP MANAGER'!$U$18:$U$25,U$2)),1,0))</f>
        <v>0</v>
      </c>
      <c r="V91" cm="1">
        <f t="array" ref="V91">IF($A91="","",IF(AND(INDEX($C91:$J91,V$2)&gt;0,$A91&lt;&gt;INDEX('TRIP MANAGER'!$T$18:$T$25,V$2),$A91&lt;&gt;INDEX('TRIP MANAGER'!$U$18:$U$25,V$2)),1,0))</f>
        <v>0</v>
      </c>
      <c r="W91" cm="1">
        <f t="array" ref="W91">IF($A91="","",IF(AND(INDEX($C91:$J91,W$2)&gt;0,$A91&lt;&gt;INDEX('TRIP MANAGER'!$T$18:$T$25,W$2),$A91&lt;&gt;INDEX('TRIP MANAGER'!$U$18:$U$25,W$2)),1,0))</f>
        <v>0</v>
      </c>
      <c r="X91" cm="1">
        <f t="array" ref="X91">IF($A91="","",IF(AND(INDEX($C91:$J91,X$2)&gt;0,$A91&lt;&gt;INDEX('TRIP MANAGER'!$T$18:$T$25,X$2),$A91&lt;&gt;INDEX('TRIP MANAGER'!$U$18:$U$25,X$2)),1,0))</f>
        <v>0</v>
      </c>
      <c r="Y91" cm="1">
        <f t="array" ref="Y91">IF($A91="","",IF(AND(INDEX($C91:$J91,Y$2)&gt;0,$A91&lt;&gt;INDEX('TRIP MANAGER'!$T$18:$T$25,Y$2),$A91&lt;&gt;INDEX('TRIP MANAGER'!$U$18:$U$25,Y$2)),1,0))</f>
        <v>0</v>
      </c>
    </row>
    <row r="92" spans="1:25" x14ac:dyDescent="0.3">
      <c r="A92" t="str">
        <f>IF(countries!$D91="","",countries!$D91)</f>
        <v>EST</v>
      </c>
      <c r="B92" t="str">
        <f>IF(countries!$B91="","",countries!$B91)</f>
        <v>Estonia</v>
      </c>
      <c r="C92">
        <f>IF($A92="","",COUNTIFS(route_calc!$A$2:$A$1209,C$2,route_calc!$P$2:$P$1209,$A92))</f>
        <v>0</v>
      </c>
      <c r="D92">
        <f>IF($A92="","",COUNTIFS(route_calc!$A$2:$A$1209,D$2,route_calc!$P$2:$P$1209,$A92))</f>
        <v>0</v>
      </c>
      <c r="E92">
        <f>IF($A92="","",COUNTIFS(route_calc!$A$2:$A$1209,E$2,route_calc!$P$2:$P$1209,$A92))</f>
        <v>0</v>
      </c>
      <c r="F92">
        <f>IF($A92="","",COUNTIFS(route_calc!$A$2:$A$1209,F$2,route_calc!$P$2:$P$1209,$A92))</f>
        <v>0</v>
      </c>
      <c r="G92">
        <f>IF($A92="","",COUNTIFS(route_calc!$A$2:$A$1209,G$2,route_calc!$P$2:$P$1209,$A92))</f>
        <v>0</v>
      </c>
      <c r="H92">
        <f>IF($A92="","",COUNTIFS(route_calc!$A$2:$A$1209,H$2,route_calc!$P$2:$P$1209,$A92))</f>
        <v>0</v>
      </c>
      <c r="I92">
        <f>IF($A92="","",COUNTIFS(route_calc!$A$2:$A$1209,I$2,route_calc!$P$2:$P$1209,$A92))</f>
        <v>0</v>
      </c>
      <c r="J92">
        <f>IF($A92="","",COUNTIFS(route_calc!$A$2:$A$1209,J$2,route_calc!$P$2:$P$1209,$A92))</f>
        <v>0</v>
      </c>
      <c r="K92" t="str">
        <f>IF($L92=0,"",_xlfn.MINIFS(route_calc!$Q$2:$Q$1209,route_calc!$P$2:$P$1209,$A92,route_calc!$A$2:$A$1209,MATCH(1,$R92:$Y92,0)))</f>
        <v/>
      </c>
      <c r="L92">
        <f t="shared" si="2"/>
        <v>0</v>
      </c>
      <c r="M92" t="str" cm="1">
        <f t="array" ref="M92">IF($L92=0,"",_xlfn.TEXTJOIN(", ",TRUE,IF($R92:$Y92&gt;0,$C$1:$J$1,"")))</f>
        <v/>
      </c>
      <c r="N92" t="str" cm="1">
        <f t="array" ref="N92">IF($L92=0,"",SUMPRODUCT(($L$3:$L$144=1)*($K$3:$K$144&lt;$K92))+1)</f>
        <v/>
      </c>
      <c r="O92" t="str">
        <f t="shared" si="3"/>
        <v/>
      </c>
      <c r="P92" t="str">
        <f>IF($A92="","",IFERROR(INDEX(countries!$G:$G,MATCH($A92,countries!$D:$D,0)),""))</f>
        <v>REQUIRED</v>
      </c>
      <c r="Q92" t="str">
        <f>IF($A92="","",IFERROR(IF(INDEX(countries!$I:$I,MATCH($A92,countries!$D:$D,0))=0,"",INDEX(countries!$I:$I,MATCH($A92,countries!$D:$D,0))),""))</f>
        <v/>
      </c>
      <c r="R92" cm="1">
        <f t="array" ref="R92">IF($A92="","",IF(AND(INDEX($C92:$J92,R$2)&gt;0,$A92&lt;&gt;INDEX('TRIP MANAGER'!$T$18:$T$25,R$2),$A92&lt;&gt;INDEX('TRIP MANAGER'!$U$18:$U$25,R$2)),1,0))</f>
        <v>0</v>
      </c>
      <c r="S92" cm="1">
        <f t="array" ref="S92">IF($A92="","",IF(AND(INDEX($C92:$J92,S$2)&gt;0,$A92&lt;&gt;INDEX('TRIP MANAGER'!$T$18:$T$25,S$2),$A92&lt;&gt;INDEX('TRIP MANAGER'!$U$18:$U$25,S$2)),1,0))</f>
        <v>0</v>
      </c>
      <c r="T92" cm="1">
        <f t="array" ref="T92">IF($A92="","",IF(AND(INDEX($C92:$J92,T$2)&gt;0,$A92&lt;&gt;INDEX('TRIP MANAGER'!$T$18:$T$25,T$2),$A92&lt;&gt;INDEX('TRIP MANAGER'!$U$18:$U$25,T$2)),1,0))</f>
        <v>0</v>
      </c>
      <c r="U92" cm="1">
        <f t="array" ref="U92">IF($A92="","",IF(AND(INDEX($C92:$J92,U$2)&gt;0,$A92&lt;&gt;INDEX('TRIP MANAGER'!$T$18:$T$25,U$2),$A92&lt;&gt;INDEX('TRIP MANAGER'!$U$18:$U$25,U$2)),1,0))</f>
        <v>0</v>
      </c>
      <c r="V92" cm="1">
        <f t="array" ref="V92">IF($A92="","",IF(AND(INDEX($C92:$J92,V$2)&gt;0,$A92&lt;&gt;INDEX('TRIP MANAGER'!$T$18:$T$25,V$2),$A92&lt;&gt;INDEX('TRIP MANAGER'!$U$18:$U$25,V$2)),1,0))</f>
        <v>0</v>
      </c>
      <c r="W92" cm="1">
        <f t="array" ref="W92">IF($A92="","",IF(AND(INDEX($C92:$J92,W$2)&gt;0,$A92&lt;&gt;INDEX('TRIP MANAGER'!$T$18:$T$25,W$2),$A92&lt;&gt;INDEX('TRIP MANAGER'!$U$18:$U$25,W$2)),1,0))</f>
        <v>0</v>
      </c>
      <c r="X92" cm="1">
        <f t="array" ref="X92">IF($A92="","",IF(AND(INDEX($C92:$J92,X$2)&gt;0,$A92&lt;&gt;INDEX('TRIP MANAGER'!$T$18:$T$25,X$2),$A92&lt;&gt;INDEX('TRIP MANAGER'!$U$18:$U$25,X$2)),1,0))</f>
        <v>0</v>
      </c>
      <c r="Y92" cm="1">
        <f t="array" ref="Y92">IF($A92="","",IF(AND(INDEX($C92:$J92,Y$2)&gt;0,$A92&lt;&gt;INDEX('TRIP MANAGER'!$T$18:$T$25,Y$2),$A92&lt;&gt;INDEX('TRIP MANAGER'!$U$18:$U$25,Y$2)),1,0))</f>
        <v>0</v>
      </c>
    </row>
    <row r="93" spans="1:25" x14ac:dyDescent="0.3">
      <c r="A93" t="str">
        <f>IF(countries!$D92="","",countries!$D92)</f>
        <v>FIN</v>
      </c>
      <c r="B93" t="str">
        <f>IF(countries!$B92="","",countries!$B92)</f>
        <v>Finland</v>
      </c>
      <c r="C93">
        <f>IF($A93="","",COUNTIFS(route_calc!$A$2:$A$1209,C$2,route_calc!$P$2:$P$1209,$A93))</f>
        <v>0</v>
      </c>
      <c r="D93">
        <f>IF($A93="","",COUNTIFS(route_calc!$A$2:$A$1209,D$2,route_calc!$P$2:$P$1209,$A93))</f>
        <v>0</v>
      </c>
      <c r="E93">
        <f>IF($A93="","",COUNTIFS(route_calc!$A$2:$A$1209,E$2,route_calc!$P$2:$P$1209,$A93))</f>
        <v>0</v>
      </c>
      <c r="F93">
        <f>IF($A93="","",COUNTIFS(route_calc!$A$2:$A$1209,F$2,route_calc!$P$2:$P$1209,$A93))</f>
        <v>0</v>
      </c>
      <c r="G93">
        <f>IF($A93="","",COUNTIFS(route_calc!$A$2:$A$1209,G$2,route_calc!$P$2:$P$1209,$A93))</f>
        <v>0</v>
      </c>
      <c r="H93">
        <f>IF($A93="","",COUNTIFS(route_calc!$A$2:$A$1209,H$2,route_calc!$P$2:$P$1209,$A93))</f>
        <v>0</v>
      </c>
      <c r="I93">
        <f>IF($A93="","",COUNTIFS(route_calc!$A$2:$A$1209,I$2,route_calc!$P$2:$P$1209,$A93))</f>
        <v>0</v>
      </c>
      <c r="J93">
        <f>IF($A93="","",COUNTIFS(route_calc!$A$2:$A$1209,J$2,route_calc!$P$2:$P$1209,$A93))</f>
        <v>0</v>
      </c>
      <c r="K93" t="str">
        <f>IF($L93=0,"",_xlfn.MINIFS(route_calc!$Q$2:$Q$1209,route_calc!$P$2:$P$1209,$A93,route_calc!$A$2:$A$1209,MATCH(1,$R93:$Y93,0)))</f>
        <v/>
      </c>
      <c r="L93">
        <f t="shared" si="2"/>
        <v>0</v>
      </c>
      <c r="M93" t="str" cm="1">
        <f t="array" ref="M93">IF($L93=0,"",_xlfn.TEXTJOIN(", ",TRUE,IF($R93:$Y93&gt;0,$C$1:$J$1,"")))</f>
        <v/>
      </c>
      <c r="N93" t="str" cm="1">
        <f t="array" ref="N93">IF($L93=0,"",SUMPRODUCT(($L$3:$L$144=1)*($K$3:$K$144&lt;$K93))+1)</f>
        <v/>
      </c>
      <c r="O93" t="str">
        <f t="shared" si="3"/>
        <v/>
      </c>
      <c r="P93" t="str">
        <f>IF($A93="","",IFERROR(INDEX(countries!$G:$G,MATCH($A93,countries!$D:$D,0)),""))</f>
        <v>REQUIRED</v>
      </c>
      <c r="Q93" t="str">
        <f>IF($A93="","",IFERROR(IF(INDEX(countries!$I:$I,MATCH($A93,countries!$D:$D,0))=0,"",INDEX(countries!$I:$I,MATCH($A93,countries!$D:$D,0))),""))</f>
        <v/>
      </c>
      <c r="R93" cm="1">
        <f t="array" ref="R93">IF($A93="","",IF(AND(INDEX($C93:$J93,R$2)&gt;0,$A93&lt;&gt;INDEX('TRIP MANAGER'!$T$18:$T$25,R$2),$A93&lt;&gt;INDEX('TRIP MANAGER'!$U$18:$U$25,R$2)),1,0))</f>
        <v>0</v>
      </c>
      <c r="S93" cm="1">
        <f t="array" ref="S93">IF($A93="","",IF(AND(INDEX($C93:$J93,S$2)&gt;0,$A93&lt;&gt;INDEX('TRIP MANAGER'!$T$18:$T$25,S$2),$A93&lt;&gt;INDEX('TRIP MANAGER'!$U$18:$U$25,S$2)),1,0))</f>
        <v>0</v>
      </c>
      <c r="T93" cm="1">
        <f t="array" ref="T93">IF($A93="","",IF(AND(INDEX($C93:$J93,T$2)&gt;0,$A93&lt;&gt;INDEX('TRIP MANAGER'!$T$18:$T$25,T$2),$A93&lt;&gt;INDEX('TRIP MANAGER'!$U$18:$U$25,T$2)),1,0))</f>
        <v>0</v>
      </c>
      <c r="U93" cm="1">
        <f t="array" ref="U93">IF($A93="","",IF(AND(INDEX($C93:$J93,U$2)&gt;0,$A93&lt;&gt;INDEX('TRIP MANAGER'!$T$18:$T$25,U$2),$A93&lt;&gt;INDEX('TRIP MANAGER'!$U$18:$U$25,U$2)),1,0))</f>
        <v>0</v>
      </c>
      <c r="V93" cm="1">
        <f t="array" ref="V93">IF($A93="","",IF(AND(INDEX($C93:$J93,V$2)&gt;0,$A93&lt;&gt;INDEX('TRIP MANAGER'!$T$18:$T$25,V$2),$A93&lt;&gt;INDEX('TRIP MANAGER'!$U$18:$U$25,V$2)),1,0))</f>
        <v>0</v>
      </c>
      <c r="W93" cm="1">
        <f t="array" ref="W93">IF($A93="","",IF(AND(INDEX($C93:$J93,W$2)&gt;0,$A93&lt;&gt;INDEX('TRIP MANAGER'!$T$18:$T$25,W$2),$A93&lt;&gt;INDEX('TRIP MANAGER'!$U$18:$U$25,W$2)),1,0))</f>
        <v>0</v>
      </c>
      <c r="X93" cm="1">
        <f t="array" ref="X93">IF($A93="","",IF(AND(INDEX($C93:$J93,X$2)&gt;0,$A93&lt;&gt;INDEX('TRIP MANAGER'!$T$18:$T$25,X$2),$A93&lt;&gt;INDEX('TRIP MANAGER'!$U$18:$U$25,X$2)),1,0))</f>
        <v>0</v>
      </c>
      <c r="Y93" cm="1">
        <f t="array" ref="Y93">IF($A93="","",IF(AND(INDEX($C93:$J93,Y$2)&gt;0,$A93&lt;&gt;INDEX('TRIP MANAGER'!$T$18:$T$25,Y$2),$A93&lt;&gt;INDEX('TRIP MANAGER'!$U$18:$U$25,Y$2)),1,0))</f>
        <v>0</v>
      </c>
    </row>
    <row r="94" spans="1:25" x14ac:dyDescent="0.3">
      <c r="A94" t="str">
        <f>IF(countries!$D93="","",countries!$D93)</f>
        <v>FRA</v>
      </c>
      <c r="B94" t="str">
        <f>IF(countries!$B93="","",countries!$B93)</f>
        <v>France</v>
      </c>
      <c r="C94">
        <f>IF($A94="","",COUNTIFS(route_calc!$A$2:$A$1209,C$2,route_calc!$P$2:$P$1209,$A94))</f>
        <v>0</v>
      </c>
      <c r="D94">
        <f>IF($A94="","",COUNTIFS(route_calc!$A$2:$A$1209,D$2,route_calc!$P$2:$P$1209,$A94))</f>
        <v>0</v>
      </c>
      <c r="E94">
        <f>IF($A94="","",COUNTIFS(route_calc!$A$2:$A$1209,E$2,route_calc!$P$2:$P$1209,$A94))</f>
        <v>0</v>
      </c>
      <c r="F94">
        <f>IF($A94="","",COUNTIFS(route_calc!$A$2:$A$1209,F$2,route_calc!$P$2:$P$1209,$A94))</f>
        <v>0</v>
      </c>
      <c r="G94">
        <f>IF($A94="","",COUNTIFS(route_calc!$A$2:$A$1209,G$2,route_calc!$P$2:$P$1209,$A94))</f>
        <v>0</v>
      </c>
      <c r="H94">
        <f>IF($A94="","",COUNTIFS(route_calc!$A$2:$A$1209,H$2,route_calc!$P$2:$P$1209,$A94))</f>
        <v>0</v>
      </c>
      <c r="I94">
        <f>IF($A94="","",COUNTIFS(route_calc!$A$2:$A$1209,I$2,route_calc!$P$2:$P$1209,$A94))</f>
        <v>0</v>
      </c>
      <c r="J94">
        <f>IF($A94="","",COUNTIFS(route_calc!$A$2:$A$1209,J$2,route_calc!$P$2:$P$1209,$A94))</f>
        <v>0</v>
      </c>
      <c r="K94" t="str">
        <f>IF($L94=0,"",_xlfn.MINIFS(route_calc!$Q$2:$Q$1209,route_calc!$P$2:$P$1209,$A94,route_calc!$A$2:$A$1209,MATCH(1,$R94:$Y94,0)))</f>
        <v/>
      </c>
      <c r="L94">
        <f t="shared" si="2"/>
        <v>0</v>
      </c>
      <c r="M94" t="str" cm="1">
        <f t="array" ref="M94">IF($L94=0,"",_xlfn.TEXTJOIN(", ",TRUE,IF($R94:$Y94&gt;0,$C$1:$J$1,"")))</f>
        <v/>
      </c>
      <c r="N94" t="str" cm="1">
        <f t="array" ref="N94">IF($L94=0,"",SUMPRODUCT(($L$3:$L$144=1)*($K$3:$K$144&lt;$K94))+1)</f>
        <v/>
      </c>
      <c r="O94" t="str">
        <f t="shared" si="3"/>
        <v/>
      </c>
      <c r="P94" t="str">
        <f>IF($A94="","",IFERROR(INDEX(countries!$G:$G,MATCH($A94,countries!$D:$D,0)),""))</f>
        <v>REQUIRED</v>
      </c>
      <c r="Q94" t="str">
        <f>IF($A94="","",IFERROR(IF(INDEX(countries!$I:$I,MATCH($A94,countries!$D:$D,0))=0,"",INDEX(countries!$I:$I,MATCH($A94,countries!$D:$D,0))),""))</f>
        <v/>
      </c>
      <c r="R94" cm="1">
        <f t="array" ref="R94">IF($A94="","",IF(AND(INDEX($C94:$J94,R$2)&gt;0,$A94&lt;&gt;INDEX('TRIP MANAGER'!$T$18:$T$25,R$2),$A94&lt;&gt;INDEX('TRIP MANAGER'!$U$18:$U$25,R$2)),1,0))</f>
        <v>0</v>
      </c>
      <c r="S94" cm="1">
        <f t="array" ref="S94">IF($A94="","",IF(AND(INDEX($C94:$J94,S$2)&gt;0,$A94&lt;&gt;INDEX('TRIP MANAGER'!$T$18:$T$25,S$2),$A94&lt;&gt;INDEX('TRIP MANAGER'!$U$18:$U$25,S$2)),1,0))</f>
        <v>0</v>
      </c>
      <c r="T94" cm="1">
        <f t="array" ref="T94">IF($A94="","",IF(AND(INDEX($C94:$J94,T$2)&gt;0,$A94&lt;&gt;INDEX('TRIP MANAGER'!$T$18:$T$25,T$2),$A94&lt;&gt;INDEX('TRIP MANAGER'!$U$18:$U$25,T$2)),1,0))</f>
        <v>0</v>
      </c>
      <c r="U94" cm="1">
        <f t="array" ref="U94">IF($A94="","",IF(AND(INDEX($C94:$J94,U$2)&gt;0,$A94&lt;&gt;INDEX('TRIP MANAGER'!$T$18:$T$25,U$2),$A94&lt;&gt;INDEX('TRIP MANAGER'!$U$18:$U$25,U$2)),1,0))</f>
        <v>0</v>
      </c>
      <c r="V94" cm="1">
        <f t="array" ref="V94">IF($A94="","",IF(AND(INDEX($C94:$J94,V$2)&gt;0,$A94&lt;&gt;INDEX('TRIP MANAGER'!$T$18:$T$25,V$2),$A94&lt;&gt;INDEX('TRIP MANAGER'!$U$18:$U$25,V$2)),1,0))</f>
        <v>0</v>
      </c>
      <c r="W94" cm="1">
        <f t="array" ref="W94">IF($A94="","",IF(AND(INDEX($C94:$J94,W$2)&gt;0,$A94&lt;&gt;INDEX('TRIP MANAGER'!$T$18:$T$25,W$2),$A94&lt;&gt;INDEX('TRIP MANAGER'!$U$18:$U$25,W$2)),1,0))</f>
        <v>0</v>
      </c>
      <c r="X94" cm="1">
        <f t="array" ref="X94">IF($A94="","",IF(AND(INDEX($C94:$J94,X$2)&gt;0,$A94&lt;&gt;INDEX('TRIP MANAGER'!$T$18:$T$25,X$2),$A94&lt;&gt;INDEX('TRIP MANAGER'!$U$18:$U$25,X$2)),1,0))</f>
        <v>0</v>
      </c>
      <c r="Y94" cm="1">
        <f t="array" ref="Y94">IF($A94="","",IF(AND(INDEX($C94:$J94,Y$2)&gt;0,$A94&lt;&gt;INDEX('TRIP MANAGER'!$T$18:$T$25,Y$2),$A94&lt;&gt;INDEX('TRIP MANAGER'!$U$18:$U$25,Y$2)),1,0))</f>
        <v>0</v>
      </c>
    </row>
    <row r="95" spans="1:25" x14ac:dyDescent="0.3">
      <c r="A95" t="str">
        <f>IF(countries!$D94="","",countries!$D94)</f>
        <v>GBR</v>
      </c>
      <c r="B95" t="str">
        <f>IF(countries!$B94="","",countries!$B94)</f>
        <v>United Kingdom</v>
      </c>
      <c r="C95">
        <f>IF($A95="","",COUNTIFS(route_calc!$A$2:$A$1209,C$2,route_calc!$P$2:$P$1209,$A95))</f>
        <v>0</v>
      </c>
      <c r="D95">
        <f>IF($A95="","",COUNTIFS(route_calc!$A$2:$A$1209,D$2,route_calc!$P$2:$P$1209,$A95))</f>
        <v>0</v>
      </c>
      <c r="E95">
        <f>IF($A95="","",COUNTIFS(route_calc!$A$2:$A$1209,E$2,route_calc!$P$2:$P$1209,$A95))</f>
        <v>0</v>
      </c>
      <c r="F95">
        <f>IF($A95="","",COUNTIFS(route_calc!$A$2:$A$1209,F$2,route_calc!$P$2:$P$1209,$A95))</f>
        <v>0</v>
      </c>
      <c r="G95">
        <f>IF($A95="","",COUNTIFS(route_calc!$A$2:$A$1209,G$2,route_calc!$P$2:$P$1209,$A95))</f>
        <v>0</v>
      </c>
      <c r="H95">
        <f>IF($A95="","",COUNTIFS(route_calc!$A$2:$A$1209,H$2,route_calc!$P$2:$P$1209,$A95))</f>
        <v>0</v>
      </c>
      <c r="I95">
        <f>IF($A95="","",COUNTIFS(route_calc!$A$2:$A$1209,I$2,route_calc!$P$2:$P$1209,$A95))</f>
        <v>0</v>
      </c>
      <c r="J95">
        <f>IF($A95="","",COUNTIFS(route_calc!$A$2:$A$1209,J$2,route_calc!$P$2:$P$1209,$A95))</f>
        <v>0</v>
      </c>
      <c r="K95" t="str">
        <f>IF($L95=0,"",_xlfn.MINIFS(route_calc!$Q$2:$Q$1209,route_calc!$P$2:$P$1209,$A95,route_calc!$A$2:$A$1209,MATCH(1,$R95:$Y95,0)))</f>
        <v/>
      </c>
      <c r="L95">
        <f t="shared" si="2"/>
        <v>0</v>
      </c>
      <c r="M95" t="str" cm="1">
        <f t="array" ref="M95">IF($L95=0,"",_xlfn.TEXTJOIN(", ",TRUE,IF($R95:$Y95&gt;0,$C$1:$J$1,"")))</f>
        <v/>
      </c>
      <c r="N95" t="str" cm="1">
        <f t="array" ref="N95">IF($L95=0,"",SUMPRODUCT(($L$3:$L$144=1)*($K$3:$K$144&lt;$K95))+1)</f>
        <v/>
      </c>
      <c r="O95" t="str">
        <f t="shared" si="3"/>
        <v/>
      </c>
      <c r="P95" t="str">
        <f>IF($A95="","",IFERROR(INDEX(countries!$G:$G,MATCH($A95,countries!$D:$D,0)),""))</f>
        <v>REQUIRED</v>
      </c>
      <c r="Q95" t="str">
        <f>IF($A95="","",IFERROR(IF(INDEX(countries!$I:$I,MATCH($A95,countries!$D:$D,0))=0,"",INDEX(countries!$I:$I,MATCH($A95,countries!$D:$D,0))),""))</f>
        <v/>
      </c>
      <c r="R95" cm="1">
        <f t="array" ref="R95">IF($A95="","",IF(AND(INDEX($C95:$J95,R$2)&gt;0,$A95&lt;&gt;INDEX('TRIP MANAGER'!$T$18:$T$25,R$2),$A95&lt;&gt;INDEX('TRIP MANAGER'!$U$18:$U$25,R$2)),1,0))</f>
        <v>0</v>
      </c>
      <c r="S95" cm="1">
        <f t="array" ref="S95">IF($A95="","",IF(AND(INDEX($C95:$J95,S$2)&gt;0,$A95&lt;&gt;INDEX('TRIP MANAGER'!$T$18:$T$25,S$2),$A95&lt;&gt;INDEX('TRIP MANAGER'!$U$18:$U$25,S$2)),1,0))</f>
        <v>0</v>
      </c>
      <c r="T95" cm="1">
        <f t="array" ref="T95">IF($A95="","",IF(AND(INDEX($C95:$J95,T$2)&gt;0,$A95&lt;&gt;INDEX('TRIP MANAGER'!$T$18:$T$25,T$2),$A95&lt;&gt;INDEX('TRIP MANAGER'!$U$18:$U$25,T$2)),1,0))</f>
        <v>0</v>
      </c>
      <c r="U95" cm="1">
        <f t="array" ref="U95">IF($A95="","",IF(AND(INDEX($C95:$J95,U$2)&gt;0,$A95&lt;&gt;INDEX('TRIP MANAGER'!$T$18:$T$25,U$2),$A95&lt;&gt;INDEX('TRIP MANAGER'!$U$18:$U$25,U$2)),1,0))</f>
        <v>0</v>
      </c>
      <c r="V95" cm="1">
        <f t="array" ref="V95">IF($A95="","",IF(AND(INDEX($C95:$J95,V$2)&gt;0,$A95&lt;&gt;INDEX('TRIP MANAGER'!$T$18:$T$25,V$2),$A95&lt;&gt;INDEX('TRIP MANAGER'!$U$18:$U$25,V$2)),1,0))</f>
        <v>0</v>
      </c>
      <c r="W95" cm="1">
        <f t="array" ref="W95">IF($A95="","",IF(AND(INDEX($C95:$J95,W$2)&gt;0,$A95&lt;&gt;INDEX('TRIP MANAGER'!$T$18:$T$25,W$2),$A95&lt;&gt;INDEX('TRIP MANAGER'!$U$18:$U$25,W$2)),1,0))</f>
        <v>0</v>
      </c>
      <c r="X95" cm="1">
        <f t="array" ref="X95">IF($A95="","",IF(AND(INDEX($C95:$J95,X$2)&gt;0,$A95&lt;&gt;INDEX('TRIP MANAGER'!$T$18:$T$25,X$2),$A95&lt;&gt;INDEX('TRIP MANAGER'!$U$18:$U$25,X$2)),1,0))</f>
        <v>0</v>
      </c>
      <c r="Y95" cm="1">
        <f t="array" ref="Y95">IF($A95="","",IF(AND(INDEX($C95:$J95,Y$2)&gt;0,$A95&lt;&gt;INDEX('TRIP MANAGER'!$T$18:$T$25,Y$2),$A95&lt;&gt;INDEX('TRIP MANAGER'!$U$18:$U$25,Y$2)),1,0))</f>
        <v>0</v>
      </c>
    </row>
    <row r="96" spans="1:25" x14ac:dyDescent="0.3">
      <c r="A96" t="str">
        <f>IF(countries!$D95="","",countries!$D95)</f>
        <v>GEO</v>
      </c>
      <c r="B96" t="str">
        <f>IF(countries!$B95="","",countries!$B95)</f>
        <v>Georgia</v>
      </c>
      <c r="C96">
        <f>IF($A96="","",COUNTIFS(route_calc!$A$2:$A$1209,C$2,route_calc!$P$2:$P$1209,$A96))</f>
        <v>0</v>
      </c>
      <c r="D96">
        <f>IF($A96="","",COUNTIFS(route_calc!$A$2:$A$1209,D$2,route_calc!$P$2:$P$1209,$A96))</f>
        <v>0</v>
      </c>
      <c r="E96">
        <f>IF($A96="","",COUNTIFS(route_calc!$A$2:$A$1209,E$2,route_calc!$P$2:$P$1209,$A96))</f>
        <v>0</v>
      </c>
      <c r="F96">
        <f>IF($A96="","",COUNTIFS(route_calc!$A$2:$A$1209,F$2,route_calc!$P$2:$P$1209,$A96))</f>
        <v>0</v>
      </c>
      <c r="G96">
        <f>IF($A96="","",COUNTIFS(route_calc!$A$2:$A$1209,G$2,route_calc!$P$2:$P$1209,$A96))</f>
        <v>0</v>
      </c>
      <c r="H96">
        <f>IF($A96="","",COUNTIFS(route_calc!$A$2:$A$1209,H$2,route_calc!$P$2:$P$1209,$A96))</f>
        <v>0</v>
      </c>
      <c r="I96">
        <f>IF($A96="","",COUNTIFS(route_calc!$A$2:$A$1209,I$2,route_calc!$P$2:$P$1209,$A96))</f>
        <v>0</v>
      </c>
      <c r="J96">
        <f>IF($A96="","",COUNTIFS(route_calc!$A$2:$A$1209,J$2,route_calc!$P$2:$P$1209,$A96))</f>
        <v>0</v>
      </c>
      <c r="K96" t="str">
        <f>IF($L96=0,"",_xlfn.MINIFS(route_calc!$Q$2:$Q$1209,route_calc!$P$2:$P$1209,$A96,route_calc!$A$2:$A$1209,MATCH(1,$R96:$Y96,0)))</f>
        <v/>
      </c>
      <c r="L96">
        <f t="shared" si="2"/>
        <v>0</v>
      </c>
      <c r="M96" t="str" cm="1">
        <f t="array" ref="M96">IF($L96=0,"",_xlfn.TEXTJOIN(", ",TRUE,IF($R96:$Y96&gt;0,$C$1:$J$1,"")))</f>
        <v/>
      </c>
      <c r="N96" t="str" cm="1">
        <f t="array" ref="N96">IF($L96=0,"",SUMPRODUCT(($L$3:$L$144=1)*($K$3:$K$144&lt;$K96))+1)</f>
        <v/>
      </c>
      <c r="O96" t="str">
        <f t="shared" si="3"/>
        <v/>
      </c>
      <c r="P96" t="str">
        <f>IF($A96="","",IFERROR(INDEX(countries!$G:$G,MATCH($A96,countries!$D:$D,0)),""))</f>
        <v>REQUIRED</v>
      </c>
      <c r="Q96" t="str">
        <f>IF($A96="","",IFERROR(IF(INDEX(countries!$I:$I,MATCH($A96,countries!$D:$D,0))=0,"",INDEX(countries!$I:$I,MATCH($A96,countries!$D:$D,0))),""))</f>
        <v/>
      </c>
      <c r="R96" cm="1">
        <f t="array" ref="R96">IF($A96="","",IF(AND(INDEX($C96:$J96,R$2)&gt;0,$A96&lt;&gt;INDEX('TRIP MANAGER'!$T$18:$T$25,R$2),$A96&lt;&gt;INDEX('TRIP MANAGER'!$U$18:$U$25,R$2)),1,0))</f>
        <v>0</v>
      </c>
      <c r="S96" cm="1">
        <f t="array" ref="S96">IF($A96="","",IF(AND(INDEX($C96:$J96,S$2)&gt;0,$A96&lt;&gt;INDEX('TRIP MANAGER'!$T$18:$T$25,S$2),$A96&lt;&gt;INDEX('TRIP MANAGER'!$U$18:$U$25,S$2)),1,0))</f>
        <v>0</v>
      </c>
      <c r="T96" cm="1">
        <f t="array" ref="T96">IF($A96="","",IF(AND(INDEX($C96:$J96,T$2)&gt;0,$A96&lt;&gt;INDEX('TRIP MANAGER'!$T$18:$T$25,T$2),$A96&lt;&gt;INDEX('TRIP MANAGER'!$U$18:$U$25,T$2)),1,0))</f>
        <v>0</v>
      </c>
      <c r="U96" cm="1">
        <f t="array" ref="U96">IF($A96="","",IF(AND(INDEX($C96:$J96,U$2)&gt;0,$A96&lt;&gt;INDEX('TRIP MANAGER'!$T$18:$T$25,U$2),$A96&lt;&gt;INDEX('TRIP MANAGER'!$U$18:$U$25,U$2)),1,0))</f>
        <v>0</v>
      </c>
      <c r="V96" cm="1">
        <f t="array" ref="V96">IF($A96="","",IF(AND(INDEX($C96:$J96,V$2)&gt;0,$A96&lt;&gt;INDEX('TRIP MANAGER'!$T$18:$T$25,V$2),$A96&lt;&gt;INDEX('TRIP MANAGER'!$U$18:$U$25,V$2)),1,0))</f>
        <v>0</v>
      </c>
      <c r="W96" cm="1">
        <f t="array" ref="W96">IF($A96="","",IF(AND(INDEX($C96:$J96,W$2)&gt;0,$A96&lt;&gt;INDEX('TRIP MANAGER'!$T$18:$T$25,W$2),$A96&lt;&gt;INDEX('TRIP MANAGER'!$U$18:$U$25,W$2)),1,0))</f>
        <v>0</v>
      </c>
      <c r="X96" cm="1">
        <f t="array" ref="X96">IF($A96="","",IF(AND(INDEX($C96:$J96,X$2)&gt;0,$A96&lt;&gt;INDEX('TRIP MANAGER'!$T$18:$T$25,X$2),$A96&lt;&gt;INDEX('TRIP MANAGER'!$U$18:$U$25,X$2)),1,0))</f>
        <v>0</v>
      </c>
      <c r="Y96" cm="1">
        <f t="array" ref="Y96">IF($A96="","",IF(AND(INDEX($C96:$J96,Y$2)&gt;0,$A96&lt;&gt;INDEX('TRIP MANAGER'!$T$18:$T$25,Y$2),$A96&lt;&gt;INDEX('TRIP MANAGER'!$U$18:$U$25,Y$2)),1,0))</f>
        <v>0</v>
      </c>
    </row>
    <row r="97" spans="1:25" x14ac:dyDescent="0.3">
      <c r="A97" t="str">
        <f>IF(countries!$D96="","",countries!$D96)</f>
        <v>GRC</v>
      </c>
      <c r="B97" t="str">
        <f>IF(countries!$B96="","",countries!$B96)</f>
        <v>Greece</v>
      </c>
      <c r="C97">
        <f>IF($A97="","",COUNTIFS(route_calc!$A$2:$A$1209,C$2,route_calc!$P$2:$P$1209,$A97))</f>
        <v>0</v>
      </c>
      <c r="D97">
        <f>IF($A97="","",COUNTIFS(route_calc!$A$2:$A$1209,D$2,route_calc!$P$2:$P$1209,$A97))</f>
        <v>0</v>
      </c>
      <c r="E97">
        <f>IF($A97="","",COUNTIFS(route_calc!$A$2:$A$1209,E$2,route_calc!$P$2:$P$1209,$A97))</f>
        <v>0</v>
      </c>
      <c r="F97">
        <f>IF($A97="","",COUNTIFS(route_calc!$A$2:$A$1209,F$2,route_calc!$P$2:$P$1209,$A97))</f>
        <v>0</v>
      </c>
      <c r="G97">
        <f>IF($A97="","",COUNTIFS(route_calc!$A$2:$A$1209,G$2,route_calc!$P$2:$P$1209,$A97))</f>
        <v>0</v>
      </c>
      <c r="H97">
        <f>IF($A97="","",COUNTIFS(route_calc!$A$2:$A$1209,H$2,route_calc!$P$2:$P$1209,$A97))</f>
        <v>0</v>
      </c>
      <c r="I97">
        <f>IF($A97="","",COUNTIFS(route_calc!$A$2:$A$1209,I$2,route_calc!$P$2:$P$1209,$A97))</f>
        <v>0</v>
      </c>
      <c r="J97">
        <f>IF($A97="","",COUNTIFS(route_calc!$A$2:$A$1209,J$2,route_calc!$P$2:$P$1209,$A97))</f>
        <v>0</v>
      </c>
      <c r="K97" t="str">
        <f>IF($L97=0,"",_xlfn.MINIFS(route_calc!$Q$2:$Q$1209,route_calc!$P$2:$P$1209,$A97,route_calc!$A$2:$A$1209,MATCH(1,$R97:$Y97,0)))</f>
        <v/>
      </c>
      <c r="L97">
        <f t="shared" si="2"/>
        <v>0</v>
      </c>
      <c r="M97" t="str" cm="1">
        <f t="array" ref="M97">IF($L97=0,"",_xlfn.TEXTJOIN(", ",TRUE,IF($R97:$Y97&gt;0,$C$1:$J$1,"")))</f>
        <v/>
      </c>
      <c r="N97" t="str" cm="1">
        <f t="array" ref="N97">IF($L97=0,"",SUMPRODUCT(($L$3:$L$144=1)*($K$3:$K$144&lt;$K97))+1)</f>
        <v/>
      </c>
      <c r="O97" t="str">
        <f t="shared" si="3"/>
        <v/>
      </c>
      <c r="P97" t="str">
        <f>IF($A97="","",IFERROR(INDEX(countries!$G:$G,MATCH($A97,countries!$D:$D,0)),""))</f>
        <v>REQUIRED</v>
      </c>
      <c r="Q97" t="str">
        <f>IF($A97="","",IFERROR(IF(INDEX(countries!$I:$I,MATCH($A97,countries!$D:$D,0))=0,"",INDEX(countries!$I:$I,MATCH($A97,countries!$D:$D,0))),""))</f>
        <v/>
      </c>
      <c r="R97" cm="1">
        <f t="array" ref="R97">IF($A97="","",IF(AND(INDEX($C97:$J97,R$2)&gt;0,$A97&lt;&gt;INDEX('TRIP MANAGER'!$T$18:$T$25,R$2),$A97&lt;&gt;INDEX('TRIP MANAGER'!$U$18:$U$25,R$2)),1,0))</f>
        <v>0</v>
      </c>
      <c r="S97" cm="1">
        <f t="array" ref="S97">IF($A97="","",IF(AND(INDEX($C97:$J97,S$2)&gt;0,$A97&lt;&gt;INDEX('TRIP MANAGER'!$T$18:$T$25,S$2),$A97&lt;&gt;INDEX('TRIP MANAGER'!$U$18:$U$25,S$2)),1,0))</f>
        <v>0</v>
      </c>
      <c r="T97" cm="1">
        <f t="array" ref="T97">IF($A97="","",IF(AND(INDEX($C97:$J97,T$2)&gt;0,$A97&lt;&gt;INDEX('TRIP MANAGER'!$T$18:$T$25,T$2),$A97&lt;&gt;INDEX('TRIP MANAGER'!$U$18:$U$25,T$2)),1,0))</f>
        <v>0</v>
      </c>
      <c r="U97" cm="1">
        <f t="array" ref="U97">IF($A97="","",IF(AND(INDEX($C97:$J97,U$2)&gt;0,$A97&lt;&gt;INDEX('TRIP MANAGER'!$T$18:$T$25,U$2),$A97&lt;&gt;INDEX('TRIP MANAGER'!$U$18:$U$25,U$2)),1,0))</f>
        <v>0</v>
      </c>
      <c r="V97" cm="1">
        <f t="array" ref="V97">IF($A97="","",IF(AND(INDEX($C97:$J97,V$2)&gt;0,$A97&lt;&gt;INDEX('TRIP MANAGER'!$T$18:$T$25,V$2),$A97&lt;&gt;INDEX('TRIP MANAGER'!$U$18:$U$25,V$2)),1,0))</f>
        <v>0</v>
      </c>
      <c r="W97" cm="1">
        <f t="array" ref="W97">IF($A97="","",IF(AND(INDEX($C97:$J97,W$2)&gt;0,$A97&lt;&gt;INDEX('TRIP MANAGER'!$T$18:$T$25,W$2),$A97&lt;&gt;INDEX('TRIP MANAGER'!$U$18:$U$25,W$2)),1,0))</f>
        <v>0</v>
      </c>
      <c r="X97" cm="1">
        <f t="array" ref="X97">IF($A97="","",IF(AND(INDEX($C97:$J97,X$2)&gt;0,$A97&lt;&gt;INDEX('TRIP MANAGER'!$T$18:$T$25,X$2),$A97&lt;&gt;INDEX('TRIP MANAGER'!$U$18:$U$25,X$2)),1,0))</f>
        <v>0</v>
      </c>
      <c r="Y97" cm="1">
        <f t="array" ref="Y97">IF($A97="","",IF(AND(INDEX($C97:$J97,Y$2)&gt;0,$A97&lt;&gt;INDEX('TRIP MANAGER'!$T$18:$T$25,Y$2),$A97&lt;&gt;INDEX('TRIP MANAGER'!$U$18:$U$25,Y$2)),1,0))</f>
        <v>0</v>
      </c>
    </row>
    <row r="98" spans="1:25" x14ac:dyDescent="0.3">
      <c r="A98" t="str">
        <f>IF(countries!$D97="","",countries!$D97)</f>
        <v>GRL</v>
      </c>
      <c r="B98" t="str">
        <f>IF(countries!$B97="","",countries!$B97)</f>
        <v>Greenland</v>
      </c>
      <c r="C98">
        <f>IF($A98="","",COUNTIFS(route_calc!$A$2:$A$1209,C$2,route_calc!$P$2:$P$1209,$A98))</f>
        <v>0</v>
      </c>
      <c r="D98">
        <f>IF($A98="","",COUNTIFS(route_calc!$A$2:$A$1209,D$2,route_calc!$P$2:$P$1209,$A98))</f>
        <v>0</v>
      </c>
      <c r="E98">
        <f>IF($A98="","",COUNTIFS(route_calc!$A$2:$A$1209,E$2,route_calc!$P$2:$P$1209,$A98))</f>
        <v>0</v>
      </c>
      <c r="F98">
        <f>IF($A98="","",COUNTIFS(route_calc!$A$2:$A$1209,F$2,route_calc!$P$2:$P$1209,$A98))</f>
        <v>0</v>
      </c>
      <c r="G98">
        <f>IF($A98="","",COUNTIFS(route_calc!$A$2:$A$1209,G$2,route_calc!$P$2:$P$1209,$A98))</f>
        <v>0</v>
      </c>
      <c r="H98">
        <f>IF($A98="","",COUNTIFS(route_calc!$A$2:$A$1209,H$2,route_calc!$P$2:$P$1209,$A98))</f>
        <v>0</v>
      </c>
      <c r="I98">
        <f>IF($A98="","",COUNTIFS(route_calc!$A$2:$A$1209,I$2,route_calc!$P$2:$P$1209,$A98))</f>
        <v>0</v>
      </c>
      <c r="J98">
        <f>IF($A98="","",COUNTIFS(route_calc!$A$2:$A$1209,J$2,route_calc!$P$2:$P$1209,$A98))</f>
        <v>0</v>
      </c>
      <c r="K98" t="str">
        <f>IF($L98=0,"",_xlfn.MINIFS(route_calc!$Q$2:$Q$1209,route_calc!$P$2:$P$1209,$A98,route_calc!$A$2:$A$1209,MATCH(1,$R98:$Y98,0)))</f>
        <v/>
      </c>
      <c r="L98">
        <f t="shared" si="2"/>
        <v>0</v>
      </c>
      <c r="M98" t="str" cm="1">
        <f t="array" ref="M98">IF($L98=0,"",_xlfn.TEXTJOIN(", ",TRUE,IF($R98:$Y98&gt;0,$C$1:$J$1,"")))</f>
        <v/>
      </c>
      <c r="N98" t="str" cm="1">
        <f t="array" ref="N98">IF($L98=0,"",SUMPRODUCT(($L$3:$L$144=1)*($K$3:$K$144&lt;$K98))+1)</f>
        <v/>
      </c>
      <c r="O98" t="str">
        <f t="shared" si="3"/>
        <v/>
      </c>
      <c r="P98" t="str">
        <f>IF($A98="","",IFERROR(INDEX(countries!$G:$G,MATCH($A98,countries!$D:$D,0)),""))</f>
        <v>REQUIRED</v>
      </c>
      <c r="Q98" t="str">
        <f>IF($A98="","",IFERROR(IF(INDEX(countries!$I:$I,MATCH($A98,countries!$D:$D,0))=0,"",INDEX(countries!$I:$I,MATCH($A98,countries!$D:$D,0))),""))</f>
        <v/>
      </c>
      <c r="R98" cm="1">
        <f t="array" ref="R98">IF($A98="","",IF(AND(INDEX($C98:$J98,R$2)&gt;0,$A98&lt;&gt;INDEX('TRIP MANAGER'!$T$18:$T$25,R$2),$A98&lt;&gt;INDEX('TRIP MANAGER'!$U$18:$U$25,R$2)),1,0))</f>
        <v>0</v>
      </c>
      <c r="S98" cm="1">
        <f t="array" ref="S98">IF($A98="","",IF(AND(INDEX($C98:$J98,S$2)&gt;0,$A98&lt;&gt;INDEX('TRIP MANAGER'!$T$18:$T$25,S$2),$A98&lt;&gt;INDEX('TRIP MANAGER'!$U$18:$U$25,S$2)),1,0))</f>
        <v>0</v>
      </c>
      <c r="T98" cm="1">
        <f t="array" ref="T98">IF($A98="","",IF(AND(INDEX($C98:$J98,T$2)&gt;0,$A98&lt;&gt;INDEX('TRIP MANAGER'!$T$18:$T$25,T$2),$A98&lt;&gt;INDEX('TRIP MANAGER'!$U$18:$U$25,T$2)),1,0))</f>
        <v>0</v>
      </c>
      <c r="U98" cm="1">
        <f t="array" ref="U98">IF($A98="","",IF(AND(INDEX($C98:$J98,U$2)&gt;0,$A98&lt;&gt;INDEX('TRIP MANAGER'!$T$18:$T$25,U$2),$A98&lt;&gt;INDEX('TRIP MANAGER'!$U$18:$U$25,U$2)),1,0))</f>
        <v>0</v>
      </c>
      <c r="V98" cm="1">
        <f t="array" ref="V98">IF($A98="","",IF(AND(INDEX($C98:$J98,V$2)&gt;0,$A98&lt;&gt;INDEX('TRIP MANAGER'!$T$18:$T$25,V$2),$A98&lt;&gt;INDEX('TRIP MANAGER'!$U$18:$U$25,V$2)),1,0))</f>
        <v>0</v>
      </c>
      <c r="W98" cm="1">
        <f t="array" ref="W98">IF($A98="","",IF(AND(INDEX($C98:$J98,W$2)&gt;0,$A98&lt;&gt;INDEX('TRIP MANAGER'!$T$18:$T$25,W$2),$A98&lt;&gt;INDEX('TRIP MANAGER'!$U$18:$U$25,W$2)),1,0))</f>
        <v>0</v>
      </c>
      <c r="X98" cm="1">
        <f t="array" ref="X98">IF($A98="","",IF(AND(INDEX($C98:$J98,X$2)&gt;0,$A98&lt;&gt;INDEX('TRIP MANAGER'!$T$18:$T$25,X$2),$A98&lt;&gt;INDEX('TRIP MANAGER'!$U$18:$U$25,X$2)),1,0))</f>
        <v>0</v>
      </c>
      <c r="Y98" cm="1">
        <f t="array" ref="Y98">IF($A98="","",IF(AND(INDEX($C98:$J98,Y$2)&gt;0,$A98&lt;&gt;INDEX('TRIP MANAGER'!$T$18:$T$25,Y$2),$A98&lt;&gt;INDEX('TRIP MANAGER'!$U$18:$U$25,Y$2)),1,0))</f>
        <v>0</v>
      </c>
    </row>
    <row r="99" spans="1:25" x14ac:dyDescent="0.3">
      <c r="A99" t="str">
        <f>IF(countries!$D98="","",countries!$D98)</f>
        <v>HRV</v>
      </c>
      <c r="B99" t="str">
        <f>IF(countries!$B98="","",countries!$B98)</f>
        <v>Croatia</v>
      </c>
      <c r="C99">
        <f>IF($A99="","",COUNTIFS(route_calc!$A$2:$A$1209,C$2,route_calc!$P$2:$P$1209,$A99))</f>
        <v>0</v>
      </c>
      <c r="D99">
        <f>IF($A99="","",COUNTIFS(route_calc!$A$2:$A$1209,D$2,route_calc!$P$2:$P$1209,$A99))</f>
        <v>0</v>
      </c>
      <c r="E99">
        <f>IF($A99="","",COUNTIFS(route_calc!$A$2:$A$1209,E$2,route_calc!$P$2:$P$1209,$A99))</f>
        <v>0</v>
      </c>
      <c r="F99">
        <f>IF($A99="","",COUNTIFS(route_calc!$A$2:$A$1209,F$2,route_calc!$P$2:$P$1209,$A99))</f>
        <v>0</v>
      </c>
      <c r="G99">
        <f>IF($A99="","",COUNTIFS(route_calc!$A$2:$A$1209,G$2,route_calc!$P$2:$P$1209,$A99))</f>
        <v>0</v>
      </c>
      <c r="H99">
        <f>IF($A99="","",COUNTIFS(route_calc!$A$2:$A$1209,H$2,route_calc!$P$2:$P$1209,$A99))</f>
        <v>0</v>
      </c>
      <c r="I99">
        <f>IF($A99="","",COUNTIFS(route_calc!$A$2:$A$1209,I$2,route_calc!$P$2:$P$1209,$A99))</f>
        <v>0</v>
      </c>
      <c r="J99">
        <f>IF($A99="","",COUNTIFS(route_calc!$A$2:$A$1209,J$2,route_calc!$P$2:$P$1209,$A99))</f>
        <v>0</v>
      </c>
      <c r="K99" t="str">
        <f>IF($L99=0,"",_xlfn.MINIFS(route_calc!$Q$2:$Q$1209,route_calc!$P$2:$P$1209,$A99,route_calc!$A$2:$A$1209,MATCH(1,$R99:$Y99,0)))</f>
        <v/>
      </c>
      <c r="L99">
        <f t="shared" si="2"/>
        <v>0</v>
      </c>
      <c r="M99" t="str" cm="1">
        <f t="array" ref="M99">IF($L99=0,"",_xlfn.TEXTJOIN(", ",TRUE,IF($R99:$Y99&gt;0,$C$1:$J$1,"")))</f>
        <v/>
      </c>
      <c r="N99" t="str" cm="1">
        <f t="array" ref="N99">IF($L99=0,"",SUMPRODUCT(($L$3:$L$144=1)*($K$3:$K$144&lt;$K99))+1)</f>
        <v/>
      </c>
      <c r="O99" t="str">
        <f t="shared" si="3"/>
        <v/>
      </c>
      <c r="P99" t="str">
        <f>IF($A99="","",IFERROR(INDEX(countries!$G:$G,MATCH($A99,countries!$D:$D,0)),""))</f>
        <v>REQUIRED</v>
      </c>
      <c r="Q99" t="str">
        <f>IF($A99="","",IFERROR(IF(INDEX(countries!$I:$I,MATCH($A99,countries!$D:$D,0))=0,"",INDEX(countries!$I:$I,MATCH($A99,countries!$D:$D,0))),""))</f>
        <v/>
      </c>
      <c r="R99" cm="1">
        <f t="array" ref="R99">IF($A99="","",IF(AND(INDEX($C99:$J99,R$2)&gt;0,$A99&lt;&gt;INDEX('TRIP MANAGER'!$T$18:$T$25,R$2),$A99&lt;&gt;INDEX('TRIP MANAGER'!$U$18:$U$25,R$2)),1,0))</f>
        <v>0</v>
      </c>
      <c r="S99" cm="1">
        <f t="array" ref="S99">IF($A99="","",IF(AND(INDEX($C99:$J99,S$2)&gt;0,$A99&lt;&gt;INDEX('TRIP MANAGER'!$T$18:$T$25,S$2),$A99&lt;&gt;INDEX('TRIP MANAGER'!$U$18:$U$25,S$2)),1,0))</f>
        <v>0</v>
      </c>
      <c r="T99" cm="1">
        <f t="array" ref="T99">IF($A99="","",IF(AND(INDEX($C99:$J99,T$2)&gt;0,$A99&lt;&gt;INDEX('TRIP MANAGER'!$T$18:$T$25,T$2),$A99&lt;&gt;INDEX('TRIP MANAGER'!$U$18:$U$25,T$2)),1,0))</f>
        <v>0</v>
      </c>
      <c r="U99" cm="1">
        <f t="array" ref="U99">IF($A99="","",IF(AND(INDEX($C99:$J99,U$2)&gt;0,$A99&lt;&gt;INDEX('TRIP MANAGER'!$T$18:$T$25,U$2),$A99&lt;&gt;INDEX('TRIP MANAGER'!$U$18:$U$25,U$2)),1,0))</f>
        <v>0</v>
      </c>
      <c r="V99" cm="1">
        <f t="array" ref="V99">IF($A99="","",IF(AND(INDEX($C99:$J99,V$2)&gt;0,$A99&lt;&gt;INDEX('TRIP MANAGER'!$T$18:$T$25,V$2),$A99&lt;&gt;INDEX('TRIP MANAGER'!$U$18:$U$25,V$2)),1,0))</f>
        <v>0</v>
      </c>
      <c r="W99" cm="1">
        <f t="array" ref="W99">IF($A99="","",IF(AND(INDEX($C99:$J99,W$2)&gt;0,$A99&lt;&gt;INDEX('TRIP MANAGER'!$T$18:$T$25,W$2),$A99&lt;&gt;INDEX('TRIP MANAGER'!$U$18:$U$25,W$2)),1,0))</f>
        <v>0</v>
      </c>
      <c r="X99" cm="1">
        <f t="array" ref="X99">IF($A99="","",IF(AND(INDEX($C99:$J99,X$2)&gt;0,$A99&lt;&gt;INDEX('TRIP MANAGER'!$T$18:$T$25,X$2),$A99&lt;&gt;INDEX('TRIP MANAGER'!$U$18:$U$25,X$2)),1,0))</f>
        <v>0</v>
      </c>
      <c r="Y99" cm="1">
        <f t="array" ref="Y99">IF($A99="","",IF(AND(INDEX($C99:$J99,Y$2)&gt;0,$A99&lt;&gt;INDEX('TRIP MANAGER'!$T$18:$T$25,Y$2),$A99&lt;&gt;INDEX('TRIP MANAGER'!$U$18:$U$25,Y$2)),1,0))</f>
        <v>0</v>
      </c>
    </row>
    <row r="100" spans="1:25" x14ac:dyDescent="0.3">
      <c r="A100" t="str">
        <f>IF(countries!$D99="","",countries!$D99)</f>
        <v>HUN</v>
      </c>
      <c r="B100" t="str">
        <f>IF(countries!$B99="","",countries!$B99)</f>
        <v>Hungary</v>
      </c>
      <c r="C100">
        <f>IF($A100="","",COUNTIFS(route_calc!$A$2:$A$1209,C$2,route_calc!$P$2:$P$1209,$A100))</f>
        <v>0</v>
      </c>
      <c r="D100">
        <f>IF($A100="","",COUNTIFS(route_calc!$A$2:$A$1209,D$2,route_calc!$P$2:$P$1209,$A100))</f>
        <v>0</v>
      </c>
      <c r="E100">
        <f>IF($A100="","",COUNTIFS(route_calc!$A$2:$A$1209,E$2,route_calc!$P$2:$P$1209,$A100))</f>
        <v>0</v>
      </c>
      <c r="F100">
        <f>IF($A100="","",COUNTIFS(route_calc!$A$2:$A$1209,F$2,route_calc!$P$2:$P$1209,$A100))</f>
        <v>0</v>
      </c>
      <c r="G100">
        <f>IF($A100="","",COUNTIFS(route_calc!$A$2:$A$1209,G$2,route_calc!$P$2:$P$1209,$A100))</f>
        <v>0</v>
      </c>
      <c r="H100">
        <f>IF($A100="","",COUNTIFS(route_calc!$A$2:$A$1209,H$2,route_calc!$P$2:$P$1209,$A100))</f>
        <v>0</v>
      </c>
      <c r="I100">
        <f>IF($A100="","",COUNTIFS(route_calc!$A$2:$A$1209,I$2,route_calc!$P$2:$P$1209,$A100))</f>
        <v>0</v>
      </c>
      <c r="J100">
        <f>IF($A100="","",COUNTIFS(route_calc!$A$2:$A$1209,J$2,route_calc!$P$2:$P$1209,$A100))</f>
        <v>0</v>
      </c>
      <c r="K100" t="str">
        <f>IF($L100=0,"",_xlfn.MINIFS(route_calc!$Q$2:$Q$1209,route_calc!$P$2:$P$1209,$A100,route_calc!$A$2:$A$1209,MATCH(1,$R100:$Y100,0)))</f>
        <v/>
      </c>
      <c r="L100">
        <f t="shared" si="2"/>
        <v>0</v>
      </c>
      <c r="M100" t="str" cm="1">
        <f t="array" ref="M100">IF($L100=0,"",_xlfn.TEXTJOIN(", ",TRUE,IF($R100:$Y100&gt;0,$C$1:$J$1,"")))</f>
        <v/>
      </c>
      <c r="N100" t="str" cm="1">
        <f t="array" ref="N100">IF($L100=0,"",SUMPRODUCT(($L$3:$L$144=1)*($K$3:$K$144&lt;$K100))+1)</f>
        <v/>
      </c>
      <c r="O100" t="str">
        <f t="shared" si="3"/>
        <v/>
      </c>
      <c r="P100" t="str">
        <f>IF($A100="","",IFERROR(INDEX(countries!$G:$G,MATCH($A100,countries!$D:$D,0)),""))</f>
        <v>REQUIRED</v>
      </c>
      <c r="Q100" t="str">
        <f>IF($A100="","",IFERROR(IF(INDEX(countries!$I:$I,MATCH($A100,countries!$D:$D,0))=0,"",INDEX(countries!$I:$I,MATCH($A100,countries!$D:$D,0))),""))</f>
        <v/>
      </c>
      <c r="R100" cm="1">
        <f t="array" ref="R100">IF($A100="","",IF(AND(INDEX($C100:$J100,R$2)&gt;0,$A100&lt;&gt;INDEX('TRIP MANAGER'!$T$18:$T$25,R$2),$A100&lt;&gt;INDEX('TRIP MANAGER'!$U$18:$U$25,R$2)),1,0))</f>
        <v>0</v>
      </c>
      <c r="S100" cm="1">
        <f t="array" ref="S100">IF($A100="","",IF(AND(INDEX($C100:$J100,S$2)&gt;0,$A100&lt;&gt;INDEX('TRIP MANAGER'!$T$18:$T$25,S$2),$A100&lt;&gt;INDEX('TRIP MANAGER'!$U$18:$U$25,S$2)),1,0))</f>
        <v>0</v>
      </c>
      <c r="T100" cm="1">
        <f t="array" ref="T100">IF($A100="","",IF(AND(INDEX($C100:$J100,T$2)&gt;0,$A100&lt;&gt;INDEX('TRIP MANAGER'!$T$18:$T$25,T$2),$A100&lt;&gt;INDEX('TRIP MANAGER'!$U$18:$U$25,T$2)),1,0))</f>
        <v>0</v>
      </c>
      <c r="U100" cm="1">
        <f t="array" ref="U100">IF($A100="","",IF(AND(INDEX($C100:$J100,U$2)&gt;0,$A100&lt;&gt;INDEX('TRIP MANAGER'!$T$18:$T$25,U$2),$A100&lt;&gt;INDEX('TRIP MANAGER'!$U$18:$U$25,U$2)),1,0))</f>
        <v>0</v>
      </c>
      <c r="V100" cm="1">
        <f t="array" ref="V100">IF($A100="","",IF(AND(INDEX($C100:$J100,V$2)&gt;0,$A100&lt;&gt;INDEX('TRIP MANAGER'!$T$18:$T$25,V$2),$A100&lt;&gt;INDEX('TRIP MANAGER'!$U$18:$U$25,V$2)),1,0))</f>
        <v>0</v>
      </c>
      <c r="W100" cm="1">
        <f t="array" ref="W100">IF($A100="","",IF(AND(INDEX($C100:$J100,W$2)&gt;0,$A100&lt;&gt;INDEX('TRIP MANAGER'!$T$18:$T$25,W$2),$A100&lt;&gt;INDEX('TRIP MANAGER'!$U$18:$U$25,W$2)),1,0))</f>
        <v>0</v>
      </c>
      <c r="X100" cm="1">
        <f t="array" ref="X100">IF($A100="","",IF(AND(INDEX($C100:$J100,X$2)&gt;0,$A100&lt;&gt;INDEX('TRIP MANAGER'!$T$18:$T$25,X$2),$A100&lt;&gt;INDEX('TRIP MANAGER'!$U$18:$U$25,X$2)),1,0))</f>
        <v>0</v>
      </c>
      <c r="Y100" cm="1">
        <f t="array" ref="Y100">IF($A100="","",IF(AND(INDEX($C100:$J100,Y$2)&gt;0,$A100&lt;&gt;INDEX('TRIP MANAGER'!$T$18:$T$25,Y$2),$A100&lt;&gt;INDEX('TRIP MANAGER'!$U$18:$U$25,Y$2)),1,0))</f>
        <v>0</v>
      </c>
    </row>
    <row r="101" spans="1:25" x14ac:dyDescent="0.3">
      <c r="A101" t="str">
        <f>IF(countries!$D100="","",countries!$D100)</f>
        <v>IDN</v>
      </c>
      <c r="B101" t="str">
        <f>IF(countries!$B100="","",countries!$B100)</f>
        <v>Indonesia</v>
      </c>
      <c r="C101">
        <f>IF($A101="","",COUNTIFS(route_calc!$A$2:$A$1209,C$2,route_calc!$P$2:$P$1209,$A101))</f>
        <v>0</v>
      </c>
      <c r="D101">
        <f>IF($A101="","",COUNTIFS(route_calc!$A$2:$A$1209,D$2,route_calc!$P$2:$P$1209,$A101))</f>
        <v>0</v>
      </c>
      <c r="E101">
        <f>IF($A101="","",COUNTIFS(route_calc!$A$2:$A$1209,E$2,route_calc!$P$2:$P$1209,$A101))</f>
        <v>0</v>
      </c>
      <c r="F101">
        <f>IF($A101="","",COUNTIFS(route_calc!$A$2:$A$1209,F$2,route_calc!$P$2:$P$1209,$A101))</f>
        <v>0</v>
      </c>
      <c r="G101">
        <f>IF($A101="","",COUNTIFS(route_calc!$A$2:$A$1209,G$2,route_calc!$P$2:$P$1209,$A101))</f>
        <v>0</v>
      </c>
      <c r="H101">
        <f>IF($A101="","",COUNTIFS(route_calc!$A$2:$A$1209,H$2,route_calc!$P$2:$P$1209,$A101))</f>
        <v>0</v>
      </c>
      <c r="I101">
        <f>IF($A101="","",COUNTIFS(route_calc!$A$2:$A$1209,I$2,route_calc!$P$2:$P$1209,$A101))</f>
        <v>0</v>
      </c>
      <c r="J101">
        <f>IF($A101="","",COUNTIFS(route_calc!$A$2:$A$1209,J$2,route_calc!$P$2:$P$1209,$A101))</f>
        <v>0</v>
      </c>
      <c r="K101" t="str">
        <f>IF($L101=0,"",_xlfn.MINIFS(route_calc!$Q$2:$Q$1209,route_calc!$P$2:$P$1209,$A101,route_calc!$A$2:$A$1209,MATCH(1,$R101:$Y101,0)))</f>
        <v/>
      </c>
      <c r="L101">
        <f t="shared" si="2"/>
        <v>0</v>
      </c>
      <c r="M101" t="str" cm="1">
        <f t="array" ref="M101">IF($L101=0,"",_xlfn.TEXTJOIN(", ",TRUE,IF($R101:$Y101&gt;0,$C$1:$J$1,"")))</f>
        <v/>
      </c>
      <c r="N101" t="str" cm="1">
        <f t="array" ref="N101">IF($L101=0,"",SUMPRODUCT(($L$3:$L$144=1)*($K$3:$K$144&lt;$K101))+1)</f>
        <v/>
      </c>
      <c r="O101" t="str">
        <f t="shared" si="3"/>
        <v/>
      </c>
      <c r="P101" t="str">
        <f>IF($A101="","",IFERROR(INDEX(countries!$G:$G,MATCH($A101,countries!$D:$D,0)),""))</f>
        <v>REQUIRED</v>
      </c>
      <c r="Q101" t="str">
        <f>IF($A101="","",IFERROR(IF(INDEX(countries!$I:$I,MATCH($A101,countries!$D:$D,0))=0,"",INDEX(countries!$I:$I,MATCH($A101,countries!$D:$D,0))),""))</f>
        <v/>
      </c>
      <c r="R101" cm="1">
        <f t="array" ref="R101">IF($A101="","",IF(AND(INDEX($C101:$J101,R$2)&gt;0,$A101&lt;&gt;INDEX('TRIP MANAGER'!$T$18:$T$25,R$2),$A101&lt;&gt;INDEX('TRIP MANAGER'!$U$18:$U$25,R$2)),1,0))</f>
        <v>0</v>
      </c>
      <c r="S101" cm="1">
        <f t="array" ref="S101">IF($A101="","",IF(AND(INDEX($C101:$J101,S$2)&gt;0,$A101&lt;&gt;INDEX('TRIP MANAGER'!$T$18:$T$25,S$2),$A101&lt;&gt;INDEX('TRIP MANAGER'!$U$18:$U$25,S$2)),1,0))</f>
        <v>0</v>
      </c>
      <c r="T101" cm="1">
        <f t="array" ref="T101">IF($A101="","",IF(AND(INDEX($C101:$J101,T$2)&gt;0,$A101&lt;&gt;INDEX('TRIP MANAGER'!$T$18:$T$25,T$2),$A101&lt;&gt;INDEX('TRIP MANAGER'!$U$18:$U$25,T$2)),1,0))</f>
        <v>0</v>
      </c>
      <c r="U101" cm="1">
        <f t="array" ref="U101">IF($A101="","",IF(AND(INDEX($C101:$J101,U$2)&gt;0,$A101&lt;&gt;INDEX('TRIP MANAGER'!$T$18:$T$25,U$2),$A101&lt;&gt;INDEX('TRIP MANAGER'!$U$18:$U$25,U$2)),1,0))</f>
        <v>0</v>
      </c>
      <c r="V101" cm="1">
        <f t="array" ref="V101">IF($A101="","",IF(AND(INDEX($C101:$J101,V$2)&gt;0,$A101&lt;&gt;INDEX('TRIP MANAGER'!$T$18:$T$25,V$2),$A101&lt;&gt;INDEX('TRIP MANAGER'!$U$18:$U$25,V$2)),1,0))</f>
        <v>0</v>
      </c>
      <c r="W101" cm="1">
        <f t="array" ref="W101">IF($A101="","",IF(AND(INDEX($C101:$J101,W$2)&gt;0,$A101&lt;&gt;INDEX('TRIP MANAGER'!$T$18:$T$25,W$2),$A101&lt;&gt;INDEX('TRIP MANAGER'!$U$18:$U$25,W$2)),1,0))</f>
        <v>0</v>
      </c>
      <c r="X101" cm="1">
        <f t="array" ref="X101">IF($A101="","",IF(AND(INDEX($C101:$J101,X$2)&gt;0,$A101&lt;&gt;INDEX('TRIP MANAGER'!$T$18:$T$25,X$2),$A101&lt;&gt;INDEX('TRIP MANAGER'!$U$18:$U$25,X$2)),1,0))</f>
        <v>0</v>
      </c>
      <c r="Y101" cm="1">
        <f t="array" ref="Y101">IF($A101="","",IF(AND(INDEX($C101:$J101,Y$2)&gt;0,$A101&lt;&gt;INDEX('TRIP MANAGER'!$T$18:$T$25,Y$2),$A101&lt;&gt;INDEX('TRIP MANAGER'!$U$18:$U$25,Y$2)),1,0))</f>
        <v>0</v>
      </c>
    </row>
    <row r="102" spans="1:25" x14ac:dyDescent="0.3">
      <c r="A102" t="str">
        <f>IF(countries!$D101="","",countries!$D101)</f>
        <v>IND</v>
      </c>
      <c r="B102" t="str">
        <f>IF(countries!$B101="","",countries!$B101)</f>
        <v>India</v>
      </c>
      <c r="C102">
        <f>IF($A102="","",COUNTIFS(route_calc!$A$2:$A$1209,C$2,route_calc!$P$2:$P$1209,$A102))</f>
        <v>0</v>
      </c>
      <c r="D102">
        <f>IF($A102="","",COUNTIFS(route_calc!$A$2:$A$1209,D$2,route_calc!$P$2:$P$1209,$A102))</f>
        <v>0</v>
      </c>
      <c r="E102">
        <f>IF($A102="","",COUNTIFS(route_calc!$A$2:$A$1209,E$2,route_calc!$P$2:$P$1209,$A102))</f>
        <v>0</v>
      </c>
      <c r="F102">
        <f>IF($A102="","",COUNTIFS(route_calc!$A$2:$A$1209,F$2,route_calc!$P$2:$P$1209,$A102))</f>
        <v>0</v>
      </c>
      <c r="G102">
        <f>IF($A102="","",COUNTIFS(route_calc!$A$2:$A$1209,G$2,route_calc!$P$2:$P$1209,$A102))</f>
        <v>0</v>
      </c>
      <c r="H102">
        <f>IF($A102="","",COUNTIFS(route_calc!$A$2:$A$1209,H$2,route_calc!$P$2:$P$1209,$A102))</f>
        <v>0</v>
      </c>
      <c r="I102">
        <f>IF($A102="","",COUNTIFS(route_calc!$A$2:$A$1209,I$2,route_calc!$P$2:$P$1209,$A102))</f>
        <v>0</v>
      </c>
      <c r="J102">
        <f>IF($A102="","",COUNTIFS(route_calc!$A$2:$A$1209,J$2,route_calc!$P$2:$P$1209,$A102))</f>
        <v>0</v>
      </c>
      <c r="K102" t="str">
        <f>IF($L102=0,"",_xlfn.MINIFS(route_calc!$Q$2:$Q$1209,route_calc!$P$2:$P$1209,$A102,route_calc!$A$2:$A$1209,MATCH(1,$R102:$Y102,0)))</f>
        <v/>
      </c>
      <c r="L102">
        <f t="shared" si="2"/>
        <v>0</v>
      </c>
      <c r="M102" t="str" cm="1">
        <f t="array" ref="M102">IF($L102=0,"",_xlfn.TEXTJOIN(", ",TRUE,IF($R102:$Y102&gt;0,$C$1:$J$1,"")))</f>
        <v/>
      </c>
      <c r="N102" t="str" cm="1">
        <f t="array" ref="N102">IF($L102=0,"",SUMPRODUCT(($L$3:$L$144=1)*($K$3:$K$144&lt;$K102))+1)</f>
        <v/>
      </c>
      <c r="O102" t="str">
        <f t="shared" si="3"/>
        <v/>
      </c>
      <c r="P102" t="str">
        <f>IF($A102="","",IFERROR(INDEX(countries!$G:$G,MATCH($A102,countries!$D:$D,0)),""))</f>
        <v>REQUIRED</v>
      </c>
      <c r="Q102" t="str">
        <f>IF($A102="","",IFERROR(IF(INDEX(countries!$I:$I,MATCH($A102,countries!$D:$D,0))=0,"",INDEX(countries!$I:$I,MATCH($A102,countries!$D:$D,0))),""))</f>
        <v/>
      </c>
      <c r="R102" cm="1">
        <f t="array" ref="R102">IF($A102="","",IF(AND(INDEX($C102:$J102,R$2)&gt;0,$A102&lt;&gt;INDEX('TRIP MANAGER'!$T$18:$T$25,R$2),$A102&lt;&gt;INDEX('TRIP MANAGER'!$U$18:$U$25,R$2)),1,0))</f>
        <v>0</v>
      </c>
      <c r="S102" cm="1">
        <f t="array" ref="S102">IF($A102="","",IF(AND(INDEX($C102:$J102,S$2)&gt;0,$A102&lt;&gt;INDEX('TRIP MANAGER'!$T$18:$T$25,S$2),$A102&lt;&gt;INDEX('TRIP MANAGER'!$U$18:$U$25,S$2)),1,0))</f>
        <v>0</v>
      </c>
      <c r="T102" cm="1">
        <f t="array" ref="T102">IF($A102="","",IF(AND(INDEX($C102:$J102,T$2)&gt;0,$A102&lt;&gt;INDEX('TRIP MANAGER'!$T$18:$T$25,T$2),$A102&lt;&gt;INDEX('TRIP MANAGER'!$U$18:$U$25,T$2)),1,0))</f>
        <v>0</v>
      </c>
      <c r="U102" cm="1">
        <f t="array" ref="U102">IF($A102="","",IF(AND(INDEX($C102:$J102,U$2)&gt;0,$A102&lt;&gt;INDEX('TRIP MANAGER'!$T$18:$T$25,U$2),$A102&lt;&gt;INDEX('TRIP MANAGER'!$U$18:$U$25,U$2)),1,0))</f>
        <v>0</v>
      </c>
      <c r="V102" cm="1">
        <f t="array" ref="V102">IF($A102="","",IF(AND(INDEX($C102:$J102,V$2)&gt;0,$A102&lt;&gt;INDEX('TRIP MANAGER'!$T$18:$T$25,V$2),$A102&lt;&gt;INDEX('TRIP MANAGER'!$U$18:$U$25,V$2)),1,0))</f>
        <v>0</v>
      </c>
      <c r="W102" cm="1">
        <f t="array" ref="W102">IF($A102="","",IF(AND(INDEX($C102:$J102,W$2)&gt;0,$A102&lt;&gt;INDEX('TRIP MANAGER'!$T$18:$T$25,W$2),$A102&lt;&gt;INDEX('TRIP MANAGER'!$U$18:$U$25,W$2)),1,0))</f>
        <v>0</v>
      </c>
      <c r="X102" cm="1">
        <f t="array" ref="X102">IF($A102="","",IF(AND(INDEX($C102:$J102,X$2)&gt;0,$A102&lt;&gt;INDEX('TRIP MANAGER'!$T$18:$T$25,X$2),$A102&lt;&gt;INDEX('TRIP MANAGER'!$U$18:$U$25,X$2)),1,0))</f>
        <v>0</v>
      </c>
      <c r="Y102" cm="1">
        <f t="array" ref="Y102">IF($A102="","",IF(AND(INDEX($C102:$J102,Y$2)&gt;0,$A102&lt;&gt;INDEX('TRIP MANAGER'!$T$18:$T$25,Y$2),$A102&lt;&gt;INDEX('TRIP MANAGER'!$U$18:$U$25,Y$2)),1,0))</f>
        <v>0</v>
      </c>
    </row>
    <row r="103" spans="1:25" x14ac:dyDescent="0.3">
      <c r="A103" t="str">
        <f>IF(countries!$D102="","",countries!$D102)</f>
        <v>IRL</v>
      </c>
      <c r="B103" t="str">
        <f>IF(countries!$B102="","",countries!$B102)</f>
        <v>Ireland</v>
      </c>
      <c r="C103">
        <f>IF($A103="","",COUNTIFS(route_calc!$A$2:$A$1209,C$2,route_calc!$P$2:$P$1209,$A103))</f>
        <v>0</v>
      </c>
      <c r="D103">
        <f>IF($A103="","",COUNTIFS(route_calc!$A$2:$A$1209,D$2,route_calc!$P$2:$P$1209,$A103))</f>
        <v>0</v>
      </c>
      <c r="E103">
        <f>IF($A103="","",COUNTIFS(route_calc!$A$2:$A$1209,E$2,route_calc!$P$2:$P$1209,$A103))</f>
        <v>0</v>
      </c>
      <c r="F103">
        <f>IF($A103="","",COUNTIFS(route_calc!$A$2:$A$1209,F$2,route_calc!$P$2:$P$1209,$A103))</f>
        <v>0</v>
      </c>
      <c r="G103">
        <f>IF($A103="","",COUNTIFS(route_calc!$A$2:$A$1209,G$2,route_calc!$P$2:$P$1209,$A103))</f>
        <v>0</v>
      </c>
      <c r="H103">
        <f>IF($A103="","",COUNTIFS(route_calc!$A$2:$A$1209,H$2,route_calc!$P$2:$P$1209,$A103))</f>
        <v>0</v>
      </c>
      <c r="I103">
        <f>IF($A103="","",COUNTIFS(route_calc!$A$2:$A$1209,I$2,route_calc!$P$2:$P$1209,$A103))</f>
        <v>0</v>
      </c>
      <c r="J103">
        <f>IF($A103="","",COUNTIFS(route_calc!$A$2:$A$1209,J$2,route_calc!$P$2:$P$1209,$A103))</f>
        <v>0</v>
      </c>
      <c r="K103" t="str">
        <f>IF($L103=0,"",_xlfn.MINIFS(route_calc!$Q$2:$Q$1209,route_calc!$P$2:$P$1209,$A103,route_calc!$A$2:$A$1209,MATCH(1,$R103:$Y103,0)))</f>
        <v/>
      </c>
      <c r="L103">
        <f t="shared" si="2"/>
        <v>0</v>
      </c>
      <c r="M103" t="str" cm="1">
        <f t="array" ref="M103">IF($L103=0,"",_xlfn.TEXTJOIN(", ",TRUE,IF($R103:$Y103&gt;0,$C$1:$J$1,"")))</f>
        <v/>
      </c>
      <c r="N103" t="str" cm="1">
        <f t="array" ref="N103">IF($L103=0,"",SUMPRODUCT(($L$3:$L$144=1)*($K$3:$K$144&lt;$K103))+1)</f>
        <v/>
      </c>
      <c r="O103" t="str">
        <f t="shared" si="3"/>
        <v/>
      </c>
      <c r="P103" t="str">
        <f>IF($A103="","",IFERROR(INDEX(countries!$G:$G,MATCH($A103,countries!$D:$D,0)),""))</f>
        <v>REQUIRED</v>
      </c>
      <c r="Q103" t="str">
        <f>IF($A103="","",IFERROR(IF(INDEX(countries!$I:$I,MATCH($A103,countries!$D:$D,0))=0,"",INDEX(countries!$I:$I,MATCH($A103,countries!$D:$D,0))),""))</f>
        <v/>
      </c>
      <c r="R103" cm="1">
        <f t="array" ref="R103">IF($A103="","",IF(AND(INDEX($C103:$J103,R$2)&gt;0,$A103&lt;&gt;INDEX('TRIP MANAGER'!$T$18:$T$25,R$2),$A103&lt;&gt;INDEX('TRIP MANAGER'!$U$18:$U$25,R$2)),1,0))</f>
        <v>0</v>
      </c>
      <c r="S103" cm="1">
        <f t="array" ref="S103">IF($A103="","",IF(AND(INDEX($C103:$J103,S$2)&gt;0,$A103&lt;&gt;INDEX('TRIP MANAGER'!$T$18:$T$25,S$2),$A103&lt;&gt;INDEX('TRIP MANAGER'!$U$18:$U$25,S$2)),1,0))</f>
        <v>0</v>
      </c>
      <c r="T103" cm="1">
        <f t="array" ref="T103">IF($A103="","",IF(AND(INDEX($C103:$J103,T$2)&gt;0,$A103&lt;&gt;INDEX('TRIP MANAGER'!$T$18:$T$25,T$2),$A103&lt;&gt;INDEX('TRIP MANAGER'!$U$18:$U$25,T$2)),1,0))</f>
        <v>0</v>
      </c>
      <c r="U103" cm="1">
        <f t="array" ref="U103">IF($A103="","",IF(AND(INDEX($C103:$J103,U$2)&gt;0,$A103&lt;&gt;INDEX('TRIP MANAGER'!$T$18:$T$25,U$2),$A103&lt;&gt;INDEX('TRIP MANAGER'!$U$18:$U$25,U$2)),1,0))</f>
        <v>0</v>
      </c>
      <c r="V103" cm="1">
        <f t="array" ref="V103">IF($A103="","",IF(AND(INDEX($C103:$J103,V$2)&gt;0,$A103&lt;&gt;INDEX('TRIP MANAGER'!$T$18:$T$25,V$2),$A103&lt;&gt;INDEX('TRIP MANAGER'!$U$18:$U$25,V$2)),1,0))</f>
        <v>0</v>
      </c>
      <c r="W103" cm="1">
        <f t="array" ref="W103">IF($A103="","",IF(AND(INDEX($C103:$J103,W$2)&gt;0,$A103&lt;&gt;INDEX('TRIP MANAGER'!$T$18:$T$25,W$2),$A103&lt;&gt;INDEX('TRIP MANAGER'!$U$18:$U$25,W$2)),1,0))</f>
        <v>0</v>
      </c>
      <c r="X103" cm="1">
        <f t="array" ref="X103">IF($A103="","",IF(AND(INDEX($C103:$J103,X$2)&gt;0,$A103&lt;&gt;INDEX('TRIP MANAGER'!$T$18:$T$25,X$2),$A103&lt;&gt;INDEX('TRIP MANAGER'!$U$18:$U$25,X$2)),1,0))</f>
        <v>0</v>
      </c>
      <c r="Y103" cm="1">
        <f t="array" ref="Y103">IF($A103="","",IF(AND(INDEX($C103:$J103,Y$2)&gt;0,$A103&lt;&gt;INDEX('TRIP MANAGER'!$T$18:$T$25,Y$2),$A103&lt;&gt;INDEX('TRIP MANAGER'!$U$18:$U$25,Y$2)),1,0))</f>
        <v>0</v>
      </c>
    </row>
    <row r="104" spans="1:25" x14ac:dyDescent="0.3">
      <c r="A104" t="str">
        <f>IF(countries!$D103="","",countries!$D103)</f>
        <v>IRN</v>
      </c>
      <c r="B104" t="str">
        <f>IF(countries!$B103="","",countries!$B103)</f>
        <v>Iran</v>
      </c>
      <c r="C104">
        <f>IF($A104="","",COUNTIFS(route_calc!$A$2:$A$1209,C$2,route_calc!$P$2:$P$1209,$A104))</f>
        <v>0</v>
      </c>
      <c r="D104">
        <f>IF($A104="","",COUNTIFS(route_calc!$A$2:$A$1209,D$2,route_calc!$P$2:$P$1209,$A104))</f>
        <v>0</v>
      </c>
      <c r="E104">
        <f>IF($A104="","",COUNTIFS(route_calc!$A$2:$A$1209,E$2,route_calc!$P$2:$P$1209,$A104))</f>
        <v>0</v>
      </c>
      <c r="F104">
        <f>IF($A104="","",COUNTIFS(route_calc!$A$2:$A$1209,F$2,route_calc!$P$2:$P$1209,$A104))</f>
        <v>0</v>
      </c>
      <c r="G104">
        <f>IF($A104="","",COUNTIFS(route_calc!$A$2:$A$1209,G$2,route_calc!$P$2:$P$1209,$A104))</f>
        <v>0</v>
      </c>
      <c r="H104">
        <f>IF($A104="","",COUNTIFS(route_calc!$A$2:$A$1209,H$2,route_calc!$P$2:$P$1209,$A104))</f>
        <v>0</v>
      </c>
      <c r="I104">
        <f>IF($A104="","",COUNTIFS(route_calc!$A$2:$A$1209,I$2,route_calc!$P$2:$P$1209,$A104))</f>
        <v>0</v>
      </c>
      <c r="J104">
        <f>IF($A104="","",COUNTIFS(route_calc!$A$2:$A$1209,J$2,route_calc!$P$2:$P$1209,$A104))</f>
        <v>0</v>
      </c>
      <c r="K104" t="str">
        <f>IF($L104=0,"",_xlfn.MINIFS(route_calc!$Q$2:$Q$1209,route_calc!$P$2:$P$1209,$A104,route_calc!$A$2:$A$1209,MATCH(1,$R104:$Y104,0)))</f>
        <v/>
      </c>
      <c r="L104">
        <f t="shared" si="2"/>
        <v>0</v>
      </c>
      <c r="M104" t="str" cm="1">
        <f t="array" ref="M104">IF($L104=0,"",_xlfn.TEXTJOIN(", ",TRUE,IF($R104:$Y104&gt;0,$C$1:$J$1,"")))</f>
        <v/>
      </c>
      <c r="N104" t="str" cm="1">
        <f t="array" ref="N104">IF($L104=0,"",SUMPRODUCT(($L$3:$L$144=1)*($K$3:$K$144&lt;$K104))+1)</f>
        <v/>
      </c>
      <c r="O104" t="str">
        <f t="shared" si="3"/>
        <v/>
      </c>
      <c r="P104" t="str">
        <f>IF($A104="","",IFERROR(INDEX(countries!$G:$G,MATCH($A104,countries!$D:$D,0)),""))</f>
        <v>REQUIRED</v>
      </c>
      <c r="Q104" t="str">
        <f>IF($A104="","",IFERROR(IF(INDEX(countries!$I:$I,MATCH($A104,countries!$D:$D,0))=0,"",INDEX(countries!$I:$I,MATCH($A104,countries!$D:$D,0))),""))</f>
        <v/>
      </c>
      <c r="R104" cm="1">
        <f t="array" ref="R104">IF($A104="","",IF(AND(INDEX($C104:$J104,R$2)&gt;0,$A104&lt;&gt;INDEX('TRIP MANAGER'!$T$18:$T$25,R$2),$A104&lt;&gt;INDEX('TRIP MANAGER'!$U$18:$U$25,R$2)),1,0))</f>
        <v>0</v>
      </c>
      <c r="S104" cm="1">
        <f t="array" ref="S104">IF($A104="","",IF(AND(INDEX($C104:$J104,S$2)&gt;0,$A104&lt;&gt;INDEX('TRIP MANAGER'!$T$18:$T$25,S$2),$A104&lt;&gt;INDEX('TRIP MANAGER'!$U$18:$U$25,S$2)),1,0))</f>
        <v>0</v>
      </c>
      <c r="T104" cm="1">
        <f t="array" ref="T104">IF($A104="","",IF(AND(INDEX($C104:$J104,T$2)&gt;0,$A104&lt;&gt;INDEX('TRIP MANAGER'!$T$18:$T$25,T$2),$A104&lt;&gt;INDEX('TRIP MANAGER'!$U$18:$U$25,T$2)),1,0))</f>
        <v>0</v>
      </c>
      <c r="U104" cm="1">
        <f t="array" ref="U104">IF($A104="","",IF(AND(INDEX($C104:$J104,U$2)&gt;0,$A104&lt;&gt;INDEX('TRIP MANAGER'!$T$18:$T$25,U$2),$A104&lt;&gt;INDEX('TRIP MANAGER'!$U$18:$U$25,U$2)),1,0))</f>
        <v>0</v>
      </c>
      <c r="V104" cm="1">
        <f t="array" ref="V104">IF($A104="","",IF(AND(INDEX($C104:$J104,V$2)&gt;0,$A104&lt;&gt;INDEX('TRIP MANAGER'!$T$18:$T$25,V$2),$A104&lt;&gt;INDEX('TRIP MANAGER'!$U$18:$U$25,V$2)),1,0))</f>
        <v>0</v>
      </c>
      <c r="W104" cm="1">
        <f t="array" ref="W104">IF($A104="","",IF(AND(INDEX($C104:$J104,W$2)&gt;0,$A104&lt;&gt;INDEX('TRIP MANAGER'!$T$18:$T$25,W$2),$A104&lt;&gt;INDEX('TRIP MANAGER'!$U$18:$U$25,W$2)),1,0))</f>
        <v>0</v>
      </c>
      <c r="X104" cm="1">
        <f t="array" ref="X104">IF($A104="","",IF(AND(INDEX($C104:$J104,X$2)&gt;0,$A104&lt;&gt;INDEX('TRIP MANAGER'!$T$18:$T$25,X$2),$A104&lt;&gt;INDEX('TRIP MANAGER'!$U$18:$U$25,X$2)),1,0))</f>
        <v>0</v>
      </c>
      <c r="Y104" cm="1">
        <f t="array" ref="Y104">IF($A104="","",IF(AND(INDEX($C104:$J104,Y$2)&gt;0,$A104&lt;&gt;INDEX('TRIP MANAGER'!$T$18:$T$25,Y$2),$A104&lt;&gt;INDEX('TRIP MANAGER'!$U$18:$U$25,Y$2)),1,0))</f>
        <v>0</v>
      </c>
    </row>
    <row r="105" spans="1:25" x14ac:dyDescent="0.3">
      <c r="A105" t="str">
        <f>IF(countries!$D104="","",countries!$D104)</f>
        <v>ISL</v>
      </c>
      <c r="B105" t="str">
        <f>IF(countries!$B104="","",countries!$B104)</f>
        <v>Iceland</v>
      </c>
      <c r="C105">
        <f>IF($A105="","",COUNTIFS(route_calc!$A$2:$A$1209,C$2,route_calc!$P$2:$P$1209,$A105))</f>
        <v>0</v>
      </c>
      <c r="D105">
        <f>IF($A105="","",COUNTIFS(route_calc!$A$2:$A$1209,D$2,route_calc!$P$2:$P$1209,$A105))</f>
        <v>0</v>
      </c>
      <c r="E105">
        <f>IF($A105="","",COUNTIFS(route_calc!$A$2:$A$1209,E$2,route_calc!$P$2:$P$1209,$A105))</f>
        <v>0</v>
      </c>
      <c r="F105">
        <f>IF($A105="","",COUNTIFS(route_calc!$A$2:$A$1209,F$2,route_calc!$P$2:$P$1209,$A105))</f>
        <v>0</v>
      </c>
      <c r="G105">
        <f>IF($A105="","",COUNTIFS(route_calc!$A$2:$A$1209,G$2,route_calc!$P$2:$P$1209,$A105))</f>
        <v>0</v>
      </c>
      <c r="H105">
        <f>IF($A105="","",COUNTIFS(route_calc!$A$2:$A$1209,H$2,route_calc!$P$2:$P$1209,$A105))</f>
        <v>0</v>
      </c>
      <c r="I105">
        <f>IF($A105="","",COUNTIFS(route_calc!$A$2:$A$1209,I$2,route_calc!$P$2:$P$1209,$A105))</f>
        <v>0</v>
      </c>
      <c r="J105">
        <f>IF($A105="","",COUNTIFS(route_calc!$A$2:$A$1209,J$2,route_calc!$P$2:$P$1209,$A105))</f>
        <v>0</v>
      </c>
      <c r="K105" t="str">
        <f>IF($L105=0,"",_xlfn.MINIFS(route_calc!$Q$2:$Q$1209,route_calc!$P$2:$P$1209,$A105,route_calc!$A$2:$A$1209,MATCH(1,$R105:$Y105,0)))</f>
        <v/>
      </c>
      <c r="L105">
        <f t="shared" si="2"/>
        <v>0</v>
      </c>
      <c r="M105" t="str" cm="1">
        <f t="array" ref="M105">IF($L105=0,"",_xlfn.TEXTJOIN(", ",TRUE,IF($R105:$Y105&gt;0,$C$1:$J$1,"")))</f>
        <v/>
      </c>
      <c r="N105" t="str" cm="1">
        <f t="array" ref="N105">IF($L105=0,"",SUMPRODUCT(($L$3:$L$144=1)*($K$3:$K$144&lt;$K105))+1)</f>
        <v/>
      </c>
      <c r="O105" t="str">
        <f t="shared" si="3"/>
        <v/>
      </c>
      <c r="P105" t="str">
        <f>IF($A105="","",IFERROR(INDEX(countries!$G:$G,MATCH($A105,countries!$D:$D,0)),""))</f>
        <v>REQUIRED</v>
      </c>
      <c r="Q105" t="str">
        <f>IF($A105="","",IFERROR(IF(INDEX(countries!$I:$I,MATCH($A105,countries!$D:$D,0))=0,"",INDEX(countries!$I:$I,MATCH($A105,countries!$D:$D,0))),""))</f>
        <v/>
      </c>
      <c r="R105" cm="1">
        <f t="array" ref="R105">IF($A105="","",IF(AND(INDEX($C105:$J105,R$2)&gt;0,$A105&lt;&gt;INDEX('TRIP MANAGER'!$T$18:$T$25,R$2),$A105&lt;&gt;INDEX('TRIP MANAGER'!$U$18:$U$25,R$2)),1,0))</f>
        <v>0</v>
      </c>
      <c r="S105" cm="1">
        <f t="array" ref="S105">IF($A105="","",IF(AND(INDEX($C105:$J105,S$2)&gt;0,$A105&lt;&gt;INDEX('TRIP MANAGER'!$T$18:$T$25,S$2),$A105&lt;&gt;INDEX('TRIP MANAGER'!$U$18:$U$25,S$2)),1,0))</f>
        <v>0</v>
      </c>
      <c r="T105" cm="1">
        <f t="array" ref="T105">IF($A105="","",IF(AND(INDEX($C105:$J105,T$2)&gt;0,$A105&lt;&gt;INDEX('TRIP MANAGER'!$T$18:$T$25,T$2),$A105&lt;&gt;INDEX('TRIP MANAGER'!$U$18:$U$25,T$2)),1,0))</f>
        <v>0</v>
      </c>
      <c r="U105" cm="1">
        <f t="array" ref="U105">IF($A105="","",IF(AND(INDEX($C105:$J105,U$2)&gt;0,$A105&lt;&gt;INDEX('TRIP MANAGER'!$T$18:$T$25,U$2),$A105&lt;&gt;INDEX('TRIP MANAGER'!$U$18:$U$25,U$2)),1,0))</f>
        <v>0</v>
      </c>
      <c r="V105" cm="1">
        <f t="array" ref="V105">IF($A105="","",IF(AND(INDEX($C105:$J105,V$2)&gt;0,$A105&lt;&gt;INDEX('TRIP MANAGER'!$T$18:$T$25,V$2),$A105&lt;&gt;INDEX('TRIP MANAGER'!$U$18:$U$25,V$2)),1,0))</f>
        <v>0</v>
      </c>
      <c r="W105" cm="1">
        <f t="array" ref="W105">IF($A105="","",IF(AND(INDEX($C105:$J105,W$2)&gt;0,$A105&lt;&gt;INDEX('TRIP MANAGER'!$T$18:$T$25,W$2),$A105&lt;&gt;INDEX('TRIP MANAGER'!$U$18:$U$25,W$2)),1,0))</f>
        <v>0</v>
      </c>
      <c r="X105" cm="1">
        <f t="array" ref="X105">IF($A105="","",IF(AND(INDEX($C105:$J105,X$2)&gt;0,$A105&lt;&gt;INDEX('TRIP MANAGER'!$T$18:$T$25,X$2),$A105&lt;&gt;INDEX('TRIP MANAGER'!$U$18:$U$25,X$2)),1,0))</f>
        <v>0</v>
      </c>
      <c r="Y105" cm="1">
        <f t="array" ref="Y105">IF($A105="","",IF(AND(INDEX($C105:$J105,Y$2)&gt;0,$A105&lt;&gt;INDEX('TRIP MANAGER'!$T$18:$T$25,Y$2),$A105&lt;&gt;INDEX('TRIP MANAGER'!$U$18:$U$25,Y$2)),1,0))</f>
        <v>0</v>
      </c>
    </row>
    <row r="106" spans="1:25" x14ac:dyDescent="0.3">
      <c r="A106" t="str">
        <f>IF(countries!$D105="","",countries!$D105)</f>
        <v>ITA</v>
      </c>
      <c r="B106" t="str">
        <f>IF(countries!$B105="","",countries!$B105)</f>
        <v>Italy</v>
      </c>
      <c r="C106">
        <f>IF($A106="","",COUNTIFS(route_calc!$A$2:$A$1209,C$2,route_calc!$P$2:$P$1209,$A106))</f>
        <v>0</v>
      </c>
      <c r="D106">
        <f>IF($A106="","",COUNTIFS(route_calc!$A$2:$A$1209,D$2,route_calc!$P$2:$P$1209,$A106))</f>
        <v>0</v>
      </c>
      <c r="E106">
        <f>IF($A106="","",COUNTIFS(route_calc!$A$2:$A$1209,E$2,route_calc!$P$2:$P$1209,$A106))</f>
        <v>0</v>
      </c>
      <c r="F106">
        <f>IF($A106="","",COUNTIFS(route_calc!$A$2:$A$1209,F$2,route_calc!$P$2:$P$1209,$A106))</f>
        <v>0</v>
      </c>
      <c r="G106">
        <f>IF($A106="","",COUNTIFS(route_calc!$A$2:$A$1209,G$2,route_calc!$P$2:$P$1209,$A106))</f>
        <v>0</v>
      </c>
      <c r="H106">
        <f>IF($A106="","",COUNTIFS(route_calc!$A$2:$A$1209,H$2,route_calc!$P$2:$P$1209,$A106))</f>
        <v>0</v>
      </c>
      <c r="I106">
        <f>IF($A106="","",COUNTIFS(route_calc!$A$2:$A$1209,I$2,route_calc!$P$2:$P$1209,$A106))</f>
        <v>0</v>
      </c>
      <c r="J106">
        <f>IF($A106="","",COUNTIFS(route_calc!$A$2:$A$1209,J$2,route_calc!$P$2:$P$1209,$A106))</f>
        <v>0</v>
      </c>
      <c r="K106" t="str">
        <f>IF($L106=0,"",_xlfn.MINIFS(route_calc!$Q$2:$Q$1209,route_calc!$P$2:$P$1209,$A106,route_calc!$A$2:$A$1209,MATCH(1,$R106:$Y106,0)))</f>
        <v/>
      </c>
      <c r="L106">
        <f t="shared" si="2"/>
        <v>0</v>
      </c>
      <c r="M106" t="str" cm="1">
        <f t="array" ref="M106">IF($L106=0,"",_xlfn.TEXTJOIN(", ",TRUE,IF($R106:$Y106&gt;0,$C$1:$J$1,"")))</f>
        <v/>
      </c>
      <c r="N106" t="str" cm="1">
        <f t="array" ref="N106">IF($L106=0,"",SUMPRODUCT(($L$3:$L$144=1)*($K$3:$K$144&lt;$K106))+1)</f>
        <v/>
      </c>
      <c r="O106" t="str">
        <f t="shared" si="3"/>
        <v/>
      </c>
      <c r="P106" t="str">
        <f>IF($A106="","",IFERROR(INDEX(countries!$G:$G,MATCH($A106,countries!$D:$D,0)),""))</f>
        <v>REQUIRED</v>
      </c>
      <c r="Q106" t="str">
        <f>IF($A106="","",IFERROR(IF(INDEX(countries!$I:$I,MATCH($A106,countries!$D:$D,0))=0,"",INDEX(countries!$I:$I,MATCH($A106,countries!$D:$D,0))),""))</f>
        <v/>
      </c>
      <c r="R106" cm="1">
        <f t="array" ref="R106">IF($A106="","",IF(AND(INDEX($C106:$J106,R$2)&gt;0,$A106&lt;&gt;INDEX('TRIP MANAGER'!$T$18:$T$25,R$2),$A106&lt;&gt;INDEX('TRIP MANAGER'!$U$18:$U$25,R$2)),1,0))</f>
        <v>0</v>
      </c>
      <c r="S106" cm="1">
        <f t="array" ref="S106">IF($A106="","",IF(AND(INDEX($C106:$J106,S$2)&gt;0,$A106&lt;&gt;INDEX('TRIP MANAGER'!$T$18:$T$25,S$2),$A106&lt;&gt;INDEX('TRIP MANAGER'!$U$18:$U$25,S$2)),1,0))</f>
        <v>0</v>
      </c>
      <c r="T106" cm="1">
        <f t="array" ref="T106">IF($A106="","",IF(AND(INDEX($C106:$J106,T$2)&gt;0,$A106&lt;&gt;INDEX('TRIP MANAGER'!$T$18:$T$25,T$2),$A106&lt;&gt;INDEX('TRIP MANAGER'!$U$18:$U$25,T$2)),1,0))</f>
        <v>0</v>
      </c>
      <c r="U106" cm="1">
        <f t="array" ref="U106">IF($A106="","",IF(AND(INDEX($C106:$J106,U$2)&gt;0,$A106&lt;&gt;INDEX('TRIP MANAGER'!$T$18:$T$25,U$2),$A106&lt;&gt;INDEX('TRIP MANAGER'!$U$18:$U$25,U$2)),1,0))</f>
        <v>0</v>
      </c>
      <c r="V106" cm="1">
        <f t="array" ref="V106">IF($A106="","",IF(AND(INDEX($C106:$J106,V$2)&gt;0,$A106&lt;&gt;INDEX('TRIP MANAGER'!$T$18:$T$25,V$2),$A106&lt;&gt;INDEX('TRIP MANAGER'!$U$18:$U$25,V$2)),1,0))</f>
        <v>0</v>
      </c>
      <c r="W106" cm="1">
        <f t="array" ref="W106">IF($A106="","",IF(AND(INDEX($C106:$J106,W$2)&gt;0,$A106&lt;&gt;INDEX('TRIP MANAGER'!$T$18:$T$25,W$2),$A106&lt;&gt;INDEX('TRIP MANAGER'!$U$18:$U$25,W$2)),1,0))</f>
        <v>0</v>
      </c>
      <c r="X106" cm="1">
        <f t="array" ref="X106">IF($A106="","",IF(AND(INDEX($C106:$J106,X$2)&gt;0,$A106&lt;&gt;INDEX('TRIP MANAGER'!$T$18:$T$25,X$2),$A106&lt;&gt;INDEX('TRIP MANAGER'!$U$18:$U$25,X$2)),1,0))</f>
        <v>0</v>
      </c>
      <c r="Y106" cm="1">
        <f t="array" ref="Y106">IF($A106="","",IF(AND(INDEX($C106:$J106,Y$2)&gt;0,$A106&lt;&gt;INDEX('TRIP MANAGER'!$T$18:$T$25,Y$2),$A106&lt;&gt;INDEX('TRIP MANAGER'!$U$18:$U$25,Y$2)),1,0))</f>
        <v>0</v>
      </c>
    </row>
    <row r="107" spans="1:25" x14ac:dyDescent="0.3">
      <c r="A107" t="str">
        <f>IF(countries!$D106="","",countries!$D106)</f>
        <v>KAZ</v>
      </c>
      <c r="B107" t="str">
        <f>IF(countries!$B106="","",countries!$B106)</f>
        <v>Kazakhstan</v>
      </c>
      <c r="C107">
        <f>IF($A107="","",COUNTIFS(route_calc!$A$2:$A$1209,C$2,route_calc!$P$2:$P$1209,$A107))</f>
        <v>0</v>
      </c>
      <c r="D107">
        <f>IF($A107="","",COUNTIFS(route_calc!$A$2:$A$1209,D$2,route_calc!$P$2:$P$1209,$A107))</f>
        <v>0</v>
      </c>
      <c r="E107">
        <f>IF($A107="","",COUNTIFS(route_calc!$A$2:$A$1209,E$2,route_calc!$P$2:$P$1209,$A107))</f>
        <v>0</v>
      </c>
      <c r="F107">
        <f>IF($A107="","",COUNTIFS(route_calc!$A$2:$A$1209,F$2,route_calc!$P$2:$P$1209,$A107))</f>
        <v>0</v>
      </c>
      <c r="G107">
        <f>IF($A107="","",COUNTIFS(route_calc!$A$2:$A$1209,G$2,route_calc!$P$2:$P$1209,$A107))</f>
        <v>0</v>
      </c>
      <c r="H107">
        <f>IF($A107="","",COUNTIFS(route_calc!$A$2:$A$1209,H$2,route_calc!$P$2:$P$1209,$A107))</f>
        <v>0</v>
      </c>
      <c r="I107">
        <f>IF($A107="","",COUNTIFS(route_calc!$A$2:$A$1209,I$2,route_calc!$P$2:$P$1209,$A107))</f>
        <v>0</v>
      </c>
      <c r="J107">
        <f>IF($A107="","",COUNTIFS(route_calc!$A$2:$A$1209,J$2,route_calc!$P$2:$P$1209,$A107))</f>
        <v>0</v>
      </c>
      <c r="K107" t="str">
        <f>IF($L107=0,"",_xlfn.MINIFS(route_calc!$Q$2:$Q$1209,route_calc!$P$2:$P$1209,$A107,route_calc!$A$2:$A$1209,MATCH(1,$R107:$Y107,0)))</f>
        <v/>
      </c>
      <c r="L107">
        <f t="shared" si="2"/>
        <v>0</v>
      </c>
      <c r="M107" t="str" cm="1">
        <f t="array" ref="M107">IF($L107=0,"",_xlfn.TEXTJOIN(", ",TRUE,IF($R107:$Y107&gt;0,$C$1:$J$1,"")))</f>
        <v/>
      </c>
      <c r="N107" t="str" cm="1">
        <f t="array" ref="N107">IF($L107=0,"",SUMPRODUCT(($L$3:$L$144=1)*($K$3:$K$144&lt;$K107))+1)</f>
        <v/>
      </c>
      <c r="O107" t="str">
        <f t="shared" si="3"/>
        <v/>
      </c>
      <c r="P107" t="str">
        <f>IF($A107="","",IFERROR(INDEX(countries!$G:$G,MATCH($A107,countries!$D:$D,0)),""))</f>
        <v>REQUIRED</v>
      </c>
      <c r="Q107" t="str">
        <f>IF($A107="","",IFERROR(IF(INDEX(countries!$I:$I,MATCH($A107,countries!$D:$D,0))=0,"",INDEX(countries!$I:$I,MATCH($A107,countries!$D:$D,0))),""))</f>
        <v/>
      </c>
      <c r="R107" cm="1">
        <f t="array" ref="R107">IF($A107="","",IF(AND(INDEX($C107:$J107,R$2)&gt;0,$A107&lt;&gt;INDEX('TRIP MANAGER'!$T$18:$T$25,R$2),$A107&lt;&gt;INDEX('TRIP MANAGER'!$U$18:$U$25,R$2)),1,0))</f>
        <v>0</v>
      </c>
      <c r="S107" cm="1">
        <f t="array" ref="S107">IF($A107="","",IF(AND(INDEX($C107:$J107,S$2)&gt;0,$A107&lt;&gt;INDEX('TRIP MANAGER'!$T$18:$T$25,S$2),$A107&lt;&gt;INDEX('TRIP MANAGER'!$U$18:$U$25,S$2)),1,0))</f>
        <v>0</v>
      </c>
      <c r="T107" cm="1">
        <f t="array" ref="T107">IF($A107="","",IF(AND(INDEX($C107:$J107,T$2)&gt;0,$A107&lt;&gt;INDEX('TRIP MANAGER'!$T$18:$T$25,T$2),$A107&lt;&gt;INDEX('TRIP MANAGER'!$U$18:$U$25,T$2)),1,0))</f>
        <v>0</v>
      </c>
      <c r="U107" cm="1">
        <f t="array" ref="U107">IF($A107="","",IF(AND(INDEX($C107:$J107,U$2)&gt;0,$A107&lt;&gt;INDEX('TRIP MANAGER'!$T$18:$T$25,U$2),$A107&lt;&gt;INDEX('TRIP MANAGER'!$U$18:$U$25,U$2)),1,0))</f>
        <v>0</v>
      </c>
      <c r="V107" cm="1">
        <f t="array" ref="V107">IF($A107="","",IF(AND(INDEX($C107:$J107,V$2)&gt;0,$A107&lt;&gt;INDEX('TRIP MANAGER'!$T$18:$T$25,V$2),$A107&lt;&gt;INDEX('TRIP MANAGER'!$U$18:$U$25,V$2)),1,0))</f>
        <v>0</v>
      </c>
      <c r="W107" cm="1">
        <f t="array" ref="W107">IF($A107="","",IF(AND(INDEX($C107:$J107,W$2)&gt;0,$A107&lt;&gt;INDEX('TRIP MANAGER'!$T$18:$T$25,W$2),$A107&lt;&gt;INDEX('TRIP MANAGER'!$U$18:$U$25,W$2)),1,0))</f>
        <v>0</v>
      </c>
      <c r="X107" cm="1">
        <f t="array" ref="X107">IF($A107="","",IF(AND(INDEX($C107:$J107,X$2)&gt;0,$A107&lt;&gt;INDEX('TRIP MANAGER'!$T$18:$T$25,X$2),$A107&lt;&gt;INDEX('TRIP MANAGER'!$U$18:$U$25,X$2)),1,0))</f>
        <v>0</v>
      </c>
      <c r="Y107" cm="1">
        <f t="array" ref="Y107">IF($A107="","",IF(AND(INDEX($C107:$J107,Y$2)&gt;0,$A107&lt;&gt;INDEX('TRIP MANAGER'!$T$18:$T$25,Y$2),$A107&lt;&gt;INDEX('TRIP MANAGER'!$U$18:$U$25,Y$2)),1,0))</f>
        <v>0</v>
      </c>
    </row>
    <row r="108" spans="1:25" x14ac:dyDescent="0.3">
      <c r="A108" t="str">
        <f>IF(countries!$D107="","",countries!$D107)</f>
        <v>KGZ</v>
      </c>
      <c r="B108" t="str">
        <f>IF(countries!$B107="","",countries!$B107)</f>
        <v>Kyrgyzstan</v>
      </c>
      <c r="C108">
        <f>IF($A108="","",COUNTIFS(route_calc!$A$2:$A$1209,C$2,route_calc!$P$2:$P$1209,$A108))</f>
        <v>0</v>
      </c>
      <c r="D108">
        <f>IF($A108="","",COUNTIFS(route_calc!$A$2:$A$1209,D$2,route_calc!$P$2:$P$1209,$A108))</f>
        <v>0</v>
      </c>
      <c r="E108">
        <f>IF($A108="","",COUNTIFS(route_calc!$A$2:$A$1209,E$2,route_calc!$P$2:$P$1209,$A108))</f>
        <v>0</v>
      </c>
      <c r="F108">
        <f>IF($A108="","",COUNTIFS(route_calc!$A$2:$A$1209,F$2,route_calc!$P$2:$P$1209,$A108))</f>
        <v>0</v>
      </c>
      <c r="G108">
        <f>IF($A108="","",COUNTIFS(route_calc!$A$2:$A$1209,G$2,route_calc!$P$2:$P$1209,$A108))</f>
        <v>0</v>
      </c>
      <c r="H108">
        <f>IF($A108="","",COUNTIFS(route_calc!$A$2:$A$1209,H$2,route_calc!$P$2:$P$1209,$A108))</f>
        <v>0</v>
      </c>
      <c r="I108">
        <f>IF($A108="","",COUNTIFS(route_calc!$A$2:$A$1209,I$2,route_calc!$P$2:$P$1209,$A108))</f>
        <v>0</v>
      </c>
      <c r="J108">
        <f>IF($A108="","",COUNTIFS(route_calc!$A$2:$A$1209,J$2,route_calc!$P$2:$P$1209,$A108))</f>
        <v>0</v>
      </c>
      <c r="K108" t="str">
        <f>IF($L108=0,"",_xlfn.MINIFS(route_calc!$Q$2:$Q$1209,route_calc!$P$2:$P$1209,$A108,route_calc!$A$2:$A$1209,MATCH(1,$R108:$Y108,0)))</f>
        <v/>
      </c>
      <c r="L108">
        <f t="shared" si="2"/>
        <v>0</v>
      </c>
      <c r="M108" t="str" cm="1">
        <f t="array" ref="M108">IF($L108=0,"",_xlfn.TEXTJOIN(", ",TRUE,IF($R108:$Y108&gt;0,$C$1:$J$1,"")))</f>
        <v/>
      </c>
      <c r="N108" t="str" cm="1">
        <f t="array" ref="N108">IF($L108=0,"",SUMPRODUCT(($L$3:$L$144=1)*($K$3:$K$144&lt;$K108))+1)</f>
        <v/>
      </c>
      <c r="O108" t="str">
        <f t="shared" si="3"/>
        <v/>
      </c>
      <c r="P108" t="str">
        <f>IF($A108="","",IFERROR(INDEX(countries!$G:$G,MATCH($A108,countries!$D:$D,0)),""))</f>
        <v>REQUIRED</v>
      </c>
      <c r="Q108" t="str">
        <f>IF($A108="","",IFERROR(IF(INDEX(countries!$I:$I,MATCH($A108,countries!$D:$D,0))=0,"",INDEX(countries!$I:$I,MATCH($A108,countries!$D:$D,0))),""))</f>
        <v/>
      </c>
      <c r="R108" cm="1">
        <f t="array" ref="R108">IF($A108="","",IF(AND(INDEX($C108:$J108,R$2)&gt;0,$A108&lt;&gt;INDEX('TRIP MANAGER'!$T$18:$T$25,R$2),$A108&lt;&gt;INDEX('TRIP MANAGER'!$U$18:$U$25,R$2)),1,0))</f>
        <v>0</v>
      </c>
      <c r="S108" cm="1">
        <f t="array" ref="S108">IF($A108="","",IF(AND(INDEX($C108:$J108,S$2)&gt;0,$A108&lt;&gt;INDEX('TRIP MANAGER'!$T$18:$T$25,S$2),$A108&lt;&gt;INDEX('TRIP MANAGER'!$U$18:$U$25,S$2)),1,0))</f>
        <v>0</v>
      </c>
      <c r="T108" cm="1">
        <f t="array" ref="T108">IF($A108="","",IF(AND(INDEX($C108:$J108,T$2)&gt;0,$A108&lt;&gt;INDEX('TRIP MANAGER'!$T$18:$T$25,T$2),$A108&lt;&gt;INDEX('TRIP MANAGER'!$U$18:$U$25,T$2)),1,0))</f>
        <v>0</v>
      </c>
      <c r="U108" cm="1">
        <f t="array" ref="U108">IF($A108="","",IF(AND(INDEX($C108:$J108,U$2)&gt;0,$A108&lt;&gt;INDEX('TRIP MANAGER'!$T$18:$T$25,U$2),$A108&lt;&gt;INDEX('TRIP MANAGER'!$U$18:$U$25,U$2)),1,0))</f>
        <v>0</v>
      </c>
      <c r="V108" cm="1">
        <f t="array" ref="V108">IF($A108="","",IF(AND(INDEX($C108:$J108,V$2)&gt;0,$A108&lt;&gt;INDEX('TRIP MANAGER'!$T$18:$T$25,V$2),$A108&lt;&gt;INDEX('TRIP MANAGER'!$U$18:$U$25,V$2)),1,0))</f>
        <v>0</v>
      </c>
      <c r="W108" cm="1">
        <f t="array" ref="W108">IF($A108="","",IF(AND(INDEX($C108:$J108,W$2)&gt;0,$A108&lt;&gt;INDEX('TRIP MANAGER'!$T$18:$T$25,W$2),$A108&lt;&gt;INDEX('TRIP MANAGER'!$U$18:$U$25,W$2)),1,0))</f>
        <v>0</v>
      </c>
      <c r="X108" cm="1">
        <f t="array" ref="X108">IF($A108="","",IF(AND(INDEX($C108:$J108,X$2)&gt;0,$A108&lt;&gt;INDEX('TRIP MANAGER'!$T$18:$T$25,X$2),$A108&lt;&gt;INDEX('TRIP MANAGER'!$U$18:$U$25,X$2)),1,0))</f>
        <v>0</v>
      </c>
      <c r="Y108" cm="1">
        <f t="array" ref="Y108">IF($A108="","",IF(AND(INDEX($C108:$J108,Y$2)&gt;0,$A108&lt;&gt;INDEX('TRIP MANAGER'!$T$18:$T$25,Y$2),$A108&lt;&gt;INDEX('TRIP MANAGER'!$U$18:$U$25,Y$2)),1,0))</f>
        <v>0</v>
      </c>
    </row>
    <row r="109" spans="1:25" x14ac:dyDescent="0.3">
      <c r="A109" t="str">
        <f>IF(countries!$D108="","",countries!$D108)</f>
        <v>KHM</v>
      </c>
      <c r="B109" t="str">
        <f>IF(countries!$B108="","",countries!$B108)</f>
        <v>Cambodia</v>
      </c>
      <c r="C109">
        <f>IF($A109="","",COUNTIFS(route_calc!$A$2:$A$1209,C$2,route_calc!$P$2:$P$1209,$A109))</f>
        <v>0</v>
      </c>
      <c r="D109">
        <f>IF($A109="","",COUNTIFS(route_calc!$A$2:$A$1209,D$2,route_calc!$P$2:$P$1209,$A109))</f>
        <v>0</v>
      </c>
      <c r="E109">
        <f>IF($A109="","",COUNTIFS(route_calc!$A$2:$A$1209,E$2,route_calc!$P$2:$P$1209,$A109))</f>
        <v>0</v>
      </c>
      <c r="F109">
        <f>IF($A109="","",COUNTIFS(route_calc!$A$2:$A$1209,F$2,route_calc!$P$2:$P$1209,$A109))</f>
        <v>0</v>
      </c>
      <c r="G109">
        <f>IF($A109="","",COUNTIFS(route_calc!$A$2:$A$1209,G$2,route_calc!$P$2:$P$1209,$A109))</f>
        <v>0</v>
      </c>
      <c r="H109">
        <f>IF($A109="","",COUNTIFS(route_calc!$A$2:$A$1209,H$2,route_calc!$P$2:$P$1209,$A109))</f>
        <v>0</v>
      </c>
      <c r="I109">
        <f>IF($A109="","",COUNTIFS(route_calc!$A$2:$A$1209,I$2,route_calc!$P$2:$P$1209,$A109))</f>
        <v>0</v>
      </c>
      <c r="J109">
        <f>IF($A109="","",COUNTIFS(route_calc!$A$2:$A$1209,J$2,route_calc!$P$2:$P$1209,$A109))</f>
        <v>0</v>
      </c>
      <c r="K109" t="str">
        <f>IF($L109=0,"",_xlfn.MINIFS(route_calc!$Q$2:$Q$1209,route_calc!$P$2:$P$1209,$A109,route_calc!$A$2:$A$1209,MATCH(1,$R109:$Y109,0)))</f>
        <v/>
      </c>
      <c r="L109">
        <f t="shared" si="2"/>
        <v>0</v>
      </c>
      <c r="M109" t="str" cm="1">
        <f t="array" ref="M109">IF($L109=0,"",_xlfn.TEXTJOIN(", ",TRUE,IF($R109:$Y109&gt;0,$C$1:$J$1,"")))</f>
        <v/>
      </c>
      <c r="N109" t="str" cm="1">
        <f t="array" ref="N109">IF($L109=0,"",SUMPRODUCT(($L$3:$L$144=1)*($K$3:$K$144&lt;$K109))+1)</f>
        <v/>
      </c>
      <c r="O109" t="str">
        <f t="shared" si="3"/>
        <v/>
      </c>
      <c r="P109" t="str">
        <f>IF($A109="","",IFERROR(INDEX(countries!$G:$G,MATCH($A109,countries!$D:$D,0)),""))</f>
        <v>REQUIRED</v>
      </c>
      <c r="Q109" t="str">
        <f>IF($A109="","",IFERROR(IF(INDEX(countries!$I:$I,MATCH($A109,countries!$D:$D,0))=0,"",INDEX(countries!$I:$I,MATCH($A109,countries!$D:$D,0))),""))</f>
        <v/>
      </c>
      <c r="R109" cm="1">
        <f t="array" ref="R109">IF($A109="","",IF(AND(INDEX($C109:$J109,R$2)&gt;0,$A109&lt;&gt;INDEX('TRIP MANAGER'!$T$18:$T$25,R$2),$A109&lt;&gt;INDEX('TRIP MANAGER'!$U$18:$U$25,R$2)),1,0))</f>
        <v>0</v>
      </c>
      <c r="S109" cm="1">
        <f t="array" ref="S109">IF($A109="","",IF(AND(INDEX($C109:$J109,S$2)&gt;0,$A109&lt;&gt;INDEX('TRIP MANAGER'!$T$18:$T$25,S$2),$A109&lt;&gt;INDEX('TRIP MANAGER'!$U$18:$U$25,S$2)),1,0))</f>
        <v>0</v>
      </c>
      <c r="T109" cm="1">
        <f t="array" ref="T109">IF($A109="","",IF(AND(INDEX($C109:$J109,T$2)&gt;0,$A109&lt;&gt;INDEX('TRIP MANAGER'!$T$18:$T$25,T$2),$A109&lt;&gt;INDEX('TRIP MANAGER'!$U$18:$U$25,T$2)),1,0))</f>
        <v>0</v>
      </c>
      <c r="U109" cm="1">
        <f t="array" ref="U109">IF($A109="","",IF(AND(INDEX($C109:$J109,U$2)&gt;0,$A109&lt;&gt;INDEX('TRIP MANAGER'!$T$18:$T$25,U$2),$A109&lt;&gt;INDEX('TRIP MANAGER'!$U$18:$U$25,U$2)),1,0))</f>
        <v>0</v>
      </c>
      <c r="V109" cm="1">
        <f t="array" ref="V109">IF($A109="","",IF(AND(INDEX($C109:$J109,V$2)&gt;0,$A109&lt;&gt;INDEX('TRIP MANAGER'!$T$18:$T$25,V$2),$A109&lt;&gt;INDEX('TRIP MANAGER'!$U$18:$U$25,V$2)),1,0))</f>
        <v>0</v>
      </c>
      <c r="W109" cm="1">
        <f t="array" ref="W109">IF($A109="","",IF(AND(INDEX($C109:$J109,W$2)&gt;0,$A109&lt;&gt;INDEX('TRIP MANAGER'!$T$18:$T$25,W$2),$A109&lt;&gt;INDEX('TRIP MANAGER'!$U$18:$U$25,W$2)),1,0))</f>
        <v>0</v>
      </c>
      <c r="X109" cm="1">
        <f t="array" ref="X109">IF($A109="","",IF(AND(INDEX($C109:$J109,X$2)&gt;0,$A109&lt;&gt;INDEX('TRIP MANAGER'!$T$18:$T$25,X$2),$A109&lt;&gt;INDEX('TRIP MANAGER'!$U$18:$U$25,X$2)),1,0))</f>
        <v>0</v>
      </c>
      <c r="Y109" cm="1">
        <f t="array" ref="Y109">IF($A109="","",IF(AND(INDEX($C109:$J109,Y$2)&gt;0,$A109&lt;&gt;INDEX('TRIP MANAGER'!$T$18:$T$25,Y$2),$A109&lt;&gt;INDEX('TRIP MANAGER'!$U$18:$U$25,Y$2)),1,0))</f>
        <v>0</v>
      </c>
    </row>
    <row r="110" spans="1:25" x14ac:dyDescent="0.3">
      <c r="A110" t="str">
        <f>IF(countries!$D109="","",countries!$D109)</f>
        <v>LAO</v>
      </c>
      <c r="B110" t="str">
        <f>IF(countries!$B109="","",countries!$B109)</f>
        <v>Laos</v>
      </c>
      <c r="C110">
        <f>IF($A110="","",COUNTIFS(route_calc!$A$2:$A$1209,C$2,route_calc!$P$2:$P$1209,$A110))</f>
        <v>0</v>
      </c>
      <c r="D110">
        <f>IF($A110="","",COUNTIFS(route_calc!$A$2:$A$1209,D$2,route_calc!$P$2:$P$1209,$A110))</f>
        <v>0</v>
      </c>
      <c r="E110">
        <f>IF($A110="","",COUNTIFS(route_calc!$A$2:$A$1209,E$2,route_calc!$P$2:$P$1209,$A110))</f>
        <v>0</v>
      </c>
      <c r="F110">
        <f>IF($A110="","",COUNTIFS(route_calc!$A$2:$A$1209,F$2,route_calc!$P$2:$P$1209,$A110))</f>
        <v>0</v>
      </c>
      <c r="G110">
        <f>IF($A110="","",COUNTIFS(route_calc!$A$2:$A$1209,G$2,route_calc!$P$2:$P$1209,$A110))</f>
        <v>0</v>
      </c>
      <c r="H110">
        <f>IF($A110="","",COUNTIFS(route_calc!$A$2:$A$1209,H$2,route_calc!$P$2:$P$1209,$A110))</f>
        <v>0</v>
      </c>
      <c r="I110">
        <f>IF($A110="","",COUNTIFS(route_calc!$A$2:$A$1209,I$2,route_calc!$P$2:$P$1209,$A110))</f>
        <v>0</v>
      </c>
      <c r="J110">
        <f>IF($A110="","",COUNTIFS(route_calc!$A$2:$A$1209,J$2,route_calc!$P$2:$P$1209,$A110))</f>
        <v>0</v>
      </c>
      <c r="K110" t="str">
        <f>IF($L110=0,"",_xlfn.MINIFS(route_calc!$Q$2:$Q$1209,route_calc!$P$2:$P$1209,$A110,route_calc!$A$2:$A$1209,MATCH(1,$R110:$Y110,0)))</f>
        <v/>
      </c>
      <c r="L110">
        <f t="shared" si="2"/>
        <v>0</v>
      </c>
      <c r="M110" t="str" cm="1">
        <f t="array" ref="M110">IF($L110=0,"",_xlfn.TEXTJOIN(", ",TRUE,IF($R110:$Y110&gt;0,$C$1:$J$1,"")))</f>
        <v/>
      </c>
      <c r="N110" t="str" cm="1">
        <f t="array" ref="N110">IF($L110=0,"",SUMPRODUCT(($L$3:$L$144=1)*($K$3:$K$144&lt;$K110))+1)</f>
        <v/>
      </c>
      <c r="O110" t="str">
        <f t="shared" si="3"/>
        <v/>
      </c>
      <c r="P110" t="str">
        <f>IF($A110="","",IFERROR(INDEX(countries!$G:$G,MATCH($A110,countries!$D:$D,0)),""))</f>
        <v>REQUIRED</v>
      </c>
      <c r="Q110" t="str">
        <f>IF($A110="","",IFERROR(IF(INDEX(countries!$I:$I,MATCH($A110,countries!$D:$D,0))=0,"",INDEX(countries!$I:$I,MATCH($A110,countries!$D:$D,0))),""))</f>
        <v/>
      </c>
      <c r="R110" cm="1">
        <f t="array" ref="R110">IF($A110="","",IF(AND(INDEX($C110:$J110,R$2)&gt;0,$A110&lt;&gt;INDEX('TRIP MANAGER'!$T$18:$T$25,R$2),$A110&lt;&gt;INDEX('TRIP MANAGER'!$U$18:$U$25,R$2)),1,0))</f>
        <v>0</v>
      </c>
      <c r="S110" cm="1">
        <f t="array" ref="S110">IF($A110="","",IF(AND(INDEX($C110:$J110,S$2)&gt;0,$A110&lt;&gt;INDEX('TRIP MANAGER'!$T$18:$T$25,S$2),$A110&lt;&gt;INDEX('TRIP MANAGER'!$U$18:$U$25,S$2)),1,0))</f>
        <v>0</v>
      </c>
      <c r="T110" cm="1">
        <f t="array" ref="T110">IF($A110="","",IF(AND(INDEX($C110:$J110,T$2)&gt;0,$A110&lt;&gt;INDEX('TRIP MANAGER'!$T$18:$T$25,T$2),$A110&lt;&gt;INDEX('TRIP MANAGER'!$U$18:$U$25,T$2)),1,0))</f>
        <v>0</v>
      </c>
      <c r="U110" cm="1">
        <f t="array" ref="U110">IF($A110="","",IF(AND(INDEX($C110:$J110,U$2)&gt;0,$A110&lt;&gt;INDEX('TRIP MANAGER'!$T$18:$T$25,U$2),$A110&lt;&gt;INDEX('TRIP MANAGER'!$U$18:$U$25,U$2)),1,0))</f>
        <v>0</v>
      </c>
      <c r="V110" cm="1">
        <f t="array" ref="V110">IF($A110="","",IF(AND(INDEX($C110:$J110,V$2)&gt;0,$A110&lt;&gt;INDEX('TRIP MANAGER'!$T$18:$T$25,V$2),$A110&lt;&gt;INDEX('TRIP MANAGER'!$U$18:$U$25,V$2)),1,0))</f>
        <v>0</v>
      </c>
      <c r="W110" cm="1">
        <f t="array" ref="W110">IF($A110="","",IF(AND(INDEX($C110:$J110,W$2)&gt;0,$A110&lt;&gt;INDEX('TRIP MANAGER'!$T$18:$T$25,W$2),$A110&lt;&gt;INDEX('TRIP MANAGER'!$U$18:$U$25,W$2)),1,0))</f>
        <v>0</v>
      </c>
      <c r="X110" cm="1">
        <f t="array" ref="X110">IF($A110="","",IF(AND(INDEX($C110:$J110,X$2)&gt;0,$A110&lt;&gt;INDEX('TRIP MANAGER'!$T$18:$T$25,X$2),$A110&lt;&gt;INDEX('TRIP MANAGER'!$U$18:$U$25,X$2)),1,0))</f>
        <v>0</v>
      </c>
      <c r="Y110" cm="1">
        <f t="array" ref="Y110">IF($A110="","",IF(AND(INDEX($C110:$J110,Y$2)&gt;0,$A110&lt;&gt;INDEX('TRIP MANAGER'!$T$18:$T$25,Y$2),$A110&lt;&gt;INDEX('TRIP MANAGER'!$U$18:$U$25,Y$2)),1,0))</f>
        <v>0</v>
      </c>
    </row>
    <row r="111" spans="1:25" x14ac:dyDescent="0.3">
      <c r="A111" t="str">
        <f>IF(countries!$D110="","",countries!$D110)</f>
        <v>LKA</v>
      </c>
      <c r="B111" t="str">
        <f>IF(countries!$B110="","",countries!$B110)</f>
        <v>Sri Lanka</v>
      </c>
      <c r="C111">
        <f>IF($A111="","",COUNTIFS(route_calc!$A$2:$A$1209,C$2,route_calc!$P$2:$P$1209,$A111))</f>
        <v>0</v>
      </c>
      <c r="D111">
        <f>IF($A111="","",COUNTIFS(route_calc!$A$2:$A$1209,D$2,route_calc!$P$2:$P$1209,$A111))</f>
        <v>0</v>
      </c>
      <c r="E111">
        <f>IF($A111="","",COUNTIFS(route_calc!$A$2:$A$1209,E$2,route_calc!$P$2:$P$1209,$A111))</f>
        <v>0</v>
      </c>
      <c r="F111">
        <f>IF($A111="","",COUNTIFS(route_calc!$A$2:$A$1209,F$2,route_calc!$P$2:$P$1209,$A111))</f>
        <v>0</v>
      </c>
      <c r="G111">
        <f>IF($A111="","",COUNTIFS(route_calc!$A$2:$A$1209,G$2,route_calc!$P$2:$P$1209,$A111))</f>
        <v>0</v>
      </c>
      <c r="H111">
        <f>IF($A111="","",COUNTIFS(route_calc!$A$2:$A$1209,H$2,route_calc!$P$2:$P$1209,$A111))</f>
        <v>0</v>
      </c>
      <c r="I111">
        <f>IF($A111="","",COUNTIFS(route_calc!$A$2:$A$1209,I$2,route_calc!$P$2:$P$1209,$A111))</f>
        <v>0</v>
      </c>
      <c r="J111">
        <f>IF($A111="","",COUNTIFS(route_calc!$A$2:$A$1209,J$2,route_calc!$P$2:$P$1209,$A111))</f>
        <v>0</v>
      </c>
      <c r="K111" t="str">
        <f>IF($L111=0,"",_xlfn.MINIFS(route_calc!$Q$2:$Q$1209,route_calc!$P$2:$P$1209,$A111,route_calc!$A$2:$A$1209,MATCH(1,$R111:$Y111,0)))</f>
        <v/>
      </c>
      <c r="L111">
        <f t="shared" si="2"/>
        <v>0</v>
      </c>
      <c r="M111" t="str" cm="1">
        <f t="array" ref="M111">IF($L111=0,"",_xlfn.TEXTJOIN(", ",TRUE,IF($R111:$Y111&gt;0,$C$1:$J$1,"")))</f>
        <v/>
      </c>
      <c r="N111" t="str" cm="1">
        <f t="array" ref="N111">IF($L111=0,"",SUMPRODUCT(($L$3:$L$144=1)*($K$3:$K$144&lt;$K111))+1)</f>
        <v/>
      </c>
      <c r="O111" t="str">
        <f t="shared" si="3"/>
        <v/>
      </c>
      <c r="P111" t="str">
        <f>IF($A111="","",IFERROR(INDEX(countries!$G:$G,MATCH($A111,countries!$D:$D,0)),""))</f>
        <v>REQUIRED</v>
      </c>
      <c r="Q111" t="str">
        <f>IF($A111="","",IFERROR(IF(INDEX(countries!$I:$I,MATCH($A111,countries!$D:$D,0))=0,"",INDEX(countries!$I:$I,MATCH($A111,countries!$D:$D,0))),""))</f>
        <v/>
      </c>
      <c r="R111" cm="1">
        <f t="array" ref="R111">IF($A111="","",IF(AND(INDEX($C111:$J111,R$2)&gt;0,$A111&lt;&gt;INDEX('TRIP MANAGER'!$T$18:$T$25,R$2),$A111&lt;&gt;INDEX('TRIP MANAGER'!$U$18:$U$25,R$2)),1,0))</f>
        <v>0</v>
      </c>
      <c r="S111" cm="1">
        <f t="array" ref="S111">IF($A111="","",IF(AND(INDEX($C111:$J111,S$2)&gt;0,$A111&lt;&gt;INDEX('TRIP MANAGER'!$T$18:$T$25,S$2),$A111&lt;&gt;INDEX('TRIP MANAGER'!$U$18:$U$25,S$2)),1,0))</f>
        <v>0</v>
      </c>
      <c r="T111" cm="1">
        <f t="array" ref="T111">IF($A111="","",IF(AND(INDEX($C111:$J111,T$2)&gt;0,$A111&lt;&gt;INDEX('TRIP MANAGER'!$T$18:$T$25,T$2),$A111&lt;&gt;INDEX('TRIP MANAGER'!$U$18:$U$25,T$2)),1,0))</f>
        <v>0</v>
      </c>
      <c r="U111" cm="1">
        <f t="array" ref="U111">IF($A111="","",IF(AND(INDEX($C111:$J111,U$2)&gt;0,$A111&lt;&gt;INDEX('TRIP MANAGER'!$T$18:$T$25,U$2),$A111&lt;&gt;INDEX('TRIP MANAGER'!$U$18:$U$25,U$2)),1,0))</f>
        <v>0</v>
      </c>
      <c r="V111" cm="1">
        <f t="array" ref="V111">IF($A111="","",IF(AND(INDEX($C111:$J111,V$2)&gt;0,$A111&lt;&gt;INDEX('TRIP MANAGER'!$T$18:$T$25,V$2),$A111&lt;&gt;INDEX('TRIP MANAGER'!$U$18:$U$25,V$2)),1,0))</f>
        <v>0</v>
      </c>
      <c r="W111" cm="1">
        <f t="array" ref="W111">IF($A111="","",IF(AND(INDEX($C111:$J111,W$2)&gt;0,$A111&lt;&gt;INDEX('TRIP MANAGER'!$T$18:$T$25,W$2),$A111&lt;&gt;INDEX('TRIP MANAGER'!$U$18:$U$25,W$2)),1,0))</f>
        <v>0</v>
      </c>
      <c r="X111" cm="1">
        <f t="array" ref="X111">IF($A111="","",IF(AND(INDEX($C111:$J111,X$2)&gt;0,$A111&lt;&gt;INDEX('TRIP MANAGER'!$T$18:$T$25,X$2),$A111&lt;&gt;INDEX('TRIP MANAGER'!$U$18:$U$25,X$2)),1,0))</f>
        <v>0</v>
      </c>
      <c r="Y111" cm="1">
        <f t="array" ref="Y111">IF($A111="","",IF(AND(INDEX($C111:$J111,Y$2)&gt;0,$A111&lt;&gt;INDEX('TRIP MANAGER'!$T$18:$T$25,Y$2),$A111&lt;&gt;INDEX('TRIP MANAGER'!$U$18:$U$25,Y$2)),1,0))</f>
        <v>0</v>
      </c>
    </row>
    <row r="112" spans="1:25" x14ac:dyDescent="0.3">
      <c r="A112" t="str">
        <f>IF(countries!$D111="","",countries!$D111)</f>
        <v>LTU</v>
      </c>
      <c r="B112" t="str">
        <f>IF(countries!$B111="","",countries!$B111)</f>
        <v>Lithuania</v>
      </c>
      <c r="C112">
        <f>IF($A112="","",COUNTIFS(route_calc!$A$2:$A$1209,C$2,route_calc!$P$2:$P$1209,$A112))</f>
        <v>0</v>
      </c>
      <c r="D112">
        <f>IF($A112="","",COUNTIFS(route_calc!$A$2:$A$1209,D$2,route_calc!$P$2:$P$1209,$A112))</f>
        <v>0</v>
      </c>
      <c r="E112">
        <f>IF($A112="","",COUNTIFS(route_calc!$A$2:$A$1209,E$2,route_calc!$P$2:$P$1209,$A112))</f>
        <v>0</v>
      </c>
      <c r="F112">
        <f>IF($A112="","",COUNTIFS(route_calc!$A$2:$A$1209,F$2,route_calc!$P$2:$P$1209,$A112))</f>
        <v>0</v>
      </c>
      <c r="G112">
        <f>IF($A112="","",COUNTIFS(route_calc!$A$2:$A$1209,G$2,route_calc!$P$2:$P$1209,$A112))</f>
        <v>0</v>
      </c>
      <c r="H112">
        <f>IF($A112="","",COUNTIFS(route_calc!$A$2:$A$1209,H$2,route_calc!$P$2:$P$1209,$A112))</f>
        <v>0</v>
      </c>
      <c r="I112">
        <f>IF($A112="","",COUNTIFS(route_calc!$A$2:$A$1209,I$2,route_calc!$P$2:$P$1209,$A112))</f>
        <v>0</v>
      </c>
      <c r="J112">
        <f>IF($A112="","",COUNTIFS(route_calc!$A$2:$A$1209,J$2,route_calc!$P$2:$P$1209,$A112))</f>
        <v>0</v>
      </c>
      <c r="K112" t="str">
        <f>IF($L112=0,"",_xlfn.MINIFS(route_calc!$Q$2:$Q$1209,route_calc!$P$2:$P$1209,$A112,route_calc!$A$2:$A$1209,MATCH(1,$R112:$Y112,0)))</f>
        <v/>
      </c>
      <c r="L112">
        <f t="shared" si="2"/>
        <v>0</v>
      </c>
      <c r="M112" t="str" cm="1">
        <f t="array" ref="M112">IF($L112=0,"",_xlfn.TEXTJOIN(", ",TRUE,IF($R112:$Y112&gt;0,$C$1:$J$1,"")))</f>
        <v/>
      </c>
      <c r="N112" t="str" cm="1">
        <f t="array" ref="N112">IF($L112=0,"",SUMPRODUCT(($L$3:$L$144=1)*($K$3:$K$144&lt;$K112))+1)</f>
        <v/>
      </c>
      <c r="O112" t="str">
        <f t="shared" si="3"/>
        <v/>
      </c>
      <c r="P112" t="str">
        <f>IF($A112="","",IFERROR(INDEX(countries!$G:$G,MATCH($A112,countries!$D:$D,0)),""))</f>
        <v>REQUIRED</v>
      </c>
      <c r="Q112" t="str">
        <f>IF($A112="","",IFERROR(IF(INDEX(countries!$I:$I,MATCH($A112,countries!$D:$D,0))=0,"",INDEX(countries!$I:$I,MATCH($A112,countries!$D:$D,0))),""))</f>
        <v/>
      </c>
      <c r="R112" cm="1">
        <f t="array" ref="R112">IF($A112="","",IF(AND(INDEX($C112:$J112,R$2)&gt;0,$A112&lt;&gt;INDEX('TRIP MANAGER'!$T$18:$T$25,R$2),$A112&lt;&gt;INDEX('TRIP MANAGER'!$U$18:$U$25,R$2)),1,0))</f>
        <v>0</v>
      </c>
      <c r="S112" cm="1">
        <f t="array" ref="S112">IF($A112="","",IF(AND(INDEX($C112:$J112,S$2)&gt;0,$A112&lt;&gt;INDEX('TRIP MANAGER'!$T$18:$T$25,S$2),$A112&lt;&gt;INDEX('TRIP MANAGER'!$U$18:$U$25,S$2)),1,0))</f>
        <v>0</v>
      </c>
      <c r="T112" cm="1">
        <f t="array" ref="T112">IF($A112="","",IF(AND(INDEX($C112:$J112,T$2)&gt;0,$A112&lt;&gt;INDEX('TRIP MANAGER'!$T$18:$T$25,T$2),$A112&lt;&gt;INDEX('TRIP MANAGER'!$U$18:$U$25,T$2)),1,0))</f>
        <v>0</v>
      </c>
      <c r="U112" cm="1">
        <f t="array" ref="U112">IF($A112="","",IF(AND(INDEX($C112:$J112,U$2)&gt;0,$A112&lt;&gt;INDEX('TRIP MANAGER'!$T$18:$T$25,U$2),$A112&lt;&gt;INDEX('TRIP MANAGER'!$U$18:$U$25,U$2)),1,0))</f>
        <v>0</v>
      </c>
      <c r="V112" cm="1">
        <f t="array" ref="V112">IF($A112="","",IF(AND(INDEX($C112:$J112,V$2)&gt;0,$A112&lt;&gt;INDEX('TRIP MANAGER'!$T$18:$T$25,V$2),$A112&lt;&gt;INDEX('TRIP MANAGER'!$U$18:$U$25,V$2)),1,0))</f>
        <v>0</v>
      </c>
      <c r="W112" cm="1">
        <f t="array" ref="W112">IF($A112="","",IF(AND(INDEX($C112:$J112,W$2)&gt;0,$A112&lt;&gt;INDEX('TRIP MANAGER'!$T$18:$T$25,W$2),$A112&lt;&gt;INDEX('TRIP MANAGER'!$U$18:$U$25,W$2)),1,0))</f>
        <v>0</v>
      </c>
      <c r="X112" cm="1">
        <f t="array" ref="X112">IF($A112="","",IF(AND(INDEX($C112:$J112,X$2)&gt;0,$A112&lt;&gt;INDEX('TRIP MANAGER'!$T$18:$T$25,X$2),$A112&lt;&gt;INDEX('TRIP MANAGER'!$U$18:$U$25,X$2)),1,0))</f>
        <v>0</v>
      </c>
      <c r="Y112" cm="1">
        <f t="array" ref="Y112">IF($A112="","",IF(AND(INDEX($C112:$J112,Y$2)&gt;0,$A112&lt;&gt;INDEX('TRIP MANAGER'!$T$18:$T$25,Y$2),$A112&lt;&gt;INDEX('TRIP MANAGER'!$U$18:$U$25,Y$2)),1,0))</f>
        <v>0</v>
      </c>
    </row>
    <row r="113" spans="1:25" x14ac:dyDescent="0.3">
      <c r="A113" t="str">
        <f>IF(countries!$D112="","",countries!$D112)</f>
        <v>LUX</v>
      </c>
      <c r="B113" t="str">
        <f>IF(countries!$B112="","",countries!$B112)</f>
        <v>Luxembourg</v>
      </c>
      <c r="C113">
        <f>IF($A113="","",COUNTIFS(route_calc!$A$2:$A$1209,C$2,route_calc!$P$2:$P$1209,$A113))</f>
        <v>0</v>
      </c>
      <c r="D113">
        <f>IF($A113="","",COUNTIFS(route_calc!$A$2:$A$1209,D$2,route_calc!$P$2:$P$1209,$A113))</f>
        <v>0</v>
      </c>
      <c r="E113">
        <f>IF($A113="","",COUNTIFS(route_calc!$A$2:$A$1209,E$2,route_calc!$P$2:$P$1209,$A113))</f>
        <v>0</v>
      </c>
      <c r="F113">
        <f>IF($A113="","",COUNTIFS(route_calc!$A$2:$A$1209,F$2,route_calc!$P$2:$P$1209,$A113))</f>
        <v>0</v>
      </c>
      <c r="G113">
        <f>IF($A113="","",COUNTIFS(route_calc!$A$2:$A$1209,G$2,route_calc!$P$2:$P$1209,$A113))</f>
        <v>0</v>
      </c>
      <c r="H113">
        <f>IF($A113="","",COUNTIFS(route_calc!$A$2:$A$1209,H$2,route_calc!$P$2:$P$1209,$A113))</f>
        <v>0</v>
      </c>
      <c r="I113">
        <f>IF($A113="","",COUNTIFS(route_calc!$A$2:$A$1209,I$2,route_calc!$P$2:$P$1209,$A113))</f>
        <v>0</v>
      </c>
      <c r="J113">
        <f>IF($A113="","",COUNTIFS(route_calc!$A$2:$A$1209,J$2,route_calc!$P$2:$P$1209,$A113))</f>
        <v>0</v>
      </c>
      <c r="K113" t="str">
        <f>IF($L113=0,"",_xlfn.MINIFS(route_calc!$Q$2:$Q$1209,route_calc!$P$2:$P$1209,$A113,route_calc!$A$2:$A$1209,MATCH(1,$R113:$Y113,0)))</f>
        <v/>
      </c>
      <c r="L113">
        <f t="shared" si="2"/>
        <v>0</v>
      </c>
      <c r="M113" t="str" cm="1">
        <f t="array" ref="M113">IF($L113=0,"",_xlfn.TEXTJOIN(", ",TRUE,IF($R113:$Y113&gt;0,$C$1:$J$1,"")))</f>
        <v/>
      </c>
      <c r="N113" t="str" cm="1">
        <f t="array" ref="N113">IF($L113=0,"",SUMPRODUCT(($L$3:$L$144=1)*($K$3:$K$144&lt;$K113))+1)</f>
        <v/>
      </c>
      <c r="O113" t="str">
        <f t="shared" si="3"/>
        <v/>
      </c>
      <c r="P113" t="str">
        <f>IF($A113="","",IFERROR(INDEX(countries!$G:$G,MATCH($A113,countries!$D:$D,0)),""))</f>
        <v>REQUIRED</v>
      </c>
      <c r="Q113" t="str">
        <f>IF($A113="","",IFERROR(IF(INDEX(countries!$I:$I,MATCH($A113,countries!$D:$D,0))=0,"",INDEX(countries!$I:$I,MATCH($A113,countries!$D:$D,0))),""))</f>
        <v/>
      </c>
      <c r="R113" cm="1">
        <f t="array" ref="R113">IF($A113="","",IF(AND(INDEX($C113:$J113,R$2)&gt;0,$A113&lt;&gt;INDEX('TRIP MANAGER'!$T$18:$T$25,R$2),$A113&lt;&gt;INDEX('TRIP MANAGER'!$U$18:$U$25,R$2)),1,0))</f>
        <v>0</v>
      </c>
      <c r="S113" cm="1">
        <f t="array" ref="S113">IF($A113="","",IF(AND(INDEX($C113:$J113,S$2)&gt;0,$A113&lt;&gt;INDEX('TRIP MANAGER'!$T$18:$T$25,S$2),$A113&lt;&gt;INDEX('TRIP MANAGER'!$U$18:$U$25,S$2)),1,0))</f>
        <v>0</v>
      </c>
      <c r="T113" cm="1">
        <f t="array" ref="T113">IF($A113="","",IF(AND(INDEX($C113:$J113,T$2)&gt;0,$A113&lt;&gt;INDEX('TRIP MANAGER'!$T$18:$T$25,T$2),$A113&lt;&gt;INDEX('TRIP MANAGER'!$U$18:$U$25,T$2)),1,0))</f>
        <v>0</v>
      </c>
      <c r="U113" cm="1">
        <f t="array" ref="U113">IF($A113="","",IF(AND(INDEX($C113:$J113,U$2)&gt;0,$A113&lt;&gt;INDEX('TRIP MANAGER'!$T$18:$T$25,U$2),$A113&lt;&gt;INDEX('TRIP MANAGER'!$U$18:$U$25,U$2)),1,0))</f>
        <v>0</v>
      </c>
      <c r="V113" cm="1">
        <f t="array" ref="V113">IF($A113="","",IF(AND(INDEX($C113:$J113,V$2)&gt;0,$A113&lt;&gt;INDEX('TRIP MANAGER'!$T$18:$T$25,V$2),$A113&lt;&gt;INDEX('TRIP MANAGER'!$U$18:$U$25,V$2)),1,0))</f>
        <v>0</v>
      </c>
      <c r="W113" cm="1">
        <f t="array" ref="W113">IF($A113="","",IF(AND(INDEX($C113:$J113,W$2)&gt;0,$A113&lt;&gt;INDEX('TRIP MANAGER'!$T$18:$T$25,W$2),$A113&lt;&gt;INDEX('TRIP MANAGER'!$U$18:$U$25,W$2)),1,0))</f>
        <v>0</v>
      </c>
      <c r="X113" cm="1">
        <f t="array" ref="X113">IF($A113="","",IF(AND(INDEX($C113:$J113,X$2)&gt;0,$A113&lt;&gt;INDEX('TRIP MANAGER'!$T$18:$T$25,X$2),$A113&lt;&gt;INDEX('TRIP MANAGER'!$U$18:$U$25,X$2)),1,0))</f>
        <v>0</v>
      </c>
      <c r="Y113" cm="1">
        <f t="array" ref="Y113">IF($A113="","",IF(AND(INDEX($C113:$J113,Y$2)&gt;0,$A113&lt;&gt;INDEX('TRIP MANAGER'!$T$18:$T$25,Y$2),$A113&lt;&gt;INDEX('TRIP MANAGER'!$U$18:$U$25,Y$2)),1,0))</f>
        <v>0</v>
      </c>
    </row>
    <row r="114" spans="1:25" x14ac:dyDescent="0.3">
      <c r="A114" t="str">
        <f>IF(countries!$D113="","",countries!$D113)</f>
        <v>LVA</v>
      </c>
      <c r="B114" t="str">
        <f>IF(countries!$B113="","",countries!$B113)</f>
        <v>Latvia</v>
      </c>
      <c r="C114">
        <f>IF($A114="","",COUNTIFS(route_calc!$A$2:$A$1209,C$2,route_calc!$P$2:$P$1209,$A114))</f>
        <v>0</v>
      </c>
      <c r="D114">
        <f>IF($A114="","",COUNTIFS(route_calc!$A$2:$A$1209,D$2,route_calc!$P$2:$P$1209,$A114))</f>
        <v>0</v>
      </c>
      <c r="E114">
        <f>IF($A114="","",COUNTIFS(route_calc!$A$2:$A$1209,E$2,route_calc!$P$2:$P$1209,$A114))</f>
        <v>0</v>
      </c>
      <c r="F114">
        <f>IF($A114="","",COUNTIFS(route_calc!$A$2:$A$1209,F$2,route_calc!$P$2:$P$1209,$A114))</f>
        <v>0</v>
      </c>
      <c r="G114">
        <f>IF($A114="","",COUNTIFS(route_calc!$A$2:$A$1209,G$2,route_calc!$P$2:$P$1209,$A114))</f>
        <v>0</v>
      </c>
      <c r="H114">
        <f>IF($A114="","",COUNTIFS(route_calc!$A$2:$A$1209,H$2,route_calc!$P$2:$P$1209,$A114))</f>
        <v>0</v>
      </c>
      <c r="I114">
        <f>IF($A114="","",COUNTIFS(route_calc!$A$2:$A$1209,I$2,route_calc!$P$2:$P$1209,$A114))</f>
        <v>0</v>
      </c>
      <c r="J114">
        <f>IF($A114="","",COUNTIFS(route_calc!$A$2:$A$1209,J$2,route_calc!$P$2:$P$1209,$A114))</f>
        <v>0</v>
      </c>
      <c r="K114" t="str">
        <f>IF($L114=0,"",_xlfn.MINIFS(route_calc!$Q$2:$Q$1209,route_calc!$P$2:$P$1209,$A114,route_calc!$A$2:$A$1209,MATCH(1,$R114:$Y114,0)))</f>
        <v/>
      </c>
      <c r="L114">
        <f t="shared" si="2"/>
        <v>0</v>
      </c>
      <c r="M114" t="str" cm="1">
        <f t="array" ref="M114">IF($L114=0,"",_xlfn.TEXTJOIN(", ",TRUE,IF($R114:$Y114&gt;0,$C$1:$J$1,"")))</f>
        <v/>
      </c>
      <c r="N114" t="str" cm="1">
        <f t="array" ref="N114">IF($L114=0,"",SUMPRODUCT(($L$3:$L$144=1)*($K$3:$K$144&lt;$K114))+1)</f>
        <v/>
      </c>
      <c r="O114" t="str">
        <f t="shared" si="3"/>
        <v/>
      </c>
      <c r="P114" t="str">
        <f>IF($A114="","",IFERROR(INDEX(countries!$G:$G,MATCH($A114,countries!$D:$D,0)),""))</f>
        <v>REQUIRED</v>
      </c>
      <c r="Q114" t="str">
        <f>IF($A114="","",IFERROR(IF(INDEX(countries!$I:$I,MATCH($A114,countries!$D:$D,0))=0,"",INDEX(countries!$I:$I,MATCH($A114,countries!$D:$D,0))),""))</f>
        <v/>
      </c>
      <c r="R114" cm="1">
        <f t="array" ref="R114">IF($A114="","",IF(AND(INDEX($C114:$J114,R$2)&gt;0,$A114&lt;&gt;INDEX('TRIP MANAGER'!$T$18:$T$25,R$2),$A114&lt;&gt;INDEX('TRIP MANAGER'!$U$18:$U$25,R$2)),1,0))</f>
        <v>0</v>
      </c>
      <c r="S114" cm="1">
        <f t="array" ref="S114">IF($A114="","",IF(AND(INDEX($C114:$J114,S$2)&gt;0,$A114&lt;&gt;INDEX('TRIP MANAGER'!$T$18:$T$25,S$2),$A114&lt;&gt;INDEX('TRIP MANAGER'!$U$18:$U$25,S$2)),1,0))</f>
        <v>0</v>
      </c>
      <c r="T114" cm="1">
        <f t="array" ref="T114">IF($A114="","",IF(AND(INDEX($C114:$J114,T$2)&gt;0,$A114&lt;&gt;INDEX('TRIP MANAGER'!$T$18:$T$25,T$2),$A114&lt;&gt;INDEX('TRIP MANAGER'!$U$18:$U$25,T$2)),1,0))</f>
        <v>0</v>
      </c>
      <c r="U114" cm="1">
        <f t="array" ref="U114">IF($A114="","",IF(AND(INDEX($C114:$J114,U$2)&gt;0,$A114&lt;&gt;INDEX('TRIP MANAGER'!$T$18:$T$25,U$2),$A114&lt;&gt;INDEX('TRIP MANAGER'!$U$18:$U$25,U$2)),1,0))</f>
        <v>0</v>
      </c>
      <c r="V114" cm="1">
        <f t="array" ref="V114">IF($A114="","",IF(AND(INDEX($C114:$J114,V$2)&gt;0,$A114&lt;&gt;INDEX('TRIP MANAGER'!$T$18:$T$25,V$2),$A114&lt;&gt;INDEX('TRIP MANAGER'!$U$18:$U$25,V$2)),1,0))</f>
        <v>0</v>
      </c>
      <c r="W114" cm="1">
        <f t="array" ref="W114">IF($A114="","",IF(AND(INDEX($C114:$J114,W$2)&gt;0,$A114&lt;&gt;INDEX('TRIP MANAGER'!$T$18:$T$25,W$2),$A114&lt;&gt;INDEX('TRIP MANAGER'!$U$18:$U$25,W$2)),1,0))</f>
        <v>0</v>
      </c>
      <c r="X114" cm="1">
        <f t="array" ref="X114">IF($A114="","",IF(AND(INDEX($C114:$J114,X$2)&gt;0,$A114&lt;&gt;INDEX('TRIP MANAGER'!$T$18:$T$25,X$2),$A114&lt;&gt;INDEX('TRIP MANAGER'!$U$18:$U$25,X$2)),1,0))</f>
        <v>0</v>
      </c>
      <c r="Y114" cm="1">
        <f t="array" ref="Y114">IF($A114="","",IF(AND(INDEX($C114:$J114,Y$2)&gt;0,$A114&lt;&gt;INDEX('TRIP MANAGER'!$T$18:$T$25,Y$2),$A114&lt;&gt;INDEX('TRIP MANAGER'!$U$18:$U$25,Y$2)),1,0))</f>
        <v>0</v>
      </c>
    </row>
    <row r="115" spans="1:25" x14ac:dyDescent="0.3">
      <c r="A115" t="str">
        <f>IF(countries!$D114="","",countries!$D114)</f>
        <v>MDA</v>
      </c>
      <c r="B115" t="str">
        <f>IF(countries!$B114="","",countries!$B114)</f>
        <v>Moldova</v>
      </c>
      <c r="C115">
        <f>IF($A115="","",COUNTIFS(route_calc!$A$2:$A$1209,C$2,route_calc!$P$2:$P$1209,$A115))</f>
        <v>0</v>
      </c>
      <c r="D115">
        <f>IF($A115="","",COUNTIFS(route_calc!$A$2:$A$1209,D$2,route_calc!$P$2:$P$1209,$A115))</f>
        <v>0</v>
      </c>
      <c r="E115">
        <f>IF($A115="","",COUNTIFS(route_calc!$A$2:$A$1209,E$2,route_calc!$P$2:$P$1209,$A115))</f>
        <v>0</v>
      </c>
      <c r="F115">
        <f>IF($A115="","",COUNTIFS(route_calc!$A$2:$A$1209,F$2,route_calc!$P$2:$P$1209,$A115))</f>
        <v>0</v>
      </c>
      <c r="G115">
        <f>IF($A115="","",COUNTIFS(route_calc!$A$2:$A$1209,G$2,route_calc!$P$2:$P$1209,$A115))</f>
        <v>0</v>
      </c>
      <c r="H115">
        <f>IF($A115="","",COUNTIFS(route_calc!$A$2:$A$1209,H$2,route_calc!$P$2:$P$1209,$A115))</f>
        <v>0</v>
      </c>
      <c r="I115">
        <f>IF($A115="","",COUNTIFS(route_calc!$A$2:$A$1209,I$2,route_calc!$P$2:$P$1209,$A115))</f>
        <v>0</v>
      </c>
      <c r="J115">
        <f>IF($A115="","",COUNTIFS(route_calc!$A$2:$A$1209,J$2,route_calc!$P$2:$P$1209,$A115))</f>
        <v>0</v>
      </c>
      <c r="K115" t="str">
        <f>IF($L115=0,"",_xlfn.MINIFS(route_calc!$Q$2:$Q$1209,route_calc!$P$2:$P$1209,$A115,route_calc!$A$2:$A$1209,MATCH(1,$R115:$Y115,0)))</f>
        <v/>
      </c>
      <c r="L115">
        <f t="shared" si="2"/>
        <v>0</v>
      </c>
      <c r="M115" t="str" cm="1">
        <f t="array" ref="M115">IF($L115=0,"",_xlfn.TEXTJOIN(", ",TRUE,IF($R115:$Y115&gt;0,$C$1:$J$1,"")))</f>
        <v/>
      </c>
      <c r="N115" t="str" cm="1">
        <f t="array" ref="N115">IF($L115=0,"",SUMPRODUCT(($L$3:$L$144=1)*($K$3:$K$144&lt;$K115))+1)</f>
        <v/>
      </c>
      <c r="O115" t="str">
        <f t="shared" si="3"/>
        <v/>
      </c>
      <c r="P115" t="str">
        <f>IF($A115="","",IFERROR(INDEX(countries!$G:$G,MATCH($A115,countries!$D:$D,0)),""))</f>
        <v>REQUIRED</v>
      </c>
      <c r="Q115" t="str">
        <f>IF($A115="","",IFERROR(IF(INDEX(countries!$I:$I,MATCH($A115,countries!$D:$D,0))=0,"",INDEX(countries!$I:$I,MATCH($A115,countries!$D:$D,0))),""))</f>
        <v/>
      </c>
      <c r="R115" cm="1">
        <f t="array" ref="R115">IF($A115="","",IF(AND(INDEX($C115:$J115,R$2)&gt;0,$A115&lt;&gt;INDEX('TRIP MANAGER'!$T$18:$T$25,R$2),$A115&lt;&gt;INDEX('TRIP MANAGER'!$U$18:$U$25,R$2)),1,0))</f>
        <v>0</v>
      </c>
      <c r="S115" cm="1">
        <f t="array" ref="S115">IF($A115="","",IF(AND(INDEX($C115:$J115,S$2)&gt;0,$A115&lt;&gt;INDEX('TRIP MANAGER'!$T$18:$T$25,S$2),$A115&lt;&gt;INDEX('TRIP MANAGER'!$U$18:$U$25,S$2)),1,0))</f>
        <v>0</v>
      </c>
      <c r="T115" cm="1">
        <f t="array" ref="T115">IF($A115="","",IF(AND(INDEX($C115:$J115,T$2)&gt;0,$A115&lt;&gt;INDEX('TRIP MANAGER'!$T$18:$T$25,T$2),$A115&lt;&gt;INDEX('TRIP MANAGER'!$U$18:$U$25,T$2)),1,0))</f>
        <v>0</v>
      </c>
      <c r="U115" cm="1">
        <f t="array" ref="U115">IF($A115="","",IF(AND(INDEX($C115:$J115,U$2)&gt;0,$A115&lt;&gt;INDEX('TRIP MANAGER'!$T$18:$T$25,U$2),$A115&lt;&gt;INDEX('TRIP MANAGER'!$U$18:$U$25,U$2)),1,0))</f>
        <v>0</v>
      </c>
      <c r="V115" cm="1">
        <f t="array" ref="V115">IF($A115="","",IF(AND(INDEX($C115:$J115,V$2)&gt;0,$A115&lt;&gt;INDEX('TRIP MANAGER'!$T$18:$T$25,V$2),$A115&lt;&gt;INDEX('TRIP MANAGER'!$U$18:$U$25,V$2)),1,0))</f>
        <v>0</v>
      </c>
      <c r="W115" cm="1">
        <f t="array" ref="W115">IF($A115="","",IF(AND(INDEX($C115:$J115,W$2)&gt;0,$A115&lt;&gt;INDEX('TRIP MANAGER'!$T$18:$T$25,W$2),$A115&lt;&gt;INDEX('TRIP MANAGER'!$U$18:$U$25,W$2)),1,0))</f>
        <v>0</v>
      </c>
      <c r="X115" cm="1">
        <f t="array" ref="X115">IF($A115="","",IF(AND(INDEX($C115:$J115,X$2)&gt;0,$A115&lt;&gt;INDEX('TRIP MANAGER'!$T$18:$T$25,X$2),$A115&lt;&gt;INDEX('TRIP MANAGER'!$U$18:$U$25,X$2)),1,0))</f>
        <v>0</v>
      </c>
      <c r="Y115" cm="1">
        <f t="array" ref="Y115">IF($A115="","",IF(AND(INDEX($C115:$J115,Y$2)&gt;0,$A115&lt;&gt;INDEX('TRIP MANAGER'!$T$18:$T$25,Y$2),$A115&lt;&gt;INDEX('TRIP MANAGER'!$U$18:$U$25,Y$2)),1,0))</f>
        <v>0</v>
      </c>
    </row>
    <row r="116" spans="1:25" x14ac:dyDescent="0.3">
      <c r="A116" t="str">
        <f>IF(countries!$D115="","",countries!$D115)</f>
        <v>MDV</v>
      </c>
      <c r="B116" t="str">
        <f>IF(countries!$B115="","",countries!$B115)</f>
        <v>Maldives</v>
      </c>
      <c r="C116">
        <f>IF($A116="","",COUNTIFS(route_calc!$A$2:$A$1209,C$2,route_calc!$P$2:$P$1209,$A116))</f>
        <v>0</v>
      </c>
      <c r="D116">
        <f>IF($A116="","",COUNTIFS(route_calc!$A$2:$A$1209,D$2,route_calc!$P$2:$P$1209,$A116))</f>
        <v>0</v>
      </c>
      <c r="E116">
        <f>IF($A116="","",COUNTIFS(route_calc!$A$2:$A$1209,E$2,route_calc!$P$2:$P$1209,$A116))</f>
        <v>0</v>
      </c>
      <c r="F116">
        <f>IF($A116="","",COUNTIFS(route_calc!$A$2:$A$1209,F$2,route_calc!$P$2:$P$1209,$A116))</f>
        <v>0</v>
      </c>
      <c r="G116">
        <f>IF($A116="","",COUNTIFS(route_calc!$A$2:$A$1209,G$2,route_calc!$P$2:$P$1209,$A116))</f>
        <v>0</v>
      </c>
      <c r="H116">
        <f>IF($A116="","",COUNTIFS(route_calc!$A$2:$A$1209,H$2,route_calc!$P$2:$P$1209,$A116))</f>
        <v>0</v>
      </c>
      <c r="I116">
        <f>IF($A116="","",COUNTIFS(route_calc!$A$2:$A$1209,I$2,route_calc!$P$2:$P$1209,$A116))</f>
        <v>0</v>
      </c>
      <c r="J116">
        <f>IF($A116="","",COUNTIFS(route_calc!$A$2:$A$1209,J$2,route_calc!$P$2:$P$1209,$A116))</f>
        <v>0</v>
      </c>
      <c r="K116" t="str">
        <f>IF($L116=0,"",_xlfn.MINIFS(route_calc!$Q$2:$Q$1209,route_calc!$P$2:$P$1209,$A116,route_calc!$A$2:$A$1209,MATCH(1,$R116:$Y116,0)))</f>
        <v/>
      </c>
      <c r="L116">
        <f t="shared" si="2"/>
        <v>0</v>
      </c>
      <c r="M116" t="str" cm="1">
        <f t="array" ref="M116">IF($L116=0,"",_xlfn.TEXTJOIN(", ",TRUE,IF($R116:$Y116&gt;0,$C$1:$J$1,"")))</f>
        <v/>
      </c>
      <c r="N116" t="str" cm="1">
        <f t="array" ref="N116">IF($L116=0,"",SUMPRODUCT(($L$3:$L$144=1)*($K$3:$K$144&lt;$K116))+1)</f>
        <v/>
      </c>
      <c r="O116" t="str">
        <f t="shared" si="3"/>
        <v/>
      </c>
      <c r="P116" t="str">
        <f>IF($A116="","",IFERROR(INDEX(countries!$G:$G,MATCH($A116,countries!$D:$D,0)),""))</f>
        <v>REQUIRED</v>
      </c>
      <c r="Q116" t="str">
        <f>IF($A116="","",IFERROR(IF(INDEX(countries!$I:$I,MATCH($A116,countries!$D:$D,0))=0,"",INDEX(countries!$I:$I,MATCH($A116,countries!$D:$D,0))),""))</f>
        <v/>
      </c>
      <c r="R116" cm="1">
        <f t="array" ref="R116">IF($A116="","",IF(AND(INDEX($C116:$J116,R$2)&gt;0,$A116&lt;&gt;INDEX('TRIP MANAGER'!$T$18:$T$25,R$2),$A116&lt;&gt;INDEX('TRIP MANAGER'!$U$18:$U$25,R$2)),1,0))</f>
        <v>0</v>
      </c>
      <c r="S116" cm="1">
        <f t="array" ref="S116">IF($A116="","",IF(AND(INDEX($C116:$J116,S$2)&gt;0,$A116&lt;&gt;INDEX('TRIP MANAGER'!$T$18:$T$25,S$2),$A116&lt;&gt;INDEX('TRIP MANAGER'!$U$18:$U$25,S$2)),1,0))</f>
        <v>0</v>
      </c>
      <c r="T116" cm="1">
        <f t="array" ref="T116">IF($A116="","",IF(AND(INDEX($C116:$J116,T$2)&gt;0,$A116&lt;&gt;INDEX('TRIP MANAGER'!$T$18:$T$25,T$2),$A116&lt;&gt;INDEX('TRIP MANAGER'!$U$18:$U$25,T$2)),1,0))</f>
        <v>0</v>
      </c>
      <c r="U116" cm="1">
        <f t="array" ref="U116">IF($A116="","",IF(AND(INDEX($C116:$J116,U$2)&gt;0,$A116&lt;&gt;INDEX('TRIP MANAGER'!$T$18:$T$25,U$2),$A116&lt;&gt;INDEX('TRIP MANAGER'!$U$18:$U$25,U$2)),1,0))</f>
        <v>0</v>
      </c>
      <c r="V116" cm="1">
        <f t="array" ref="V116">IF($A116="","",IF(AND(INDEX($C116:$J116,V$2)&gt;0,$A116&lt;&gt;INDEX('TRIP MANAGER'!$T$18:$T$25,V$2),$A116&lt;&gt;INDEX('TRIP MANAGER'!$U$18:$U$25,V$2)),1,0))</f>
        <v>0</v>
      </c>
      <c r="W116" cm="1">
        <f t="array" ref="W116">IF($A116="","",IF(AND(INDEX($C116:$J116,W$2)&gt;0,$A116&lt;&gt;INDEX('TRIP MANAGER'!$T$18:$T$25,W$2),$A116&lt;&gt;INDEX('TRIP MANAGER'!$U$18:$U$25,W$2)),1,0))</f>
        <v>0</v>
      </c>
      <c r="X116" cm="1">
        <f t="array" ref="X116">IF($A116="","",IF(AND(INDEX($C116:$J116,X$2)&gt;0,$A116&lt;&gt;INDEX('TRIP MANAGER'!$T$18:$T$25,X$2),$A116&lt;&gt;INDEX('TRIP MANAGER'!$U$18:$U$25,X$2)),1,0))</f>
        <v>0</v>
      </c>
      <c r="Y116" cm="1">
        <f t="array" ref="Y116">IF($A116="","",IF(AND(INDEX($C116:$J116,Y$2)&gt;0,$A116&lt;&gt;INDEX('TRIP MANAGER'!$T$18:$T$25,Y$2),$A116&lt;&gt;INDEX('TRIP MANAGER'!$U$18:$U$25,Y$2)),1,0))</f>
        <v>0</v>
      </c>
    </row>
    <row r="117" spans="1:25" x14ac:dyDescent="0.3">
      <c r="A117" t="str">
        <f>IF(countries!$D116="","",countries!$D116)</f>
        <v>MKD</v>
      </c>
      <c r="B117" t="str">
        <f>IF(countries!$B116="","",countries!$B116)</f>
        <v>North Macedonia</v>
      </c>
      <c r="C117">
        <f>IF($A117="","",COUNTIFS(route_calc!$A$2:$A$1209,C$2,route_calc!$P$2:$P$1209,$A117))</f>
        <v>0</v>
      </c>
      <c r="D117">
        <f>IF($A117="","",COUNTIFS(route_calc!$A$2:$A$1209,D$2,route_calc!$P$2:$P$1209,$A117))</f>
        <v>0</v>
      </c>
      <c r="E117">
        <f>IF($A117="","",COUNTIFS(route_calc!$A$2:$A$1209,E$2,route_calc!$P$2:$P$1209,$A117))</f>
        <v>0</v>
      </c>
      <c r="F117">
        <f>IF($A117="","",COUNTIFS(route_calc!$A$2:$A$1209,F$2,route_calc!$P$2:$P$1209,$A117))</f>
        <v>0</v>
      </c>
      <c r="G117">
        <f>IF($A117="","",COUNTIFS(route_calc!$A$2:$A$1209,G$2,route_calc!$P$2:$P$1209,$A117))</f>
        <v>0</v>
      </c>
      <c r="H117">
        <f>IF($A117="","",COUNTIFS(route_calc!$A$2:$A$1209,H$2,route_calc!$P$2:$P$1209,$A117))</f>
        <v>0</v>
      </c>
      <c r="I117">
        <f>IF($A117="","",COUNTIFS(route_calc!$A$2:$A$1209,I$2,route_calc!$P$2:$P$1209,$A117))</f>
        <v>0</v>
      </c>
      <c r="J117">
        <f>IF($A117="","",COUNTIFS(route_calc!$A$2:$A$1209,J$2,route_calc!$P$2:$P$1209,$A117))</f>
        <v>0</v>
      </c>
      <c r="K117" t="str">
        <f>IF($L117=0,"",_xlfn.MINIFS(route_calc!$Q$2:$Q$1209,route_calc!$P$2:$P$1209,$A117,route_calc!$A$2:$A$1209,MATCH(1,$R117:$Y117,0)))</f>
        <v/>
      </c>
      <c r="L117">
        <f t="shared" si="2"/>
        <v>0</v>
      </c>
      <c r="M117" t="str" cm="1">
        <f t="array" ref="M117">IF($L117=0,"",_xlfn.TEXTJOIN(", ",TRUE,IF($R117:$Y117&gt;0,$C$1:$J$1,"")))</f>
        <v/>
      </c>
      <c r="N117" t="str" cm="1">
        <f t="array" ref="N117">IF($L117=0,"",SUMPRODUCT(($L$3:$L$144=1)*($K$3:$K$144&lt;$K117))+1)</f>
        <v/>
      </c>
      <c r="O117" t="str">
        <f t="shared" si="3"/>
        <v/>
      </c>
      <c r="P117" t="str">
        <f>IF($A117="","",IFERROR(INDEX(countries!$G:$G,MATCH($A117,countries!$D:$D,0)),""))</f>
        <v>REQUIRED</v>
      </c>
      <c r="Q117" t="str">
        <f>IF($A117="","",IFERROR(IF(INDEX(countries!$I:$I,MATCH($A117,countries!$D:$D,0))=0,"",INDEX(countries!$I:$I,MATCH($A117,countries!$D:$D,0))),""))</f>
        <v/>
      </c>
      <c r="R117" cm="1">
        <f t="array" ref="R117">IF($A117="","",IF(AND(INDEX($C117:$J117,R$2)&gt;0,$A117&lt;&gt;INDEX('TRIP MANAGER'!$T$18:$T$25,R$2),$A117&lt;&gt;INDEX('TRIP MANAGER'!$U$18:$U$25,R$2)),1,0))</f>
        <v>0</v>
      </c>
      <c r="S117" cm="1">
        <f t="array" ref="S117">IF($A117="","",IF(AND(INDEX($C117:$J117,S$2)&gt;0,$A117&lt;&gt;INDEX('TRIP MANAGER'!$T$18:$T$25,S$2),$A117&lt;&gt;INDEX('TRIP MANAGER'!$U$18:$U$25,S$2)),1,0))</f>
        <v>0</v>
      </c>
      <c r="T117" cm="1">
        <f t="array" ref="T117">IF($A117="","",IF(AND(INDEX($C117:$J117,T$2)&gt;0,$A117&lt;&gt;INDEX('TRIP MANAGER'!$T$18:$T$25,T$2),$A117&lt;&gt;INDEX('TRIP MANAGER'!$U$18:$U$25,T$2)),1,0))</f>
        <v>0</v>
      </c>
      <c r="U117" cm="1">
        <f t="array" ref="U117">IF($A117="","",IF(AND(INDEX($C117:$J117,U$2)&gt;0,$A117&lt;&gt;INDEX('TRIP MANAGER'!$T$18:$T$25,U$2),$A117&lt;&gt;INDEX('TRIP MANAGER'!$U$18:$U$25,U$2)),1,0))</f>
        <v>0</v>
      </c>
      <c r="V117" cm="1">
        <f t="array" ref="V117">IF($A117="","",IF(AND(INDEX($C117:$J117,V$2)&gt;0,$A117&lt;&gt;INDEX('TRIP MANAGER'!$T$18:$T$25,V$2),$A117&lt;&gt;INDEX('TRIP MANAGER'!$U$18:$U$25,V$2)),1,0))</f>
        <v>0</v>
      </c>
      <c r="W117" cm="1">
        <f t="array" ref="W117">IF($A117="","",IF(AND(INDEX($C117:$J117,W$2)&gt;0,$A117&lt;&gt;INDEX('TRIP MANAGER'!$T$18:$T$25,W$2),$A117&lt;&gt;INDEX('TRIP MANAGER'!$U$18:$U$25,W$2)),1,0))</f>
        <v>0</v>
      </c>
      <c r="X117" cm="1">
        <f t="array" ref="X117">IF($A117="","",IF(AND(INDEX($C117:$J117,X$2)&gt;0,$A117&lt;&gt;INDEX('TRIP MANAGER'!$T$18:$T$25,X$2),$A117&lt;&gt;INDEX('TRIP MANAGER'!$U$18:$U$25,X$2)),1,0))</f>
        <v>0</v>
      </c>
      <c r="Y117" cm="1">
        <f t="array" ref="Y117">IF($A117="","",IF(AND(INDEX($C117:$J117,Y$2)&gt;0,$A117&lt;&gt;INDEX('TRIP MANAGER'!$T$18:$T$25,Y$2),$A117&lt;&gt;INDEX('TRIP MANAGER'!$U$18:$U$25,Y$2)),1,0))</f>
        <v>0</v>
      </c>
    </row>
    <row r="118" spans="1:25" x14ac:dyDescent="0.3">
      <c r="A118" t="str">
        <f>IF(countries!$D117="","",countries!$D117)</f>
        <v>MLT</v>
      </c>
      <c r="B118" t="str">
        <f>IF(countries!$B117="","",countries!$B117)</f>
        <v>Malta</v>
      </c>
      <c r="C118">
        <f>IF($A118="","",COUNTIFS(route_calc!$A$2:$A$1209,C$2,route_calc!$P$2:$P$1209,$A118))</f>
        <v>0</v>
      </c>
      <c r="D118">
        <f>IF($A118="","",COUNTIFS(route_calc!$A$2:$A$1209,D$2,route_calc!$P$2:$P$1209,$A118))</f>
        <v>0</v>
      </c>
      <c r="E118">
        <f>IF($A118="","",COUNTIFS(route_calc!$A$2:$A$1209,E$2,route_calc!$P$2:$P$1209,$A118))</f>
        <v>0</v>
      </c>
      <c r="F118">
        <f>IF($A118="","",COUNTIFS(route_calc!$A$2:$A$1209,F$2,route_calc!$P$2:$P$1209,$A118))</f>
        <v>0</v>
      </c>
      <c r="G118">
        <f>IF($A118="","",COUNTIFS(route_calc!$A$2:$A$1209,G$2,route_calc!$P$2:$P$1209,$A118))</f>
        <v>0</v>
      </c>
      <c r="H118">
        <f>IF($A118="","",COUNTIFS(route_calc!$A$2:$A$1209,H$2,route_calc!$P$2:$P$1209,$A118))</f>
        <v>0</v>
      </c>
      <c r="I118">
        <f>IF($A118="","",COUNTIFS(route_calc!$A$2:$A$1209,I$2,route_calc!$P$2:$P$1209,$A118))</f>
        <v>0</v>
      </c>
      <c r="J118">
        <f>IF($A118="","",COUNTIFS(route_calc!$A$2:$A$1209,J$2,route_calc!$P$2:$P$1209,$A118))</f>
        <v>0</v>
      </c>
      <c r="K118" t="str">
        <f>IF($L118=0,"",_xlfn.MINIFS(route_calc!$Q$2:$Q$1209,route_calc!$P$2:$P$1209,$A118,route_calc!$A$2:$A$1209,MATCH(1,$R118:$Y118,0)))</f>
        <v/>
      </c>
      <c r="L118">
        <f t="shared" si="2"/>
        <v>0</v>
      </c>
      <c r="M118" t="str" cm="1">
        <f t="array" ref="M118">IF($L118=0,"",_xlfn.TEXTJOIN(", ",TRUE,IF($R118:$Y118&gt;0,$C$1:$J$1,"")))</f>
        <v/>
      </c>
      <c r="N118" t="str" cm="1">
        <f t="array" ref="N118">IF($L118=0,"",SUMPRODUCT(($L$3:$L$144=1)*($K$3:$K$144&lt;$K118))+1)</f>
        <v/>
      </c>
      <c r="O118" t="str">
        <f t="shared" si="3"/>
        <v/>
      </c>
      <c r="P118" t="str">
        <f>IF($A118="","",IFERROR(INDEX(countries!$G:$G,MATCH($A118,countries!$D:$D,0)),""))</f>
        <v>REQUIRED</v>
      </c>
      <c r="Q118" t="str">
        <f>IF($A118="","",IFERROR(IF(INDEX(countries!$I:$I,MATCH($A118,countries!$D:$D,0))=0,"",INDEX(countries!$I:$I,MATCH($A118,countries!$D:$D,0))),""))</f>
        <v/>
      </c>
      <c r="R118" cm="1">
        <f t="array" ref="R118">IF($A118="","",IF(AND(INDEX($C118:$J118,R$2)&gt;0,$A118&lt;&gt;INDEX('TRIP MANAGER'!$T$18:$T$25,R$2),$A118&lt;&gt;INDEX('TRIP MANAGER'!$U$18:$U$25,R$2)),1,0))</f>
        <v>0</v>
      </c>
      <c r="S118" cm="1">
        <f t="array" ref="S118">IF($A118="","",IF(AND(INDEX($C118:$J118,S$2)&gt;0,$A118&lt;&gt;INDEX('TRIP MANAGER'!$T$18:$T$25,S$2),$A118&lt;&gt;INDEX('TRIP MANAGER'!$U$18:$U$25,S$2)),1,0))</f>
        <v>0</v>
      </c>
      <c r="T118" cm="1">
        <f t="array" ref="T118">IF($A118="","",IF(AND(INDEX($C118:$J118,T$2)&gt;0,$A118&lt;&gt;INDEX('TRIP MANAGER'!$T$18:$T$25,T$2),$A118&lt;&gt;INDEX('TRIP MANAGER'!$U$18:$U$25,T$2)),1,0))</f>
        <v>0</v>
      </c>
      <c r="U118" cm="1">
        <f t="array" ref="U118">IF($A118="","",IF(AND(INDEX($C118:$J118,U$2)&gt;0,$A118&lt;&gt;INDEX('TRIP MANAGER'!$T$18:$T$25,U$2),$A118&lt;&gt;INDEX('TRIP MANAGER'!$U$18:$U$25,U$2)),1,0))</f>
        <v>0</v>
      </c>
      <c r="V118" cm="1">
        <f t="array" ref="V118">IF($A118="","",IF(AND(INDEX($C118:$J118,V$2)&gt;0,$A118&lt;&gt;INDEX('TRIP MANAGER'!$T$18:$T$25,V$2),$A118&lt;&gt;INDEX('TRIP MANAGER'!$U$18:$U$25,V$2)),1,0))</f>
        <v>0</v>
      </c>
      <c r="W118" cm="1">
        <f t="array" ref="W118">IF($A118="","",IF(AND(INDEX($C118:$J118,W$2)&gt;0,$A118&lt;&gt;INDEX('TRIP MANAGER'!$T$18:$T$25,W$2),$A118&lt;&gt;INDEX('TRIP MANAGER'!$U$18:$U$25,W$2)),1,0))</f>
        <v>0</v>
      </c>
      <c r="X118" cm="1">
        <f t="array" ref="X118">IF($A118="","",IF(AND(INDEX($C118:$J118,X$2)&gt;0,$A118&lt;&gt;INDEX('TRIP MANAGER'!$T$18:$T$25,X$2),$A118&lt;&gt;INDEX('TRIP MANAGER'!$U$18:$U$25,X$2)),1,0))</f>
        <v>0</v>
      </c>
      <c r="Y118" cm="1">
        <f t="array" ref="Y118">IF($A118="","",IF(AND(INDEX($C118:$J118,Y$2)&gt;0,$A118&lt;&gt;INDEX('TRIP MANAGER'!$T$18:$T$25,Y$2),$A118&lt;&gt;INDEX('TRIP MANAGER'!$U$18:$U$25,Y$2)),1,0))</f>
        <v>0</v>
      </c>
    </row>
    <row r="119" spans="1:25" x14ac:dyDescent="0.3">
      <c r="A119" t="str">
        <f>IF(countries!$D118="","",countries!$D118)</f>
        <v>MMR</v>
      </c>
      <c r="B119" t="str">
        <f>IF(countries!$B118="","",countries!$B118)</f>
        <v>Myanmar</v>
      </c>
      <c r="C119">
        <f>IF($A119="","",COUNTIFS(route_calc!$A$2:$A$1209,C$2,route_calc!$P$2:$P$1209,$A119))</f>
        <v>0</v>
      </c>
      <c r="D119">
        <f>IF($A119="","",COUNTIFS(route_calc!$A$2:$A$1209,D$2,route_calc!$P$2:$P$1209,$A119))</f>
        <v>0</v>
      </c>
      <c r="E119">
        <f>IF($A119="","",COUNTIFS(route_calc!$A$2:$A$1209,E$2,route_calc!$P$2:$P$1209,$A119))</f>
        <v>0</v>
      </c>
      <c r="F119">
        <f>IF($A119="","",COUNTIFS(route_calc!$A$2:$A$1209,F$2,route_calc!$P$2:$P$1209,$A119))</f>
        <v>0</v>
      </c>
      <c r="G119">
        <f>IF($A119="","",COUNTIFS(route_calc!$A$2:$A$1209,G$2,route_calc!$P$2:$P$1209,$A119))</f>
        <v>0</v>
      </c>
      <c r="H119">
        <f>IF($A119="","",COUNTIFS(route_calc!$A$2:$A$1209,H$2,route_calc!$P$2:$P$1209,$A119))</f>
        <v>0</v>
      </c>
      <c r="I119">
        <f>IF($A119="","",COUNTIFS(route_calc!$A$2:$A$1209,I$2,route_calc!$P$2:$P$1209,$A119))</f>
        <v>0</v>
      </c>
      <c r="J119">
        <f>IF($A119="","",COUNTIFS(route_calc!$A$2:$A$1209,J$2,route_calc!$P$2:$P$1209,$A119))</f>
        <v>0</v>
      </c>
      <c r="K119" t="str">
        <f>IF($L119=0,"",_xlfn.MINIFS(route_calc!$Q$2:$Q$1209,route_calc!$P$2:$P$1209,$A119,route_calc!$A$2:$A$1209,MATCH(1,$R119:$Y119,0)))</f>
        <v/>
      </c>
      <c r="L119">
        <f t="shared" si="2"/>
        <v>0</v>
      </c>
      <c r="M119" t="str" cm="1">
        <f t="array" ref="M119">IF($L119=0,"",_xlfn.TEXTJOIN(", ",TRUE,IF($R119:$Y119&gt;0,$C$1:$J$1,"")))</f>
        <v/>
      </c>
      <c r="N119" t="str" cm="1">
        <f t="array" ref="N119">IF($L119=0,"",SUMPRODUCT(($L$3:$L$144=1)*($K$3:$K$144&lt;$K119))+1)</f>
        <v/>
      </c>
      <c r="O119" t="str">
        <f t="shared" si="3"/>
        <v/>
      </c>
      <c r="P119" t="str">
        <f>IF($A119="","",IFERROR(INDEX(countries!$G:$G,MATCH($A119,countries!$D:$D,0)),""))</f>
        <v>REQUIRED</v>
      </c>
      <c r="Q119" t="str">
        <f>IF($A119="","",IFERROR(IF(INDEX(countries!$I:$I,MATCH($A119,countries!$D:$D,0))=0,"",INDEX(countries!$I:$I,MATCH($A119,countries!$D:$D,0))),""))</f>
        <v/>
      </c>
      <c r="R119" cm="1">
        <f t="array" ref="R119">IF($A119="","",IF(AND(INDEX($C119:$J119,R$2)&gt;0,$A119&lt;&gt;INDEX('TRIP MANAGER'!$T$18:$T$25,R$2),$A119&lt;&gt;INDEX('TRIP MANAGER'!$U$18:$U$25,R$2)),1,0))</f>
        <v>0</v>
      </c>
      <c r="S119" cm="1">
        <f t="array" ref="S119">IF($A119="","",IF(AND(INDEX($C119:$J119,S$2)&gt;0,$A119&lt;&gt;INDEX('TRIP MANAGER'!$T$18:$T$25,S$2),$A119&lt;&gt;INDEX('TRIP MANAGER'!$U$18:$U$25,S$2)),1,0))</f>
        <v>0</v>
      </c>
      <c r="T119" cm="1">
        <f t="array" ref="T119">IF($A119="","",IF(AND(INDEX($C119:$J119,T$2)&gt;0,$A119&lt;&gt;INDEX('TRIP MANAGER'!$T$18:$T$25,T$2),$A119&lt;&gt;INDEX('TRIP MANAGER'!$U$18:$U$25,T$2)),1,0))</f>
        <v>0</v>
      </c>
      <c r="U119" cm="1">
        <f t="array" ref="U119">IF($A119="","",IF(AND(INDEX($C119:$J119,U$2)&gt;0,$A119&lt;&gt;INDEX('TRIP MANAGER'!$T$18:$T$25,U$2),$A119&lt;&gt;INDEX('TRIP MANAGER'!$U$18:$U$25,U$2)),1,0))</f>
        <v>0</v>
      </c>
      <c r="V119" cm="1">
        <f t="array" ref="V119">IF($A119="","",IF(AND(INDEX($C119:$J119,V$2)&gt;0,$A119&lt;&gt;INDEX('TRIP MANAGER'!$T$18:$T$25,V$2),$A119&lt;&gt;INDEX('TRIP MANAGER'!$U$18:$U$25,V$2)),1,0))</f>
        <v>0</v>
      </c>
      <c r="W119" cm="1">
        <f t="array" ref="W119">IF($A119="","",IF(AND(INDEX($C119:$J119,W$2)&gt;0,$A119&lt;&gt;INDEX('TRIP MANAGER'!$T$18:$T$25,W$2),$A119&lt;&gt;INDEX('TRIP MANAGER'!$U$18:$U$25,W$2)),1,0))</f>
        <v>0</v>
      </c>
      <c r="X119" cm="1">
        <f t="array" ref="X119">IF($A119="","",IF(AND(INDEX($C119:$J119,X$2)&gt;0,$A119&lt;&gt;INDEX('TRIP MANAGER'!$T$18:$T$25,X$2),$A119&lt;&gt;INDEX('TRIP MANAGER'!$U$18:$U$25,X$2)),1,0))</f>
        <v>0</v>
      </c>
      <c r="Y119" cm="1">
        <f t="array" ref="Y119">IF($A119="","",IF(AND(INDEX($C119:$J119,Y$2)&gt;0,$A119&lt;&gt;INDEX('TRIP MANAGER'!$T$18:$T$25,Y$2),$A119&lt;&gt;INDEX('TRIP MANAGER'!$U$18:$U$25,Y$2)),1,0))</f>
        <v>0</v>
      </c>
    </row>
    <row r="120" spans="1:25" x14ac:dyDescent="0.3">
      <c r="A120" t="str">
        <f>IF(countries!$D119="","",countries!$D119)</f>
        <v>MNE</v>
      </c>
      <c r="B120" t="str">
        <f>IF(countries!$B119="","",countries!$B119)</f>
        <v>Montenegro</v>
      </c>
      <c r="C120">
        <f>IF($A120="","",COUNTIFS(route_calc!$A$2:$A$1209,C$2,route_calc!$P$2:$P$1209,$A120))</f>
        <v>0</v>
      </c>
      <c r="D120">
        <f>IF($A120="","",COUNTIFS(route_calc!$A$2:$A$1209,D$2,route_calc!$P$2:$P$1209,$A120))</f>
        <v>0</v>
      </c>
      <c r="E120">
        <f>IF($A120="","",COUNTIFS(route_calc!$A$2:$A$1209,E$2,route_calc!$P$2:$P$1209,$A120))</f>
        <v>0</v>
      </c>
      <c r="F120">
        <f>IF($A120="","",COUNTIFS(route_calc!$A$2:$A$1209,F$2,route_calc!$P$2:$P$1209,$A120))</f>
        <v>0</v>
      </c>
      <c r="G120">
        <f>IF($A120="","",COUNTIFS(route_calc!$A$2:$A$1209,G$2,route_calc!$P$2:$P$1209,$A120))</f>
        <v>0</v>
      </c>
      <c r="H120">
        <f>IF($A120="","",COUNTIFS(route_calc!$A$2:$A$1209,H$2,route_calc!$P$2:$P$1209,$A120))</f>
        <v>0</v>
      </c>
      <c r="I120">
        <f>IF($A120="","",COUNTIFS(route_calc!$A$2:$A$1209,I$2,route_calc!$P$2:$P$1209,$A120))</f>
        <v>0</v>
      </c>
      <c r="J120">
        <f>IF($A120="","",COUNTIFS(route_calc!$A$2:$A$1209,J$2,route_calc!$P$2:$P$1209,$A120))</f>
        <v>0</v>
      </c>
      <c r="K120" t="str">
        <f>IF($L120=0,"",_xlfn.MINIFS(route_calc!$Q$2:$Q$1209,route_calc!$P$2:$P$1209,$A120,route_calc!$A$2:$A$1209,MATCH(1,$R120:$Y120,0)))</f>
        <v/>
      </c>
      <c r="L120">
        <f t="shared" si="2"/>
        <v>0</v>
      </c>
      <c r="M120" t="str" cm="1">
        <f t="array" ref="M120">IF($L120=0,"",_xlfn.TEXTJOIN(", ",TRUE,IF($R120:$Y120&gt;0,$C$1:$J$1,"")))</f>
        <v/>
      </c>
      <c r="N120" t="str" cm="1">
        <f t="array" ref="N120">IF($L120=0,"",SUMPRODUCT(($L$3:$L$144=1)*($K$3:$K$144&lt;$K120))+1)</f>
        <v/>
      </c>
      <c r="O120" t="str">
        <f t="shared" si="3"/>
        <v/>
      </c>
      <c r="P120" t="str">
        <f>IF($A120="","",IFERROR(INDEX(countries!$G:$G,MATCH($A120,countries!$D:$D,0)),""))</f>
        <v>REQUIRED</v>
      </c>
      <c r="Q120" t="str">
        <f>IF($A120="","",IFERROR(IF(INDEX(countries!$I:$I,MATCH($A120,countries!$D:$D,0))=0,"",INDEX(countries!$I:$I,MATCH($A120,countries!$D:$D,0))),""))</f>
        <v/>
      </c>
      <c r="R120" cm="1">
        <f t="array" ref="R120">IF($A120="","",IF(AND(INDEX($C120:$J120,R$2)&gt;0,$A120&lt;&gt;INDEX('TRIP MANAGER'!$T$18:$T$25,R$2),$A120&lt;&gt;INDEX('TRIP MANAGER'!$U$18:$U$25,R$2)),1,0))</f>
        <v>0</v>
      </c>
      <c r="S120" cm="1">
        <f t="array" ref="S120">IF($A120="","",IF(AND(INDEX($C120:$J120,S$2)&gt;0,$A120&lt;&gt;INDEX('TRIP MANAGER'!$T$18:$T$25,S$2),$A120&lt;&gt;INDEX('TRIP MANAGER'!$U$18:$U$25,S$2)),1,0))</f>
        <v>0</v>
      </c>
      <c r="T120" cm="1">
        <f t="array" ref="T120">IF($A120="","",IF(AND(INDEX($C120:$J120,T$2)&gt;0,$A120&lt;&gt;INDEX('TRIP MANAGER'!$T$18:$T$25,T$2),$A120&lt;&gt;INDEX('TRIP MANAGER'!$U$18:$U$25,T$2)),1,0))</f>
        <v>0</v>
      </c>
      <c r="U120" cm="1">
        <f t="array" ref="U120">IF($A120="","",IF(AND(INDEX($C120:$J120,U$2)&gt;0,$A120&lt;&gt;INDEX('TRIP MANAGER'!$T$18:$T$25,U$2),$A120&lt;&gt;INDEX('TRIP MANAGER'!$U$18:$U$25,U$2)),1,0))</f>
        <v>0</v>
      </c>
      <c r="V120" cm="1">
        <f t="array" ref="V120">IF($A120="","",IF(AND(INDEX($C120:$J120,V$2)&gt;0,$A120&lt;&gt;INDEX('TRIP MANAGER'!$T$18:$T$25,V$2),$A120&lt;&gt;INDEX('TRIP MANAGER'!$U$18:$U$25,V$2)),1,0))</f>
        <v>0</v>
      </c>
      <c r="W120" cm="1">
        <f t="array" ref="W120">IF($A120="","",IF(AND(INDEX($C120:$J120,W$2)&gt;0,$A120&lt;&gt;INDEX('TRIP MANAGER'!$T$18:$T$25,W$2),$A120&lt;&gt;INDEX('TRIP MANAGER'!$U$18:$U$25,W$2)),1,0))</f>
        <v>0</v>
      </c>
      <c r="X120" cm="1">
        <f t="array" ref="X120">IF($A120="","",IF(AND(INDEX($C120:$J120,X$2)&gt;0,$A120&lt;&gt;INDEX('TRIP MANAGER'!$T$18:$T$25,X$2),$A120&lt;&gt;INDEX('TRIP MANAGER'!$U$18:$U$25,X$2)),1,0))</f>
        <v>0</v>
      </c>
      <c r="Y120" cm="1">
        <f t="array" ref="Y120">IF($A120="","",IF(AND(INDEX($C120:$J120,Y$2)&gt;0,$A120&lt;&gt;INDEX('TRIP MANAGER'!$T$18:$T$25,Y$2),$A120&lt;&gt;INDEX('TRIP MANAGER'!$U$18:$U$25,Y$2)),1,0))</f>
        <v>0</v>
      </c>
    </row>
    <row r="121" spans="1:25" x14ac:dyDescent="0.3">
      <c r="A121" t="str">
        <f>IF(countries!$D120="","",countries!$D120)</f>
        <v>MNG</v>
      </c>
      <c r="B121" t="str">
        <f>IF(countries!$B120="","",countries!$B120)</f>
        <v>Mongolia</v>
      </c>
      <c r="C121">
        <f>IF($A121="","",COUNTIFS(route_calc!$A$2:$A$1209,C$2,route_calc!$P$2:$P$1209,$A121))</f>
        <v>0</v>
      </c>
      <c r="D121">
        <f>IF($A121="","",COUNTIFS(route_calc!$A$2:$A$1209,D$2,route_calc!$P$2:$P$1209,$A121))</f>
        <v>0</v>
      </c>
      <c r="E121">
        <f>IF($A121="","",COUNTIFS(route_calc!$A$2:$A$1209,E$2,route_calc!$P$2:$P$1209,$A121))</f>
        <v>0</v>
      </c>
      <c r="F121">
        <f>IF($A121="","",COUNTIFS(route_calc!$A$2:$A$1209,F$2,route_calc!$P$2:$P$1209,$A121))</f>
        <v>0</v>
      </c>
      <c r="G121">
        <f>IF($A121="","",COUNTIFS(route_calc!$A$2:$A$1209,G$2,route_calc!$P$2:$P$1209,$A121))</f>
        <v>0</v>
      </c>
      <c r="H121">
        <f>IF($A121="","",COUNTIFS(route_calc!$A$2:$A$1209,H$2,route_calc!$P$2:$P$1209,$A121))</f>
        <v>0</v>
      </c>
      <c r="I121">
        <f>IF($A121="","",COUNTIFS(route_calc!$A$2:$A$1209,I$2,route_calc!$P$2:$P$1209,$A121))</f>
        <v>0</v>
      </c>
      <c r="J121">
        <f>IF($A121="","",COUNTIFS(route_calc!$A$2:$A$1209,J$2,route_calc!$P$2:$P$1209,$A121))</f>
        <v>0</v>
      </c>
      <c r="K121" t="str">
        <f>IF($L121=0,"",_xlfn.MINIFS(route_calc!$Q$2:$Q$1209,route_calc!$P$2:$P$1209,$A121,route_calc!$A$2:$A$1209,MATCH(1,$R121:$Y121,0)))</f>
        <v/>
      </c>
      <c r="L121">
        <f t="shared" si="2"/>
        <v>0</v>
      </c>
      <c r="M121" t="str" cm="1">
        <f t="array" ref="M121">IF($L121=0,"",_xlfn.TEXTJOIN(", ",TRUE,IF($R121:$Y121&gt;0,$C$1:$J$1,"")))</f>
        <v/>
      </c>
      <c r="N121" t="str" cm="1">
        <f t="array" ref="N121">IF($L121=0,"",SUMPRODUCT(($L$3:$L$144=1)*($K$3:$K$144&lt;$K121))+1)</f>
        <v/>
      </c>
      <c r="O121" t="str">
        <f t="shared" si="3"/>
        <v/>
      </c>
      <c r="P121" t="str">
        <f>IF($A121="","",IFERROR(INDEX(countries!$G:$G,MATCH($A121,countries!$D:$D,0)),""))</f>
        <v>REQUIRED</v>
      </c>
      <c r="Q121" t="str">
        <f>IF($A121="","",IFERROR(IF(INDEX(countries!$I:$I,MATCH($A121,countries!$D:$D,0))=0,"",INDEX(countries!$I:$I,MATCH($A121,countries!$D:$D,0))),""))</f>
        <v/>
      </c>
      <c r="R121" cm="1">
        <f t="array" ref="R121">IF($A121="","",IF(AND(INDEX($C121:$J121,R$2)&gt;0,$A121&lt;&gt;INDEX('TRIP MANAGER'!$T$18:$T$25,R$2),$A121&lt;&gt;INDEX('TRIP MANAGER'!$U$18:$U$25,R$2)),1,0))</f>
        <v>0</v>
      </c>
      <c r="S121" cm="1">
        <f t="array" ref="S121">IF($A121="","",IF(AND(INDEX($C121:$J121,S$2)&gt;0,$A121&lt;&gt;INDEX('TRIP MANAGER'!$T$18:$T$25,S$2),$A121&lt;&gt;INDEX('TRIP MANAGER'!$U$18:$U$25,S$2)),1,0))</f>
        <v>0</v>
      </c>
      <c r="T121" cm="1">
        <f t="array" ref="T121">IF($A121="","",IF(AND(INDEX($C121:$J121,T$2)&gt;0,$A121&lt;&gt;INDEX('TRIP MANAGER'!$T$18:$T$25,T$2),$A121&lt;&gt;INDEX('TRIP MANAGER'!$U$18:$U$25,T$2)),1,0))</f>
        <v>0</v>
      </c>
      <c r="U121" cm="1">
        <f t="array" ref="U121">IF($A121="","",IF(AND(INDEX($C121:$J121,U$2)&gt;0,$A121&lt;&gt;INDEX('TRIP MANAGER'!$T$18:$T$25,U$2),$A121&lt;&gt;INDEX('TRIP MANAGER'!$U$18:$U$25,U$2)),1,0))</f>
        <v>0</v>
      </c>
      <c r="V121" cm="1">
        <f t="array" ref="V121">IF($A121="","",IF(AND(INDEX($C121:$J121,V$2)&gt;0,$A121&lt;&gt;INDEX('TRIP MANAGER'!$T$18:$T$25,V$2),$A121&lt;&gt;INDEX('TRIP MANAGER'!$U$18:$U$25,V$2)),1,0))</f>
        <v>0</v>
      </c>
      <c r="W121" cm="1">
        <f t="array" ref="W121">IF($A121="","",IF(AND(INDEX($C121:$J121,W$2)&gt;0,$A121&lt;&gt;INDEX('TRIP MANAGER'!$T$18:$T$25,W$2),$A121&lt;&gt;INDEX('TRIP MANAGER'!$U$18:$U$25,W$2)),1,0))</f>
        <v>0</v>
      </c>
      <c r="X121" cm="1">
        <f t="array" ref="X121">IF($A121="","",IF(AND(INDEX($C121:$J121,X$2)&gt;0,$A121&lt;&gt;INDEX('TRIP MANAGER'!$T$18:$T$25,X$2),$A121&lt;&gt;INDEX('TRIP MANAGER'!$U$18:$U$25,X$2)),1,0))</f>
        <v>0</v>
      </c>
      <c r="Y121" cm="1">
        <f t="array" ref="Y121">IF($A121="","",IF(AND(INDEX($C121:$J121,Y$2)&gt;0,$A121&lt;&gt;INDEX('TRIP MANAGER'!$T$18:$T$25,Y$2),$A121&lt;&gt;INDEX('TRIP MANAGER'!$U$18:$U$25,Y$2)),1,0))</f>
        <v>0</v>
      </c>
    </row>
    <row r="122" spans="1:25" x14ac:dyDescent="0.3">
      <c r="A122" t="str">
        <f>IF(countries!$D121="","",countries!$D121)</f>
        <v>MYS</v>
      </c>
      <c r="B122" t="str">
        <f>IF(countries!$B121="","",countries!$B121)</f>
        <v>Malaysia</v>
      </c>
      <c r="C122">
        <f>IF($A122="","",COUNTIFS(route_calc!$A$2:$A$1209,C$2,route_calc!$P$2:$P$1209,$A122))</f>
        <v>0</v>
      </c>
      <c r="D122">
        <f>IF($A122="","",COUNTIFS(route_calc!$A$2:$A$1209,D$2,route_calc!$P$2:$P$1209,$A122))</f>
        <v>0</v>
      </c>
      <c r="E122">
        <f>IF($A122="","",COUNTIFS(route_calc!$A$2:$A$1209,E$2,route_calc!$P$2:$P$1209,$A122))</f>
        <v>0</v>
      </c>
      <c r="F122">
        <f>IF($A122="","",COUNTIFS(route_calc!$A$2:$A$1209,F$2,route_calc!$P$2:$P$1209,$A122))</f>
        <v>0</v>
      </c>
      <c r="G122">
        <f>IF($A122="","",COUNTIFS(route_calc!$A$2:$A$1209,G$2,route_calc!$P$2:$P$1209,$A122))</f>
        <v>0</v>
      </c>
      <c r="H122">
        <f>IF($A122="","",COUNTIFS(route_calc!$A$2:$A$1209,H$2,route_calc!$P$2:$P$1209,$A122))</f>
        <v>0</v>
      </c>
      <c r="I122">
        <f>IF($A122="","",COUNTIFS(route_calc!$A$2:$A$1209,I$2,route_calc!$P$2:$P$1209,$A122))</f>
        <v>0</v>
      </c>
      <c r="J122">
        <f>IF($A122="","",COUNTIFS(route_calc!$A$2:$A$1209,J$2,route_calc!$P$2:$P$1209,$A122))</f>
        <v>0</v>
      </c>
      <c r="K122" t="str">
        <f>IF($L122=0,"",_xlfn.MINIFS(route_calc!$Q$2:$Q$1209,route_calc!$P$2:$P$1209,$A122,route_calc!$A$2:$A$1209,MATCH(1,$R122:$Y122,0)))</f>
        <v/>
      </c>
      <c r="L122">
        <f t="shared" si="2"/>
        <v>0</v>
      </c>
      <c r="M122" t="str" cm="1">
        <f t="array" ref="M122">IF($L122=0,"",_xlfn.TEXTJOIN(", ",TRUE,IF($R122:$Y122&gt;0,$C$1:$J$1,"")))</f>
        <v/>
      </c>
      <c r="N122" t="str" cm="1">
        <f t="array" ref="N122">IF($L122=0,"",SUMPRODUCT(($L$3:$L$144=1)*($K$3:$K$144&lt;$K122))+1)</f>
        <v/>
      </c>
      <c r="O122" t="str">
        <f t="shared" si="3"/>
        <v/>
      </c>
      <c r="P122" t="str">
        <f>IF($A122="","",IFERROR(INDEX(countries!$G:$G,MATCH($A122,countries!$D:$D,0)),""))</f>
        <v>REQUIRED</v>
      </c>
      <c r="Q122" t="str">
        <f>IF($A122="","",IFERROR(IF(INDEX(countries!$I:$I,MATCH($A122,countries!$D:$D,0))=0,"",INDEX(countries!$I:$I,MATCH($A122,countries!$D:$D,0))),""))</f>
        <v/>
      </c>
      <c r="R122" cm="1">
        <f t="array" ref="R122">IF($A122="","",IF(AND(INDEX($C122:$J122,R$2)&gt;0,$A122&lt;&gt;INDEX('TRIP MANAGER'!$T$18:$T$25,R$2),$A122&lt;&gt;INDEX('TRIP MANAGER'!$U$18:$U$25,R$2)),1,0))</f>
        <v>0</v>
      </c>
      <c r="S122" cm="1">
        <f t="array" ref="S122">IF($A122="","",IF(AND(INDEX($C122:$J122,S$2)&gt;0,$A122&lt;&gt;INDEX('TRIP MANAGER'!$T$18:$T$25,S$2),$A122&lt;&gt;INDEX('TRIP MANAGER'!$U$18:$U$25,S$2)),1,0))</f>
        <v>0</v>
      </c>
      <c r="T122" cm="1">
        <f t="array" ref="T122">IF($A122="","",IF(AND(INDEX($C122:$J122,T$2)&gt;0,$A122&lt;&gt;INDEX('TRIP MANAGER'!$T$18:$T$25,T$2),$A122&lt;&gt;INDEX('TRIP MANAGER'!$U$18:$U$25,T$2)),1,0))</f>
        <v>0</v>
      </c>
      <c r="U122" cm="1">
        <f t="array" ref="U122">IF($A122="","",IF(AND(INDEX($C122:$J122,U$2)&gt;0,$A122&lt;&gt;INDEX('TRIP MANAGER'!$T$18:$T$25,U$2),$A122&lt;&gt;INDEX('TRIP MANAGER'!$U$18:$U$25,U$2)),1,0))</f>
        <v>0</v>
      </c>
      <c r="V122" cm="1">
        <f t="array" ref="V122">IF($A122="","",IF(AND(INDEX($C122:$J122,V$2)&gt;0,$A122&lt;&gt;INDEX('TRIP MANAGER'!$T$18:$T$25,V$2),$A122&lt;&gt;INDEX('TRIP MANAGER'!$U$18:$U$25,V$2)),1,0))</f>
        <v>0</v>
      </c>
      <c r="W122" cm="1">
        <f t="array" ref="W122">IF($A122="","",IF(AND(INDEX($C122:$J122,W$2)&gt;0,$A122&lt;&gt;INDEX('TRIP MANAGER'!$T$18:$T$25,W$2),$A122&lt;&gt;INDEX('TRIP MANAGER'!$U$18:$U$25,W$2)),1,0))</f>
        <v>0</v>
      </c>
      <c r="X122" cm="1">
        <f t="array" ref="X122">IF($A122="","",IF(AND(INDEX($C122:$J122,X$2)&gt;0,$A122&lt;&gt;INDEX('TRIP MANAGER'!$T$18:$T$25,X$2),$A122&lt;&gt;INDEX('TRIP MANAGER'!$U$18:$U$25,X$2)),1,0))</f>
        <v>0</v>
      </c>
      <c r="Y122" cm="1">
        <f t="array" ref="Y122">IF($A122="","",IF(AND(INDEX($C122:$J122,Y$2)&gt;0,$A122&lt;&gt;INDEX('TRIP MANAGER'!$T$18:$T$25,Y$2),$A122&lt;&gt;INDEX('TRIP MANAGER'!$U$18:$U$25,Y$2)),1,0))</f>
        <v>0</v>
      </c>
    </row>
    <row r="123" spans="1:25" x14ac:dyDescent="0.3">
      <c r="A123" t="str">
        <f>IF(countries!$D122="","",countries!$D122)</f>
        <v>NLD</v>
      </c>
      <c r="B123" t="str">
        <f>IF(countries!$B122="","",countries!$B122)</f>
        <v>Netherlands</v>
      </c>
      <c r="C123">
        <f>IF($A123="","",COUNTIFS(route_calc!$A$2:$A$1209,C$2,route_calc!$P$2:$P$1209,$A123))</f>
        <v>0</v>
      </c>
      <c r="D123">
        <f>IF($A123="","",COUNTIFS(route_calc!$A$2:$A$1209,D$2,route_calc!$P$2:$P$1209,$A123))</f>
        <v>0</v>
      </c>
      <c r="E123">
        <f>IF($A123="","",COUNTIFS(route_calc!$A$2:$A$1209,E$2,route_calc!$P$2:$P$1209,$A123))</f>
        <v>0</v>
      </c>
      <c r="F123">
        <f>IF($A123="","",COUNTIFS(route_calc!$A$2:$A$1209,F$2,route_calc!$P$2:$P$1209,$A123))</f>
        <v>0</v>
      </c>
      <c r="G123">
        <f>IF($A123="","",COUNTIFS(route_calc!$A$2:$A$1209,G$2,route_calc!$P$2:$P$1209,$A123))</f>
        <v>0</v>
      </c>
      <c r="H123">
        <f>IF($A123="","",COUNTIFS(route_calc!$A$2:$A$1209,H$2,route_calc!$P$2:$P$1209,$A123))</f>
        <v>0</v>
      </c>
      <c r="I123">
        <f>IF($A123="","",COUNTIFS(route_calc!$A$2:$A$1209,I$2,route_calc!$P$2:$P$1209,$A123))</f>
        <v>0</v>
      </c>
      <c r="J123">
        <f>IF($A123="","",COUNTIFS(route_calc!$A$2:$A$1209,J$2,route_calc!$P$2:$P$1209,$A123))</f>
        <v>0</v>
      </c>
      <c r="K123" t="str">
        <f>IF($L123=0,"",_xlfn.MINIFS(route_calc!$Q$2:$Q$1209,route_calc!$P$2:$P$1209,$A123,route_calc!$A$2:$A$1209,MATCH(1,$R123:$Y123,0)))</f>
        <v/>
      </c>
      <c r="L123">
        <f t="shared" si="2"/>
        <v>0</v>
      </c>
      <c r="M123" t="str" cm="1">
        <f t="array" ref="M123">IF($L123=0,"",_xlfn.TEXTJOIN(", ",TRUE,IF($R123:$Y123&gt;0,$C$1:$J$1,"")))</f>
        <v/>
      </c>
      <c r="N123" t="str" cm="1">
        <f t="array" ref="N123">IF($L123=0,"",SUMPRODUCT(($L$3:$L$144=1)*($K$3:$K$144&lt;$K123))+1)</f>
        <v/>
      </c>
      <c r="O123" t="str">
        <f t="shared" si="3"/>
        <v/>
      </c>
      <c r="P123" t="str">
        <f>IF($A123="","",IFERROR(INDEX(countries!$G:$G,MATCH($A123,countries!$D:$D,0)),""))</f>
        <v>REQUIRED</v>
      </c>
      <c r="Q123" t="str">
        <f>IF($A123="","",IFERROR(IF(INDEX(countries!$I:$I,MATCH($A123,countries!$D:$D,0))=0,"",INDEX(countries!$I:$I,MATCH($A123,countries!$D:$D,0))),""))</f>
        <v/>
      </c>
      <c r="R123" cm="1">
        <f t="array" ref="R123">IF($A123="","",IF(AND(INDEX($C123:$J123,R$2)&gt;0,$A123&lt;&gt;INDEX('TRIP MANAGER'!$T$18:$T$25,R$2),$A123&lt;&gt;INDEX('TRIP MANAGER'!$U$18:$U$25,R$2)),1,0))</f>
        <v>0</v>
      </c>
      <c r="S123" cm="1">
        <f t="array" ref="S123">IF($A123="","",IF(AND(INDEX($C123:$J123,S$2)&gt;0,$A123&lt;&gt;INDEX('TRIP MANAGER'!$T$18:$T$25,S$2),$A123&lt;&gt;INDEX('TRIP MANAGER'!$U$18:$U$25,S$2)),1,0))</f>
        <v>0</v>
      </c>
      <c r="T123" cm="1">
        <f t="array" ref="T123">IF($A123="","",IF(AND(INDEX($C123:$J123,T$2)&gt;0,$A123&lt;&gt;INDEX('TRIP MANAGER'!$T$18:$T$25,T$2),$A123&lt;&gt;INDEX('TRIP MANAGER'!$U$18:$U$25,T$2)),1,0))</f>
        <v>0</v>
      </c>
      <c r="U123" cm="1">
        <f t="array" ref="U123">IF($A123="","",IF(AND(INDEX($C123:$J123,U$2)&gt;0,$A123&lt;&gt;INDEX('TRIP MANAGER'!$T$18:$T$25,U$2),$A123&lt;&gt;INDEX('TRIP MANAGER'!$U$18:$U$25,U$2)),1,0))</f>
        <v>0</v>
      </c>
      <c r="V123" cm="1">
        <f t="array" ref="V123">IF($A123="","",IF(AND(INDEX($C123:$J123,V$2)&gt;0,$A123&lt;&gt;INDEX('TRIP MANAGER'!$T$18:$T$25,V$2),$A123&lt;&gt;INDEX('TRIP MANAGER'!$U$18:$U$25,V$2)),1,0))</f>
        <v>0</v>
      </c>
      <c r="W123" cm="1">
        <f t="array" ref="W123">IF($A123="","",IF(AND(INDEX($C123:$J123,W$2)&gt;0,$A123&lt;&gt;INDEX('TRIP MANAGER'!$T$18:$T$25,W$2),$A123&lt;&gt;INDEX('TRIP MANAGER'!$U$18:$U$25,W$2)),1,0))</f>
        <v>0</v>
      </c>
      <c r="X123" cm="1">
        <f t="array" ref="X123">IF($A123="","",IF(AND(INDEX($C123:$J123,X$2)&gt;0,$A123&lt;&gt;INDEX('TRIP MANAGER'!$T$18:$T$25,X$2),$A123&lt;&gt;INDEX('TRIP MANAGER'!$U$18:$U$25,X$2)),1,0))</f>
        <v>0</v>
      </c>
      <c r="Y123" cm="1">
        <f t="array" ref="Y123">IF($A123="","",IF(AND(INDEX($C123:$J123,Y$2)&gt;0,$A123&lt;&gt;INDEX('TRIP MANAGER'!$T$18:$T$25,Y$2),$A123&lt;&gt;INDEX('TRIP MANAGER'!$U$18:$U$25,Y$2)),1,0))</f>
        <v>0</v>
      </c>
    </row>
    <row r="124" spans="1:25" x14ac:dyDescent="0.3">
      <c r="A124" t="str">
        <f>IF(countries!$D123="","",countries!$D123)</f>
        <v>NOR</v>
      </c>
      <c r="B124" t="str">
        <f>IF(countries!$B123="","",countries!$B123)</f>
        <v>Norway</v>
      </c>
      <c r="C124">
        <f>IF($A124="","",COUNTIFS(route_calc!$A$2:$A$1209,C$2,route_calc!$P$2:$P$1209,$A124))</f>
        <v>0</v>
      </c>
      <c r="D124">
        <f>IF($A124="","",COUNTIFS(route_calc!$A$2:$A$1209,D$2,route_calc!$P$2:$P$1209,$A124))</f>
        <v>0</v>
      </c>
      <c r="E124">
        <f>IF($A124="","",COUNTIFS(route_calc!$A$2:$A$1209,E$2,route_calc!$P$2:$P$1209,$A124))</f>
        <v>0</v>
      </c>
      <c r="F124">
        <f>IF($A124="","",COUNTIFS(route_calc!$A$2:$A$1209,F$2,route_calc!$P$2:$P$1209,$A124))</f>
        <v>0</v>
      </c>
      <c r="G124">
        <f>IF($A124="","",COUNTIFS(route_calc!$A$2:$A$1209,G$2,route_calc!$P$2:$P$1209,$A124))</f>
        <v>0</v>
      </c>
      <c r="H124">
        <f>IF($A124="","",COUNTIFS(route_calc!$A$2:$A$1209,H$2,route_calc!$P$2:$P$1209,$A124))</f>
        <v>0</v>
      </c>
      <c r="I124">
        <f>IF($A124="","",COUNTIFS(route_calc!$A$2:$A$1209,I$2,route_calc!$P$2:$P$1209,$A124))</f>
        <v>0</v>
      </c>
      <c r="J124">
        <f>IF($A124="","",COUNTIFS(route_calc!$A$2:$A$1209,J$2,route_calc!$P$2:$P$1209,$A124))</f>
        <v>0</v>
      </c>
      <c r="K124" t="str">
        <f>IF($L124=0,"",_xlfn.MINIFS(route_calc!$Q$2:$Q$1209,route_calc!$P$2:$P$1209,$A124,route_calc!$A$2:$A$1209,MATCH(1,$R124:$Y124,0)))</f>
        <v/>
      </c>
      <c r="L124">
        <f t="shared" si="2"/>
        <v>0</v>
      </c>
      <c r="M124" t="str" cm="1">
        <f t="array" ref="M124">IF($L124=0,"",_xlfn.TEXTJOIN(", ",TRUE,IF($R124:$Y124&gt;0,$C$1:$J$1,"")))</f>
        <v/>
      </c>
      <c r="N124" t="str" cm="1">
        <f t="array" ref="N124">IF($L124=0,"",SUMPRODUCT(($L$3:$L$144=1)*($K$3:$K$144&lt;$K124))+1)</f>
        <v/>
      </c>
      <c r="O124" t="str">
        <f t="shared" si="3"/>
        <v/>
      </c>
      <c r="P124" t="str">
        <f>IF($A124="","",IFERROR(INDEX(countries!$G:$G,MATCH($A124,countries!$D:$D,0)),""))</f>
        <v>REQUIRED</v>
      </c>
      <c r="Q124" t="str">
        <f>IF($A124="","",IFERROR(IF(INDEX(countries!$I:$I,MATCH($A124,countries!$D:$D,0))=0,"",INDEX(countries!$I:$I,MATCH($A124,countries!$D:$D,0))),""))</f>
        <v/>
      </c>
      <c r="R124" cm="1">
        <f t="array" ref="R124">IF($A124="","",IF(AND(INDEX($C124:$J124,R$2)&gt;0,$A124&lt;&gt;INDEX('TRIP MANAGER'!$T$18:$T$25,R$2),$A124&lt;&gt;INDEX('TRIP MANAGER'!$U$18:$U$25,R$2)),1,0))</f>
        <v>0</v>
      </c>
      <c r="S124" cm="1">
        <f t="array" ref="S124">IF($A124="","",IF(AND(INDEX($C124:$J124,S$2)&gt;0,$A124&lt;&gt;INDEX('TRIP MANAGER'!$T$18:$T$25,S$2),$A124&lt;&gt;INDEX('TRIP MANAGER'!$U$18:$U$25,S$2)),1,0))</f>
        <v>0</v>
      </c>
      <c r="T124" cm="1">
        <f t="array" ref="T124">IF($A124="","",IF(AND(INDEX($C124:$J124,T$2)&gt;0,$A124&lt;&gt;INDEX('TRIP MANAGER'!$T$18:$T$25,T$2),$A124&lt;&gt;INDEX('TRIP MANAGER'!$U$18:$U$25,T$2)),1,0))</f>
        <v>0</v>
      </c>
      <c r="U124" cm="1">
        <f t="array" ref="U124">IF($A124="","",IF(AND(INDEX($C124:$J124,U$2)&gt;0,$A124&lt;&gt;INDEX('TRIP MANAGER'!$T$18:$T$25,U$2),$A124&lt;&gt;INDEX('TRIP MANAGER'!$U$18:$U$25,U$2)),1,0))</f>
        <v>0</v>
      </c>
      <c r="V124" cm="1">
        <f t="array" ref="V124">IF($A124="","",IF(AND(INDEX($C124:$J124,V$2)&gt;0,$A124&lt;&gt;INDEX('TRIP MANAGER'!$T$18:$T$25,V$2),$A124&lt;&gt;INDEX('TRIP MANAGER'!$U$18:$U$25,V$2)),1,0))</f>
        <v>0</v>
      </c>
      <c r="W124" cm="1">
        <f t="array" ref="W124">IF($A124="","",IF(AND(INDEX($C124:$J124,W$2)&gt;0,$A124&lt;&gt;INDEX('TRIP MANAGER'!$T$18:$T$25,W$2),$A124&lt;&gt;INDEX('TRIP MANAGER'!$U$18:$U$25,W$2)),1,0))</f>
        <v>0</v>
      </c>
      <c r="X124" cm="1">
        <f t="array" ref="X124">IF($A124="","",IF(AND(INDEX($C124:$J124,X$2)&gt;0,$A124&lt;&gt;INDEX('TRIP MANAGER'!$T$18:$T$25,X$2),$A124&lt;&gt;INDEX('TRIP MANAGER'!$U$18:$U$25,X$2)),1,0))</f>
        <v>0</v>
      </c>
      <c r="Y124" cm="1">
        <f t="array" ref="Y124">IF($A124="","",IF(AND(INDEX($C124:$J124,Y$2)&gt;0,$A124&lt;&gt;INDEX('TRIP MANAGER'!$T$18:$T$25,Y$2),$A124&lt;&gt;INDEX('TRIP MANAGER'!$U$18:$U$25,Y$2)),1,0))</f>
        <v>0</v>
      </c>
    </row>
    <row r="125" spans="1:25" x14ac:dyDescent="0.3">
      <c r="A125" t="str">
        <f>IF(countries!$D124="","",countries!$D124)</f>
        <v>NPL</v>
      </c>
      <c r="B125" t="str">
        <f>IF(countries!$B124="","",countries!$B124)</f>
        <v>Nepal</v>
      </c>
      <c r="C125">
        <f>IF($A125="","",COUNTIFS(route_calc!$A$2:$A$1209,C$2,route_calc!$P$2:$P$1209,$A125))</f>
        <v>0</v>
      </c>
      <c r="D125">
        <f>IF($A125="","",COUNTIFS(route_calc!$A$2:$A$1209,D$2,route_calc!$P$2:$P$1209,$A125))</f>
        <v>0</v>
      </c>
      <c r="E125">
        <f>IF($A125="","",COUNTIFS(route_calc!$A$2:$A$1209,E$2,route_calc!$P$2:$P$1209,$A125))</f>
        <v>0</v>
      </c>
      <c r="F125">
        <f>IF($A125="","",COUNTIFS(route_calc!$A$2:$A$1209,F$2,route_calc!$P$2:$P$1209,$A125))</f>
        <v>0</v>
      </c>
      <c r="G125">
        <f>IF($A125="","",COUNTIFS(route_calc!$A$2:$A$1209,G$2,route_calc!$P$2:$P$1209,$A125))</f>
        <v>0</v>
      </c>
      <c r="H125">
        <f>IF($A125="","",COUNTIFS(route_calc!$A$2:$A$1209,H$2,route_calc!$P$2:$P$1209,$A125))</f>
        <v>0</v>
      </c>
      <c r="I125">
        <f>IF($A125="","",COUNTIFS(route_calc!$A$2:$A$1209,I$2,route_calc!$P$2:$P$1209,$A125))</f>
        <v>0</v>
      </c>
      <c r="J125">
        <f>IF($A125="","",COUNTIFS(route_calc!$A$2:$A$1209,J$2,route_calc!$P$2:$P$1209,$A125))</f>
        <v>0</v>
      </c>
      <c r="K125" t="str">
        <f>IF($L125=0,"",_xlfn.MINIFS(route_calc!$Q$2:$Q$1209,route_calc!$P$2:$P$1209,$A125,route_calc!$A$2:$A$1209,MATCH(1,$R125:$Y125,0)))</f>
        <v/>
      </c>
      <c r="L125">
        <f t="shared" si="2"/>
        <v>0</v>
      </c>
      <c r="M125" t="str" cm="1">
        <f t="array" ref="M125">IF($L125=0,"",_xlfn.TEXTJOIN(", ",TRUE,IF($R125:$Y125&gt;0,$C$1:$J$1,"")))</f>
        <v/>
      </c>
      <c r="N125" t="str" cm="1">
        <f t="array" ref="N125">IF($L125=0,"",SUMPRODUCT(($L$3:$L$144=1)*($K$3:$K$144&lt;$K125))+1)</f>
        <v/>
      </c>
      <c r="O125" t="str">
        <f t="shared" si="3"/>
        <v/>
      </c>
      <c r="P125" t="str">
        <f>IF($A125="","",IFERROR(INDEX(countries!$G:$G,MATCH($A125,countries!$D:$D,0)),""))</f>
        <v>REQUIRED</v>
      </c>
      <c r="Q125" t="str">
        <f>IF($A125="","",IFERROR(IF(INDEX(countries!$I:$I,MATCH($A125,countries!$D:$D,0))=0,"",INDEX(countries!$I:$I,MATCH($A125,countries!$D:$D,0))),""))</f>
        <v/>
      </c>
      <c r="R125" cm="1">
        <f t="array" ref="R125">IF($A125="","",IF(AND(INDEX($C125:$J125,R$2)&gt;0,$A125&lt;&gt;INDEX('TRIP MANAGER'!$T$18:$T$25,R$2),$A125&lt;&gt;INDEX('TRIP MANAGER'!$U$18:$U$25,R$2)),1,0))</f>
        <v>0</v>
      </c>
      <c r="S125" cm="1">
        <f t="array" ref="S125">IF($A125="","",IF(AND(INDEX($C125:$J125,S$2)&gt;0,$A125&lt;&gt;INDEX('TRIP MANAGER'!$T$18:$T$25,S$2),$A125&lt;&gt;INDEX('TRIP MANAGER'!$U$18:$U$25,S$2)),1,0))</f>
        <v>0</v>
      </c>
      <c r="T125" cm="1">
        <f t="array" ref="T125">IF($A125="","",IF(AND(INDEX($C125:$J125,T$2)&gt;0,$A125&lt;&gt;INDEX('TRIP MANAGER'!$T$18:$T$25,T$2),$A125&lt;&gt;INDEX('TRIP MANAGER'!$U$18:$U$25,T$2)),1,0))</f>
        <v>0</v>
      </c>
      <c r="U125" cm="1">
        <f t="array" ref="U125">IF($A125="","",IF(AND(INDEX($C125:$J125,U$2)&gt;0,$A125&lt;&gt;INDEX('TRIP MANAGER'!$T$18:$T$25,U$2),$A125&lt;&gt;INDEX('TRIP MANAGER'!$U$18:$U$25,U$2)),1,0))</f>
        <v>0</v>
      </c>
      <c r="V125" cm="1">
        <f t="array" ref="V125">IF($A125="","",IF(AND(INDEX($C125:$J125,V$2)&gt;0,$A125&lt;&gt;INDEX('TRIP MANAGER'!$T$18:$T$25,V$2),$A125&lt;&gt;INDEX('TRIP MANAGER'!$U$18:$U$25,V$2)),1,0))</f>
        <v>0</v>
      </c>
      <c r="W125" cm="1">
        <f t="array" ref="W125">IF($A125="","",IF(AND(INDEX($C125:$J125,W$2)&gt;0,$A125&lt;&gt;INDEX('TRIP MANAGER'!$T$18:$T$25,W$2),$A125&lt;&gt;INDEX('TRIP MANAGER'!$U$18:$U$25,W$2)),1,0))</f>
        <v>0</v>
      </c>
      <c r="X125" cm="1">
        <f t="array" ref="X125">IF($A125="","",IF(AND(INDEX($C125:$J125,X$2)&gt;0,$A125&lt;&gt;INDEX('TRIP MANAGER'!$T$18:$T$25,X$2),$A125&lt;&gt;INDEX('TRIP MANAGER'!$U$18:$U$25,X$2)),1,0))</f>
        <v>0</v>
      </c>
      <c r="Y125" cm="1">
        <f t="array" ref="Y125">IF($A125="","",IF(AND(INDEX($C125:$J125,Y$2)&gt;0,$A125&lt;&gt;INDEX('TRIP MANAGER'!$T$18:$T$25,Y$2),$A125&lt;&gt;INDEX('TRIP MANAGER'!$U$18:$U$25,Y$2)),1,0))</f>
        <v>0</v>
      </c>
    </row>
    <row r="126" spans="1:25" x14ac:dyDescent="0.3">
      <c r="A126" t="str">
        <f>IF(countries!$D125="","",countries!$D125)</f>
        <v>PAK</v>
      </c>
      <c r="B126" t="str">
        <f>IF(countries!$B125="","",countries!$B125)</f>
        <v>Pakistan</v>
      </c>
      <c r="C126">
        <f>IF($A126="","",COUNTIFS(route_calc!$A$2:$A$1209,C$2,route_calc!$P$2:$P$1209,$A126))</f>
        <v>0</v>
      </c>
      <c r="D126">
        <f>IF($A126="","",COUNTIFS(route_calc!$A$2:$A$1209,D$2,route_calc!$P$2:$P$1209,$A126))</f>
        <v>0</v>
      </c>
      <c r="E126">
        <f>IF($A126="","",COUNTIFS(route_calc!$A$2:$A$1209,E$2,route_calc!$P$2:$P$1209,$A126))</f>
        <v>0</v>
      </c>
      <c r="F126">
        <f>IF($A126="","",COUNTIFS(route_calc!$A$2:$A$1209,F$2,route_calc!$P$2:$P$1209,$A126))</f>
        <v>0</v>
      </c>
      <c r="G126">
        <f>IF($A126="","",COUNTIFS(route_calc!$A$2:$A$1209,G$2,route_calc!$P$2:$P$1209,$A126))</f>
        <v>0</v>
      </c>
      <c r="H126">
        <f>IF($A126="","",COUNTIFS(route_calc!$A$2:$A$1209,H$2,route_calc!$P$2:$P$1209,$A126))</f>
        <v>0</v>
      </c>
      <c r="I126">
        <f>IF($A126="","",COUNTIFS(route_calc!$A$2:$A$1209,I$2,route_calc!$P$2:$P$1209,$A126))</f>
        <v>0</v>
      </c>
      <c r="J126">
        <f>IF($A126="","",COUNTIFS(route_calc!$A$2:$A$1209,J$2,route_calc!$P$2:$P$1209,$A126))</f>
        <v>0</v>
      </c>
      <c r="K126" t="str">
        <f>IF($L126=0,"",_xlfn.MINIFS(route_calc!$Q$2:$Q$1209,route_calc!$P$2:$P$1209,$A126,route_calc!$A$2:$A$1209,MATCH(1,$R126:$Y126,0)))</f>
        <v/>
      </c>
      <c r="L126">
        <f t="shared" si="2"/>
        <v>0</v>
      </c>
      <c r="M126" t="str" cm="1">
        <f t="array" ref="M126">IF($L126=0,"",_xlfn.TEXTJOIN(", ",TRUE,IF($R126:$Y126&gt;0,$C$1:$J$1,"")))</f>
        <v/>
      </c>
      <c r="N126" t="str" cm="1">
        <f t="array" ref="N126">IF($L126=0,"",SUMPRODUCT(($L$3:$L$144=1)*($K$3:$K$144&lt;$K126))+1)</f>
        <v/>
      </c>
      <c r="O126" t="str">
        <f t="shared" si="3"/>
        <v/>
      </c>
      <c r="P126" t="str">
        <f>IF($A126="","",IFERROR(INDEX(countries!$G:$G,MATCH($A126,countries!$D:$D,0)),""))</f>
        <v>REQUIRED</v>
      </c>
      <c r="Q126" t="str">
        <f>IF($A126="","",IFERROR(IF(INDEX(countries!$I:$I,MATCH($A126,countries!$D:$D,0))=0,"",INDEX(countries!$I:$I,MATCH($A126,countries!$D:$D,0))),""))</f>
        <v/>
      </c>
      <c r="R126" cm="1">
        <f t="array" ref="R126">IF($A126="","",IF(AND(INDEX($C126:$J126,R$2)&gt;0,$A126&lt;&gt;INDEX('TRIP MANAGER'!$T$18:$T$25,R$2),$A126&lt;&gt;INDEX('TRIP MANAGER'!$U$18:$U$25,R$2)),1,0))</f>
        <v>0</v>
      </c>
      <c r="S126" cm="1">
        <f t="array" ref="S126">IF($A126="","",IF(AND(INDEX($C126:$J126,S$2)&gt;0,$A126&lt;&gt;INDEX('TRIP MANAGER'!$T$18:$T$25,S$2),$A126&lt;&gt;INDEX('TRIP MANAGER'!$U$18:$U$25,S$2)),1,0))</f>
        <v>0</v>
      </c>
      <c r="T126" cm="1">
        <f t="array" ref="T126">IF($A126="","",IF(AND(INDEX($C126:$J126,T$2)&gt;0,$A126&lt;&gt;INDEX('TRIP MANAGER'!$T$18:$T$25,T$2),$A126&lt;&gt;INDEX('TRIP MANAGER'!$U$18:$U$25,T$2)),1,0))</f>
        <v>0</v>
      </c>
      <c r="U126" cm="1">
        <f t="array" ref="U126">IF($A126="","",IF(AND(INDEX($C126:$J126,U$2)&gt;0,$A126&lt;&gt;INDEX('TRIP MANAGER'!$T$18:$T$25,U$2),$A126&lt;&gt;INDEX('TRIP MANAGER'!$U$18:$U$25,U$2)),1,0))</f>
        <v>0</v>
      </c>
      <c r="V126" cm="1">
        <f t="array" ref="V126">IF($A126="","",IF(AND(INDEX($C126:$J126,V$2)&gt;0,$A126&lt;&gt;INDEX('TRIP MANAGER'!$T$18:$T$25,V$2),$A126&lt;&gt;INDEX('TRIP MANAGER'!$U$18:$U$25,V$2)),1,0))</f>
        <v>0</v>
      </c>
      <c r="W126" cm="1">
        <f t="array" ref="W126">IF($A126="","",IF(AND(INDEX($C126:$J126,W$2)&gt;0,$A126&lt;&gt;INDEX('TRIP MANAGER'!$T$18:$T$25,W$2),$A126&lt;&gt;INDEX('TRIP MANAGER'!$U$18:$U$25,W$2)),1,0))</f>
        <v>0</v>
      </c>
      <c r="X126" cm="1">
        <f t="array" ref="X126">IF($A126="","",IF(AND(INDEX($C126:$J126,X$2)&gt;0,$A126&lt;&gt;INDEX('TRIP MANAGER'!$T$18:$T$25,X$2),$A126&lt;&gt;INDEX('TRIP MANAGER'!$U$18:$U$25,X$2)),1,0))</f>
        <v>0</v>
      </c>
      <c r="Y126" cm="1">
        <f t="array" ref="Y126">IF($A126="","",IF(AND(INDEX($C126:$J126,Y$2)&gt;0,$A126&lt;&gt;INDEX('TRIP MANAGER'!$T$18:$T$25,Y$2),$A126&lt;&gt;INDEX('TRIP MANAGER'!$U$18:$U$25,Y$2)),1,0))</f>
        <v>0</v>
      </c>
    </row>
    <row r="127" spans="1:25" x14ac:dyDescent="0.3">
      <c r="A127" t="str">
        <f>IF(countries!$D126="","",countries!$D126)</f>
        <v>POL</v>
      </c>
      <c r="B127" t="str">
        <f>IF(countries!$B126="","",countries!$B126)</f>
        <v>Poland</v>
      </c>
      <c r="C127">
        <f>IF($A127="","",COUNTIFS(route_calc!$A$2:$A$1209,C$2,route_calc!$P$2:$P$1209,$A127))</f>
        <v>0</v>
      </c>
      <c r="D127">
        <f>IF($A127="","",COUNTIFS(route_calc!$A$2:$A$1209,D$2,route_calc!$P$2:$P$1209,$A127))</f>
        <v>0</v>
      </c>
      <c r="E127">
        <f>IF($A127="","",COUNTIFS(route_calc!$A$2:$A$1209,E$2,route_calc!$P$2:$P$1209,$A127))</f>
        <v>0</v>
      </c>
      <c r="F127">
        <f>IF($A127="","",COUNTIFS(route_calc!$A$2:$A$1209,F$2,route_calc!$P$2:$P$1209,$A127))</f>
        <v>0</v>
      </c>
      <c r="G127">
        <f>IF($A127="","",COUNTIFS(route_calc!$A$2:$A$1209,G$2,route_calc!$P$2:$P$1209,$A127))</f>
        <v>0</v>
      </c>
      <c r="H127">
        <f>IF($A127="","",COUNTIFS(route_calc!$A$2:$A$1209,H$2,route_calc!$P$2:$P$1209,$A127))</f>
        <v>0</v>
      </c>
      <c r="I127">
        <f>IF($A127="","",COUNTIFS(route_calc!$A$2:$A$1209,I$2,route_calc!$P$2:$P$1209,$A127))</f>
        <v>0</v>
      </c>
      <c r="J127">
        <f>IF($A127="","",COUNTIFS(route_calc!$A$2:$A$1209,J$2,route_calc!$P$2:$P$1209,$A127))</f>
        <v>0</v>
      </c>
      <c r="K127" t="str">
        <f>IF($L127=0,"",_xlfn.MINIFS(route_calc!$Q$2:$Q$1209,route_calc!$P$2:$P$1209,$A127,route_calc!$A$2:$A$1209,MATCH(1,$R127:$Y127,0)))</f>
        <v/>
      </c>
      <c r="L127">
        <f t="shared" si="2"/>
        <v>0</v>
      </c>
      <c r="M127" t="str" cm="1">
        <f t="array" ref="M127">IF($L127=0,"",_xlfn.TEXTJOIN(", ",TRUE,IF($R127:$Y127&gt;0,$C$1:$J$1,"")))</f>
        <v/>
      </c>
      <c r="N127" t="str" cm="1">
        <f t="array" ref="N127">IF($L127=0,"",SUMPRODUCT(($L$3:$L$144=1)*($K$3:$K$144&lt;$K127))+1)</f>
        <v/>
      </c>
      <c r="O127" t="str">
        <f t="shared" si="3"/>
        <v/>
      </c>
      <c r="P127" t="str">
        <f>IF($A127="","",IFERROR(INDEX(countries!$G:$G,MATCH($A127,countries!$D:$D,0)),""))</f>
        <v>REQUIRED</v>
      </c>
      <c r="Q127" t="str">
        <f>IF($A127="","",IFERROR(IF(INDEX(countries!$I:$I,MATCH($A127,countries!$D:$D,0))=0,"",INDEX(countries!$I:$I,MATCH($A127,countries!$D:$D,0))),""))</f>
        <v/>
      </c>
      <c r="R127" cm="1">
        <f t="array" ref="R127">IF($A127="","",IF(AND(INDEX($C127:$J127,R$2)&gt;0,$A127&lt;&gt;INDEX('TRIP MANAGER'!$T$18:$T$25,R$2),$A127&lt;&gt;INDEX('TRIP MANAGER'!$U$18:$U$25,R$2)),1,0))</f>
        <v>0</v>
      </c>
      <c r="S127" cm="1">
        <f t="array" ref="S127">IF($A127="","",IF(AND(INDEX($C127:$J127,S$2)&gt;0,$A127&lt;&gt;INDEX('TRIP MANAGER'!$T$18:$T$25,S$2),$A127&lt;&gt;INDEX('TRIP MANAGER'!$U$18:$U$25,S$2)),1,0))</f>
        <v>0</v>
      </c>
      <c r="T127" cm="1">
        <f t="array" ref="T127">IF($A127="","",IF(AND(INDEX($C127:$J127,T$2)&gt;0,$A127&lt;&gt;INDEX('TRIP MANAGER'!$T$18:$T$25,T$2),$A127&lt;&gt;INDEX('TRIP MANAGER'!$U$18:$U$25,T$2)),1,0))</f>
        <v>0</v>
      </c>
      <c r="U127" cm="1">
        <f t="array" ref="U127">IF($A127="","",IF(AND(INDEX($C127:$J127,U$2)&gt;0,$A127&lt;&gt;INDEX('TRIP MANAGER'!$T$18:$T$25,U$2),$A127&lt;&gt;INDEX('TRIP MANAGER'!$U$18:$U$25,U$2)),1,0))</f>
        <v>0</v>
      </c>
      <c r="V127" cm="1">
        <f t="array" ref="V127">IF($A127="","",IF(AND(INDEX($C127:$J127,V$2)&gt;0,$A127&lt;&gt;INDEX('TRIP MANAGER'!$T$18:$T$25,V$2),$A127&lt;&gt;INDEX('TRIP MANAGER'!$U$18:$U$25,V$2)),1,0))</f>
        <v>0</v>
      </c>
      <c r="W127" cm="1">
        <f t="array" ref="W127">IF($A127="","",IF(AND(INDEX($C127:$J127,W$2)&gt;0,$A127&lt;&gt;INDEX('TRIP MANAGER'!$T$18:$T$25,W$2),$A127&lt;&gt;INDEX('TRIP MANAGER'!$U$18:$U$25,W$2)),1,0))</f>
        <v>0</v>
      </c>
      <c r="X127" cm="1">
        <f t="array" ref="X127">IF($A127="","",IF(AND(INDEX($C127:$J127,X$2)&gt;0,$A127&lt;&gt;INDEX('TRIP MANAGER'!$T$18:$T$25,X$2),$A127&lt;&gt;INDEX('TRIP MANAGER'!$U$18:$U$25,X$2)),1,0))</f>
        <v>0</v>
      </c>
      <c r="Y127" cm="1">
        <f t="array" ref="Y127">IF($A127="","",IF(AND(INDEX($C127:$J127,Y$2)&gt;0,$A127&lt;&gt;INDEX('TRIP MANAGER'!$T$18:$T$25,Y$2),$A127&lt;&gt;INDEX('TRIP MANAGER'!$U$18:$U$25,Y$2)),1,0))</f>
        <v>0</v>
      </c>
    </row>
    <row r="128" spans="1:25" x14ac:dyDescent="0.3">
      <c r="A128" t="str">
        <f>IF(countries!$D127="","",countries!$D127)</f>
        <v>PRT</v>
      </c>
      <c r="B128" t="str">
        <f>IF(countries!$B127="","",countries!$B127)</f>
        <v>Portugal</v>
      </c>
      <c r="C128">
        <f>IF($A128="","",COUNTIFS(route_calc!$A$2:$A$1209,C$2,route_calc!$P$2:$P$1209,$A128))</f>
        <v>0</v>
      </c>
      <c r="D128">
        <f>IF($A128="","",COUNTIFS(route_calc!$A$2:$A$1209,D$2,route_calc!$P$2:$P$1209,$A128))</f>
        <v>0</v>
      </c>
      <c r="E128">
        <f>IF($A128="","",COUNTIFS(route_calc!$A$2:$A$1209,E$2,route_calc!$P$2:$P$1209,$A128))</f>
        <v>0</v>
      </c>
      <c r="F128">
        <f>IF($A128="","",COUNTIFS(route_calc!$A$2:$A$1209,F$2,route_calc!$P$2:$P$1209,$A128))</f>
        <v>0</v>
      </c>
      <c r="G128">
        <f>IF($A128="","",COUNTIFS(route_calc!$A$2:$A$1209,G$2,route_calc!$P$2:$P$1209,$A128))</f>
        <v>0</v>
      </c>
      <c r="H128">
        <f>IF($A128="","",COUNTIFS(route_calc!$A$2:$A$1209,H$2,route_calc!$P$2:$P$1209,$A128))</f>
        <v>0</v>
      </c>
      <c r="I128">
        <f>IF($A128="","",COUNTIFS(route_calc!$A$2:$A$1209,I$2,route_calc!$P$2:$P$1209,$A128))</f>
        <v>0</v>
      </c>
      <c r="J128">
        <f>IF($A128="","",COUNTIFS(route_calc!$A$2:$A$1209,J$2,route_calc!$P$2:$P$1209,$A128))</f>
        <v>0</v>
      </c>
      <c r="K128" t="str">
        <f>IF($L128=0,"",_xlfn.MINIFS(route_calc!$Q$2:$Q$1209,route_calc!$P$2:$P$1209,$A128,route_calc!$A$2:$A$1209,MATCH(1,$R128:$Y128,0)))</f>
        <v/>
      </c>
      <c r="L128">
        <f t="shared" si="2"/>
        <v>0</v>
      </c>
      <c r="M128" t="str" cm="1">
        <f t="array" ref="M128">IF($L128=0,"",_xlfn.TEXTJOIN(", ",TRUE,IF($R128:$Y128&gt;0,$C$1:$J$1,"")))</f>
        <v/>
      </c>
      <c r="N128" t="str" cm="1">
        <f t="array" ref="N128">IF($L128=0,"",SUMPRODUCT(($L$3:$L$144=1)*($K$3:$K$144&lt;$K128))+1)</f>
        <v/>
      </c>
      <c r="O128" t="str">
        <f t="shared" si="3"/>
        <v/>
      </c>
      <c r="P128" t="str">
        <f>IF($A128="","",IFERROR(INDEX(countries!$G:$G,MATCH($A128,countries!$D:$D,0)),""))</f>
        <v>REQUIRED</v>
      </c>
      <c r="Q128" t="str">
        <f>IF($A128="","",IFERROR(IF(INDEX(countries!$I:$I,MATCH($A128,countries!$D:$D,0))=0,"",INDEX(countries!$I:$I,MATCH($A128,countries!$D:$D,0))),""))</f>
        <v/>
      </c>
      <c r="R128" cm="1">
        <f t="array" ref="R128">IF($A128="","",IF(AND(INDEX($C128:$J128,R$2)&gt;0,$A128&lt;&gt;INDEX('TRIP MANAGER'!$T$18:$T$25,R$2),$A128&lt;&gt;INDEX('TRIP MANAGER'!$U$18:$U$25,R$2)),1,0))</f>
        <v>0</v>
      </c>
      <c r="S128" cm="1">
        <f t="array" ref="S128">IF($A128="","",IF(AND(INDEX($C128:$J128,S$2)&gt;0,$A128&lt;&gt;INDEX('TRIP MANAGER'!$T$18:$T$25,S$2),$A128&lt;&gt;INDEX('TRIP MANAGER'!$U$18:$U$25,S$2)),1,0))</f>
        <v>0</v>
      </c>
      <c r="T128" cm="1">
        <f t="array" ref="T128">IF($A128="","",IF(AND(INDEX($C128:$J128,T$2)&gt;0,$A128&lt;&gt;INDEX('TRIP MANAGER'!$T$18:$T$25,T$2),$A128&lt;&gt;INDEX('TRIP MANAGER'!$U$18:$U$25,T$2)),1,0))</f>
        <v>0</v>
      </c>
      <c r="U128" cm="1">
        <f t="array" ref="U128">IF($A128="","",IF(AND(INDEX($C128:$J128,U$2)&gt;0,$A128&lt;&gt;INDEX('TRIP MANAGER'!$T$18:$T$25,U$2),$A128&lt;&gt;INDEX('TRIP MANAGER'!$U$18:$U$25,U$2)),1,0))</f>
        <v>0</v>
      </c>
      <c r="V128" cm="1">
        <f t="array" ref="V128">IF($A128="","",IF(AND(INDEX($C128:$J128,V$2)&gt;0,$A128&lt;&gt;INDEX('TRIP MANAGER'!$T$18:$T$25,V$2),$A128&lt;&gt;INDEX('TRIP MANAGER'!$U$18:$U$25,V$2)),1,0))</f>
        <v>0</v>
      </c>
      <c r="W128" cm="1">
        <f t="array" ref="W128">IF($A128="","",IF(AND(INDEX($C128:$J128,W$2)&gt;0,$A128&lt;&gt;INDEX('TRIP MANAGER'!$T$18:$T$25,W$2),$A128&lt;&gt;INDEX('TRIP MANAGER'!$U$18:$U$25,W$2)),1,0))</f>
        <v>0</v>
      </c>
      <c r="X128" cm="1">
        <f t="array" ref="X128">IF($A128="","",IF(AND(INDEX($C128:$J128,X$2)&gt;0,$A128&lt;&gt;INDEX('TRIP MANAGER'!$T$18:$T$25,X$2),$A128&lt;&gt;INDEX('TRIP MANAGER'!$U$18:$U$25,X$2)),1,0))</f>
        <v>0</v>
      </c>
      <c r="Y128" cm="1">
        <f t="array" ref="Y128">IF($A128="","",IF(AND(INDEX($C128:$J128,Y$2)&gt;0,$A128&lt;&gt;INDEX('TRIP MANAGER'!$T$18:$T$25,Y$2),$A128&lt;&gt;INDEX('TRIP MANAGER'!$U$18:$U$25,Y$2)),1,0))</f>
        <v>0</v>
      </c>
    </row>
    <row r="129" spans="1:25" x14ac:dyDescent="0.3">
      <c r="A129" t="str">
        <f>IF(countries!$D128="","",countries!$D128)</f>
        <v>PSE</v>
      </c>
      <c r="B129" t="str">
        <f>IF(countries!$B128="","",countries!$B128)</f>
        <v>Palestine</v>
      </c>
      <c r="C129">
        <f>IF($A129="","",COUNTIFS(route_calc!$A$2:$A$1209,C$2,route_calc!$P$2:$P$1209,$A129))</f>
        <v>0</v>
      </c>
      <c r="D129">
        <f>IF($A129="","",COUNTIFS(route_calc!$A$2:$A$1209,D$2,route_calc!$P$2:$P$1209,$A129))</f>
        <v>0</v>
      </c>
      <c r="E129">
        <f>IF($A129="","",COUNTIFS(route_calc!$A$2:$A$1209,E$2,route_calc!$P$2:$P$1209,$A129))</f>
        <v>0</v>
      </c>
      <c r="F129">
        <f>IF($A129="","",COUNTIFS(route_calc!$A$2:$A$1209,F$2,route_calc!$P$2:$P$1209,$A129))</f>
        <v>0</v>
      </c>
      <c r="G129">
        <f>IF($A129="","",COUNTIFS(route_calc!$A$2:$A$1209,G$2,route_calc!$P$2:$P$1209,$A129))</f>
        <v>0</v>
      </c>
      <c r="H129">
        <f>IF($A129="","",COUNTIFS(route_calc!$A$2:$A$1209,H$2,route_calc!$P$2:$P$1209,$A129))</f>
        <v>0</v>
      </c>
      <c r="I129">
        <f>IF($A129="","",COUNTIFS(route_calc!$A$2:$A$1209,I$2,route_calc!$P$2:$P$1209,$A129))</f>
        <v>0</v>
      </c>
      <c r="J129">
        <f>IF($A129="","",COUNTIFS(route_calc!$A$2:$A$1209,J$2,route_calc!$P$2:$P$1209,$A129))</f>
        <v>0</v>
      </c>
      <c r="K129" t="str">
        <f>IF($L129=0,"",_xlfn.MINIFS(route_calc!$Q$2:$Q$1209,route_calc!$P$2:$P$1209,$A129,route_calc!$A$2:$A$1209,MATCH(1,$R129:$Y129,0)))</f>
        <v/>
      </c>
      <c r="L129">
        <f t="shared" si="2"/>
        <v>0</v>
      </c>
      <c r="M129" t="str" cm="1">
        <f t="array" ref="M129">IF($L129=0,"",_xlfn.TEXTJOIN(", ",TRUE,IF($R129:$Y129&gt;0,$C$1:$J$1,"")))</f>
        <v/>
      </c>
      <c r="N129" t="str" cm="1">
        <f t="array" ref="N129">IF($L129=0,"",SUMPRODUCT(($L$3:$L$144=1)*($K$3:$K$144&lt;$K129))+1)</f>
        <v/>
      </c>
      <c r="O129" t="str">
        <f t="shared" si="3"/>
        <v/>
      </c>
      <c r="P129" t="str">
        <f>IF($A129="","",IFERROR(INDEX(countries!$G:$G,MATCH($A129,countries!$D:$D,0)),""))</f>
        <v>REQUIRED</v>
      </c>
      <c r="Q129" t="str">
        <f>IF($A129="","",IFERROR(IF(INDEX(countries!$I:$I,MATCH($A129,countries!$D:$D,0))=0,"",INDEX(countries!$I:$I,MATCH($A129,countries!$D:$D,0))),""))</f>
        <v/>
      </c>
      <c r="R129" cm="1">
        <f t="array" ref="R129">IF($A129="","",IF(AND(INDEX($C129:$J129,R$2)&gt;0,$A129&lt;&gt;INDEX('TRIP MANAGER'!$T$18:$T$25,R$2),$A129&lt;&gt;INDEX('TRIP MANAGER'!$U$18:$U$25,R$2)),1,0))</f>
        <v>0</v>
      </c>
      <c r="S129" cm="1">
        <f t="array" ref="S129">IF($A129="","",IF(AND(INDEX($C129:$J129,S$2)&gt;0,$A129&lt;&gt;INDEX('TRIP MANAGER'!$T$18:$T$25,S$2),$A129&lt;&gt;INDEX('TRIP MANAGER'!$U$18:$U$25,S$2)),1,0))</f>
        <v>0</v>
      </c>
      <c r="T129" cm="1">
        <f t="array" ref="T129">IF($A129="","",IF(AND(INDEX($C129:$J129,T$2)&gt;0,$A129&lt;&gt;INDEX('TRIP MANAGER'!$T$18:$T$25,T$2),$A129&lt;&gt;INDEX('TRIP MANAGER'!$U$18:$U$25,T$2)),1,0))</f>
        <v>0</v>
      </c>
      <c r="U129" cm="1">
        <f t="array" ref="U129">IF($A129="","",IF(AND(INDEX($C129:$J129,U$2)&gt;0,$A129&lt;&gt;INDEX('TRIP MANAGER'!$T$18:$T$25,U$2),$A129&lt;&gt;INDEX('TRIP MANAGER'!$U$18:$U$25,U$2)),1,0))</f>
        <v>0</v>
      </c>
      <c r="V129" cm="1">
        <f t="array" ref="V129">IF($A129="","",IF(AND(INDEX($C129:$J129,V$2)&gt;0,$A129&lt;&gt;INDEX('TRIP MANAGER'!$T$18:$T$25,V$2),$A129&lt;&gt;INDEX('TRIP MANAGER'!$U$18:$U$25,V$2)),1,0))</f>
        <v>0</v>
      </c>
      <c r="W129" cm="1">
        <f t="array" ref="W129">IF($A129="","",IF(AND(INDEX($C129:$J129,W$2)&gt;0,$A129&lt;&gt;INDEX('TRIP MANAGER'!$T$18:$T$25,W$2),$A129&lt;&gt;INDEX('TRIP MANAGER'!$U$18:$U$25,W$2)),1,0))</f>
        <v>0</v>
      </c>
      <c r="X129" cm="1">
        <f t="array" ref="X129">IF($A129="","",IF(AND(INDEX($C129:$J129,X$2)&gt;0,$A129&lt;&gt;INDEX('TRIP MANAGER'!$T$18:$T$25,X$2),$A129&lt;&gt;INDEX('TRIP MANAGER'!$U$18:$U$25,X$2)),1,0))</f>
        <v>0</v>
      </c>
      <c r="Y129" cm="1">
        <f t="array" ref="Y129">IF($A129="","",IF(AND(INDEX($C129:$J129,Y$2)&gt;0,$A129&lt;&gt;INDEX('TRIP MANAGER'!$T$18:$T$25,Y$2),$A129&lt;&gt;INDEX('TRIP MANAGER'!$U$18:$U$25,Y$2)),1,0))</f>
        <v>0</v>
      </c>
    </row>
    <row r="130" spans="1:25" x14ac:dyDescent="0.3">
      <c r="A130" t="str">
        <f>IF(countries!$D129="","",countries!$D129)</f>
        <v>ROU</v>
      </c>
      <c r="B130" t="str">
        <f>IF(countries!$B129="","",countries!$B129)</f>
        <v>Romania</v>
      </c>
      <c r="C130">
        <f>IF($A130="","",COUNTIFS(route_calc!$A$2:$A$1209,C$2,route_calc!$P$2:$P$1209,$A130))</f>
        <v>0</v>
      </c>
      <c r="D130">
        <f>IF($A130="","",COUNTIFS(route_calc!$A$2:$A$1209,D$2,route_calc!$P$2:$P$1209,$A130))</f>
        <v>0</v>
      </c>
      <c r="E130">
        <f>IF($A130="","",COUNTIFS(route_calc!$A$2:$A$1209,E$2,route_calc!$P$2:$P$1209,$A130))</f>
        <v>0</v>
      </c>
      <c r="F130">
        <f>IF($A130="","",COUNTIFS(route_calc!$A$2:$A$1209,F$2,route_calc!$P$2:$P$1209,$A130))</f>
        <v>0</v>
      </c>
      <c r="G130">
        <f>IF($A130="","",COUNTIFS(route_calc!$A$2:$A$1209,G$2,route_calc!$P$2:$P$1209,$A130))</f>
        <v>0</v>
      </c>
      <c r="H130">
        <f>IF($A130="","",COUNTIFS(route_calc!$A$2:$A$1209,H$2,route_calc!$P$2:$P$1209,$A130))</f>
        <v>0</v>
      </c>
      <c r="I130">
        <f>IF($A130="","",COUNTIFS(route_calc!$A$2:$A$1209,I$2,route_calc!$P$2:$P$1209,$A130))</f>
        <v>0</v>
      </c>
      <c r="J130">
        <f>IF($A130="","",COUNTIFS(route_calc!$A$2:$A$1209,J$2,route_calc!$P$2:$P$1209,$A130))</f>
        <v>0</v>
      </c>
      <c r="K130" t="str">
        <f>IF($L130=0,"",_xlfn.MINIFS(route_calc!$Q$2:$Q$1209,route_calc!$P$2:$P$1209,$A130,route_calc!$A$2:$A$1209,MATCH(1,$R130:$Y130,0)))</f>
        <v/>
      </c>
      <c r="L130">
        <f t="shared" si="2"/>
        <v>0</v>
      </c>
      <c r="M130" t="str" cm="1">
        <f t="array" ref="M130">IF($L130=0,"",_xlfn.TEXTJOIN(", ",TRUE,IF($R130:$Y130&gt;0,$C$1:$J$1,"")))</f>
        <v/>
      </c>
      <c r="N130" t="str" cm="1">
        <f t="array" ref="N130">IF($L130=0,"",SUMPRODUCT(($L$3:$L$144=1)*($K$3:$K$144&lt;$K130))+1)</f>
        <v/>
      </c>
      <c r="O130" t="str">
        <f t="shared" si="3"/>
        <v/>
      </c>
      <c r="P130" t="str">
        <f>IF($A130="","",IFERROR(INDEX(countries!$G:$G,MATCH($A130,countries!$D:$D,0)),""))</f>
        <v>REQUIRED</v>
      </c>
      <c r="Q130" t="str">
        <f>IF($A130="","",IFERROR(IF(INDEX(countries!$I:$I,MATCH($A130,countries!$D:$D,0))=0,"",INDEX(countries!$I:$I,MATCH($A130,countries!$D:$D,0))),""))</f>
        <v/>
      </c>
      <c r="R130" cm="1">
        <f t="array" ref="R130">IF($A130="","",IF(AND(INDEX($C130:$J130,R$2)&gt;0,$A130&lt;&gt;INDEX('TRIP MANAGER'!$T$18:$T$25,R$2),$A130&lt;&gt;INDEX('TRIP MANAGER'!$U$18:$U$25,R$2)),1,0))</f>
        <v>0</v>
      </c>
      <c r="S130" cm="1">
        <f t="array" ref="S130">IF($A130="","",IF(AND(INDEX($C130:$J130,S$2)&gt;0,$A130&lt;&gt;INDEX('TRIP MANAGER'!$T$18:$T$25,S$2),$A130&lt;&gt;INDEX('TRIP MANAGER'!$U$18:$U$25,S$2)),1,0))</f>
        <v>0</v>
      </c>
      <c r="T130" cm="1">
        <f t="array" ref="T130">IF($A130="","",IF(AND(INDEX($C130:$J130,T$2)&gt;0,$A130&lt;&gt;INDEX('TRIP MANAGER'!$T$18:$T$25,T$2),$A130&lt;&gt;INDEX('TRIP MANAGER'!$U$18:$U$25,T$2)),1,0))</f>
        <v>0</v>
      </c>
      <c r="U130" cm="1">
        <f t="array" ref="U130">IF($A130="","",IF(AND(INDEX($C130:$J130,U$2)&gt;0,$A130&lt;&gt;INDEX('TRIP MANAGER'!$T$18:$T$25,U$2),$A130&lt;&gt;INDEX('TRIP MANAGER'!$U$18:$U$25,U$2)),1,0))</f>
        <v>0</v>
      </c>
      <c r="V130" cm="1">
        <f t="array" ref="V130">IF($A130="","",IF(AND(INDEX($C130:$J130,V$2)&gt;0,$A130&lt;&gt;INDEX('TRIP MANAGER'!$T$18:$T$25,V$2),$A130&lt;&gt;INDEX('TRIP MANAGER'!$U$18:$U$25,V$2)),1,0))</f>
        <v>0</v>
      </c>
      <c r="W130" cm="1">
        <f t="array" ref="W130">IF($A130="","",IF(AND(INDEX($C130:$J130,W$2)&gt;0,$A130&lt;&gt;INDEX('TRIP MANAGER'!$T$18:$T$25,W$2),$A130&lt;&gt;INDEX('TRIP MANAGER'!$U$18:$U$25,W$2)),1,0))</f>
        <v>0</v>
      </c>
      <c r="X130" cm="1">
        <f t="array" ref="X130">IF($A130="","",IF(AND(INDEX($C130:$J130,X$2)&gt;0,$A130&lt;&gt;INDEX('TRIP MANAGER'!$T$18:$T$25,X$2),$A130&lt;&gt;INDEX('TRIP MANAGER'!$U$18:$U$25,X$2)),1,0))</f>
        <v>0</v>
      </c>
      <c r="Y130" cm="1">
        <f t="array" ref="Y130">IF($A130="","",IF(AND(INDEX($C130:$J130,Y$2)&gt;0,$A130&lt;&gt;INDEX('TRIP MANAGER'!$T$18:$T$25,Y$2),$A130&lt;&gt;INDEX('TRIP MANAGER'!$U$18:$U$25,Y$2)),1,0))</f>
        <v>0</v>
      </c>
    </row>
    <row r="131" spans="1:25" x14ac:dyDescent="0.3">
      <c r="A131" t="str">
        <f>IF(countries!$D130="","",countries!$D130)</f>
        <v>RUS</v>
      </c>
      <c r="B131" t="str">
        <f>IF(countries!$B130="","",countries!$B130)</f>
        <v>Russia</v>
      </c>
      <c r="C131">
        <f>IF($A131="","",COUNTIFS(route_calc!$A$2:$A$1209,C$2,route_calc!$P$2:$P$1209,$A131))</f>
        <v>0</v>
      </c>
      <c r="D131">
        <f>IF($A131="","",COUNTIFS(route_calc!$A$2:$A$1209,D$2,route_calc!$P$2:$P$1209,$A131))</f>
        <v>0</v>
      </c>
      <c r="E131">
        <f>IF($A131="","",COUNTIFS(route_calc!$A$2:$A$1209,E$2,route_calc!$P$2:$P$1209,$A131))</f>
        <v>0</v>
      </c>
      <c r="F131">
        <f>IF($A131="","",COUNTIFS(route_calc!$A$2:$A$1209,F$2,route_calc!$P$2:$P$1209,$A131))</f>
        <v>0</v>
      </c>
      <c r="G131">
        <f>IF($A131="","",COUNTIFS(route_calc!$A$2:$A$1209,G$2,route_calc!$P$2:$P$1209,$A131))</f>
        <v>0</v>
      </c>
      <c r="H131">
        <f>IF($A131="","",COUNTIFS(route_calc!$A$2:$A$1209,H$2,route_calc!$P$2:$P$1209,$A131))</f>
        <v>0</v>
      </c>
      <c r="I131">
        <f>IF($A131="","",COUNTIFS(route_calc!$A$2:$A$1209,I$2,route_calc!$P$2:$P$1209,$A131))</f>
        <v>0</v>
      </c>
      <c r="J131">
        <f>IF($A131="","",COUNTIFS(route_calc!$A$2:$A$1209,J$2,route_calc!$P$2:$P$1209,$A131))</f>
        <v>0</v>
      </c>
      <c r="K131" t="str">
        <f>IF($L131=0,"",_xlfn.MINIFS(route_calc!$Q$2:$Q$1209,route_calc!$P$2:$P$1209,$A131,route_calc!$A$2:$A$1209,MATCH(1,$R131:$Y131,0)))</f>
        <v/>
      </c>
      <c r="L131">
        <f t="shared" si="2"/>
        <v>0</v>
      </c>
      <c r="M131" t="str" cm="1">
        <f t="array" ref="M131">IF($L131=0,"",_xlfn.TEXTJOIN(", ",TRUE,IF($R131:$Y131&gt;0,$C$1:$J$1,"")))</f>
        <v/>
      </c>
      <c r="N131" t="str" cm="1">
        <f t="array" ref="N131">IF($L131=0,"",SUMPRODUCT(($L$3:$L$144=1)*($K$3:$K$144&lt;$K131))+1)</f>
        <v/>
      </c>
      <c r="O131" t="str">
        <f t="shared" si="3"/>
        <v/>
      </c>
      <c r="P131" t="str">
        <f>IF($A131="","",IFERROR(INDEX(countries!$G:$G,MATCH($A131,countries!$D:$D,0)),""))</f>
        <v>REQUIRED</v>
      </c>
      <c r="Q131" t="str">
        <f>IF($A131="","",IFERROR(IF(INDEX(countries!$I:$I,MATCH($A131,countries!$D:$D,0))=0,"",INDEX(countries!$I:$I,MATCH($A131,countries!$D:$D,0))),""))</f>
        <v/>
      </c>
      <c r="R131" cm="1">
        <f t="array" ref="R131">IF($A131="","",IF(AND(INDEX($C131:$J131,R$2)&gt;0,$A131&lt;&gt;INDEX('TRIP MANAGER'!$T$18:$T$25,R$2),$A131&lt;&gt;INDEX('TRIP MANAGER'!$U$18:$U$25,R$2)),1,0))</f>
        <v>0</v>
      </c>
      <c r="S131" cm="1">
        <f t="array" ref="S131">IF($A131="","",IF(AND(INDEX($C131:$J131,S$2)&gt;0,$A131&lt;&gt;INDEX('TRIP MANAGER'!$T$18:$T$25,S$2),$A131&lt;&gt;INDEX('TRIP MANAGER'!$U$18:$U$25,S$2)),1,0))</f>
        <v>0</v>
      </c>
      <c r="T131" cm="1">
        <f t="array" ref="T131">IF($A131="","",IF(AND(INDEX($C131:$J131,T$2)&gt;0,$A131&lt;&gt;INDEX('TRIP MANAGER'!$T$18:$T$25,T$2),$A131&lt;&gt;INDEX('TRIP MANAGER'!$U$18:$U$25,T$2)),1,0))</f>
        <v>0</v>
      </c>
      <c r="U131" cm="1">
        <f t="array" ref="U131">IF($A131="","",IF(AND(INDEX($C131:$J131,U$2)&gt;0,$A131&lt;&gt;INDEX('TRIP MANAGER'!$T$18:$T$25,U$2),$A131&lt;&gt;INDEX('TRIP MANAGER'!$U$18:$U$25,U$2)),1,0))</f>
        <v>0</v>
      </c>
      <c r="V131" cm="1">
        <f t="array" ref="V131">IF($A131="","",IF(AND(INDEX($C131:$J131,V$2)&gt;0,$A131&lt;&gt;INDEX('TRIP MANAGER'!$T$18:$T$25,V$2),$A131&lt;&gt;INDEX('TRIP MANAGER'!$U$18:$U$25,V$2)),1,0))</f>
        <v>0</v>
      </c>
      <c r="W131" cm="1">
        <f t="array" ref="W131">IF($A131="","",IF(AND(INDEX($C131:$J131,W$2)&gt;0,$A131&lt;&gt;INDEX('TRIP MANAGER'!$T$18:$T$25,W$2),$A131&lt;&gt;INDEX('TRIP MANAGER'!$U$18:$U$25,W$2)),1,0))</f>
        <v>0</v>
      </c>
      <c r="X131" cm="1">
        <f t="array" ref="X131">IF($A131="","",IF(AND(INDEX($C131:$J131,X$2)&gt;0,$A131&lt;&gt;INDEX('TRIP MANAGER'!$T$18:$T$25,X$2),$A131&lt;&gt;INDEX('TRIP MANAGER'!$U$18:$U$25,X$2)),1,0))</f>
        <v>0</v>
      </c>
      <c r="Y131" cm="1">
        <f t="array" ref="Y131">IF($A131="","",IF(AND(INDEX($C131:$J131,Y$2)&gt;0,$A131&lt;&gt;INDEX('TRIP MANAGER'!$T$18:$T$25,Y$2),$A131&lt;&gt;INDEX('TRIP MANAGER'!$U$18:$U$25,Y$2)),1,0))</f>
        <v>0</v>
      </c>
    </row>
    <row r="132" spans="1:25" x14ac:dyDescent="0.3">
      <c r="A132" t="str">
        <f>IF(countries!$D131="","",countries!$D131)</f>
        <v>SOL</v>
      </c>
      <c r="B132" t="str">
        <f>IF(countries!$B131="","",countries!$B131)</f>
        <v>Somaliland</v>
      </c>
      <c r="C132">
        <f>IF($A132="","",COUNTIFS(route_calc!$A$2:$A$1209,C$2,route_calc!$P$2:$P$1209,$A132))</f>
        <v>0</v>
      </c>
      <c r="D132">
        <f>IF($A132="","",COUNTIFS(route_calc!$A$2:$A$1209,D$2,route_calc!$P$2:$P$1209,$A132))</f>
        <v>0</v>
      </c>
      <c r="E132">
        <f>IF($A132="","",COUNTIFS(route_calc!$A$2:$A$1209,E$2,route_calc!$P$2:$P$1209,$A132))</f>
        <v>0</v>
      </c>
      <c r="F132">
        <f>IF($A132="","",COUNTIFS(route_calc!$A$2:$A$1209,F$2,route_calc!$P$2:$P$1209,$A132))</f>
        <v>0</v>
      </c>
      <c r="G132">
        <f>IF($A132="","",COUNTIFS(route_calc!$A$2:$A$1209,G$2,route_calc!$P$2:$P$1209,$A132))</f>
        <v>0</v>
      </c>
      <c r="H132">
        <f>IF($A132="","",COUNTIFS(route_calc!$A$2:$A$1209,H$2,route_calc!$P$2:$P$1209,$A132))</f>
        <v>0</v>
      </c>
      <c r="I132">
        <f>IF($A132="","",COUNTIFS(route_calc!$A$2:$A$1209,I$2,route_calc!$P$2:$P$1209,$A132))</f>
        <v>0</v>
      </c>
      <c r="J132">
        <f>IF($A132="","",COUNTIFS(route_calc!$A$2:$A$1209,J$2,route_calc!$P$2:$P$1209,$A132))</f>
        <v>0</v>
      </c>
      <c r="K132" t="str">
        <f>IF($L132=0,"",_xlfn.MINIFS(route_calc!$Q$2:$Q$1209,route_calc!$P$2:$P$1209,$A132,route_calc!$A$2:$A$1209,MATCH(1,$R132:$Y132,0)))</f>
        <v/>
      </c>
      <c r="L132">
        <f t="shared" ref="L132:L144" si="4">IF($A132="",0,IF(SUM($R132:$Y132)&gt;0,1,0))</f>
        <v>0</v>
      </c>
      <c r="M132" t="str" cm="1">
        <f t="array" ref="M132">IF($L132=0,"",_xlfn.TEXTJOIN(", ",TRUE,IF($R132:$Y132&gt;0,$C$1:$J$1,"")))</f>
        <v/>
      </c>
      <c r="N132" t="str" cm="1">
        <f t="array" ref="N132">IF($L132=0,"",SUMPRODUCT(($L$3:$L$144=1)*($K$3:$K$144&lt;$K132))+1)</f>
        <v/>
      </c>
      <c r="O132" t="str">
        <f t="shared" ref="O132:O144" si="5">IF($L132=0,"",MATCH(1,$R132:$Y132,0))</f>
        <v/>
      </c>
      <c r="P132" t="str">
        <f>IF($A132="","",IFERROR(INDEX(countries!$G:$G,MATCH($A132,countries!$D:$D,0)),""))</f>
        <v>REQUIRED</v>
      </c>
      <c r="Q132" t="str">
        <f>IF($A132="","",IFERROR(IF(INDEX(countries!$I:$I,MATCH($A132,countries!$D:$D,0))=0,"",INDEX(countries!$I:$I,MATCH($A132,countries!$D:$D,0))),""))</f>
        <v/>
      </c>
      <c r="R132" cm="1">
        <f t="array" ref="R132">IF($A132="","",IF(AND(INDEX($C132:$J132,R$2)&gt;0,$A132&lt;&gt;INDEX('TRIP MANAGER'!$T$18:$T$25,R$2),$A132&lt;&gt;INDEX('TRIP MANAGER'!$U$18:$U$25,R$2)),1,0))</f>
        <v>0</v>
      </c>
      <c r="S132" cm="1">
        <f t="array" ref="S132">IF($A132="","",IF(AND(INDEX($C132:$J132,S$2)&gt;0,$A132&lt;&gt;INDEX('TRIP MANAGER'!$T$18:$T$25,S$2),$A132&lt;&gt;INDEX('TRIP MANAGER'!$U$18:$U$25,S$2)),1,0))</f>
        <v>0</v>
      </c>
      <c r="T132" cm="1">
        <f t="array" ref="T132">IF($A132="","",IF(AND(INDEX($C132:$J132,T$2)&gt;0,$A132&lt;&gt;INDEX('TRIP MANAGER'!$T$18:$T$25,T$2),$A132&lt;&gt;INDEX('TRIP MANAGER'!$U$18:$U$25,T$2)),1,0))</f>
        <v>0</v>
      </c>
      <c r="U132" cm="1">
        <f t="array" ref="U132">IF($A132="","",IF(AND(INDEX($C132:$J132,U$2)&gt;0,$A132&lt;&gt;INDEX('TRIP MANAGER'!$T$18:$T$25,U$2),$A132&lt;&gt;INDEX('TRIP MANAGER'!$U$18:$U$25,U$2)),1,0))</f>
        <v>0</v>
      </c>
      <c r="V132" cm="1">
        <f t="array" ref="V132">IF($A132="","",IF(AND(INDEX($C132:$J132,V$2)&gt;0,$A132&lt;&gt;INDEX('TRIP MANAGER'!$T$18:$T$25,V$2),$A132&lt;&gt;INDEX('TRIP MANAGER'!$U$18:$U$25,V$2)),1,0))</f>
        <v>0</v>
      </c>
      <c r="W132" cm="1">
        <f t="array" ref="W132">IF($A132="","",IF(AND(INDEX($C132:$J132,W$2)&gt;0,$A132&lt;&gt;INDEX('TRIP MANAGER'!$T$18:$T$25,W$2),$A132&lt;&gt;INDEX('TRIP MANAGER'!$U$18:$U$25,W$2)),1,0))</f>
        <v>0</v>
      </c>
      <c r="X132" cm="1">
        <f t="array" ref="X132">IF($A132="","",IF(AND(INDEX($C132:$J132,X$2)&gt;0,$A132&lt;&gt;INDEX('TRIP MANAGER'!$T$18:$T$25,X$2),$A132&lt;&gt;INDEX('TRIP MANAGER'!$U$18:$U$25,X$2)),1,0))</f>
        <v>0</v>
      </c>
      <c r="Y132" cm="1">
        <f t="array" ref="Y132">IF($A132="","",IF(AND(INDEX($C132:$J132,Y$2)&gt;0,$A132&lt;&gt;INDEX('TRIP MANAGER'!$T$18:$T$25,Y$2),$A132&lt;&gt;INDEX('TRIP MANAGER'!$U$18:$U$25,Y$2)),1,0))</f>
        <v>0</v>
      </c>
    </row>
    <row r="133" spans="1:25" x14ac:dyDescent="0.3">
      <c r="A133" t="str">
        <f>IF(countries!$D132="","",countries!$D132)</f>
        <v>SRB</v>
      </c>
      <c r="B133" t="str">
        <f>IF(countries!$B132="","",countries!$B132)</f>
        <v>Serbia</v>
      </c>
      <c r="C133">
        <f>IF($A133="","",COUNTIFS(route_calc!$A$2:$A$1209,C$2,route_calc!$P$2:$P$1209,$A133))</f>
        <v>0</v>
      </c>
      <c r="D133">
        <f>IF($A133="","",COUNTIFS(route_calc!$A$2:$A$1209,D$2,route_calc!$P$2:$P$1209,$A133))</f>
        <v>0</v>
      </c>
      <c r="E133">
        <f>IF($A133="","",COUNTIFS(route_calc!$A$2:$A$1209,E$2,route_calc!$P$2:$P$1209,$A133))</f>
        <v>0</v>
      </c>
      <c r="F133">
        <f>IF($A133="","",COUNTIFS(route_calc!$A$2:$A$1209,F$2,route_calc!$P$2:$P$1209,$A133))</f>
        <v>0</v>
      </c>
      <c r="G133">
        <f>IF($A133="","",COUNTIFS(route_calc!$A$2:$A$1209,G$2,route_calc!$P$2:$P$1209,$A133))</f>
        <v>0</v>
      </c>
      <c r="H133">
        <f>IF($A133="","",COUNTIFS(route_calc!$A$2:$A$1209,H$2,route_calc!$P$2:$P$1209,$A133))</f>
        <v>0</v>
      </c>
      <c r="I133">
        <f>IF($A133="","",COUNTIFS(route_calc!$A$2:$A$1209,I$2,route_calc!$P$2:$P$1209,$A133))</f>
        <v>0</v>
      </c>
      <c r="J133">
        <f>IF($A133="","",COUNTIFS(route_calc!$A$2:$A$1209,J$2,route_calc!$P$2:$P$1209,$A133))</f>
        <v>0</v>
      </c>
      <c r="K133" t="str">
        <f>IF($L133=0,"",_xlfn.MINIFS(route_calc!$Q$2:$Q$1209,route_calc!$P$2:$P$1209,$A133,route_calc!$A$2:$A$1209,MATCH(1,$R133:$Y133,0)))</f>
        <v/>
      </c>
      <c r="L133">
        <f t="shared" si="4"/>
        <v>0</v>
      </c>
      <c r="M133" t="str" cm="1">
        <f t="array" ref="M133">IF($L133=0,"",_xlfn.TEXTJOIN(", ",TRUE,IF($R133:$Y133&gt;0,$C$1:$J$1,"")))</f>
        <v/>
      </c>
      <c r="N133" t="str" cm="1">
        <f t="array" ref="N133">IF($L133=0,"",SUMPRODUCT(($L$3:$L$144=1)*($K$3:$K$144&lt;$K133))+1)</f>
        <v/>
      </c>
      <c r="O133" t="str">
        <f t="shared" si="5"/>
        <v/>
      </c>
      <c r="P133" t="str">
        <f>IF($A133="","",IFERROR(INDEX(countries!$G:$G,MATCH($A133,countries!$D:$D,0)),""))</f>
        <v>REQUIRED</v>
      </c>
      <c r="Q133" t="str">
        <f>IF($A133="","",IFERROR(IF(INDEX(countries!$I:$I,MATCH($A133,countries!$D:$D,0))=0,"",INDEX(countries!$I:$I,MATCH($A133,countries!$D:$D,0))),""))</f>
        <v/>
      </c>
      <c r="R133" cm="1">
        <f t="array" ref="R133">IF($A133="","",IF(AND(INDEX($C133:$J133,R$2)&gt;0,$A133&lt;&gt;INDEX('TRIP MANAGER'!$T$18:$T$25,R$2),$A133&lt;&gt;INDEX('TRIP MANAGER'!$U$18:$U$25,R$2)),1,0))</f>
        <v>0</v>
      </c>
      <c r="S133" cm="1">
        <f t="array" ref="S133">IF($A133="","",IF(AND(INDEX($C133:$J133,S$2)&gt;0,$A133&lt;&gt;INDEX('TRIP MANAGER'!$T$18:$T$25,S$2),$A133&lt;&gt;INDEX('TRIP MANAGER'!$U$18:$U$25,S$2)),1,0))</f>
        <v>0</v>
      </c>
      <c r="T133" cm="1">
        <f t="array" ref="T133">IF($A133="","",IF(AND(INDEX($C133:$J133,T$2)&gt;0,$A133&lt;&gt;INDEX('TRIP MANAGER'!$T$18:$T$25,T$2),$A133&lt;&gt;INDEX('TRIP MANAGER'!$U$18:$U$25,T$2)),1,0))</f>
        <v>0</v>
      </c>
      <c r="U133" cm="1">
        <f t="array" ref="U133">IF($A133="","",IF(AND(INDEX($C133:$J133,U$2)&gt;0,$A133&lt;&gt;INDEX('TRIP MANAGER'!$T$18:$T$25,U$2),$A133&lt;&gt;INDEX('TRIP MANAGER'!$U$18:$U$25,U$2)),1,0))</f>
        <v>0</v>
      </c>
      <c r="V133" cm="1">
        <f t="array" ref="V133">IF($A133="","",IF(AND(INDEX($C133:$J133,V$2)&gt;0,$A133&lt;&gt;INDEX('TRIP MANAGER'!$T$18:$T$25,V$2),$A133&lt;&gt;INDEX('TRIP MANAGER'!$U$18:$U$25,V$2)),1,0))</f>
        <v>0</v>
      </c>
      <c r="W133" cm="1">
        <f t="array" ref="W133">IF($A133="","",IF(AND(INDEX($C133:$J133,W$2)&gt;0,$A133&lt;&gt;INDEX('TRIP MANAGER'!$T$18:$T$25,W$2),$A133&lt;&gt;INDEX('TRIP MANAGER'!$U$18:$U$25,W$2)),1,0))</f>
        <v>0</v>
      </c>
      <c r="X133" cm="1">
        <f t="array" ref="X133">IF($A133="","",IF(AND(INDEX($C133:$J133,X$2)&gt;0,$A133&lt;&gt;INDEX('TRIP MANAGER'!$T$18:$T$25,X$2),$A133&lt;&gt;INDEX('TRIP MANAGER'!$U$18:$U$25,X$2)),1,0))</f>
        <v>0</v>
      </c>
      <c r="Y133" cm="1">
        <f t="array" ref="Y133">IF($A133="","",IF(AND(INDEX($C133:$J133,Y$2)&gt;0,$A133&lt;&gt;INDEX('TRIP MANAGER'!$T$18:$T$25,Y$2),$A133&lt;&gt;INDEX('TRIP MANAGER'!$U$18:$U$25,Y$2)),1,0))</f>
        <v>0</v>
      </c>
    </row>
    <row r="134" spans="1:25" x14ac:dyDescent="0.3">
      <c r="A134" t="str">
        <f>IF(countries!$D133="","",countries!$D133)</f>
        <v>SVK</v>
      </c>
      <c r="B134" t="str">
        <f>IF(countries!$B133="","",countries!$B133)</f>
        <v>Slovakia</v>
      </c>
      <c r="C134">
        <f>IF($A134="","",COUNTIFS(route_calc!$A$2:$A$1209,C$2,route_calc!$P$2:$P$1209,$A134))</f>
        <v>0</v>
      </c>
      <c r="D134">
        <f>IF($A134="","",COUNTIFS(route_calc!$A$2:$A$1209,D$2,route_calc!$P$2:$P$1209,$A134))</f>
        <v>0</v>
      </c>
      <c r="E134">
        <f>IF($A134="","",COUNTIFS(route_calc!$A$2:$A$1209,E$2,route_calc!$P$2:$P$1209,$A134))</f>
        <v>0</v>
      </c>
      <c r="F134">
        <f>IF($A134="","",COUNTIFS(route_calc!$A$2:$A$1209,F$2,route_calc!$P$2:$P$1209,$A134))</f>
        <v>0</v>
      </c>
      <c r="G134">
        <f>IF($A134="","",COUNTIFS(route_calc!$A$2:$A$1209,G$2,route_calc!$P$2:$P$1209,$A134))</f>
        <v>0</v>
      </c>
      <c r="H134">
        <f>IF($A134="","",COUNTIFS(route_calc!$A$2:$A$1209,H$2,route_calc!$P$2:$P$1209,$A134))</f>
        <v>0</v>
      </c>
      <c r="I134">
        <f>IF($A134="","",COUNTIFS(route_calc!$A$2:$A$1209,I$2,route_calc!$P$2:$P$1209,$A134))</f>
        <v>0</v>
      </c>
      <c r="J134">
        <f>IF($A134="","",COUNTIFS(route_calc!$A$2:$A$1209,J$2,route_calc!$P$2:$P$1209,$A134))</f>
        <v>0</v>
      </c>
      <c r="K134" t="str">
        <f>IF($L134=0,"",_xlfn.MINIFS(route_calc!$Q$2:$Q$1209,route_calc!$P$2:$P$1209,$A134,route_calc!$A$2:$A$1209,MATCH(1,$R134:$Y134,0)))</f>
        <v/>
      </c>
      <c r="L134">
        <f t="shared" si="4"/>
        <v>0</v>
      </c>
      <c r="M134" t="str" cm="1">
        <f t="array" ref="M134">IF($L134=0,"",_xlfn.TEXTJOIN(", ",TRUE,IF($R134:$Y134&gt;0,$C$1:$J$1,"")))</f>
        <v/>
      </c>
      <c r="N134" t="str" cm="1">
        <f t="array" ref="N134">IF($L134=0,"",SUMPRODUCT(($L$3:$L$144=1)*($K$3:$K$144&lt;$K134))+1)</f>
        <v/>
      </c>
      <c r="O134" t="str">
        <f t="shared" si="5"/>
        <v/>
      </c>
      <c r="P134" t="str">
        <f>IF($A134="","",IFERROR(INDEX(countries!$G:$G,MATCH($A134,countries!$D:$D,0)),""))</f>
        <v>REQUIRED</v>
      </c>
      <c r="Q134" t="str">
        <f>IF($A134="","",IFERROR(IF(INDEX(countries!$I:$I,MATCH($A134,countries!$D:$D,0))=0,"",INDEX(countries!$I:$I,MATCH($A134,countries!$D:$D,0))),""))</f>
        <v/>
      </c>
      <c r="R134" cm="1">
        <f t="array" ref="R134">IF($A134="","",IF(AND(INDEX($C134:$J134,R$2)&gt;0,$A134&lt;&gt;INDEX('TRIP MANAGER'!$T$18:$T$25,R$2),$A134&lt;&gt;INDEX('TRIP MANAGER'!$U$18:$U$25,R$2)),1,0))</f>
        <v>0</v>
      </c>
      <c r="S134" cm="1">
        <f t="array" ref="S134">IF($A134="","",IF(AND(INDEX($C134:$J134,S$2)&gt;0,$A134&lt;&gt;INDEX('TRIP MANAGER'!$T$18:$T$25,S$2),$A134&lt;&gt;INDEX('TRIP MANAGER'!$U$18:$U$25,S$2)),1,0))</f>
        <v>0</v>
      </c>
      <c r="T134" cm="1">
        <f t="array" ref="T134">IF($A134="","",IF(AND(INDEX($C134:$J134,T$2)&gt;0,$A134&lt;&gt;INDEX('TRIP MANAGER'!$T$18:$T$25,T$2),$A134&lt;&gt;INDEX('TRIP MANAGER'!$U$18:$U$25,T$2)),1,0))</f>
        <v>0</v>
      </c>
      <c r="U134" cm="1">
        <f t="array" ref="U134">IF($A134="","",IF(AND(INDEX($C134:$J134,U$2)&gt;0,$A134&lt;&gt;INDEX('TRIP MANAGER'!$T$18:$T$25,U$2),$A134&lt;&gt;INDEX('TRIP MANAGER'!$U$18:$U$25,U$2)),1,0))</f>
        <v>0</v>
      </c>
      <c r="V134" cm="1">
        <f t="array" ref="V134">IF($A134="","",IF(AND(INDEX($C134:$J134,V$2)&gt;0,$A134&lt;&gt;INDEX('TRIP MANAGER'!$T$18:$T$25,V$2),$A134&lt;&gt;INDEX('TRIP MANAGER'!$U$18:$U$25,V$2)),1,0))</f>
        <v>0</v>
      </c>
      <c r="W134" cm="1">
        <f t="array" ref="W134">IF($A134="","",IF(AND(INDEX($C134:$J134,W$2)&gt;0,$A134&lt;&gt;INDEX('TRIP MANAGER'!$T$18:$T$25,W$2),$A134&lt;&gt;INDEX('TRIP MANAGER'!$U$18:$U$25,W$2)),1,0))</f>
        <v>0</v>
      </c>
      <c r="X134" cm="1">
        <f t="array" ref="X134">IF($A134="","",IF(AND(INDEX($C134:$J134,X$2)&gt;0,$A134&lt;&gt;INDEX('TRIP MANAGER'!$T$18:$T$25,X$2),$A134&lt;&gt;INDEX('TRIP MANAGER'!$U$18:$U$25,X$2)),1,0))</f>
        <v>0</v>
      </c>
      <c r="Y134" cm="1">
        <f t="array" ref="Y134">IF($A134="","",IF(AND(INDEX($C134:$J134,Y$2)&gt;0,$A134&lt;&gt;INDEX('TRIP MANAGER'!$T$18:$T$25,Y$2),$A134&lt;&gt;INDEX('TRIP MANAGER'!$U$18:$U$25,Y$2)),1,0))</f>
        <v>0</v>
      </c>
    </row>
    <row r="135" spans="1:25" x14ac:dyDescent="0.3">
      <c r="A135" t="str">
        <f>IF(countries!$D134="","",countries!$D134)</f>
        <v>SVN</v>
      </c>
      <c r="B135" t="str">
        <f>IF(countries!$B134="","",countries!$B134)</f>
        <v>Slovenia</v>
      </c>
      <c r="C135">
        <f>IF($A135="","",COUNTIFS(route_calc!$A$2:$A$1209,C$2,route_calc!$P$2:$P$1209,$A135))</f>
        <v>0</v>
      </c>
      <c r="D135">
        <f>IF($A135="","",COUNTIFS(route_calc!$A$2:$A$1209,D$2,route_calc!$P$2:$P$1209,$A135))</f>
        <v>0</v>
      </c>
      <c r="E135">
        <f>IF($A135="","",COUNTIFS(route_calc!$A$2:$A$1209,E$2,route_calc!$P$2:$P$1209,$A135))</f>
        <v>0</v>
      </c>
      <c r="F135">
        <f>IF($A135="","",COUNTIFS(route_calc!$A$2:$A$1209,F$2,route_calc!$P$2:$P$1209,$A135))</f>
        <v>0</v>
      </c>
      <c r="G135">
        <f>IF($A135="","",COUNTIFS(route_calc!$A$2:$A$1209,G$2,route_calc!$P$2:$P$1209,$A135))</f>
        <v>0</v>
      </c>
      <c r="H135">
        <f>IF($A135="","",COUNTIFS(route_calc!$A$2:$A$1209,H$2,route_calc!$P$2:$P$1209,$A135))</f>
        <v>0</v>
      </c>
      <c r="I135">
        <f>IF($A135="","",COUNTIFS(route_calc!$A$2:$A$1209,I$2,route_calc!$P$2:$P$1209,$A135))</f>
        <v>0</v>
      </c>
      <c r="J135">
        <f>IF($A135="","",COUNTIFS(route_calc!$A$2:$A$1209,J$2,route_calc!$P$2:$P$1209,$A135))</f>
        <v>0</v>
      </c>
      <c r="K135" t="str">
        <f>IF($L135=0,"",_xlfn.MINIFS(route_calc!$Q$2:$Q$1209,route_calc!$P$2:$P$1209,$A135,route_calc!$A$2:$A$1209,MATCH(1,$R135:$Y135,0)))</f>
        <v/>
      </c>
      <c r="L135">
        <f t="shared" si="4"/>
        <v>0</v>
      </c>
      <c r="M135" t="str" cm="1">
        <f t="array" ref="M135">IF($L135=0,"",_xlfn.TEXTJOIN(", ",TRUE,IF($R135:$Y135&gt;0,$C$1:$J$1,"")))</f>
        <v/>
      </c>
      <c r="N135" t="str" cm="1">
        <f t="array" ref="N135">IF($L135=0,"",SUMPRODUCT(($L$3:$L$144=1)*($K$3:$K$144&lt;$K135))+1)</f>
        <v/>
      </c>
      <c r="O135" t="str">
        <f t="shared" si="5"/>
        <v/>
      </c>
      <c r="P135" t="str">
        <f>IF($A135="","",IFERROR(INDEX(countries!$G:$G,MATCH($A135,countries!$D:$D,0)),""))</f>
        <v>REQUIRED</v>
      </c>
      <c r="Q135" t="str">
        <f>IF($A135="","",IFERROR(IF(INDEX(countries!$I:$I,MATCH($A135,countries!$D:$D,0))=0,"",INDEX(countries!$I:$I,MATCH($A135,countries!$D:$D,0))),""))</f>
        <v/>
      </c>
      <c r="R135" cm="1">
        <f t="array" ref="R135">IF($A135="","",IF(AND(INDEX($C135:$J135,R$2)&gt;0,$A135&lt;&gt;INDEX('TRIP MANAGER'!$T$18:$T$25,R$2),$A135&lt;&gt;INDEX('TRIP MANAGER'!$U$18:$U$25,R$2)),1,0))</f>
        <v>0</v>
      </c>
      <c r="S135" cm="1">
        <f t="array" ref="S135">IF($A135="","",IF(AND(INDEX($C135:$J135,S$2)&gt;0,$A135&lt;&gt;INDEX('TRIP MANAGER'!$T$18:$T$25,S$2),$A135&lt;&gt;INDEX('TRIP MANAGER'!$U$18:$U$25,S$2)),1,0))</f>
        <v>0</v>
      </c>
      <c r="T135" cm="1">
        <f t="array" ref="T135">IF($A135="","",IF(AND(INDEX($C135:$J135,T$2)&gt;0,$A135&lt;&gt;INDEX('TRIP MANAGER'!$T$18:$T$25,T$2),$A135&lt;&gt;INDEX('TRIP MANAGER'!$U$18:$U$25,T$2)),1,0))</f>
        <v>0</v>
      </c>
      <c r="U135" cm="1">
        <f t="array" ref="U135">IF($A135="","",IF(AND(INDEX($C135:$J135,U$2)&gt;0,$A135&lt;&gt;INDEX('TRIP MANAGER'!$T$18:$T$25,U$2),$A135&lt;&gt;INDEX('TRIP MANAGER'!$U$18:$U$25,U$2)),1,0))</f>
        <v>0</v>
      </c>
      <c r="V135" cm="1">
        <f t="array" ref="V135">IF($A135="","",IF(AND(INDEX($C135:$J135,V$2)&gt;0,$A135&lt;&gt;INDEX('TRIP MANAGER'!$T$18:$T$25,V$2),$A135&lt;&gt;INDEX('TRIP MANAGER'!$U$18:$U$25,V$2)),1,0))</f>
        <v>0</v>
      </c>
      <c r="W135" cm="1">
        <f t="array" ref="W135">IF($A135="","",IF(AND(INDEX($C135:$J135,W$2)&gt;0,$A135&lt;&gt;INDEX('TRIP MANAGER'!$T$18:$T$25,W$2),$A135&lt;&gt;INDEX('TRIP MANAGER'!$U$18:$U$25,W$2)),1,0))</f>
        <v>0</v>
      </c>
      <c r="X135" cm="1">
        <f t="array" ref="X135">IF($A135="","",IF(AND(INDEX($C135:$J135,X$2)&gt;0,$A135&lt;&gt;INDEX('TRIP MANAGER'!$T$18:$T$25,X$2),$A135&lt;&gt;INDEX('TRIP MANAGER'!$U$18:$U$25,X$2)),1,0))</f>
        <v>0</v>
      </c>
      <c r="Y135" cm="1">
        <f t="array" ref="Y135">IF($A135="","",IF(AND(INDEX($C135:$J135,Y$2)&gt;0,$A135&lt;&gt;INDEX('TRIP MANAGER'!$T$18:$T$25,Y$2),$A135&lt;&gt;INDEX('TRIP MANAGER'!$U$18:$U$25,Y$2)),1,0))</f>
        <v>0</v>
      </c>
    </row>
    <row r="136" spans="1:25" x14ac:dyDescent="0.3">
      <c r="A136" t="str">
        <f>IF(countries!$D135="","",countries!$D135)</f>
        <v>SWE</v>
      </c>
      <c r="B136" t="str">
        <f>IF(countries!$B135="","",countries!$B135)</f>
        <v>Sweden</v>
      </c>
      <c r="C136">
        <f>IF($A136="","",COUNTIFS(route_calc!$A$2:$A$1209,C$2,route_calc!$P$2:$P$1209,$A136))</f>
        <v>0</v>
      </c>
      <c r="D136">
        <f>IF($A136="","",COUNTIFS(route_calc!$A$2:$A$1209,D$2,route_calc!$P$2:$P$1209,$A136))</f>
        <v>0</v>
      </c>
      <c r="E136">
        <f>IF($A136="","",COUNTIFS(route_calc!$A$2:$A$1209,E$2,route_calc!$P$2:$P$1209,$A136))</f>
        <v>0</v>
      </c>
      <c r="F136">
        <f>IF($A136="","",COUNTIFS(route_calc!$A$2:$A$1209,F$2,route_calc!$P$2:$P$1209,$A136))</f>
        <v>0</v>
      </c>
      <c r="G136">
        <f>IF($A136="","",COUNTIFS(route_calc!$A$2:$A$1209,G$2,route_calc!$P$2:$P$1209,$A136))</f>
        <v>0</v>
      </c>
      <c r="H136">
        <f>IF($A136="","",COUNTIFS(route_calc!$A$2:$A$1209,H$2,route_calc!$P$2:$P$1209,$A136))</f>
        <v>0</v>
      </c>
      <c r="I136">
        <f>IF($A136="","",COUNTIFS(route_calc!$A$2:$A$1209,I$2,route_calc!$P$2:$P$1209,$A136))</f>
        <v>0</v>
      </c>
      <c r="J136">
        <f>IF($A136="","",COUNTIFS(route_calc!$A$2:$A$1209,J$2,route_calc!$P$2:$P$1209,$A136))</f>
        <v>0</v>
      </c>
      <c r="K136" t="str">
        <f>IF($L136=0,"",_xlfn.MINIFS(route_calc!$Q$2:$Q$1209,route_calc!$P$2:$P$1209,$A136,route_calc!$A$2:$A$1209,MATCH(1,$R136:$Y136,0)))</f>
        <v/>
      </c>
      <c r="L136">
        <f t="shared" si="4"/>
        <v>0</v>
      </c>
      <c r="M136" t="str" cm="1">
        <f t="array" ref="M136">IF($L136=0,"",_xlfn.TEXTJOIN(", ",TRUE,IF($R136:$Y136&gt;0,$C$1:$J$1,"")))</f>
        <v/>
      </c>
      <c r="N136" t="str" cm="1">
        <f t="array" ref="N136">IF($L136=0,"",SUMPRODUCT(($L$3:$L$144=1)*($K$3:$K$144&lt;$K136))+1)</f>
        <v/>
      </c>
      <c r="O136" t="str">
        <f t="shared" si="5"/>
        <v/>
      </c>
      <c r="P136" t="str">
        <f>IF($A136="","",IFERROR(INDEX(countries!$G:$G,MATCH($A136,countries!$D:$D,0)),""))</f>
        <v>REQUIRED</v>
      </c>
      <c r="Q136" t="str">
        <f>IF($A136="","",IFERROR(IF(INDEX(countries!$I:$I,MATCH($A136,countries!$D:$D,0))=0,"",INDEX(countries!$I:$I,MATCH($A136,countries!$D:$D,0))),""))</f>
        <v/>
      </c>
      <c r="R136" cm="1">
        <f t="array" ref="R136">IF($A136="","",IF(AND(INDEX($C136:$J136,R$2)&gt;0,$A136&lt;&gt;INDEX('TRIP MANAGER'!$T$18:$T$25,R$2),$A136&lt;&gt;INDEX('TRIP MANAGER'!$U$18:$U$25,R$2)),1,0))</f>
        <v>0</v>
      </c>
      <c r="S136" cm="1">
        <f t="array" ref="S136">IF($A136="","",IF(AND(INDEX($C136:$J136,S$2)&gt;0,$A136&lt;&gt;INDEX('TRIP MANAGER'!$T$18:$T$25,S$2),$A136&lt;&gt;INDEX('TRIP MANAGER'!$U$18:$U$25,S$2)),1,0))</f>
        <v>0</v>
      </c>
      <c r="T136" cm="1">
        <f t="array" ref="T136">IF($A136="","",IF(AND(INDEX($C136:$J136,T$2)&gt;0,$A136&lt;&gt;INDEX('TRIP MANAGER'!$T$18:$T$25,T$2),$A136&lt;&gt;INDEX('TRIP MANAGER'!$U$18:$U$25,T$2)),1,0))</f>
        <v>0</v>
      </c>
      <c r="U136" cm="1">
        <f t="array" ref="U136">IF($A136="","",IF(AND(INDEX($C136:$J136,U$2)&gt;0,$A136&lt;&gt;INDEX('TRIP MANAGER'!$T$18:$T$25,U$2),$A136&lt;&gt;INDEX('TRIP MANAGER'!$U$18:$U$25,U$2)),1,0))</f>
        <v>0</v>
      </c>
      <c r="V136" cm="1">
        <f t="array" ref="V136">IF($A136="","",IF(AND(INDEX($C136:$J136,V$2)&gt;0,$A136&lt;&gt;INDEX('TRIP MANAGER'!$T$18:$T$25,V$2),$A136&lt;&gt;INDEX('TRIP MANAGER'!$U$18:$U$25,V$2)),1,0))</f>
        <v>0</v>
      </c>
      <c r="W136" cm="1">
        <f t="array" ref="W136">IF($A136="","",IF(AND(INDEX($C136:$J136,W$2)&gt;0,$A136&lt;&gt;INDEX('TRIP MANAGER'!$T$18:$T$25,W$2),$A136&lt;&gt;INDEX('TRIP MANAGER'!$U$18:$U$25,W$2)),1,0))</f>
        <v>0</v>
      </c>
      <c r="X136" cm="1">
        <f t="array" ref="X136">IF($A136="","",IF(AND(INDEX($C136:$J136,X$2)&gt;0,$A136&lt;&gt;INDEX('TRIP MANAGER'!$T$18:$T$25,X$2),$A136&lt;&gt;INDEX('TRIP MANAGER'!$U$18:$U$25,X$2)),1,0))</f>
        <v>0</v>
      </c>
      <c r="Y136" cm="1">
        <f t="array" ref="Y136">IF($A136="","",IF(AND(INDEX($C136:$J136,Y$2)&gt;0,$A136&lt;&gt;INDEX('TRIP MANAGER'!$T$18:$T$25,Y$2),$A136&lt;&gt;INDEX('TRIP MANAGER'!$U$18:$U$25,Y$2)),1,0))</f>
        <v>0</v>
      </c>
    </row>
    <row r="137" spans="1:25" x14ac:dyDescent="0.3">
      <c r="A137" t="str">
        <f>IF(countries!$D136="","",countries!$D136)</f>
        <v>SYR</v>
      </c>
      <c r="B137" t="str">
        <f>IF(countries!$B136="","",countries!$B136)</f>
        <v>Syria</v>
      </c>
      <c r="C137">
        <f>IF($A137="","",COUNTIFS(route_calc!$A$2:$A$1209,C$2,route_calc!$P$2:$P$1209,$A137))</f>
        <v>0</v>
      </c>
      <c r="D137">
        <f>IF($A137="","",COUNTIFS(route_calc!$A$2:$A$1209,D$2,route_calc!$P$2:$P$1209,$A137))</f>
        <v>0</v>
      </c>
      <c r="E137">
        <f>IF($A137="","",COUNTIFS(route_calc!$A$2:$A$1209,E$2,route_calc!$P$2:$P$1209,$A137))</f>
        <v>0</v>
      </c>
      <c r="F137">
        <f>IF($A137="","",COUNTIFS(route_calc!$A$2:$A$1209,F$2,route_calc!$P$2:$P$1209,$A137))</f>
        <v>0</v>
      </c>
      <c r="G137">
        <f>IF($A137="","",COUNTIFS(route_calc!$A$2:$A$1209,G$2,route_calc!$P$2:$P$1209,$A137))</f>
        <v>0</v>
      </c>
      <c r="H137">
        <f>IF($A137="","",COUNTIFS(route_calc!$A$2:$A$1209,H$2,route_calc!$P$2:$P$1209,$A137))</f>
        <v>0</v>
      </c>
      <c r="I137">
        <f>IF($A137="","",COUNTIFS(route_calc!$A$2:$A$1209,I$2,route_calc!$P$2:$P$1209,$A137))</f>
        <v>0</v>
      </c>
      <c r="J137">
        <f>IF($A137="","",COUNTIFS(route_calc!$A$2:$A$1209,J$2,route_calc!$P$2:$P$1209,$A137))</f>
        <v>0</v>
      </c>
      <c r="K137" t="str">
        <f>IF($L137=0,"",_xlfn.MINIFS(route_calc!$Q$2:$Q$1209,route_calc!$P$2:$P$1209,$A137,route_calc!$A$2:$A$1209,MATCH(1,$R137:$Y137,0)))</f>
        <v/>
      </c>
      <c r="L137">
        <f t="shared" si="4"/>
        <v>0</v>
      </c>
      <c r="M137" t="str" cm="1">
        <f t="array" ref="M137">IF($L137=0,"",_xlfn.TEXTJOIN(", ",TRUE,IF($R137:$Y137&gt;0,$C$1:$J$1,"")))</f>
        <v/>
      </c>
      <c r="N137" t="str" cm="1">
        <f t="array" ref="N137">IF($L137=0,"",SUMPRODUCT(($L$3:$L$144=1)*($K$3:$K$144&lt;$K137))+1)</f>
        <v/>
      </c>
      <c r="O137" t="str">
        <f t="shared" si="5"/>
        <v/>
      </c>
      <c r="P137" t="str">
        <f>IF($A137="","",IFERROR(INDEX(countries!$G:$G,MATCH($A137,countries!$D:$D,0)),""))</f>
        <v>REQUIRED</v>
      </c>
      <c r="Q137" t="str">
        <f>IF($A137="","",IFERROR(IF(INDEX(countries!$I:$I,MATCH($A137,countries!$D:$D,0))=0,"",INDEX(countries!$I:$I,MATCH($A137,countries!$D:$D,0))),""))</f>
        <v/>
      </c>
      <c r="R137" cm="1">
        <f t="array" ref="R137">IF($A137="","",IF(AND(INDEX($C137:$J137,R$2)&gt;0,$A137&lt;&gt;INDEX('TRIP MANAGER'!$T$18:$T$25,R$2),$A137&lt;&gt;INDEX('TRIP MANAGER'!$U$18:$U$25,R$2)),1,0))</f>
        <v>0</v>
      </c>
      <c r="S137" cm="1">
        <f t="array" ref="S137">IF($A137="","",IF(AND(INDEX($C137:$J137,S$2)&gt;0,$A137&lt;&gt;INDEX('TRIP MANAGER'!$T$18:$T$25,S$2),$A137&lt;&gt;INDEX('TRIP MANAGER'!$U$18:$U$25,S$2)),1,0))</f>
        <v>0</v>
      </c>
      <c r="T137" cm="1">
        <f t="array" ref="T137">IF($A137="","",IF(AND(INDEX($C137:$J137,T$2)&gt;0,$A137&lt;&gt;INDEX('TRIP MANAGER'!$T$18:$T$25,T$2),$A137&lt;&gt;INDEX('TRIP MANAGER'!$U$18:$U$25,T$2)),1,0))</f>
        <v>0</v>
      </c>
      <c r="U137" cm="1">
        <f t="array" ref="U137">IF($A137="","",IF(AND(INDEX($C137:$J137,U$2)&gt;0,$A137&lt;&gt;INDEX('TRIP MANAGER'!$T$18:$T$25,U$2),$A137&lt;&gt;INDEX('TRIP MANAGER'!$U$18:$U$25,U$2)),1,0))</f>
        <v>0</v>
      </c>
      <c r="V137" cm="1">
        <f t="array" ref="V137">IF($A137="","",IF(AND(INDEX($C137:$J137,V$2)&gt;0,$A137&lt;&gt;INDEX('TRIP MANAGER'!$T$18:$T$25,V$2),$A137&lt;&gt;INDEX('TRIP MANAGER'!$U$18:$U$25,V$2)),1,0))</f>
        <v>0</v>
      </c>
      <c r="W137" cm="1">
        <f t="array" ref="W137">IF($A137="","",IF(AND(INDEX($C137:$J137,W$2)&gt;0,$A137&lt;&gt;INDEX('TRIP MANAGER'!$T$18:$T$25,W$2),$A137&lt;&gt;INDEX('TRIP MANAGER'!$U$18:$U$25,W$2)),1,0))</f>
        <v>0</v>
      </c>
      <c r="X137" cm="1">
        <f t="array" ref="X137">IF($A137="","",IF(AND(INDEX($C137:$J137,X$2)&gt;0,$A137&lt;&gt;INDEX('TRIP MANAGER'!$T$18:$T$25,X$2),$A137&lt;&gt;INDEX('TRIP MANAGER'!$U$18:$U$25,X$2)),1,0))</f>
        <v>0</v>
      </c>
      <c r="Y137" cm="1">
        <f t="array" ref="Y137">IF($A137="","",IF(AND(INDEX($C137:$J137,Y$2)&gt;0,$A137&lt;&gt;INDEX('TRIP MANAGER'!$T$18:$T$25,Y$2),$A137&lt;&gt;INDEX('TRIP MANAGER'!$U$18:$U$25,Y$2)),1,0))</f>
        <v>0</v>
      </c>
    </row>
    <row r="138" spans="1:25" x14ac:dyDescent="0.3">
      <c r="A138" t="str">
        <f>IF(countries!$D137="","",countries!$D137)</f>
        <v>THA</v>
      </c>
      <c r="B138" t="str">
        <f>IF(countries!$B137="","",countries!$B137)</f>
        <v>Thailand</v>
      </c>
      <c r="C138">
        <f>IF($A138="","",COUNTIFS(route_calc!$A$2:$A$1209,C$2,route_calc!$P$2:$P$1209,$A138))</f>
        <v>0</v>
      </c>
      <c r="D138">
        <f>IF($A138="","",COUNTIFS(route_calc!$A$2:$A$1209,D$2,route_calc!$P$2:$P$1209,$A138))</f>
        <v>0</v>
      </c>
      <c r="E138">
        <f>IF($A138="","",COUNTIFS(route_calc!$A$2:$A$1209,E$2,route_calc!$P$2:$P$1209,$A138))</f>
        <v>0</v>
      </c>
      <c r="F138">
        <f>IF($A138="","",COUNTIFS(route_calc!$A$2:$A$1209,F$2,route_calc!$P$2:$P$1209,$A138))</f>
        <v>0</v>
      </c>
      <c r="G138">
        <f>IF($A138="","",COUNTIFS(route_calc!$A$2:$A$1209,G$2,route_calc!$P$2:$P$1209,$A138))</f>
        <v>0</v>
      </c>
      <c r="H138">
        <f>IF($A138="","",COUNTIFS(route_calc!$A$2:$A$1209,H$2,route_calc!$P$2:$P$1209,$A138))</f>
        <v>0</v>
      </c>
      <c r="I138">
        <f>IF($A138="","",COUNTIFS(route_calc!$A$2:$A$1209,I$2,route_calc!$P$2:$P$1209,$A138))</f>
        <v>0</v>
      </c>
      <c r="J138">
        <f>IF($A138="","",COUNTIFS(route_calc!$A$2:$A$1209,J$2,route_calc!$P$2:$P$1209,$A138))</f>
        <v>0</v>
      </c>
      <c r="K138" t="str">
        <f>IF($L138=0,"",_xlfn.MINIFS(route_calc!$Q$2:$Q$1209,route_calc!$P$2:$P$1209,$A138,route_calc!$A$2:$A$1209,MATCH(1,$R138:$Y138,0)))</f>
        <v/>
      </c>
      <c r="L138">
        <f t="shared" si="4"/>
        <v>0</v>
      </c>
      <c r="M138" t="str" cm="1">
        <f t="array" ref="M138">IF($L138=0,"",_xlfn.TEXTJOIN(", ",TRUE,IF($R138:$Y138&gt;0,$C$1:$J$1,"")))</f>
        <v/>
      </c>
      <c r="N138" t="str" cm="1">
        <f t="array" ref="N138">IF($L138=0,"",SUMPRODUCT(($L$3:$L$144=1)*($K$3:$K$144&lt;$K138))+1)</f>
        <v/>
      </c>
      <c r="O138" t="str">
        <f t="shared" si="5"/>
        <v/>
      </c>
      <c r="P138" t="str">
        <f>IF($A138="","",IFERROR(INDEX(countries!$G:$G,MATCH($A138,countries!$D:$D,0)),""))</f>
        <v>REQUIRED</v>
      </c>
      <c r="Q138" t="str">
        <f>IF($A138="","",IFERROR(IF(INDEX(countries!$I:$I,MATCH($A138,countries!$D:$D,0))=0,"",INDEX(countries!$I:$I,MATCH($A138,countries!$D:$D,0))),""))</f>
        <v/>
      </c>
      <c r="R138" cm="1">
        <f t="array" ref="R138">IF($A138="","",IF(AND(INDEX($C138:$J138,R$2)&gt;0,$A138&lt;&gt;INDEX('TRIP MANAGER'!$T$18:$T$25,R$2),$A138&lt;&gt;INDEX('TRIP MANAGER'!$U$18:$U$25,R$2)),1,0))</f>
        <v>0</v>
      </c>
      <c r="S138" cm="1">
        <f t="array" ref="S138">IF($A138="","",IF(AND(INDEX($C138:$J138,S$2)&gt;0,$A138&lt;&gt;INDEX('TRIP MANAGER'!$T$18:$T$25,S$2),$A138&lt;&gt;INDEX('TRIP MANAGER'!$U$18:$U$25,S$2)),1,0))</f>
        <v>0</v>
      </c>
      <c r="T138" cm="1">
        <f t="array" ref="T138">IF($A138="","",IF(AND(INDEX($C138:$J138,T$2)&gt;0,$A138&lt;&gt;INDEX('TRIP MANAGER'!$T$18:$T$25,T$2),$A138&lt;&gt;INDEX('TRIP MANAGER'!$U$18:$U$25,T$2)),1,0))</f>
        <v>0</v>
      </c>
      <c r="U138" cm="1">
        <f t="array" ref="U138">IF($A138="","",IF(AND(INDEX($C138:$J138,U$2)&gt;0,$A138&lt;&gt;INDEX('TRIP MANAGER'!$T$18:$T$25,U$2),$A138&lt;&gt;INDEX('TRIP MANAGER'!$U$18:$U$25,U$2)),1,0))</f>
        <v>0</v>
      </c>
      <c r="V138" cm="1">
        <f t="array" ref="V138">IF($A138="","",IF(AND(INDEX($C138:$J138,V$2)&gt;0,$A138&lt;&gt;INDEX('TRIP MANAGER'!$T$18:$T$25,V$2),$A138&lt;&gt;INDEX('TRIP MANAGER'!$U$18:$U$25,V$2)),1,0))</f>
        <v>0</v>
      </c>
      <c r="W138" cm="1">
        <f t="array" ref="W138">IF($A138="","",IF(AND(INDEX($C138:$J138,W$2)&gt;0,$A138&lt;&gt;INDEX('TRIP MANAGER'!$T$18:$T$25,W$2),$A138&lt;&gt;INDEX('TRIP MANAGER'!$U$18:$U$25,W$2)),1,0))</f>
        <v>0</v>
      </c>
      <c r="X138" cm="1">
        <f t="array" ref="X138">IF($A138="","",IF(AND(INDEX($C138:$J138,X$2)&gt;0,$A138&lt;&gt;INDEX('TRIP MANAGER'!$T$18:$T$25,X$2),$A138&lt;&gt;INDEX('TRIP MANAGER'!$U$18:$U$25,X$2)),1,0))</f>
        <v>0</v>
      </c>
      <c r="Y138" cm="1">
        <f t="array" ref="Y138">IF($A138="","",IF(AND(INDEX($C138:$J138,Y$2)&gt;0,$A138&lt;&gt;INDEX('TRIP MANAGER'!$T$18:$T$25,Y$2),$A138&lt;&gt;INDEX('TRIP MANAGER'!$U$18:$U$25,Y$2)),1,0))</f>
        <v>0</v>
      </c>
    </row>
    <row r="139" spans="1:25" x14ac:dyDescent="0.3">
      <c r="A139" t="str">
        <f>IF(countries!$D138="","",countries!$D138)</f>
        <v>TJK</v>
      </c>
      <c r="B139" t="str">
        <f>IF(countries!$B138="","",countries!$B138)</f>
        <v>Tajikistan</v>
      </c>
      <c r="C139">
        <f>IF($A139="","",COUNTIFS(route_calc!$A$2:$A$1209,C$2,route_calc!$P$2:$P$1209,$A139))</f>
        <v>0</v>
      </c>
      <c r="D139">
        <f>IF($A139="","",COUNTIFS(route_calc!$A$2:$A$1209,D$2,route_calc!$P$2:$P$1209,$A139))</f>
        <v>0</v>
      </c>
      <c r="E139">
        <f>IF($A139="","",COUNTIFS(route_calc!$A$2:$A$1209,E$2,route_calc!$P$2:$P$1209,$A139))</f>
        <v>0</v>
      </c>
      <c r="F139">
        <f>IF($A139="","",COUNTIFS(route_calc!$A$2:$A$1209,F$2,route_calc!$P$2:$P$1209,$A139))</f>
        <v>0</v>
      </c>
      <c r="G139">
        <f>IF($A139="","",COUNTIFS(route_calc!$A$2:$A$1209,G$2,route_calc!$P$2:$P$1209,$A139))</f>
        <v>0</v>
      </c>
      <c r="H139">
        <f>IF($A139="","",COUNTIFS(route_calc!$A$2:$A$1209,H$2,route_calc!$P$2:$P$1209,$A139))</f>
        <v>0</v>
      </c>
      <c r="I139">
        <f>IF($A139="","",COUNTIFS(route_calc!$A$2:$A$1209,I$2,route_calc!$P$2:$P$1209,$A139))</f>
        <v>0</v>
      </c>
      <c r="J139">
        <f>IF($A139="","",COUNTIFS(route_calc!$A$2:$A$1209,J$2,route_calc!$P$2:$P$1209,$A139))</f>
        <v>0</v>
      </c>
      <c r="K139" t="str">
        <f>IF($L139=0,"",_xlfn.MINIFS(route_calc!$Q$2:$Q$1209,route_calc!$P$2:$P$1209,$A139,route_calc!$A$2:$A$1209,MATCH(1,$R139:$Y139,0)))</f>
        <v/>
      </c>
      <c r="L139">
        <f t="shared" si="4"/>
        <v>0</v>
      </c>
      <c r="M139" t="str" cm="1">
        <f t="array" ref="M139">IF($L139=0,"",_xlfn.TEXTJOIN(", ",TRUE,IF($R139:$Y139&gt;0,$C$1:$J$1,"")))</f>
        <v/>
      </c>
      <c r="N139" t="str" cm="1">
        <f t="array" ref="N139">IF($L139=0,"",SUMPRODUCT(($L$3:$L$144=1)*($K$3:$K$144&lt;$K139))+1)</f>
        <v/>
      </c>
      <c r="O139" t="str">
        <f t="shared" si="5"/>
        <v/>
      </c>
      <c r="P139" t="str">
        <f>IF($A139="","",IFERROR(INDEX(countries!$G:$G,MATCH($A139,countries!$D:$D,0)),""))</f>
        <v>REQUIRED</v>
      </c>
      <c r="Q139" t="str">
        <f>IF($A139="","",IFERROR(IF(INDEX(countries!$I:$I,MATCH($A139,countries!$D:$D,0))=0,"",INDEX(countries!$I:$I,MATCH($A139,countries!$D:$D,0))),""))</f>
        <v/>
      </c>
      <c r="R139" cm="1">
        <f t="array" ref="R139">IF($A139="","",IF(AND(INDEX($C139:$J139,R$2)&gt;0,$A139&lt;&gt;INDEX('TRIP MANAGER'!$T$18:$T$25,R$2),$A139&lt;&gt;INDEX('TRIP MANAGER'!$U$18:$U$25,R$2)),1,0))</f>
        <v>0</v>
      </c>
      <c r="S139" cm="1">
        <f t="array" ref="S139">IF($A139="","",IF(AND(INDEX($C139:$J139,S$2)&gt;0,$A139&lt;&gt;INDEX('TRIP MANAGER'!$T$18:$T$25,S$2),$A139&lt;&gt;INDEX('TRIP MANAGER'!$U$18:$U$25,S$2)),1,0))</f>
        <v>0</v>
      </c>
      <c r="T139" cm="1">
        <f t="array" ref="T139">IF($A139="","",IF(AND(INDEX($C139:$J139,T$2)&gt;0,$A139&lt;&gt;INDEX('TRIP MANAGER'!$T$18:$T$25,T$2),$A139&lt;&gt;INDEX('TRIP MANAGER'!$U$18:$U$25,T$2)),1,0))</f>
        <v>0</v>
      </c>
      <c r="U139" cm="1">
        <f t="array" ref="U139">IF($A139="","",IF(AND(INDEX($C139:$J139,U$2)&gt;0,$A139&lt;&gt;INDEX('TRIP MANAGER'!$T$18:$T$25,U$2),$A139&lt;&gt;INDEX('TRIP MANAGER'!$U$18:$U$25,U$2)),1,0))</f>
        <v>0</v>
      </c>
      <c r="V139" cm="1">
        <f t="array" ref="V139">IF($A139="","",IF(AND(INDEX($C139:$J139,V$2)&gt;0,$A139&lt;&gt;INDEX('TRIP MANAGER'!$T$18:$T$25,V$2),$A139&lt;&gt;INDEX('TRIP MANAGER'!$U$18:$U$25,V$2)),1,0))</f>
        <v>0</v>
      </c>
      <c r="W139" cm="1">
        <f t="array" ref="W139">IF($A139="","",IF(AND(INDEX($C139:$J139,W$2)&gt;0,$A139&lt;&gt;INDEX('TRIP MANAGER'!$T$18:$T$25,W$2),$A139&lt;&gt;INDEX('TRIP MANAGER'!$U$18:$U$25,W$2)),1,0))</f>
        <v>0</v>
      </c>
      <c r="X139" cm="1">
        <f t="array" ref="X139">IF($A139="","",IF(AND(INDEX($C139:$J139,X$2)&gt;0,$A139&lt;&gt;INDEX('TRIP MANAGER'!$T$18:$T$25,X$2),$A139&lt;&gt;INDEX('TRIP MANAGER'!$U$18:$U$25,X$2)),1,0))</f>
        <v>0</v>
      </c>
      <c r="Y139" cm="1">
        <f t="array" ref="Y139">IF($A139="","",IF(AND(INDEX($C139:$J139,Y$2)&gt;0,$A139&lt;&gt;INDEX('TRIP MANAGER'!$T$18:$T$25,Y$2),$A139&lt;&gt;INDEX('TRIP MANAGER'!$U$18:$U$25,Y$2)),1,0))</f>
        <v>0</v>
      </c>
    </row>
    <row r="140" spans="1:25" x14ac:dyDescent="0.3">
      <c r="A140" t="str">
        <f>IF(countries!$D139="","",countries!$D139)</f>
        <v>TKM</v>
      </c>
      <c r="B140" t="str">
        <f>IF(countries!$B139="","",countries!$B139)</f>
        <v>Turkmenistan</v>
      </c>
      <c r="C140">
        <f>IF($A140="","",COUNTIFS(route_calc!$A$2:$A$1209,C$2,route_calc!$P$2:$P$1209,$A140))</f>
        <v>0</v>
      </c>
      <c r="D140">
        <f>IF($A140="","",COUNTIFS(route_calc!$A$2:$A$1209,D$2,route_calc!$P$2:$P$1209,$A140))</f>
        <v>0</v>
      </c>
      <c r="E140">
        <f>IF($A140="","",COUNTIFS(route_calc!$A$2:$A$1209,E$2,route_calc!$P$2:$P$1209,$A140))</f>
        <v>0</v>
      </c>
      <c r="F140">
        <f>IF($A140="","",COUNTIFS(route_calc!$A$2:$A$1209,F$2,route_calc!$P$2:$P$1209,$A140))</f>
        <v>0</v>
      </c>
      <c r="G140">
        <f>IF($A140="","",COUNTIFS(route_calc!$A$2:$A$1209,G$2,route_calc!$P$2:$P$1209,$A140))</f>
        <v>0</v>
      </c>
      <c r="H140">
        <f>IF($A140="","",COUNTIFS(route_calc!$A$2:$A$1209,H$2,route_calc!$P$2:$P$1209,$A140))</f>
        <v>0</v>
      </c>
      <c r="I140">
        <f>IF($A140="","",COUNTIFS(route_calc!$A$2:$A$1209,I$2,route_calc!$P$2:$P$1209,$A140))</f>
        <v>0</v>
      </c>
      <c r="J140">
        <f>IF($A140="","",COUNTIFS(route_calc!$A$2:$A$1209,J$2,route_calc!$P$2:$P$1209,$A140))</f>
        <v>0</v>
      </c>
      <c r="K140" t="str">
        <f>IF($L140=0,"",_xlfn.MINIFS(route_calc!$Q$2:$Q$1209,route_calc!$P$2:$P$1209,$A140,route_calc!$A$2:$A$1209,MATCH(1,$R140:$Y140,0)))</f>
        <v/>
      </c>
      <c r="L140">
        <f t="shared" si="4"/>
        <v>0</v>
      </c>
      <c r="M140" t="str" cm="1">
        <f t="array" ref="M140">IF($L140=0,"",_xlfn.TEXTJOIN(", ",TRUE,IF($R140:$Y140&gt;0,$C$1:$J$1,"")))</f>
        <v/>
      </c>
      <c r="N140" t="str" cm="1">
        <f t="array" ref="N140">IF($L140=0,"",SUMPRODUCT(($L$3:$L$144=1)*($K$3:$K$144&lt;$K140))+1)</f>
        <v/>
      </c>
      <c r="O140" t="str">
        <f t="shared" si="5"/>
        <v/>
      </c>
      <c r="P140" t="str">
        <f>IF($A140="","",IFERROR(INDEX(countries!$G:$G,MATCH($A140,countries!$D:$D,0)),""))</f>
        <v>REQUIRED</v>
      </c>
      <c r="Q140" t="str">
        <f>IF($A140="","",IFERROR(IF(INDEX(countries!$I:$I,MATCH($A140,countries!$D:$D,0))=0,"",INDEX(countries!$I:$I,MATCH($A140,countries!$D:$D,0))),""))</f>
        <v/>
      </c>
      <c r="R140" cm="1">
        <f t="array" ref="R140">IF($A140="","",IF(AND(INDEX($C140:$J140,R$2)&gt;0,$A140&lt;&gt;INDEX('TRIP MANAGER'!$T$18:$T$25,R$2),$A140&lt;&gt;INDEX('TRIP MANAGER'!$U$18:$U$25,R$2)),1,0))</f>
        <v>0</v>
      </c>
      <c r="S140" cm="1">
        <f t="array" ref="S140">IF($A140="","",IF(AND(INDEX($C140:$J140,S$2)&gt;0,$A140&lt;&gt;INDEX('TRIP MANAGER'!$T$18:$T$25,S$2),$A140&lt;&gt;INDEX('TRIP MANAGER'!$U$18:$U$25,S$2)),1,0))</f>
        <v>0</v>
      </c>
      <c r="T140" cm="1">
        <f t="array" ref="T140">IF($A140="","",IF(AND(INDEX($C140:$J140,T$2)&gt;0,$A140&lt;&gt;INDEX('TRIP MANAGER'!$T$18:$T$25,T$2),$A140&lt;&gt;INDEX('TRIP MANAGER'!$U$18:$U$25,T$2)),1,0))</f>
        <v>0</v>
      </c>
      <c r="U140" cm="1">
        <f t="array" ref="U140">IF($A140="","",IF(AND(INDEX($C140:$J140,U$2)&gt;0,$A140&lt;&gt;INDEX('TRIP MANAGER'!$T$18:$T$25,U$2),$A140&lt;&gt;INDEX('TRIP MANAGER'!$U$18:$U$25,U$2)),1,0))</f>
        <v>0</v>
      </c>
      <c r="V140" cm="1">
        <f t="array" ref="V140">IF($A140="","",IF(AND(INDEX($C140:$J140,V$2)&gt;0,$A140&lt;&gt;INDEX('TRIP MANAGER'!$T$18:$T$25,V$2),$A140&lt;&gt;INDEX('TRIP MANAGER'!$U$18:$U$25,V$2)),1,0))</f>
        <v>0</v>
      </c>
      <c r="W140" cm="1">
        <f t="array" ref="W140">IF($A140="","",IF(AND(INDEX($C140:$J140,W$2)&gt;0,$A140&lt;&gt;INDEX('TRIP MANAGER'!$T$18:$T$25,W$2),$A140&lt;&gt;INDEX('TRIP MANAGER'!$U$18:$U$25,W$2)),1,0))</f>
        <v>0</v>
      </c>
      <c r="X140" cm="1">
        <f t="array" ref="X140">IF($A140="","",IF(AND(INDEX($C140:$J140,X$2)&gt;0,$A140&lt;&gt;INDEX('TRIP MANAGER'!$T$18:$T$25,X$2),$A140&lt;&gt;INDEX('TRIP MANAGER'!$U$18:$U$25,X$2)),1,0))</f>
        <v>0</v>
      </c>
      <c r="Y140" cm="1">
        <f t="array" ref="Y140">IF($A140="","",IF(AND(INDEX($C140:$J140,Y$2)&gt;0,$A140&lt;&gt;INDEX('TRIP MANAGER'!$T$18:$T$25,Y$2),$A140&lt;&gt;INDEX('TRIP MANAGER'!$U$18:$U$25,Y$2)),1,0))</f>
        <v>0</v>
      </c>
    </row>
    <row r="141" spans="1:25" x14ac:dyDescent="0.3">
      <c r="A141" t="str">
        <f>IF(countries!$D140="","",countries!$D140)</f>
        <v>TUR</v>
      </c>
      <c r="B141" t="str">
        <f>IF(countries!$B140="","",countries!$B140)</f>
        <v>Turkey</v>
      </c>
      <c r="C141">
        <f>IF($A141="","",COUNTIFS(route_calc!$A$2:$A$1209,C$2,route_calc!$P$2:$P$1209,$A141))</f>
        <v>0</v>
      </c>
      <c r="D141">
        <f>IF($A141="","",COUNTIFS(route_calc!$A$2:$A$1209,D$2,route_calc!$P$2:$P$1209,$A141))</f>
        <v>0</v>
      </c>
      <c r="E141">
        <f>IF($A141="","",COUNTIFS(route_calc!$A$2:$A$1209,E$2,route_calc!$P$2:$P$1209,$A141))</f>
        <v>0</v>
      </c>
      <c r="F141">
        <f>IF($A141="","",COUNTIFS(route_calc!$A$2:$A$1209,F$2,route_calc!$P$2:$P$1209,$A141))</f>
        <v>0</v>
      </c>
      <c r="G141">
        <f>IF($A141="","",COUNTIFS(route_calc!$A$2:$A$1209,G$2,route_calc!$P$2:$P$1209,$A141))</f>
        <v>0</v>
      </c>
      <c r="H141">
        <f>IF($A141="","",COUNTIFS(route_calc!$A$2:$A$1209,H$2,route_calc!$P$2:$P$1209,$A141))</f>
        <v>0</v>
      </c>
      <c r="I141">
        <f>IF($A141="","",COUNTIFS(route_calc!$A$2:$A$1209,I$2,route_calc!$P$2:$P$1209,$A141))</f>
        <v>0</v>
      </c>
      <c r="J141">
        <f>IF($A141="","",COUNTIFS(route_calc!$A$2:$A$1209,J$2,route_calc!$P$2:$P$1209,$A141))</f>
        <v>0</v>
      </c>
      <c r="K141" t="str">
        <f>IF($L141=0,"",_xlfn.MINIFS(route_calc!$Q$2:$Q$1209,route_calc!$P$2:$P$1209,$A141,route_calc!$A$2:$A$1209,MATCH(1,$R141:$Y141,0)))</f>
        <v/>
      </c>
      <c r="L141">
        <f t="shared" si="4"/>
        <v>0</v>
      </c>
      <c r="M141" t="str" cm="1">
        <f t="array" ref="M141">IF($L141=0,"",_xlfn.TEXTJOIN(", ",TRUE,IF($R141:$Y141&gt;0,$C$1:$J$1,"")))</f>
        <v/>
      </c>
      <c r="N141" t="str" cm="1">
        <f t="array" ref="N141">IF($L141=0,"",SUMPRODUCT(($L$3:$L$144=1)*($K$3:$K$144&lt;$K141))+1)</f>
        <v/>
      </c>
      <c r="O141" t="str">
        <f t="shared" si="5"/>
        <v/>
      </c>
      <c r="P141" t="str">
        <f>IF($A141="","",IFERROR(INDEX(countries!$G:$G,MATCH($A141,countries!$D:$D,0)),""))</f>
        <v>REQUIRED</v>
      </c>
      <c r="Q141" t="str">
        <f>IF($A141="","",IFERROR(IF(INDEX(countries!$I:$I,MATCH($A141,countries!$D:$D,0))=0,"",INDEX(countries!$I:$I,MATCH($A141,countries!$D:$D,0))),""))</f>
        <v/>
      </c>
      <c r="R141" cm="1">
        <f t="array" ref="R141">IF($A141="","",IF(AND(INDEX($C141:$J141,R$2)&gt;0,$A141&lt;&gt;INDEX('TRIP MANAGER'!$T$18:$T$25,R$2),$A141&lt;&gt;INDEX('TRIP MANAGER'!$U$18:$U$25,R$2)),1,0))</f>
        <v>0</v>
      </c>
      <c r="S141" cm="1">
        <f t="array" ref="S141">IF($A141="","",IF(AND(INDEX($C141:$J141,S$2)&gt;0,$A141&lt;&gt;INDEX('TRIP MANAGER'!$T$18:$T$25,S$2),$A141&lt;&gt;INDEX('TRIP MANAGER'!$U$18:$U$25,S$2)),1,0))</f>
        <v>0</v>
      </c>
      <c r="T141" cm="1">
        <f t="array" ref="T141">IF($A141="","",IF(AND(INDEX($C141:$J141,T$2)&gt;0,$A141&lt;&gt;INDEX('TRIP MANAGER'!$T$18:$T$25,T$2),$A141&lt;&gt;INDEX('TRIP MANAGER'!$U$18:$U$25,T$2)),1,0))</f>
        <v>0</v>
      </c>
      <c r="U141" cm="1">
        <f t="array" ref="U141">IF($A141="","",IF(AND(INDEX($C141:$J141,U$2)&gt;0,$A141&lt;&gt;INDEX('TRIP MANAGER'!$T$18:$T$25,U$2),$A141&lt;&gt;INDEX('TRIP MANAGER'!$U$18:$U$25,U$2)),1,0))</f>
        <v>0</v>
      </c>
      <c r="V141" cm="1">
        <f t="array" ref="V141">IF($A141="","",IF(AND(INDEX($C141:$J141,V$2)&gt;0,$A141&lt;&gt;INDEX('TRIP MANAGER'!$T$18:$T$25,V$2),$A141&lt;&gt;INDEX('TRIP MANAGER'!$U$18:$U$25,V$2)),1,0))</f>
        <v>0</v>
      </c>
      <c r="W141" cm="1">
        <f t="array" ref="W141">IF($A141="","",IF(AND(INDEX($C141:$J141,W$2)&gt;0,$A141&lt;&gt;INDEX('TRIP MANAGER'!$T$18:$T$25,W$2),$A141&lt;&gt;INDEX('TRIP MANAGER'!$U$18:$U$25,W$2)),1,0))</f>
        <v>0</v>
      </c>
      <c r="X141" cm="1">
        <f t="array" ref="X141">IF($A141="","",IF(AND(INDEX($C141:$J141,X$2)&gt;0,$A141&lt;&gt;INDEX('TRIP MANAGER'!$T$18:$T$25,X$2),$A141&lt;&gt;INDEX('TRIP MANAGER'!$U$18:$U$25,X$2)),1,0))</f>
        <v>0</v>
      </c>
      <c r="Y141" cm="1">
        <f t="array" ref="Y141">IF($A141="","",IF(AND(INDEX($C141:$J141,Y$2)&gt;0,$A141&lt;&gt;INDEX('TRIP MANAGER'!$T$18:$T$25,Y$2),$A141&lt;&gt;INDEX('TRIP MANAGER'!$U$18:$U$25,Y$2)),1,0))</f>
        <v>0</v>
      </c>
    </row>
    <row r="142" spans="1:25" x14ac:dyDescent="0.3">
      <c r="A142" t="str">
        <f>IF(countries!$D141="","",countries!$D141)</f>
        <v>UKR</v>
      </c>
      <c r="B142" t="str">
        <f>IF(countries!$B141="","",countries!$B141)</f>
        <v>Ukraine</v>
      </c>
      <c r="C142">
        <f>IF($A142="","",COUNTIFS(route_calc!$A$2:$A$1209,C$2,route_calc!$P$2:$P$1209,$A142))</f>
        <v>0</v>
      </c>
      <c r="D142">
        <f>IF($A142="","",COUNTIFS(route_calc!$A$2:$A$1209,D$2,route_calc!$P$2:$P$1209,$A142))</f>
        <v>0</v>
      </c>
      <c r="E142">
        <f>IF($A142="","",COUNTIFS(route_calc!$A$2:$A$1209,E$2,route_calc!$P$2:$P$1209,$A142))</f>
        <v>0</v>
      </c>
      <c r="F142">
        <f>IF($A142="","",COUNTIFS(route_calc!$A$2:$A$1209,F$2,route_calc!$P$2:$P$1209,$A142))</f>
        <v>0</v>
      </c>
      <c r="G142">
        <f>IF($A142="","",COUNTIFS(route_calc!$A$2:$A$1209,G$2,route_calc!$P$2:$P$1209,$A142))</f>
        <v>0</v>
      </c>
      <c r="H142">
        <f>IF($A142="","",COUNTIFS(route_calc!$A$2:$A$1209,H$2,route_calc!$P$2:$P$1209,$A142))</f>
        <v>0</v>
      </c>
      <c r="I142">
        <f>IF($A142="","",COUNTIFS(route_calc!$A$2:$A$1209,I$2,route_calc!$P$2:$P$1209,$A142))</f>
        <v>0</v>
      </c>
      <c r="J142">
        <f>IF($A142="","",COUNTIFS(route_calc!$A$2:$A$1209,J$2,route_calc!$P$2:$P$1209,$A142))</f>
        <v>0</v>
      </c>
      <c r="K142" t="str">
        <f>IF($L142=0,"",_xlfn.MINIFS(route_calc!$Q$2:$Q$1209,route_calc!$P$2:$P$1209,$A142,route_calc!$A$2:$A$1209,MATCH(1,$R142:$Y142,0)))</f>
        <v/>
      </c>
      <c r="L142">
        <f t="shared" si="4"/>
        <v>0</v>
      </c>
      <c r="M142" t="str" cm="1">
        <f t="array" ref="M142">IF($L142=0,"",_xlfn.TEXTJOIN(", ",TRUE,IF($R142:$Y142&gt;0,$C$1:$J$1,"")))</f>
        <v/>
      </c>
      <c r="N142" t="str" cm="1">
        <f t="array" ref="N142">IF($L142=0,"",SUMPRODUCT(($L$3:$L$144=1)*($K$3:$K$144&lt;$K142))+1)</f>
        <v/>
      </c>
      <c r="O142" t="str">
        <f t="shared" si="5"/>
        <v/>
      </c>
      <c r="P142" t="str">
        <f>IF($A142="","",IFERROR(INDEX(countries!$G:$G,MATCH($A142,countries!$D:$D,0)),""))</f>
        <v>REQUIRED</v>
      </c>
      <c r="Q142" t="str">
        <f>IF($A142="","",IFERROR(IF(INDEX(countries!$I:$I,MATCH($A142,countries!$D:$D,0))=0,"",INDEX(countries!$I:$I,MATCH($A142,countries!$D:$D,0))),""))</f>
        <v/>
      </c>
      <c r="R142" cm="1">
        <f t="array" ref="R142">IF($A142="","",IF(AND(INDEX($C142:$J142,R$2)&gt;0,$A142&lt;&gt;INDEX('TRIP MANAGER'!$T$18:$T$25,R$2),$A142&lt;&gt;INDEX('TRIP MANAGER'!$U$18:$U$25,R$2)),1,0))</f>
        <v>0</v>
      </c>
      <c r="S142" cm="1">
        <f t="array" ref="S142">IF($A142="","",IF(AND(INDEX($C142:$J142,S$2)&gt;0,$A142&lt;&gt;INDEX('TRIP MANAGER'!$T$18:$T$25,S$2),$A142&lt;&gt;INDEX('TRIP MANAGER'!$U$18:$U$25,S$2)),1,0))</f>
        <v>0</v>
      </c>
      <c r="T142" cm="1">
        <f t="array" ref="T142">IF($A142="","",IF(AND(INDEX($C142:$J142,T$2)&gt;0,$A142&lt;&gt;INDEX('TRIP MANAGER'!$T$18:$T$25,T$2),$A142&lt;&gt;INDEX('TRIP MANAGER'!$U$18:$U$25,T$2)),1,0))</f>
        <v>0</v>
      </c>
      <c r="U142" cm="1">
        <f t="array" ref="U142">IF($A142="","",IF(AND(INDEX($C142:$J142,U$2)&gt;0,$A142&lt;&gt;INDEX('TRIP MANAGER'!$T$18:$T$25,U$2),$A142&lt;&gt;INDEX('TRIP MANAGER'!$U$18:$U$25,U$2)),1,0))</f>
        <v>0</v>
      </c>
      <c r="V142" cm="1">
        <f t="array" ref="V142">IF($A142="","",IF(AND(INDEX($C142:$J142,V$2)&gt;0,$A142&lt;&gt;INDEX('TRIP MANAGER'!$T$18:$T$25,V$2),$A142&lt;&gt;INDEX('TRIP MANAGER'!$U$18:$U$25,V$2)),1,0))</f>
        <v>0</v>
      </c>
      <c r="W142" cm="1">
        <f t="array" ref="W142">IF($A142="","",IF(AND(INDEX($C142:$J142,W$2)&gt;0,$A142&lt;&gt;INDEX('TRIP MANAGER'!$T$18:$T$25,W$2),$A142&lt;&gt;INDEX('TRIP MANAGER'!$U$18:$U$25,W$2)),1,0))</f>
        <v>0</v>
      </c>
      <c r="X142" cm="1">
        <f t="array" ref="X142">IF($A142="","",IF(AND(INDEX($C142:$J142,X$2)&gt;0,$A142&lt;&gt;INDEX('TRIP MANAGER'!$T$18:$T$25,X$2),$A142&lt;&gt;INDEX('TRIP MANAGER'!$U$18:$U$25,X$2)),1,0))</f>
        <v>0</v>
      </c>
      <c r="Y142" cm="1">
        <f t="array" ref="Y142">IF($A142="","",IF(AND(INDEX($C142:$J142,Y$2)&gt;0,$A142&lt;&gt;INDEX('TRIP MANAGER'!$T$18:$T$25,Y$2),$A142&lt;&gt;INDEX('TRIP MANAGER'!$U$18:$U$25,Y$2)),1,0))</f>
        <v>0</v>
      </c>
    </row>
    <row r="143" spans="1:25" x14ac:dyDescent="0.3">
      <c r="A143" t="str">
        <f>IF(countries!$D142="","",countries!$D142)</f>
        <v>UZB</v>
      </c>
      <c r="B143" t="str">
        <f>IF(countries!$B142="","",countries!$B142)</f>
        <v>Uzbekistan</v>
      </c>
      <c r="C143">
        <f>IF($A143="","",COUNTIFS(route_calc!$A$2:$A$1209,C$2,route_calc!$P$2:$P$1209,$A143))</f>
        <v>0</v>
      </c>
      <c r="D143">
        <f>IF($A143="","",COUNTIFS(route_calc!$A$2:$A$1209,D$2,route_calc!$P$2:$P$1209,$A143))</f>
        <v>0</v>
      </c>
      <c r="E143">
        <f>IF($A143="","",COUNTIFS(route_calc!$A$2:$A$1209,E$2,route_calc!$P$2:$P$1209,$A143))</f>
        <v>0</v>
      </c>
      <c r="F143">
        <f>IF($A143="","",COUNTIFS(route_calc!$A$2:$A$1209,F$2,route_calc!$P$2:$P$1209,$A143))</f>
        <v>0</v>
      </c>
      <c r="G143">
        <f>IF($A143="","",COUNTIFS(route_calc!$A$2:$A$1209,G$2,route_calc!$P$2:$P$1209,$A143))</f>
        <v>0</v>
      </c>
      <c r="H143">
        <f>IF($A143="","",COUNTIFS(route_calc!$A$2:$A$1209,H$2,route_calc!$P$2:$P$1209,$A143))</f>
        <v>0</v>
      </c>
      <c r="I143">
        <f>IF($A143="","",COUNTIFS(route_calc!$A$2:$A$1209,I$2,route_calc!$P$2:$P$1209,$A143))</f>
        <v>0</v>
      </c>
      <c r="J143">
        <f>IF($A143="","",COUNTIFS(route_calc!$A$2:$A$1209,J$2,route_calc!$P$2:$P$1209,$A143))</f>
        <v>0</v>
      </c>
      <c r="K143" t="str">
        <f>IF($L143=0,"",_xlfn.MINIFS(route_calc!$Q$2:$Q$1209,route_calc!$P$2:$P$1209,$A143,route_calc!$A$2:$A$1209,MATCH(1,$R143:$Y143,0)))</f>
        <v/>
      </c>
      <c r="L143">
        <f t="shared" si="4"/>
        <v>0</v>
      </c>
      <c r="M143" t="str" cm="1">
        <f t="array" ref="M143">IF($L143=0,"",_xlfn.TEXTJOIN(", ",TRUE,IF($R143:$Y143&gt;0,$C$1:$J$1,"")))</f>
        <v/>
      </c>
      <c r="N143" t="str" cm="1">
        <f t="array" ref="N143">IF($L143=0,"",SUMPRODUCT(($L$3:$L$144=1)*($K$3:$K$144&lt;$K143))+1)</f>
        <v/>
      </c>
      <c r="O143" t="str">
        <f t="shared" si="5"/>
        <v/>
      </c>
      <c r="P143" t="str">
        <f>IF($A143="","",IFERROR(INDEX(countries!$G:$G,MATCH($A143,countries!$D:$D,0)),""))</f>
        <v>REQUIRED</v>
      </c>
      <c r="Q143" t="str">
        <f>IF($A143="","",IFERROR(IF(INDEX(countries!$I:$I,MATCH($A143,countries!$D:$D,0))=0,"",INDEX(countries!$I:$I,MATCH($A143,countries!$D:$D,0))),""))</f>
        <v/>
      </c>
      <c r="R143" cm="1">
        <f t="array" ref="R143">IF($A143="","",IF(AND(INDEX($C143:$J143,R$2)&gt;0,$A143&lt;&gt;INDEX('TRIP MANAGER'!$T$18:$T$25,R$2),$A143&lt;&gt;INDEX('TRIP MANAGER'!$U$18:$U$25,R$2)),1,0))</f>
        <v>0</v>
      </c>
      <c r="S143" cm="1">
        <f t="array" ref="S143">IF($A143="","",IF(AND(INDEX($C143:$J143,S$2)&gt;0,$A143&lt;&gt;INDEX('TRIP MANAGER'!$T$18:$T$25,S$2),$A143&lt;&gt;INDEX('TRIP MANAGER'!$U$18:$U$25,S$2)),1,0))</f>
        <v>0</v>
      </c>
      <c r="T143" cm="1">
        <f t="array" ref="T143">IF($A143="","",IF(AND(INDEX($C143:$J143,T$2)&gt;0,$A143&lt;&gt;INDEX('TRIP MANAGER'!$T$18:$T$25,T$2),$A143&lt;&gt;INDEX('TRIP MANAGER'!$U$18:$U$25,T$2)),1,0))</f>
        <v>0</v>
      </c>
      <c r="U143" cm="1">
        <f t="array" ref="U143">IF($A143="","",IF(AND(INDEX($C143:$J143,U$2)&gt;0,$A143&lt;&gt;INDEX('TRIP MANAGER'!$T$18:$T$25,U$2),$A143&lt;&gt;INDEX('TRIP MANAGER'!$U$18:$U$25,U$2)),1,0))</f>
        <v>0</v>
      </c>
      <c r="V143" cm="1">
        <f t="array" ref="V143">IF($A143="","",IF(AND(INDEX($C143:$J143,V$2)&gt;0,$A143&lt;&gt;INDEX('TRIP MANAGER'!$T$18:$T$25,V$2),$A143&lt;&gt;INDEX('TRIP MANAGER'!$U$18:$U$25,V$2)),1,0))</f>
        <v>0</v>
      </c>
      <c r="W143" cm="1">
        <f t="array" ref="W143">IF($A143="","",IF(AND(INDEX($C143:$J143,W$2)&gt;0,$A143&lt;&gt;INDEX('TRIP MANAGER'!$T$18:$T$25,W$2),$A143&lt;&gt;INDEX('TRIP MANAGER'!$U$18:$U$25,W$2)),1,0))</f>
        <v>0</v>
      </c>
      <c r="X143" cm="1">
        <f t="array" ref="X143">IF($A143="","",IF(AND(INDEX($C143:$J143,X$2)&gt;0,$A143&lt;&gt;INDEX('TRIP MANAGER'!$T$18:$T$25,X$2),$A143&lt;&gt;INDEX('TRIP MANAGER'!$U$18:$U$25,X$2)),1,0))</f>
        <v>0</v>
      </c>
      <c r="Y143" cm="1">
        <f t="array" ref="Y143">IF($A143="","",IF(AND(INDEX($C143:$J143,Y$2)&gt;0,$A143&lt;&gt;INDEX('TRIP MANAGER'!$T$18:$T$25,Y$2),$A143&lt;&gt;INDEX('TRIP MANAGER'!$U$18:$U$25,Y$2)),1,0))</f>
        <v>0</v>
      </c>
    </row>
    <row r="144" spans="1:25" x14ac:dyDescent="0.3">
      <c r="A144" t="str">
        <f>IF(countries!$D143="","",countries!$D143)</f>
        <v>VNM</v>
      </c>
      <c r="B144" t="str">
        <f>IF(countries!$B143="","",countries!$B143)</f>
        <v>Vietnam</v>
      </c>
      <c r="C144">
        <f>IF($A144="","",COUNTIFS(route_calc!$A$2:$A$1209,C$2,route_calc!$P$2:$P$1209,$A144))</f>
        <v>0</v>
      </c>
      <c r="D144">
        <f>IF($A144="","",COUNTIFS(route_calc!$A$2:$A$1209,D$2,route_calc!$P$2:$P$1209,$A144))</f>
        <v>0</v>
      </c>
      <c r="E144">
        <f>IF($A144="","",COUNTIFS(route_calc!$A$2:$A$1209,E$2,route_calc!$P$2:$P$1209,$A144))</f>
        <v>0</v>
      </c>
      <c r="F144">
        <f>IF($A144="","",COUNTIFS(route_calc!$A$2:$A$1209,F$2,route_calc!$P$2:$P$1209,$A144))</f>
        <v>0</v>
      </c>
      <c r="G144">
        <f>IF($A144="","",COUNTIFS(route_calc!$A$2:$A$1209,G$2,route_calc!$P$2:$P$1209,$A144))</f>
        <v>0</v>
      </c>
      <c r="H144">
        <f>IF($A144="","",COUNTIFS(route_calc!$A$2:$A$1209,H$2,route_calc!$P$2:$P$1209,$A144))</f>
        <v>0</v>
      </c>
      <c r="I144">
        <f>IF($A144="","",COUNTIFS(route_calc!$A$2:$A$1209,I$2,route_calc!$P$2:$P$1209,$A144))</f>
        <v>0</v>
      </c>
      <c r="J144">
        <f>IF($A144="","",COUNTIFS(route_calc!$A$2:$A$1209,J$2,route_calc!$P$2:$P$1209,$A144))</f>
        <v>0</v>
      </c>
      <c r="K144" t="str">
        <f>IF($L144=0,"",_xlfn.MINIFS(route_calc!$Q$2:$Q$1209,route_calc!$P$2:$P$1209,$A144,route_calc!$A$2:$A$1209,MATCH(1,$R144:$Y144,0)))</f>
        <v/>
      </c>
      <c r="L144">
        <f t="shared" si="4"/>
        <v>0</v>
      </c>
      <c r="M144" t="str" cm="1">
        <f t="array" ref="M144">IF($L144=0,"",_xlfn.TEXTJOIN(", ",TRUE,IF($R144:$Y144&gt;0,$C$1:$J$1,"")))</f>
        <v/>
      </c>
      <c r="N144" t="str" cm="1">
        <f t="array" ref="N144">IF($L144=0,"",SUMPRODUCT(($L$3:$L$144=1)*($K$3:$K$144&lt;$K144))+1)</f>
        <v/>
      </c>
      <c r="O144" t="str">
        <f t="shared" si="5"/>
        <v/>
      </c>
      <c r="P144" t="str">
        <f>IF($A144="","",IFERROR(INDEX(countries!$G:$G,MATCH($A144,countries!$D:$D,0)),""))</f>
        <v>REQUIRED</v>
      </c>
      <c r="Q144" t="str">
        <f>IF($A144="","",IFERROR(IF(INDEX(countries!$I:$I,MATCH($A144,countries!$D:$D,0))=0,"",INDEX(countries!$I:$I,MATCH($A144,countries!$D:$D,0))),""))</f>
        <v/>
      </c>
      <c r="R144" cm="1">
        <f t="array" ref="R144">IF($A144="","",IF(AND(INDEX($C144:$J144,R$2)&gt;0,$A144&lt;&gt;INDEX('TRIP MANAGER'!$T$18:$T$25,R$2),$A144&lt;&gt;INDEX('TRIP MANAGER'!$U$18:$U$25,R$2)),1,0))</f>
        <v>0</v>
      </c>
      <c r="S144" cm="1">
        <f t="array" ref="S144">IF($A144="","",IF(AND(INDEX($C144:$J144,S$2)&gt;0,$A144&lt;&gt;INDEX('TRIP MANAGER'!$T$18:$T$25,S$2),$A144&lt;&gt;INDEX('TRIP MANAGER'!$U$18:$U$25,S$2)),1,0))</f>
        <v>0</v>
      </c>
      <c r="T144" cm="1">
        <f t="array" ref="T144">IF($A144="","",IF(AND(INDEX($C144:$J144,T$2)&gt;0,$A144&lt;&gt;INDEX('TRIP MANAGER'!$T$18:$T$25,T$2),$A144&lt;&gt;INDEX('TRIP MANAGER'!$U$18:$U$25,T$2)),1,0))</f>
        <v>0</v>
      </c>
      <c r="U144" cm="1">
        <f t="array" ref="U144">IF($A144="","",IF(AND(INDEX($C144:$J144,U$2)&gt;0,$A144&lt;&gt;INDEX('TRIP MANAGER'!$T$18:$T$25,U$2),$A144&lt;&gt;INDEX('TRIP MANAGER'!$U$18:$U$25,U$2)),1,0))</f>
        <v>0</v>
      </c>
      <c r="V144" cm="1">
        <f t="array" ref="V144">IF($A144="","",IF(AND(INDEX($C144:$J144,V$2)&gt;0,$A144&lt;&gt;INDEX('TRIP MANAGER'!$T$18:$T$25,V$2),$A144&lt;&gt;INDEX('TRIP MANAGER'!$U$18:$U$25,V$2)),1,0))</f>
        <v>0</v>
      </c>
      <c r="W144" cm="1">
        <f t="array" ref="W144">IF($A144="","",IF(AND(INDEX($C144:$J144,W$2)&gt;0,$A144&lt;&gt;INDEX('TRIP MANAGER'!$T$18:$T$25,W$2),$A144&lt;&gt;INDEX('TRIP MANAGER'!$U$18:$U$25,W$2)),1,0))</f>
        <v>0</v>
      </c>
      <c r="X144" cm="1">
        <f t="array" ref="X144">IF($A144="","",IF(AND(INDEX($C144:$J144,X$2)&gt;0,$A144&lt;&gt;INDEX('TRIP MANAGER'!$T$18:$T$25,X$2),$A144&lt;&gt;INDEX('TRIP MANAGER'!$U$18:$U$25,X$2)),1,0))</f>
        <v>0</v>
      </c>
      <c r="Y144" cm="1">
        <f t="array" ref="Y144">IF($A144="","",IF(AND(INDEX($C144:$J144,Y$2)&gt;0,$A144&lt;&gt;INDEX('TRIP MANAGER'!$T$18:$T$25,Y$2),$A144&lt;&gt;INDEX('TRIP MANAGER'!$U$18:$U$25,Y$2)),1,0))</f>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07075-327B-41F6-92B3-84553DCD9D00}">
  <dimension ref="A1:AN62"/>
  <sheetViews>
    <sheetView workbookViewId="0">
      <pane ySplit="2" topLeftCell="A3" activePane="bottomLeft" state="frozen"/>
      <selection pane="bottomLeft"/>
    </sheetView>
  </sheetViews>
  <sheetFormatPr defaultRowHeight="14.4" x14ac:dyDescent="0.3"/>
  <cols>
    <col min="1" max="6" width="20.33203125" customWidth="1"/>
    <col min="7" max="7" width="25.88671875" customWidth="1"/>
    <col min="8" max="8" width="31.44140625" customWidth="1"/>
    <col min="9" max="29" width="20.33203125" customWidth="1"/>
    <col min="30" max="30" width="33.33203125" customWidth="1"/>
    <col min="31" max="34" width="42.5546875" customWidth="1"/>
    <col min="35" max="36" width="20.33203125" customWidth="1"/>
    <col min="37" max="40" width="27.77734375" customWidth="1"/>
  </cols>
  <sheetData>
    <row r="1" spans="1:40" ht="18" x14ac:dyDescent="0.35">
      <c r="A1" s="44" t="s">
        <v>4523</v>
      </c>
    </row>
    <row r="2" spans="1:40" x14ac:dyDescent="0.3">
      <c r="A2" s="45" t="s">
        <v>4524</v>
      </c>
      <c r="B2" s="45" t="s">
        <v>4525</v>
      </c>
      <c r="C2" s="45" t="s">
        <v>4526</v>
      </c>
      <c r="D2" s="45" t="s">
        <v>4527</v>
      </c>
      <c r="E2" s="45" t="s">
        <v>4315</v>
      </c>
      <c r="F2" s="45" t="s">
        <v>4528</v>
      </c>
      <c r="G2" s="45" t="s">
        <v>4529</v>
      </c>
      <c r="H2" s="45" t="s">
        <v>4530</v>
      </c>
      <c r="I2" s="45" t="s">
        <v>4531</v>
      </c>
      <c r="J2" s="45" t="s">
        <v>4532</v>
      </c>
      <c r="K2" s="45" t="s">
        <v>4533</v>
      </c>
      <c r="L2" s="45" t="s">
        <v>4534</v>
      </c>
      <c r="M2" s="45" t="s">
        <v>4535</v>
      </c>
      <c r="N2" s="45" t="s">
        <v>4536</v>
      </c>
      <c r="O2" s="45" t="s">
        <v>4537</v>
      </c>
      <c r="P2" s="45" t="s">
        <v>4538</v>
      </c>
      <c r="Q2" s="45" t="s">
        <v>4539</v>
      </c>
      <c r="R2" s="45" t="s">
        <v>4540</v>
      </c>
      <c r="S2" s="45" t="s">
        <v>4541</v>
      </c>
      <c r="T2" s="45" t="s">
        <v>4542</v>
      </c>
      <c r="U2" s="45" t="s">
        <v>4543</v>
      </c>
      <c r="V2" s="45" t="s">
        <v>4544</v>
      </c>
      <c r="W2" s="45" t="s">
        <v>4545</v>
      </c>
      <c r="X2" s="45" t="s">
        <v>4546</v>
      </c>
      <c r="Y2" s="45" t="s">
        <v>4547</v>
      </c>
      <c r="Z2" s="45" t="s">
        <v>4548</v>
      </c>
      <c r="AA2" s="45" t="s">
        <v>4303</v>
      </c>
      <c r="AB2" s="45" t="s">
        <v>4304</v>
      </c>
      <c r="AC2" s="45" t="s">
        <v>4549</v>
      </c>
      <c r="AD2" s="45" t="s">
        <v>4550</v>
      </c>
      <c r="AE2" s="45" t="s">
        <v>4551</v>
      </c>
      <c r="AF2" s="45" t="s">
        <v>4552</v>
      </c>
      <c r="AG2" s="45" t="s">
        <v>4553</v>
      </c>
      <c r="AH2" s="45" t="s">
        <v>4554</v>
      </c>
      <c r="AI2" s="45" t="s">
        <v>4555</v>
      </c>
      <c r="AJ2" s="45" t="s">
        <v>4556</v>
      </c>
      <c r="AK2" s="67" t="s">
        <v>5046</v>
      </c>
      <c r="AL2" s="69" t="s">
        <v>5047</v>
      </c>
      <c r="AM2" s="67" t="s">
        <v>5048</v>
      </c>
      <c r="AN2" s="67" t="s">
        <v>5049</v>
      </c>
    </row>
    <row r="3" spans="1:40" x14ac:dyDescent="0.3">
      <c r="A3" s="4" t="s">
        <v>4557</v>
      </c>
      <c r="B3" s="28" t="str">
        <f>'TRIP MANAGER'!$B$5</f>
        <v>JTL-2608-001</v>
      </c>
      <c r="C3" s="4" t="s">
        <v>4558</v>
      </c>
      <c r="D3" s="4" t="s">
        <v>4559</v>
      </c>
      <c r="E3" s="4" t="s">
        <v>4560</v>
      </c>
      <c r="F3" s="4" t="s">
        <v>4561</v>
      </c>
      <c r="G3" s="4" t="s">
        <v>4562</v>
      </c>
      <c r="H3" s="4" t="s">
        <v>4563</v>
      </c>
      <c r="I3" s="4" t="s">
        <v>4564</v>
      </c>
      <c r="J3" s="9">
        <v>25569</v>
      </c>
      <c r="K3" s="10">
        <f ca="1">IF($J3="","",DATEDIF($J3,TODAY(),"Y"))</f>
        <v>56</v>
      </c>
      <c r="L3" s="4" t="s">
        <v>1965</v>
      </c>
      <c r="M3" s="4">
        <v>512889301</v>
      </c>
      <c r="N3" s="4" t="s">
        <v>1965</v>
      </c>
      <c r="O3" s="9">
        <v>44927</v>
      </c>
      <c r="P3" s="9">
        <v>48945</v>
      </c>
      <c r="Q3" s="10" t="str">
        <f>IF($P3="","MISSING",IF($P3&lt;MAX('TRIP MANAGER'!$L$18:$L$25),"EXPIRES BEFORE TRIP",IF($P3&lt;MAX('TRIP MANAGER'!$L$18:$L$25)+180,"UNDER 6 MONTHS","VALID")))</f>
        <v>VALID</v>
      </c>
      <c r="R3" s="28" t="str" cm="1">
        <f t="array" ref="R3">IF($A3="","",IFERROR(INDEX('TRIP MANAGER'!$E$97:$J$97,INDEX('TRIP MANAGER'!$AJ$18:$AJ$37,MATCH($L3,'TRIP MANAGER'!$AH$18:$AH$37,0))),"NOT ASSESSED"))</f>
        <v>VERIFY</v>
      </c>
      <c r="S3" s="4"/>
      <c r="T3" s="9"/>
      <c r="U3" s="10" t="str">
        <f>IF($A3="","",IF($R3="NO","N/A",IF(OR($R3="VERIFY",$R3="NOT ASSESSED"),"VISA RULE NOT ON FILE",IF($T3="","MISSING",IF($T3&lt;MAX('TRIP MANAGER'!$L$18:$L$25),"EXPIRED","VALID")))))</f>
        <v>VISA RULE NOT ON FILE</v>
      </c>
      <c r="V3" s="4" t="s">
        <v>4586</v>
      </c>
      <c r="W3" s="9">
        <v>47850</v>
      </c>
      <c r="X3" s="9">
        <v>46800</v>
      </c>
      <c r="Y3" s="4" t="s">
        <v>4587</v>
      </c>
      <c r="Z3" s="10" t="str">
        <f>IF($A3="","",IF(UPPER($C3)&lt;&gt;"CREW","N/A",IF(OR($W3="",$X3=""),"MISSING",IF(MIN($W3,$X3)&lt;MAX('TRIP MANAGER'!$L$18:$L$25),"EXPIRED","VALID"))))</f>
        <v>VALID</v>
      </c>
      <c r="AA3" s="4" t="s">
        <v>4590</v>
      </c>
      <c r="AB3" s="4" t="s">
        <v>4305</v>
      </c>
      <c r="AC3" s="4" t="s">
        <v>4591</v>
      </c>
      <c r="AD3" s="4" t="s">
        <v>4592</v>
      </c>
      <c r="AE3" s="10" t="str">
        <f>IF($A3="","",admin!$B$2&amp;"\PaxCrewDocs\"&amp;$B3&amp;"\"&amp;$A3)</f>
        <v>C:\Backups\InsiderTechSol\Aviation\Jetelio_v3\.LAYOUT\resources\PaxCrewDocs\JTL-2608-001\P-001</v>
      </c>
      <c r="AF3" s="10" t="str">
        <f>IF($A3="","",$AE3&amp;"\passport.pdf")</f>
        <v>C:\Backups\InsiderTechSol\Aviation\Jetelio_v3\.LAYOUT\resources\PaxCrewDocs\JTL-2608-001\P-001\passport.pdf</v>
      </c>
      <c r="AG3" s="10" t="str">
        <f>IF($A3="","",$AE3&amp;"\visa.pdf")</f>
        <v>C:\Backups\InsiderTechSol\Aviation\Jetelio_v3\.LAYOUT\resources\PaxCrewDocs\JTL-2608-001\P-001\visa.pdf</v>
      </c>
      <c r="AH3" s="10" t="str">
        <f>IF($A3="","",$AE3&amp;"\licence_medical.pdf")</f>
        <v>C:\Backups\InsiderTechSol\Aviation\Jetelio_v3\.LAYOUT\resources\PaxCrewDocs\JTL-2608-001\P-001\licence_medical.pdf</v>
      </c>
      <c r="AI3" s="1" t="str">
        <f>IF($A3="","",IF(OR($Q3="MISSING",$Q3="EXPIRES BEFORE TRIP",$U3="EXPIRED",$U3="MISSING",$Z3="EXPIRED",$Z3="MISSING"),"ACTION REQUIRED",IF(OR($Q3="UNDER 6 MONTHS",$U3="VISA RULE NOT ON FILE"),"CHECK","OK")))</f>
        <v>CHECK</v>
      </c>
      <c r="AJ3">
        <f>IF($A3="","",IF($B3='TRIP MANAGER'!$B$5,COUNTIFS($A$3:$A3,"&lt;&gt;",$B$3:$B3,$B3),""))</f>
        <v>1</v>
      </c>
      <c r="AK3">
        <f>IF($A3="","",COUNTIF(DOCUMENTS!$C$5:$C$44,$A3))</f>
        <v>1</v>
      </c>
      <c r="AL3">
        <f>IF($A3="","",COUNTIFS(DOCUMENTS!$C$5:$C$44,$A3,DOCUMENTS!$AI$5:$AI$44,"&lt;&gt;")-COUNTIFS(DOCUMENTS!$C$5:$C$44,$A3,DOCUMENTS!$AI$5:$AI$44,"REJECT DOCUMENT"))</f>
        <v>0</v>
      </c>
      <c r="AM3">
        <f>IF($A3="","",COUNTIFS(DOCUMENTS!$C$5:$C$44,$A3,DOCUMENTS!$AI$5:$AI$44,""))</f>
        <v>1</v>
      </c>
      <c r="AN3" cm="1">
        <f t="array" ref="AN3">IF($A3="","",SUMPRODUCT((DOCUMENTS!$C$5:$C$44=$A3)*(ISNUMBER(SEARCH("MISMATCH",DOCUMENTS!$AH$5:$AH$44)))))</f>
        <v>0</v>
      </c>
    </row>
    <row r="4" spans="1:40" x14ac:dyDescent="0.3">
      <c r="A4" s="4" t="s">
        <v>4565</v>
      </c>
      <c r="B4" s="28" t="str">
        <f>'TRIP MANAGER'!$B$5</f>
        <v>JTL-2608-001</v>
      </c>
      <c r="C4" s="4" t="s">
        <v>4558</v>
      </c>
      <c r="D4" s="4" t="s">
        <v>4566</v>
      </c>
      <c r="E4" s="4" t="s">
        <v>4560</v>
      </c>
      <c r="F4" s="4" t="s">
        <v>4567</v>
      </c>
      <c r="G4" s="4" t="s">
        <v>4568</v>
      </c>
      <c r="H4" s="4" t="s">
        <v>4569</v>
      </c>
      <c r="I4" s="4" t="s">
        <v>4570</v>
      </c>
      <c r="J4" s="9">
        <v>30498</v>
      </c>
      <c r="K4" s="10">
        <f t="shared" ref="K4:K62" ca="1" si="0">IF($J4="","",DATEDIF($J4,TODAY(),"Y"))</f>
        <v>43</v>
      </c>
      <c r="L4" s="4" t="s">
        <v>1998</v>
      </c>
      <c r="M4" s="4" t="s">
        <v>4580</v>
      </c>
      <c r="N4" s="4" t="s">
        <v>1998</v>
      </c>
      <c r="O4" s="9">
        <v>45292</v>
      </c>
      <c r="P4" s="9">
        <v>49310</v>
      </c>
      <c r="Q4" s="10" t="str">
        <f>IF($P4="","MISSING",IF($P4&lt;MAX('TRIP MANAGER'!$L$18:$L$25),"EXPIRES BEFORE TRIP",IF($P4&lt;MAX('TRIP MANAGER'!$L$18:$L$25)+180,"UNDER 6 MONTHS","VALID")))</f>
        <v>VALID</v>
      </c>
      <c r="R4" s="28" t="str" cm="1">
        <f t="array" ref="R4">IF($A4="","",IFERROR(INDEX('TRIP MANAGER'!$E$97:$J$97,INDEX('TRIP MANAGER'!$AJ$18:$AJ$37,MATCH($L4,'TRIP MANAGER'!$AH$18:$AH$37,0))),"NOT ASSESSED"))</f>
        <v>VERIFY</v>
      </c>
      <c r="S4" s="4"/>
      <c r="T4" s="9"/>
      <c r="U4" s="10" t="str">
        <f>IF($A4="","",IF($R4="NO","N/A",IF(OR($R4="VERIFY",$R4="NOT ASSESSED"),"VISA RULE NOT ON FILE",IF($T4="","MISSING",IF($T4&lt;MAX('TRIP MANAGER'!$L$18:$L$25),"EXPIRED","VALID")))))</f>
        <v>VISA RULE NOT ON FILE</v>
      </c>
      <c r="V4" s="4" t="s">
        <v>4588</v>
      </c>
      <c r="W4" s="9">
        <v>47200</v>
      </c>
      <c r="X4" s="9">
        <v>46500</v>
      </c>
      <c r="Y4" s="4" t="s">
        <v>4589</v>
      </c>
      <c r="Z4" s="10" t="str">
        <f>IF($A4="","",IF(UPPER($C4)&lt;&gt;"CREW","N/A",IF(OR($W4="",$X4=""),"MISSING",IF(MIN($W4,$X4)&lt;MAX('TRIP MANAGER'!$L$18:$L$25),"EXPIRED","VALID"))))</f>
        <v>VALID</v>
      </c>
      <c r="AA4" s="4" t="s">
        <v>4593</v>
      </c>
      <c r="AB4" s="4" t="s">
        <v>4594</v>
      </c>
      <c r="AC4" s="4" t="s">
        <v>4595</v>
      </c>
      <c r="AD4" s="4" t="s">
        <v>4596</v>
      </c>
      <c r="AE4" s="10" t="str">
        <f>IF($A4="","",admin!$B$2&amp;"\PaxCrewDocs\"&amp;$B4&amp;"\"&amp;$A4)</f>
        <v>C:\Backups\InsiderTechSol\Aviation\Jetelio_v3\.LAYOUT\resources\PaxCrewDocs\JTL-2608-001\P-002</v>
      </c>
      <c r="AF4" s="10" t="str">
        <f t="shared" ref="AF4:AF62" si="1">IF($A4="","",$AE4&amp;"\passport.pdf")</f>
        <v>C:\Backups\InsiderTechSol\Aviation\Jetelio_v3\.LAYOUT\resources\PaxCrewDocs\JTL-2608-001\P-002\passport.pdf</v>
      </c>
      <c r="AG4" s="10" t="str">
        <f t="shared" ref="AG4:AG62" si="2">IF($A4="","",$AE4&amp;"\visa.pdf")</f>
        <v>C:\Backups\InsiderTechSol\Aviation\Jetelio_v3\.LAYOUT\resources\PaxCrewDocs\JTL-2608-001\P-002\visa.pdf</v>
      </c>
      <c r="AH4" s="10" t="str">
        <f t="shared" ref="AH4:AH62" si="3">IF($A4="","",$AE4&amp;"\licence_medical.pdf")</f>
        <v>C:\Backups\InsiderTechSol\Aviation\Jetelio_v3\.LAYOUT\resources\PaxCrewDocs\JTL-2608-001\P-002\licence_medical.pdf</v>
      </c>
      <c r="AI4" s="1" t="str">
        <f t="shared" ref="AI4:AI62" si="4">IF($A4="","",IF(OR($Q4="MISSING",$Q4="EXPIRES BEFORE TRIP",$U4="EXPIRED",$U4="MISSING",$Z4="EXPIRED",$Z4="MISSING"),"ACTION REQUIRED",IF(OR($Q4="UNDER 6 MONTHS",$U4="VISA RULE NOT ON FILE"),"CHECK","OK")))</f>
        <v>CHECK</v>
      </c>
      <c r="AJ4">
        <f>IF($A4="","",IF($B4='TRIP MANAGER'!$B$5,COUNTIFS($A$3:$A4,"&lt;&gt;",$B$3:$B4,$B4),""))</f>
        <v>2</v>
      </c>
      <c r="AK4">
        <f>IF($A4="","",COUNTIF(DOCUMENTS!$C$5:$C$44,$A4))</f>
        <v>0</v>
      </c>
      <c r="AL4">
        <f>IF($A4="","",COUNTIFS(DOCUMENTS!$C$5:$C$44,$A4,DOCUMENTS!$AI$5:$AI$44,"&lt;&gt;")-COUNTIFS(DOCUMENTS!$C$5:$C$44,$A4,DOCUMENTS!$AI$5:$AI$44,"REJECT DOCUMENT"))</f>
        <v>0</v>
      </c>
      <c r="AM4">
        <f>IF($A4="","",COUNTIFS(DOCUMENTS!$C$5:$C$44,$A4,DOCUMENTS!$AI$5:$AI$44,""))</f>
        <v>0</v>
      </c>
      <c r="AN4" cm="1">
        <f t="array" ref="AN4">IF($A4="","",SUMPRODUCT((DOCUMENTS!$C$5:$C$44=$A4)*(ISNUMBER(SEARCH("MISMATCH",DOCUMENTS!$AH$5:$AH$44)))))</f>
        <v>0</v>
      </c>
    </row>
    <row r="5" spans="1:40" x14ac:dyDescent="0.3">
      <c r="A5" s="4" t="s">
        <v>4571</v>
      </c>
      <c r="B5" s="28" t="str">
        <f>'TRIP MANAGER'!$B$5</f>
        <v>JTL-2608-001</v>
      </c>
      <c r="C5" s="4" t="s">
        <v>4572</v>
      </c>
      <c r="D5" s="4" t="s">
        <v>4572</v>
      </c>
      <c r="E5" s="4" t="s">
        <v>15</v>
      </c>
      <c r="F5" s="4" t="s">
        <v>2636</v>
      </c>
      <c r="G5" s="4" t="s">
        <v>4573</v>
      </c>
      <c r="H5" s="4" t="s">
        <v>4574</v>
      </c>
      <c r="I5" s="4" t="s">
        <v>4564</v>
      </c>
      <c r="J5" s="9">
        <v>28125</v>
      </c>
      <c r="K5" s="10">
        <f t="shared" ca="1" si="0"/>
        <v>49</v>
      </c>
      <c r="L5" s="4" t="s">
        <v>84</v>
      </c>
      <c r="M5" s="4" t="s">
        <v>4581</v>
      </c>
      <c r="N5" s="4" t="s">
        <v>84</v>
      </c>
      <c r="O5" s="9">
        <v>44562</v>
      </c>
      <c r="P5" s="9">
        <v>48214</v>
      </c>
      <c r="Q5" s="10" t="str">
        <f>IF($P5="","MISSING",IF($P5&lt;MAX('TRIP MANAGER'!$L$18:$L$25),"EXPIRES BEFORE TRIP",IF($P5&lt;MAX('TRIP MANAGER'!$L$18:$L$25)+180,"UNDER 6 MONTHS","VALID")))</f>
        <v>VALID</v>
      </c>
      <c r="R5" s="28" t="str" cm="1">
        <f t="array" ref="R5">IF($A5="","",IFERROR(INDEX('TRIP MANAGER'!$E$97:$J$97,INDEX('TRIP MANAGER'!$AJ$18:$AJ$37,MATCH($L5,'TRIP MANAGER'!$AH$18:$AH$37,0))),"NOT ASSESSED"))</f>
        <v>VERIFY</v>
      </c>
      <c r="S5" s="4" t="s">
        <v>4585</v>
      </c>
      <c r="T5" s="9">
        <v>47000</v>
      </c>
      <c r="U5" s="10" t="str">
        <f>IF($A5="","",IF($R5="NO","N/A",IF(OR($R5="VERIFY",$R5="NOT ASSESSED"),"VISA RULE NOT ON FILE",IF($T5="","MISSING",IF($T5&lt;MAX('TRIP MANAGER'!$L$18:$L$25),"EXPIRED","VALID")))))</f>
        <v>VISA RULE NOT ON FILE</v>
      </c>
      <c r="V5" s="4"/>
      <c r="W5" s="9"/>
      <c r="X5" s="9"/>
      <c r="Y5" s="4"/>
      <c r="Z5" s="10" t="str">
        <f>IF($A5="","",IF(UPPER($C5)&lt;&gt;"CREW","N/A",IF(OR($W5="",$X5=""),"MISSING",IF(MIN($W5,$X5)&lt;MAX('TRIP MANAGER'!$L$18:$L$25),"EXPIRED","VALID"))))</f>
        <v>N/A</v>
      </c>
      <c r="AA5" s="4" t="s">
        <v>4597</v>
      </c>
      <c r="AB5" s="4" t="s">
        <v>4598</v>
      </c>
      <c r="AC5" s="4" t="s">
        <v>4599</v>
      </c>
      <c r="AD5" s="4" t="s">
        <v>4600</v>
      </c>
      <c r="AE5" s="10" t="str">
        <f>IF($A5="","",admin!$B$2&amp;"\PaxCrewDocs\"&amp;$B5&amp;"\"&amp;$A5)</f>
        <v>C:\Backups\InsiderTechSol\Aviation\Jetelio_v3\.LAYOUT\resources\PaxCrewDocs\JTL-2608-001\P-003</v>
      </c>
      <c r="AF5" s="10" t="str">
        <f t="shared" si="1"/>
        <v>C:\Backups\InsiderTechSol\Aviation\Jetelio_v3\.LAYOUT\resources\PaxCrewDocs\JTL-2608-001\P-003\passport.pdf</v>
      </c>
      <c r="AG5" s="10" t="str">
        <f t="shared" si="2"/>
        <v>C:\Backups\InsiderTechSol\Aviation\Jetelio_v3\.LAYOUT\resources\PaxCrewDocs\JTL-2608-001\P-003\visa.pdf</v>
      </c>
      <c r="AH5" s="10" t="str">
        <f t="shared" si="3"/>
        <v>C:\Backups\InsiderTechSol\Aviation\Jetelio_v3\.LAYOUT\resources\PaxCrewDocs\JTL-2608-001\P-003\licence_medical.pdf</v>
      </c>
      <c r="AI5" s="1" t="str">
        <f t="shared" si="4"/>
        <v>CHECK</v>
      </c>
      <c r="AJ5">
        <f>IF($A5="","",IF($B5='TRIP MANAGER'!$B$5,COUNTIFS($A$3:$A5,"&lt;&gt;",$B$3:$B5,$B5),""))</f>
        <v>3</v>
      </c>
      <c r="AK5">
        <f>IF($A5="","",COUNTIF(DOCUMENTS!$C$5:$C$44,$A5))</f>
        <v>0</v>
      </c>
      <c r="AL5">
        <f>IF($A5="","",COUNTIFS(DOCUMENTS!$C$5:$C$44,$A5,DOCUMENTS!$AI$5:$AI$44,"&lt;&gt;")-COUNTIFS(DOCUMENTS!$C$5:$C$44,$A5,DOCUMENTS!$AI$5:$AI$44,"REJECT DOCUMENT"))</f>
        <v>0</v>
      </c>
      <c r="AM5">
        <f>IF($A5="","",COUNTIFS(DOCUMENTS!$C$5:$C$44,$A5,DOCUMENTS!$AI$5:$AI$44,""))</f>
        <v>0</v>
      </c>
      <c r="AN5" cm="1">
        <f t="array" ref="AN5">IF($A5="","",SUMPRODUCT((DOCUMENTS!$C$5:$C$44=$A5)*(ISNUMBER(SEARCH("MISMATCH",DOCUMENTS!$AH$5:$AH$44)))))</f>
        <v>0</v>
      </c>
    </row>
    <row r="6" spans="1:40" x14ac:dyDescent="0.3">
      <c r="A6" s="4" t="s">
        <v>4575</v>
      </c>
      <c r="B6" s="28" t="str">
        <f>'TRIP MANAGER'!$B$5</f>
        <v>JTL-2608-001</v>
      </c>
      <c r="C6" s="4" t="s">
        <v>4572</v>
      </c>
      <c r="D6" s="4" t="s">
        <v>4572</v>
      </c>
      <c r="E6" s="4" t="s">
        <v>0</v>
      </c>
      <c r="F6" s="4" t="s">
        <v>4576</v>
      </c>
      <c r="G6" s="4" t="s">
        <v>4577</v>
      </c>
      <c r="H6" s="4" t="s">
        <v>4578</v>
      </c>
      <c r="I6" s="4" t="s">
        <v>4570</v>
      </c>
      <c r="J6" s="9">
        <v>33420</v>
      </c>
      <c r="K6" s="10">
        <f t="shared" ca="1" si="0"/>
        <v>35</v>
      </c>
      <c r="L6" s="4" t="s">
        <v>1998</v>
      </c>
      <c r="M6" s="4" t="s">
        <v>4582</v>
      </c>
      <c r="N6" s="4" t="s">
        <v>1998</v>
      </c>
      <c r="O6" s="9">
        <v>45658</v>
      </c>
      <c r="P6" s="9">
        <v>46600</v>
      </c>
      <c r="Q6" s="10" t="str">
        <f>IF($P6="","MISSING",IF($P6&lt;MAX('TRIP MANAGER'!$L$18:$L$25),"EXPIRES BEFORE TRIP",IF($P6&lt;MAX('TRIP MANAGER'!$L$18:$L$25)+180,"UNDER 6 MONTHS","VALID")))</f>
        <v>VALID</v>
      </c>
      <c r="R6" s="28" t="str" cm="1">
        <f t="array" ref="R6">IF($A6="","",IFERROR(INDEX('TRIP MANAGER'!$E$97:$J$97,INDEX('TRIP MANAGER'!$AJ$18:$AJ$37,MATCH($L6,'TRIP MANAGER'!$AH$18:$AH$37,0))),"NOT ASSESSED"))</f>
        <v>VERIFY</v>
      </c>
      <c r="S6" s="4"/>
      <c r="T6" s="9"/>
      <c r="U6" s="10" t="str">
        <f>IF($A6="","",IF($R6="NO","N/A",IF(OR($R6="VERIFY",$R6="NOT ASSESSED"),"VISA RULE NOT ON FILE",IF($T6="","MISSING",IF($T6&lt;MAX('TRIP MANAGER'!$L$18:$L$25),"EXPIRED","VALID")))))</f>
        <v>VISA RULE NOT ON FILE</v>
      </c>
      <c r="V6" s="4"/>
      <c r="W6" s="9"/>
      <c r="X6" s="9"/>
      <c r="Y6" s="4"/>
      <c r="Z6" s="10" t="str">
        <f>IF($A6="","",IF(UPPER($C6)&lt;&gt;"CREW","N/A",IF(OR($W6="",$X6=""),"MISSING",IF(MIN($W6,$X6)&lt;MAX('TRIP MANAGER'!$L$18:$L$25),"EXPIRED","VALID"))))</f>
        <v>N/A</v>
      </c>
      <c r="AA6" s="4" t="s">
        <v>4601</v>
      </c>
      <c r="AB6" s="4" t="s">
        <v>4602</v>
      </c>
      <c r="AC6" s="4" t="s">
        <v>4603</v>
      </c>
      <c r="AD6" s="4" t="s">
        <v>4592</v>
      </c>
      <c r="AE6" s="10" t="str">
        <f>IF($A6="","",admin!$B$2&amp;"\PaxCrewDocs\"&amp;$B6&amp;"\"&amp;$A6)</f>
        <v>C:\Backups\InsiderTechSol\Aviation\Jetelio_v3\.LAYOUT\resources\PaxCrewDocs\JTL-2608-001\P-004</v>
      </c>
      <c r="AF6" s="10" t="str">
        <f t="shared" si="1"/>
        <v>C:\Backups\InsiderTechSol\Aviation\Jetelio_v3\.LAYOUT\resources\PaxCrewDocs\JTL-2608-001\P-004\passport.pdf</v>
      </c>
      <c r="AG6" s="10" t="str">
        <f t="shared" si="2"/>
        <v>C:\Backups\InsiderTechSol\Aviation\Jetelio_v3\.LAYOUT\resources\PaxCrewDocs\JTL-2608-001\P-004\visa.pdf</v>
      </c>
      <c r="AH6" s="10" t="str">
        <f t="shared" si="3"/>
        <v>C:\Backups\InsiderTechSol\Aviation\Jetelio_v3\.LAYOUT\resources\PaxCrewDocs\JTL-2608-001\P-004\licence_medical.pdf</v>
      </c>
      <c r="AI6" s="1" t="str">
        <f t="shared" si="4"/>
        <v>CHECK</v>
      </c>
      <c r="AJ6">
        <f>IF($A6="","",IF($B6='TRIP MANAGER'!$B$5,COUNTIFS($A$3:$A6,"&lt;&gt;",$B$3:$B6,$B6),""))</f>
        <v>4</v>
      </c>
      <c r="AK6">
        <f>IF($A6="","",COUNTIF(DOCUMENTS!$C$5:$C$44,$A6))</f>
        <v>1</v>
      </c>
      <c r="AL6">
        <f>IF($A6="","",COUNTIFS(DOCUMENTS!$C$5:$C$44,$A6,DOCUMENTS!$AI$5:$AI$44,"&lt;&gt;")-COUNTIFS(DOCUMENTS!$C$5:$C$44,$A6,DOCUMENTS!$AI$5:$AI$44,"REJECT DOCUMENT"))</f>
        <v>0</v>
      </c>
      <c r="AM6">
        <f>IF($A6="","",COUNTIFS(DOCUMENTS!$C$5:$C$44,$A6,DOCUMENTS!$AI$5:$AI$44,""))</f>
        <v>1</v>
      </c>
      <c r="AN6" cm="1">
        <f t="array" ref="AN6">IF($A6="","",SUMPRODUCT((DOCUMENTS!$C$5:$C$44=$A6)*(ISNUMBER(SEARCH("MISMATCH",DOCUMENTS!$AH$5:$AH$44)))))</f>
        <v>1</v>
      </c>
    </row>
    <row r="7" spans="1:40" x14ac:dyDescent="0.3">
      <c r="A7" s="4"/>
      <c r="B7" s="28" t="str">
        <f>'TRIP MANAGER'!$B$5</f>
        <v>JTL-2608-001</v>
      </c>
      <c r="C7" s="4"/>
      <c r="D7" s="4"/>
      <c r="E7" s="4"/>
      <c r="F7" s="4"/>
      <c r="G7" s="4"/>
      <c r="H7" s="4"/>
      <c r="I7" s="4"/>
      <c r="J7" s="9"/>
      <c r="K7" s="10" t="str">
        <f t="shared" ca="1" si="0"/>
        <v/>
      </c>
      <c r="L7" s="4"/>
      <c r="M7" s="4"/>
      <c r="N7" s="4"/>
      <c r="O7" s="9"/>
      <c r="P7" s="9"/>
      <c r="Q7" s="10" t="str">
        <f>IF($P7="","MISSING",IF($P7&lt;MAX('TRIP MANAGER'!$L$18:$L$25),"EXPIRES BEFORE TRIP",IF($P7&lt;MAX('TRIP MANAGER'!$L$18:$L$25)+180,"UNDER 6 MONTHS","VALID")))</f>
        <v>MISSING</v>
      </c>
      <c r="R7" s="28" t="str" cm="1">
        <f t="array" ref="R7">IF($A7="","",IFERROR(INDEX('TRIP MANAGER'!$E$97:$J$97,INDEX('TRIP MANAGER'!$AJ$18:$AJ$37,MATCH($L7,'TRIP MANAGER'!$AH$18:$AH$37,0))),"NOT ASSESSED"))</f>
        <v/>
      </c>
      <c r="S7" s="4"/>
      <c r="T7" s="9"/>
      <c r="U7" s="10" t="str">
        <f>IF($A7="","",IF($R7="NO","N/A",IF(OR($R7="VERIFY",$R7="NOT ASSESSED"),"VISA RULE NOT ON FILE",IF($T7="","MISSING",IF($T7&lt;MAX('TRIP MANAGER'!$L$18:$L$25),"EXPIRED","VALID")))))</f>
        <v/>
      </c>
      <c r="V7" s="4"/>
      <c r="W7" s="9"/>
      <c r="X7" s="9"/>
      <c r="Y7" s="4"/>
      <c r="Z7" s="10" t="str">
        <f>IF($A7="","",IF(UPPER($C7)&lt;&gt;"CREW","N/A",IF(OR($W7="",$X7=""),"MISSING",IF(MIN($W7,$X7)&lt;MAX('TRIP MANAGER'!$L$18:$L$25),"EXPIRED","VALID"))))</f>
        <v/>
      </c>
      <c r="AA7" s="4"/>
      <c r="AB7" s="4"/>
      <c r="AC7" s="4"/>
      <c r="AD7" s="4"/>
      <c r="AE7" s="10" t="str">
        <f>IF($A7="","",admin!$B$2&amp;"\PaxCrewDocs\"&amp;$B7&amp;"\"&amp;$A7)</f>
        <v/>
      </c>
      <c r="AF7" s="10" t="str">
        <f t="shared" si="1"/>
        <v/>
      </c>
      <c r="AG7" s="10" t="str">
        <f t="shared" si="2"/>
        <v/>
      </c>
      <c r="AH7" s="10" t="str">
        <f t="shared" si="3"/>
        <v/>
      </c>
      <c r="AI7" s="1" t="str">
        <f t="shared" si="4"/>
        <v/>
      </c>
      <c r="AJ7" t="str">
        <f>IF($A7="","",IF($B7='TRIP MANAGER'!$B$5,COUNTIFS($A$3:$A7,"&lt;&gt;",$B$3:$B7,$B7),""))</f>
        <v/>
      </c>
      <c r="AK7" t="str">
        <f>IF($A7="","",COUNTIF(DOCUMENTS!$C$5:$C$44,$A7))</f>
        <v/>
      </c>
      <c r="AL7" t="str">
        <f>IF($A7="","",COUNTIFS(DOCUMENTS!$C$5:$C$44,$A7,DOCUMENTS!$AI$5:$AI$44,"&lt;&gt;")-COUNTIFS(DOCUMENTS!$C$5:$C$44,$A7,DOCUMENTS!$AI$5:$AI$44,"REJECT DOCUMENT"))</f>
        <v/>
      </c>
      <c r="AM7" t="str">
        <f>IF($A7="","",COUNTIFS(DOCUMENTS!$C$5:$C$44,$A7,DOCUMENTS!$AI$5:$AI$44,""))</f>
        <v/>
      </c>
      <c r="AN7" t="str" cm="1">
        <f t="array" ref="AN7">IF($A7="","",SUMPRODUCT((DOCUMENTS!$C$5:$C$44=$A7)*(ISNUMBER(SEARCH("MISMATCH",DOCUMENTS!$AH$5:$AH$44)))))</f>
        <v/>
      </c>
    </row>
    <row r="8" spans="1:40" x14ac:dyDescent="0.3">
      <c r="A8" s="4"/>
      <c r="B8" s="28" t="str">
        <f>'TRIP MANAGER'!$B$5</f>
        <v>JTL-2608-001</v>
      </c>
      <c r="C8" s="4"/>
      <c r="D8" s="4"/>
      <c r="E8" s="4"/>
      <c r="F8" s="4"/>
      <c r="G8" s="4"/>
      <c r="H8" s="4"/>
      <c r="I8" s="4"/>
      <c r="J8" s="9"/>
      <c r="K8" s="10" t="str">
        <f t="shared" ca="1" si="0"/>
        <v/>
      </c>
      <c r="L8" s="4"/>
      <c r="M8" s="4"/>
      <c r="N8" s="4"/>
      <c r="O8" s="9"/>
      <c r="P8" s="9"/>
      <c r="Q8" s="10" t="str">
        <f>IF($P8="","MISSING",IF($P8&lt;MAX('TRIP MANAGER'!$L$18:$L$25),"EXPIRES BEFORE TRIP",IF($P8&lt;MAX('TRIP MANAGER'!$L$18:$L$25)+180,"UNDER 6 MONTHS","VALID")))</f>
        <v>MISSING</v>
      </c>
      <c r="R8" s="28" t="str" cm="1">
        <f t="array" ref="R8">IF($A8="","",IFERROR(INDEX('TRIP MANAGER'!$E$97:$J$97,INDEX('TRIP MANAGER'!$AJ$18:$AJ$37,MATCH($L8,'TRIP MANAGER'!$AH$18:$AH$37,0))),"NOT ASSESSED"))</f>
        <v/>
      </c>
      <c r="S8" s="4"/>
      <c r="T8" s="9"/>
      <c r="U8" s="10" t="str">
        <f>IF($A8="","",IF($R8="NO","N/A",IF(OR($R8="VERIFY",$R8="NOT ASSESSED"),"VISA RULE NOT ON FILE",IF($T8="","MISSING",IF($T8&lt;MAX('TRIP MANAGER'!$L$18:$L$25),"EXPIRED","VALID")))))</f>
        <v/>
      </c>
      <c r="V8" s="4"/>
      <c r="W8" s="9"/>
      <c r="X8" s="9"/>
      <c r="Y8" s="4"/>
      <c r="Z8" s="10" t="str">
        <f>IF($A8="","",IF(UPPER($C8)&lt;&gt;"CREW","N/A",IF(OR($W8="",$X8=""),"MISSING",IF(MIN($W8,$X8)&lt;MAX('TRIP MANAGER'!$L$18:$L$25),"EXPIRED","VALID"))))</f>
        <v/>
      </c>
      <c r="AA8" s="4"/>
      <c r="AB8" s="4"/>
      <c r="AC8" s="4"/>
      <c r="AD8" s="4"/>
      <c r="AE8" s="10" t="str">
        <f>IF($A8="","",admin!$B$2&amp;"\PaxCrewDocs\"&amp;$B8&amp;"\"&amp;$A8)</f>
        <v/>
      </c>
      <c r="AF8" s="10" t="str">
        <f t="shared" si="1"/>
        <v/>
      </c>
      <c r="AG8" s="10" t="str">
        <f t="shared" si="2"/>
        <v/>
      </c>
      <c r="AH8" s="10" t="str">
        <f t="shared" si="3"/>
        <v/>
      </c>
      <c r="AI8" s="1" t="str">
        <f t="shared" si="4"/>
        <v/>
      </c>
      <c r="AJ8" t="str">
        <f>IF($A8="","",IF($B8='TRIP MANAGER'!$B$5,COUNTIFS($A$3:$A8,"&lt;&gt;",$B$3:$B8,$B8),""))</f>
        <v/>
      </c>
      <c r="AK8" t="str">
        <f>IF($A8="","",COUNTIF(DOCUMENTS!$C$5:$C$44,$A8))</f>
        <v/>
      </c>
      <c r="AL8" t="str">
        <f>IF($A8="","",COUNTIFS(DOCUMENTS!$C$5:$C$44,$A8,DOCUMENTS!$AI$5:$AI$44,"&lt;&gt;")-COUNTIFS(DOCUMENTS!$C$5:$C$44,$A8,DOCUMENTS!$AI$5:$AI$44,"REJECT DOCUMENT"))</f>
        <v/>
      </c>
      <c r="AM8" t="str">
        <f>IF($A8="","",COUNTIFS(DOCUMENTS!$C$5:$C$44,$A8,DOCUMENTS!$AI$5:$AI$44,""))</f>
        <v/>
      </c>
      <c r="AN8" t="str" cm="1">
        <f t="array" ref="AN8">IF($A8="","",SUMPRODUCT((DOCUMENTS!$C$5:$C$44=$A8)*(ISNUMBER(SEARCH("MISMATCH",DOCUMENTS!$AH$5:$AH$44)))))</f>
        <v/>
      </c>
    </row>
    <row r="9" spans="1:40" x14ac:dyDescent="0.3">
      <c r="A9" s="4"/>
      <c r="B9" s="28" t="str">
        <f>'TRIP MANAGER'!$B$5</f>
        <v>JTL-2608-001</v>
      </c>
      <c r="C9" s="4"/>
      <c r="D9" s="4"/>
      <c r="E9" s="4"/>
      <c r="F9" s="4"/>
      <c r="G9" s="4"/>
      <c r="H9" s="4"/>
      <c r="I9" s="4"/>
      <c r="J9" s="9"/>
      <c r="K9" s="10" t="str">
        <f t="shared" ca="1" si="0"/>
        <v/>
      </c>
      <c r="L9" s="4"/>
      <c r="M9" s="4"/>
      <c r="N9" s="4"/>
      <c r="O9" s="9"/>
      <c r="P9" s="9"/>
      <c r="Q9" s="10" t="str">
        <f>IF($P9="","MISSING",IF($P9&lt;MAX('TRIP MANAGER'!$L$18:$L$25),"EXPIRES BEFORE TRIP",IF($P9&lt;MAX('TRIP MANAGER'!$L$18:$L$25)+180,"UNDER 6 MONTHS","VALID")))</f>
        <v>MISSING</v>
      </c>
      <c r="R9" s="28" t="str" cm="1">
        <f t="array" ref="R9">IF($A9="","",IFERROR(INDEX('TRIP MANAGER'!$E$97:$J$97,INDEX('TRIP MANAGER'!$AJ$18:$AJ$37,MATCH($L9,'TRIP MANAGER'!$AH$18:$AH$37,0))),"NOT ASSESSED"))</f>
        <v/>
      </c>
      <c r="S9" s="4"/>
      <c r="T9" s="9"/>
      <c r="U9" s="10" t="str">
        <f>IF($A9="","",IF($R9="NO","N/A",IF(OR($R9="VERIFY",$R9="NOT ASSESSED"),"VISA RULE NOT ON FILE",IF($T9="","MISSING",IF($T9&lt;MAX('TRIP MANAGER'!$L$18:$L$25),"EXPIRED","VALID")))))</f>
        <v/>
      </c>
      <c r="V9" s="4"/>
      <c r="W9" s="9"/>
      <c r="X9" s="9"/>
      <c r="Y9" s="4"/>
      <c r="Z9" s="10" t="str">
        <f>IF($A9="","",IF(UPPER($C9)&lt;&gt;"CREW","N/A",IF(OR($W9="",$X9=""),"MISSING",IF(MIN($W9,$X9)&lt;MAX('TRIP MANAGER'!$L$18:$L$25),"EXPIRED","VALID"))))</f>
        <v/>
      </c>
      <c r="AA9" s="4"/>
      <c r="AB9" s="4"/>
      <c r="AC9" s="4"/>
      <c r="AD9" s="4"/>
      <c r="AE9" s="10" t="str">
        <f>IF($A9="","",admin!$B$2&amp;"\PaxCrewDocs\"&amp;$B9&amp;"\"&amp;$A9)</f>
        <v/>
      </c>
      <c r="AF9" s="10" t="str">
        <f t="shared" si="1"/>
        <v/>
      </c>
      <c r="AG9" s="10" t="str">
        <f t="shared" si="2"/>
        <v/>
      </c>
      <c r="AH9" s="10" t="str">
        <f t="shared" si="3"/>
        <v/>
      </c>
      <c r="AI9" s="1" t="str">
        <f t="shared" si="4"/>
        <v/>
      </c>
      <c r="AJ9" t="str">
        <f>IF($A9="","",IF($B9='TRIP MANAGER'!$B$5,COUNTIFS($A$3:$A9,"&lt;&gt;",$B$3:$B9,$B9),""))</f>
        <v/>
      </c>
      <c r="AK9" t="str">
        <f>IF($A9="","",COUNTIF(DOCUMENTS!$C$5:$C$44,$A9))</f>
        <v/>
      </c>
      <c r="AL9" t="str">
        <f>IF($A9="","",COUNTIFS(DOCUMENTS!$C$5:$C$44,$A9,DOCUMENTS!$AI$5:$AI$44,"&lt;&gt;")-COUNTIFS(DOCUMENTS!$C$5:$C$44,$A9,DOCUMENTS!$AI$5:$AI$44,"REJECT DOCUMENT"))</f>
        <v/>
      </c>
      <c r="AM9" t="str">
        <f>IF($A9="","",COUNTIFS(DOCUMENTS!$C$5:$C$44,$A9,DOCUMENTS!$AI$5:$AI$44,""))</f>
        <v/>
      </c>
      <c r="AN9" t="str" cm="1">
        <f t="array" ref="AN9">IF($A9="","",SUMPRODUCT((DOCUMENTS!$C$5:$C$44=$A9)*(ISNUMBER(SEARCH("MISMATCH",DOCUMENTS!$AH$5:$AH$44)))))</f>
        <v/>
      </c>
    </row>
    <row r="10" spans="1:40" x14ac:dyDescent="0.3">
      <c r="A10" s="4"/>
      <c r="B10" s="28" t="str">
        <f>'TRIP MANAGER'!$B$5</f>
        <v>JTL-2608-001</v>
      </c>
      <c r="C10" s="4"/>
      <c r="D10" s="4"/>
      <c r="E10" s="4"/>
      <c r="F10" s="4"/>
      <c r="G10" s="4"/>
      <c r="H10" s="4"/>
      <c r="I10" s="4"/>
      <c r="J10" s="9"/>
      <c r="K10" s="10" t="str">
        <f t="shared" ca="1" si="0"/>
        <v/>
      </c>
      <c r="L10" s="4"/>
      <c r="M10" s="4"/>
      <c r="N10" s="4"/>
      <c r="O10" s="9"/>
      <c r="P10" s="9"/>
      <c r="Q10" s="10" t="str">
        <f>IF($P10="","MISSING",IF($P10&lt;MAX('TRIP MANAGER'!$L$18:$L$25),"EXPIRES BEFORE TRIP",IF($P10&lt;MAX('TRIP MANAGER'!$L$18:$L$25)+180,"UNDER 6 MONTHS","VALID")))</f>
        <v>MISSING</v>
      </c>
      <c r="R10" s="28" t="str" cm="1">
        <f t="array" ref="R10">IF($A10="","",IFERROR(INDEX('TRIP MANAGER'!$E$97:$J$97,INDEX('TRIP MANAGER'!$AJ$18:$AJ$37,MATCH($L10,'TRIP MANAGER'!$AH$18:$AH$37,0))),"NOT ASSESSED"))</f>
        <v/>
      </c>
      <c r="S10" s="4"/>
      <c r="T10" s="9"/>
      <c r="U10" s="10" t="str">
        <f>IF($A10="","",IF($R10="NO","N/A",IF(OR($R10="VERIFY",$R10="NOT ASSESSED"),"VISA RULE NOT ON FILE",IF($T10="","MISSING",IF($T10&lt;MAX('TRIP MANAGER'!$L$18:$L$25),"EXPIRED","VALID")))))</f>
        <v/>
      </c>
      <c r="V10" s="4"/>
      <c r="W10" s="9"/>
      <c r="X10" s="9"/>
      <c r="Y10" s="4"/>
      <c r="Z10" s="10" t="str">
        <f>IF($A10="","",IF(UPPER($C10)&lt;&gt;"CREW","N/A",IF(OR($W10="",$X10=""),"MISSING",IF(MIN($W10,$X10)&lt;MAX('TRIP MANAGER'!$L$18:$L$25),"EXPIRED","VALID"))))</f>
        <v/>
      </c>
      <c r="AA10" s="4"/>
      <c r="AB10" s="4"/>
      <c r="AC10" s="4"/>
      <c r="AD10" s="4"/>
      <c r="AE10" s="10" t="str">
        <f>IF($A10="","",admin!$B$2&amp;"\PaxCrewDocs\"&amp;$B10&amp;"\"&amp;$A10)</f>
        <v/>
      </c>
      <c r="AF10" s="10" t="str">
        <f t="shared" si="1"/>
        <v/>
      </c>
      <c r="AG10" s="10" t="str">
        <f t="shared" si="2"/>
        <v/>
      </c>
      <c r="AH10" s="10" t="str">
        <f t="shared" si="3"/>
        <v/>
      </c>
      <c r="AI10" s="1" t="str">
        <f t="shared" si="4"/>
        <v/>
      </c>
      <c r="AJ10" t="str">
        <f>IF($A10="","",IF($B10='TRIP MANAGER'!$B$5,COUNTIFS($A$3:$A10,"&lt;&gt;",$B$3:$B10,$B10),""))</f>
        <v/>
      </c>
      <c r="AK10" t="str">
        <f>IF($A10="","",COUNTIF(DOCUMENTS!$C$5:$C$44,$A10))</f>
        <v/>
      </c>
      <c r="AL10" t="str">
        <f>IF($A10="","",COUNTIFS(DOCUMENTS!$C$5:$C$44,$A10,DOCUMENTS!$AI$5:$AI$44,"&lt;&gt;")-COUNTIFS(DOCUMENTS!$C$5:$C$44,$A10,DOCUMENTS!$AI$5:$AI$44,"REJECT DOCUMENT"))</f>
        <v/>
      </c>
      <c r="AM10" t="str">
        <f>IF($A10="","",COUNTIFS(DOCUMENTS!$C$5:$C$44,$A10,DOCUMENTS!$AI$5:$AI$44,""))</f>
        <v/>
      </c>
      <c r="AN10" t="str" cm="1">
        <f t="array" ref="AN10">IF($A10="","",SUMPRODUCT((DOCUMENTS!$C$5:$C$44=$A10)*(ISNUMBER(SEARCH("MISMATCH",DOCUMENTS!$AH$5:$AH$44)))))</f>
        <v/>
      </c>
    </row>
    <row r="11" spans="1:40" x14ac:dyDescent="0.3">
      <c r="A11" s="4"/>
      <c r="B11" s="28" t="str">
        <f>'TRIP MANAGER'!$B$5</f>
        <v>JTL-2608-001</v>
      </c>
      <c r="C11" s="4"/>
      <c r="D11" s="4"/>
      <c r="E11" s="4"/>
      <c r="F11" s="4"/>
      <c r="G11" s="4"/>
      <c r="H11" s="4"/>
      <c r="I11" s="4"/>
      <c r="J11" s="9"/>
      <c r="K11" s="10" t="str">
        <f t="shared" ca="1" si="0"/>
        <v/>
      </c>
      <c r="L11" s="4"/>
      <c r="M11" s="4"/>
      <c r="N11" s="4"/>
      <c r="O11" s="9"/>
      <c r="P11" s="9"/>
      <c r="Q11" s="10" t="str">
        <f>IF($P11="","MISSING",IF($P11&lt;MAX('TRIP MANAGER'!$L$18:$L$25),"EXPIRES BEFORE TRIP",IF($P11&lt;MAX('TRIP MANAGER'!$L$18:$L$25)+180,"UNDER 6 MONTHS","VALID")))</f>
        <v>MISSING</v>
      </c>
      <c r="R11" s="28" t="str" cm="1">
        <f t="array" ref="R11">IF($A11="","",IFERROR(INDEX('TRIP MANAGER'!$E$97:$J$97,INDEX('TRIP MANAGER'!$AJ$18:$AJ$37,MATCH($L11,'TRIP MANAGER'!$AH$18:$AH$37,0))),"NOT ASSESSED"))</f>
        <v/>
      </c>
      <c r="S11" s="4"/>
      <c r="T11" s="9"/>
      <c r="U11" s="10" t="str">
        <f>IF($A11="","",IF($R11="NO","N/A",IF(OR($R11="VERIFY",$R11="NOT ASSESSED"),"VISA RULE NOT ON FILE",IF($T11="","MISSING",IF($T11&lt;MAX('TRIP MANAGER'!$L$18:$L$25),"EXPIRED","VALID")))))</f>
        <v/>
      </c>
      <c r="V11" s="4"/>
      <c r="W11" s="9"/>
      <c r="X11" s="9"/>
      <c r="Y11" s="4"/>
      <c r="Z11" s="10" t="str">
        <f>IF($A11="","",IF(UPPER($C11)&lt;&gt;"CREW","N/A",IF(OR($W11="",$X11=""),"MISSING",IF(MIN($W11,$X11)&lt;MAX('TRIP MANAGER'!$L$18:$L$25),"EXPIRED","VALID"))))</f>
        <v/>
      </c>
      <c r="AA11" s="4"/>
      <c r="AB11" s="4"/>
      <c r="AC11" s="4"/>
      <c r="AD11" s="4"/>
      <c r="AE11" s="10" t="str">
        <f>IF($A11="","",admin!$B$2&amp;"\PaxCrewDocs\"&amp;$B11&amp;"\"&amp;$A11)</f>
        <v/>
      </c>
      <c r="AF11" s="10" t="str">
        <f t="shared" si="1"/>
        <v/>
      </c>
      <c r="AG11" s="10" t="str">
        <f t="shared" si="2"/>
        <v/>
      </c>
      <c r="AH11" s="10" t="str">
        <f t="shared" si="3"/>
        <v/>
      </c>
      <c r="AI11" s="1" t="str">
        <f t="shared" si="4"/>
        <v/>
      </c>
      <c r="AJ11" t="str">
        <f>IF($A11="","",IF($B11='TRIP MANAGER'!$B$5,COUNTIFS($A$3:$A11,"&lt;&gt;",$B$3:$B11,$B11),""))</f>
        <v/>
      </c>
      <c r="AK11" t="str">
        <f>IF($A11="","",COUNTIF(DOCUMENTS!$C$5:$C$44,$A11))</f>
        <v/>
      </c>
      <c r="AL11" t="str">
        <f>IF($A11="","",COUNTIFS(DOCUMENTS!$C$5:$C$44,$A11,DOCUMENTS!$AI$5:$AI$44,"&lt;&gt;")-COUNTIFS(DOCUMENTS!$C$5:$C$44,$A11,DOCUMENTS!$AI$5:$AI$44,"REJECT DOCUMENT"))</f>
        <v/>
      </c>
      <c r="AM11" t="str">
        <f>IF($A11="","",COUNTIFS(DOCUMENTS!$C$5:$C$44,$A11,DOCUMENTS!$AI$5:$AI$44,""))</f>
        <v/>
      </c>
      <c r="AN11" t="str" cm="1">
        <f t="array" ref="AN11">IF($A11="","",SUMPRODUCT((DOCUMENTS!$C$5:$C$44=$A11)*(ISNUMBER(SEARCH("MISMATCH",DOCUMENTS!$AH$5:$AH$44)))))</f>
        <v/>
      </c>
    </row>
    <row r="12" spans="1:40" x14ac:dyDescent="0.3">
      <c r="A12" s="4"/>
      <c r="B12" s="28" t="str">
        <f>'TRIP MANAGER'!$B$5</f>
        <v>JTL-2608-001</v>
      </c>
      <c r="C12" s="4"/>
      <c r="D12" s="4"/>
      <c r="E12" s="4"/>
      <c r="F12" s="4"/>
      <c r="G12" s="4"/>
      <c r="H12" s="4"/>
      <c r="I12" s="4"/>
      <c r="J12" s="9"/>
      <c r="K12" s="10" t="str">
        <f t="shared" ca="1" si="0"/>
        <v/>
      </c>
      <c r="L12" s="4"/>
      <c r="M12" s="4"/>
      <c r="N12" s="4"/>
      <c r="O12" s="9"/>
      <c r="P12" s="9"/>
      <c r="Q12" s="10" t="str">
        <f>IF($P12="","MISSING",IF($P12&lt;MAX('TRIP MANAGER'!$L$18:$L$25),"EXPIRES BEFORE TRIP",IF($P12&lt;MAX('TRIP MANAGER'!$L$18:$L$25)+180,"UNDER 6 MONTHS","VALID")))</f>
        <v>MISSING</v>
      </c>
      <c r="R12" s="28" t="str" cm="1">
        <f t="array" ref="R12">IF($A12="","",IFERROR(INDEX('TRIP MANAGER'!$E$97:$J$97,INDEX('TRIP MANAGER'!$AJ$18:$AJ$37,MATCH($L12,'TRIP MANAGER'!$AH$18:$AH$37,0))),"NOT ASSESSED"))</f>
        <v/>
      </c>
      <c r="S12" s="4"/>
      <c r="T12" s="9"/>
      <c r="U12" s="10" t="str">
        <f>IF($A12="","",IF($R12="NO","N/A",IF(OR($R12="VERIFY",$R12="NOT ASSESSED"),"VISA RULE NOT ON FILE",IF($T12="","MISSING",IF($T12&lt;MAX('TRIP MANAGER'!$L$18:$L$25),"EXPIRED","VALID")))))</f>
        <v/>
      </c>
      <c r="V12" s="4"/>
      <c r="W12" s="9"/>
      <c r="X12" s="9"/>
      <c r="Y12" s="4"/>
      <c r="Z12" s="10" t="str">
        <f>IF($A12="","",IF(UPPER($C12)&lt;&gt;"CREW","N/A",IF(OR($W12="",$X12=""),"MISSING",IF(MIN($W12,$X12)&lt;MAX('TRIP MANAGER'!$L$18:$L$25),"EXPIRED","VALID"))))</f>
        <v/>
      </c>
      <c r="AA12" s="4"/>
      <c r="AB12" s="4"/>
      <c r="AC12" s="4"/>
      <c r="AD12" s="4"/>
      <c r="AE12" s="10" t="str">
        <f>IF($A12="","",admin!$B$2&amp;"\PaxCrewDocs\"&amp;$B12&amp;"\"&amp;$A12)</f>
        <v/>
      </c>
      <c r="AF12" s="10" t="str">
        <f t="shared" si="1"/>
        <v/>
      </c>
      <c r="AG12" s="10" t="str">
        <f t="shared" si="2"/>
        <v/>
      </c>
      <c r="AH12" s="10" t="str">
        <f t="shared" si="3"/>
        <v/>
      </c>
      <c r="AI12" s="1" t="str">
        <f t="shared" si="4"/>
        <v/>
      </c>
      <c r="AJ12" t="str">
        <f>IF($A12="","",IF($B12='TRIP MANAGER'!$B$5,COUNTIFS($A$3:$A12,"&lt;&gt;",$B$3:$B12,$B12),""))</f>
        <v/>
      </c>
      <c r="AK12" t="str">
        <f>IF($A12="","",COUNTIF(DOCUMENTS!$C$5:$C$44,$A12))</f>
        <v/>
      </c>
      <c r="AL12" t="str">
        <f>IF($A12="","",COUNTIFS(DOCUMENTS!$C$5:$C$44,$A12,DOCUMENTS!$AI$5:$AI$44,"&lt;&gt;")-COUNTIFS(DOCUMENTS!$C$5:$C$44,$A12,DOCUMENTS!$AI$5:$AI$44,"REJECT DOCUMENT"))</f>
        <v/>
      </c>
      <c r="AM12" t="str">
        <f>IF($A12="","",COUNTIFS(DOCUMENTS!$C$5:$C$44,$A12,DOCUMENTS!$AI$5:$AI$44,""))</f>
        <v/>
      </c>
      <c r="AN12" t="str" cm="1">
        <f t="array" ref="AN12">IF($A12="","",SUMPRODUCT((DOCUMENTS!$C$5:$C$44=$A12)*(ISNUMBER(SEARCH("MISMATCH",DOCUMENTS!$AH$5:$AH$44)))))</f>
        <v/>
      </c>
    </row>
    <row r="13" spans="1:40" x14ac:dyDescent="0.3">
      <c r="A13" s="4"/>
      <c r="B13" s="28" t="str">
        <f>'TRIP MANAGER'!$B$5</f>
        <v>JTL-2608-001</v>
      </c>
      <c r="C13" s="4"/>
      <c r="D13" s="4"/>
      <c r="E13" s="4"/>
      <c r="F13" s="4"/>
      <c r="G13" s="4"/>
      <c r="H13" s="4"/>
      <c r="I13" s="4"/>
      <c r="J13" s="9"/>
      <c r="K13" s="10" t="str">
        <f t="shared" ca="1" si="0"/>
        <v/>
      </c>
      <c r="L13" s="4"/>
      <c r="M13" s="4"/>
      <c r="N13" s="4"/>
      <c r="O13" s="9"/>
      <c r="P13" s="9"/>
      <c r="Q13" s="10" t="str">
        <f>IF($P13="","MISSING",IF($P13&lt;MAX('TRIP MANAGER'!$L$18:$L$25),"EXPIRES BEFORE TRIP",IF($P13&lt;MAX('TRIP MANAGER'!$L$18:$L$25)+180,"UNDER 6 MONTHS","VALID")))</f>
        <v>MISSING</v>
      </c>
      <c r="R13" s="28" t="str" cm="1">
        <f t="array" ref="R13">IF($A13="","",IFERROR(INDEX('TRIP MANAGER'!$E$97:$J$97,INDEX('TRIP MANAGER'!$AJ$18:$AJ$37,MATCH($L13,'TRIP MANAGER'!$AH$18:$AH$37,0))),"NOT ASSESSED"))</f>
        <v/>
      </c>
      <c r="S13" s="4"/>
      <c r="T13" s="9"/>
      <c r="U13" s="10" t="str">
        <f>IF($A13="","",IF($R13="NO","N/A",IF(OR($R13="VERIFY",$R13="NOT ASSESSED"),"VISA RULE NOT ON FILE",IF($T13="","MISSING",IF($T13&lt;MAX('TRIP MANAGER'!$L$18:$L$25),"EXPIRED","VALID")))))</f>
        <v/>
      </c>
      <c r="V13" s="4"/>
      <c r="W13" s="9"/>
      <c r="X13" s="9"/>
      <c r="Y13" s="4"/>
      <c r="Z13" s="10" t="str">
        <f>IF($A13="","",IF(UPPER($C13)&lt;&gt;"CREW","N/A",IF(OR($W13="",$X13=""),"MISSING",IF(MIN($W13,$X13)&lt;MAX('TRIP MANAGER'!$L$18:$L$25),"EXPIRED","VALID"))))</f>
        <v/>
      </c>
      <c r="AA13" s="4"/>
      <c r="AB13" s="4"/>
      <c r="AC13" s="4"/>
      <c r="AD13" s="4"/>
      <c r="AE13" s="10" t="str">
        <f>IF($A13="","",admin!$B$2&amp;"\PaxCrewDocs\"&amp;$B13&amp;"\"&amp;$A13)</f>
        <v/>
      </c>
      <c r="AF13" s="10" t="str">
        <f t="shared" si="1"/>
        <v/>
      </c>
      <c r="AG13" s="10" t="str">
        <f t="shared" si="2"/>
        <v/>
      </c>
      <c r="AH13" s="10" t="str">
        <f t="shared" si="3"/>
        <v/>
      </c>
      <c r="AI13" s="1" t="str">
        <f t="shared" si="4"/>
        <v/>
      </c>
      <c r="AJ13" t="str">
        <f>IF($A13="","",IF($B13='TRIP MANAGER'!$B$5,COUNTIFS($A$3:$A13,"&lt;&gt;",$B$3:$B13,$B13),""))</f>
        <v/>
      </c>
      <c r="AK13" t="str">
        <f>IF($A13="","",COUNTIF(DOCUMENTS!$C$5:$C$44,$A13))</f>
        <v/>
      </c>
      <c r="AL13" t="str">
        <f>IF($A13="","",COUNTIFS(DOCUMENTS!$C$5:$C$44,$A13,DOCUMENTS!$AI$5:$AI$44,"&lt;&gt;")-COUNTIFS(DOCUMENTS!$C$5:$C$44,$A13,DOCUMENTS!$AI$5:$AI$44,"REJECT DOCUMENT"))</f>
        <v/>
      </c>
      <c r="AM13" t="str">
        <f>IF($A13="","",COUNTIFS(DOCUMENTS!$C$5:$C$44,$A13,DOCUMENTS!$AI$5:$AI$44,""))</f>
        <v/>
      </c>
      <c r="AN13" t="str" cm="1">
        <f t="array" ref="AN13">IF($A13="","",SUMPRODUCT((DOCUMENTS!$C$5:$C$44=$A13)*(ISNUMBER(SEARCH("MISMATCH",DOCUMENTS!$AH$5:$AH$44)))))</f>
        <v/>
      </c>
    </row>
    <row r="14" spans="1:40" x14ac:dyDescent="0.3">
      <c r="A14" s="4"/>
      <c r="B14" s="28" t="str">
        <f>'TRIP MANAGER'!$B$5</f>
        <v>JTL-2608-001</v>
      </c>
      <c r="C14" s="4"/>
      <c r="D14" s="4"/>
      <c r="E14" s="4"/>
      <c r="F14" s="4"/>
      <c r="G14" s="4"/>
      <c r="H14" s="4"/>
      <c r="I14" s="4"/>
      <c r="J14" s="9"/>
      <c r="K14" s="10" t="str">
        <f t="shared" ca="1" si="0"/>
        <v/>
      </c>
      <c r="L14" s="4"/>
      <c r="M14" s="4"/>
      <c r="N14" s="4"/>
      <c r="O14" s="9"/>
      <c r="P14" s="9"/>
      <c r="Q14" s="10" t="str">
        <f>IF($P14="","MISSING",IF($P14&lt;MAX('TRIP MANAGER'!$L$18:$L$25),"EXPIRES BEFORE TRIP",IF($P14&lt;MAX('TRIP MANAGER'!$L$18:$L$25)+180,"UNDER 6 MONTHS","VALID")))</f>
        <v>MISSING</v>
      </c>
      <c r="R14" s="28" t="str" cm="1">
        <f t="array" ref="R14">IF($A14="","",IFERROR(INDEX('TRIP MANAGER'!$E$97:$J$97,INDEX('TRIP MANAGER'!$AJ$18:$AJ$37,MATCH($L14,'TRIP MANAGER'!$AH$18:$AH$37,0))),"NOT ASSESSED"))</f>
        <v/>
      </c>
      <c r="S14" s="4"/>
      <c r="T14" s="9"/>
      <c r="U14" s="10" t="str">
        <f>IF($A14="","",IF($R14="NO","N/A",IF(OR($R14="VERIFY",$R14="NOT ASSESSED"),"VISA RULE NOT ON FILE",IF($T14="","MISSING",IF($T14&lt;MAX('TRIP MANAGER'!$L$18:$L$25),"EXPIRED","VALID")))))</f>
        <v/>
      </c>
      <c r="V14" s="4"/>
      <c r="W14" s="9"/>
      <c r="X14" s="9"/>
      <c r="Y14" s="4"/>
      <c r="Z14" s="10" t="str">
        <f>IF($A14="","",IF(UPPER($C14)&lt;&gt;"CREW","N/A",IF(OR($W14="",$X14=""),"MISSING",IF(MIN($W14,$X14)&lt;MAX('TRIP MANAGER'!$L$18:$L$25),"EXPIRED","VALID"))))</f>
        <v/>
      </c>
      <c r="AA14" s="4"/>
      <c r="AB14" s="4"/>
      <c r="AC14" s="4"/>
      <c r="AD14" s="4"/>
      <c r="AE14" s="10" t="str">
        <f>IF($A14="","",admin!$B$2&amp;"\PaxCrewDocs\"&amp;$B14&amp;"\"&amp;$A14)</f>
        <v/>
      </c>
      <c r="AF14" s="10" t="str">
        <f t="shared" si="1"/>
        <v/>
      </c>
      <c r="AG14" s="10" t="str">
        <f t="shared" si="2"/>
        <v/>
      </c>
      <c r="AH14" s="10" t="str">
        <f t="shared" si="3"/>
        <v/>
      </c>
      <c r="AI14" s="1" t="str">
        <f t="shared" si="4"/>
        <v/>
      </c>
      <c r="AJ14" t="str">
        <f>IF($A14="","",IF($B14='TRIP MANAGER'!$B$5,COUNTIFS($A$3:$A14,"&lt;&gt;",$B$3:$B14,$B14),""))</f>
        <v/>
      </c>
      <c r="AK14" t="str">
        <f>IF($A14="","",COUNTIF(DOCUMENTS!$C$5:$C$44,$A14))</f>
        <v/>
      </c>
      <c r="AL14" t="str">
        <f>IF($A14="","",COUNTIFS(DOCUMENTS!$C$5:$C$44,$A14,DOCUMENTS!$AI$5:$AI$44,"&lt;&gt;")-COUNTIFS(DOCUMENTS!$C$5:$C$44,$A14,DOCUMENTS!$AI$5:$AI$44,"REJECT DOCUMENT"))</f>
        <v/>
      </c>
      <c r="AM14" t="str">
        <f>IF($A14="","",COUNTIFS(DOCUMENTS!$C$5:$C$44,$A14,DOCUMENTS!$AI$5:$AI$44,""))</f>
        <v/>
      </c>
      <c r="AN14" t="str" cm="1">
        <f t="array" ref="AN14">IF($A14="","",SUMPRODUCT((DOCUMENTS!$C$5:$C$44=$A14)*(ISNUMBER(SEARCH("MISMATCH",DOCUMENTS!$AH$5:$AH$44)))))</f>
        <v/>
      </c>
    </row>
    <row r="15" spans="1:40" x14ac:dyDescent="0.3">
      <c r="A15" s="4"/>
      <c r="B15" s="28" t="str">
        <f>'TRIP MANAGER'!$B$5</f>
        <v>JTL-2608-001</v>
      </c>
      <c r="C15" s="4"/>
      <c r="D15" s="4"/>
      <c r="E15" s="4"/>
      <c r="F15" s="4"/>
      <c r="G15" s="4"/>
      <c r="H15" s="4"/>
      <c r="I15" s="4"/>
      <c r="J15" s="9"/>
      <c r="K15" s="10" t="str">
        <f t="shared" ca="1" si="0"/>
        <v/>
      </c>
      <c r="L15" s="4"/>
      <c r="M15" s="4"/>
      <c r="N15" s="4"/>
      <c r="O15" s="9"/>
      <c r="P15" s="9"/>
      <c r="Q15" s="10" t="str">
        <f>IF($P15="","MISSING",IF($P15&lt;MAX('TRIP MANAGER'!$L$18:$L$25),"EXPIRES BEFORE TRIP",IF($P15&lt;MAX('TRIP MANAGER'!$L$18:$L$25)+180,"UNDER 6 MONTHS","VALID")))</f>
        <v>MISSING</v>
      </c>
      <c r="R15" s="28" t="str" cm="1">
        <f t="array" ref="R15">IF($A15="","",IFERROR(INDEX('TRIP MANAGER'!$E$97:$J$97,INDEX('TRIP MANAGER'!$AJ$18:$AJ$37,MATCH($L15,'TRIP MANAGER'!$AH$18:$AH$37,0))),"NOT ASSESSED"))</f>
        <v/>
      </c>
      <c r="S15" s="4"/>
      <c r="T15" s="9"/>
      <c r="U15" s="10" t="str">
        <f>IF($A15="","",IF($R15="NO","N/A",IF(OR($R15="VERIFY",$R15="NOT ASSESSED"),"VISA RULE NOT ON FILE",IF($T15="","MISSING",IF($T15&lt;MAX('TRIP MANAGER'!$L$18:$L$25),"EXPIRED","VALID")))))</f>
        <v/>
      </c>
      <c r="V15" s="4"/>
      <c r="W15" s="9"/>
      <c r="X15" s="9"/>
      <c r="Y15" s="4"/>
      <c r="Z15" s="10" t="str">
        <f>IF($A15="","",IF(UPPER($C15)&lt;&gt;"CREW","N/A",IF(OR($W15="",$X15=""),"MISSING",IF(MIN($W15,$X15)&lt;MAX('TRIP MANAGER'!$L$18:$L$25),"EXPIRED","VALID"))))</f>
        <v/>
      </c>
      <c r="AA15" s="4"/>
      <c r="AB15" s="4"/>
      <c r="AC15" s="4"/>
      <c r="AD15" s="4"/>
      <c r="AE15" s="10" t="str">
        <f>IF($A15="","",admin!$B$2&amp;"\PaxCrewDocs\"&amp;$B15&amp;"\"&amp;$A15)</f>
        <v/>
      </c>
      <c r="AF15" s="10" t="str">
        <f t="shared" si="1"/>
        <v/>
      </c>
      <c r="AG15" s="10" t="str">
        <f t="shared" si="2"/>
        <v/>
      </c>
      <c r="AH15" s="10" t="str">
        <f t="shared" si="3"/>
        <v/>
      </c>
      <c r="AI15" s="1" t="str">
        <f t="shared" si="4"/>
        <v/>
      </c>
      <c r="AJ15" t="str">
        <f>IF($A15="","",IF($B15='TRIP MANAGER'!$B$5,COUNTIFS($A$3:$A15,"&lt;&gt;",$B$3:$B15,$B15),""))</f>
        <v/>
      </c>
      <c r="AK15" t="str">
        <f>IF($A15="","",COUNTIF(DOCUMENTS!$C$5:$C$44,$A15))</f>
        <v/>
      </c>
      <c r="AL15" t="str">
        <f>IF($A15="","",COUNTIFS(DOCUMENTS!$C$5:$C$44,$A15,DOCUMENTS!$AI$5:$AI$44,"&lt;&gt;")-COUNTIFS(DOCUMENTS!$C$5:$C$44,$A15,DOCUMENTS!$AI$5:$AI$44,"REJECT DOCUMENT"))</f>
        <v/>
      </c>
      <c r="AM15" t="str">
        <f>IF($A15="","",COUNTIFS(DOCUMENTS!$C$5:$C$44,$A15,DOCUMENTS!$AI$5:$AI$44,""))</f>
        <v/>
      </c>
      <c r="AN15" t="str" cm="1">
        <f t="array" ref="AN15">IF($A15="","",SUMPRODUCT((DOCUMENTS!$C$5:$C$44=$A15)*(ISNUMBER(SEARCH("MISMATCH",DOCUMENTS!$AH$5:$AH$44)))))</f>
        <v/>
      </c>
    </row>
    <row r="16" spans="1:40" x14ac:dyDescent="0.3">
      <c r="A16" s="4"/>
      <c r="B16" s="28" t="str">
        <f>'TRIP MANAGER'!$B$5</f>
        <v>JTL-2608-001</v>
      </c>
      <c r="C16" s="4"/>
      <c r="D16" s="4"/>
      <c r="E16" s="4"/>
      <c r="F16" s="4"/>
      <c r="G16" s="4"/>
      <c r="H16" s="4"/>
      <c r="I16" s="4"/>
      <c r="J16" s="9"/>
      <c r="K16" s="10" t="str">
        <f t="shared" ca="1" si="0"/>
        <v/>
      </c>
      <c r="L16" s="4"/>
      <c r="M16" s="4"/>
      <c r="N16" s="4"/>
      <c r="O16" s="9"/>
      <c r="P16" s="9"/>
      <c r="Q16" s="10" t="str">
        <f>IF($P16="","MISSING",IF($P16&lt;MAX('TRIP MANAGER'!$L$18:$L$25),"EXPIRES BEFORE TRIP",IF($P16&lt;MAX('TRIP MANAGER'!$L$18:$L$25)+180,"UNDER 6 MONTHS","VALID")))</f>
        <v>MISSING</v>
      </c>
      <c r="R16" s="28" t="str" cm="1">
        <f t="array" ref="R16">IF($A16="","",IFERROR(INDEX('TRIP MANAGER'!$E$97:$J$97,INDEX('TRIP MANAGER'!$AJ$18:$AJ$37,MATCH($L16,'TRIP MANAGER'!$AH$18:$AH$37,0))),"NOT ASSESSED"))</f>
        <v/>
      </c>
      <c r="S16" s="4"/>
      <c r="T16" s="9"/>
      <c r="U16" s="10" t="str">
        <f>IF($A16="","",IF($R16="NO","N/A",IF(OR($R16="VERIFY",$R16="NOT ASSESSED"),"VISA RULE NOT ON FILE",IF($T16="","MISSING",IF($T16&lt;MAX('TRIP MANAGER'!$L$18:$L$25),"EXPIRED","VALID")))))</f>
        <v/>
      </c>
      <c r="V16" s="4"/>
      <c r="W16" s="9"/>
      <c r="X16" s="9"/>
      <c r="Y16" s="4"/>
      <c r="Z16" s="10" t="str">
        <f>IF($A16="","",IF(UPPER($C16)&lt;&gt;"CREW","N/A",IF(OR($W16="",$X16=""),"MISSING",IF(MIN($W16,$X16)&lt;MAX('TRIP MANAGER'!$L$18:$L$25),"EXPIRED","VALID"))))</f>
        <v/>
      </c>
      <c r="AA16" s="4"/>
      <c r="AB16" s="4"/>
      <c r="AC16" s="4"/>
      <c r="AD16" s="4"/>
      <c r="AE16" s="10" t="str">
        <f>IF($A16="","",admin!$B$2&amp;"\PaxCrewDocs\"&amp;$B16&amp;"\"&amp;$A16)</f>
        <v/>
      </c>
      <c r="AF16" s="10" t="str">
        <f t="shared" si="1"/>
        <v/>
      </c>
      <c r="AG16" s="10" t="str">
        <f t="shared" si="2"/>
        <v/>
      </c>
      <c r="AH16" s="10" t="str">
        <f t="shared" si="3"/>
        <v/>
      </c>
      <c r="AI16" s="1" t="str">
        <f t="shared" si="4"/>
        <v/>
      </c>
      <c r="AJ16" t="str">
        <f>IF($A16="","",IF($B16='TRIP MANAGER'!$B$5,COUNTIFS($A$3:$A16,"&lt;&gt;",$B$3:$B16,$B16),""))</f>
        <v/>
      </c>
      <c r="AK16" t="str">
        <f>IF($A16="","",COUNTIF(DOCUMENTS!$C$5:$C$44,$A16))</f>
        <v/>
      </c>
      <c r="AL16" t="str">
        <f>IF($A16="","",COUNTIFS(DOCUMENTS!$C$5:$C$44,$A16,DOCUMENTS!$AI$5:$AI$44,"&lt;&gt;")-COUNTIFS(DOCUMENTS!$C$5:$C$44,$A16,DOCUMENTS!$AI$5:$AI$44,"REJECT DOCUMENT"))</f>
        <v/>
      </c>
      <c r="AM16" t="str">
        <f>IF($A16="","",COUNTIFS(DOCUMENTS!$C$5:$C$44,$A16,DOCUMENTS!$AI$5:$AI$44,""))</f>
        <v/>
      </c>
      <c r="AN16" t="str" cm="1">
        <f t="array" ref="AN16">IF($A16="","",SUMPRODUCT((DOCUMENTS!$C$5:$C$44=$A16)*(ISNUMBER(SEARCH("MISMATCH",DOCUMENTS!$AH$5:$AH$44)))))</f>
        <v/>
      </c>
    </row>
    <row r="17" spans="1:40" x14ac:dyDescent="0.3">
      <c r="A17" s="4"/>
      <c r="B17" s="28" t="str">
        <f>'TRIP MANAGER'!$B$5</f>
        <v>JTL-2608-001</v>
      </c>
      <c r="C17" s="4"/>
      <c r="D17" s="4"/>
      <c r="E17" s="4"/>
      <c r="F17" s="4"/>
      <c r="G17" s="4"/>
      <c r="H17" s="4"/>
      <c r="I17" s="4"/>
      <c r="J17" s="9"/>
      <c r="K17" s="10" t="str">
        <f t="shared" ca="1" si="0"/>
        <v/>
      </c>
      <c r="L17" s="4"/>
      <c r="M17" s="4"/>
      <c r="N17" s="4"/>
      <c r="O17" s="9"/>
      <c r="P17" s="9"/>
      <c r="Q17" s="10" t="str">
        <f>IF($P17="","MISSING",IF($P17&lt;MAX('TRIP MANAGER'!$L$18:$L$25),"EXPIRES BEFORE TRIP",IF($P17&lt;MAX('TRIP MANAGER'!$L$18:$L$25)+180,"UNDER 6 MONTHS","VALID")))</f>
        <v>MISSING</v>
      </c>
      <c r="R17" s="28" t="str" cm="1">
        <f t="array" ref="R17">IF($A17="","",IFERROR(INDEX('TRIP MANAGER'!$E$97:$J$97,INDEX('TRIP MANAGER'!$AJ$18:$AJ$37,MATCH($L17,'TRIP MANAGER'!$AH$18:$AH$37,0))),"NOT ASSESSED"))</f>
        <v/>
      </c>
      <c r="S17" s="4"/>
      <c r="T17" s="9"/>
      <c r="U17" s="10" t="str">
        <f>IF($A17="","",IF($R17="NO","N/A",IF(OR($R17="VERIFY",$R17="NOT ASSESSED"),"VISA RULE NOT ON FILE",IF($T17="","MISSING",IF($T17&lt;MAX('TRIP MANAGER'!$L$18:$L$25),"EXPIRED","VALID")))))</f>
        <v/>
      </c>
      <c r="V17" s="4"/>
      <c r="W17" s="9"/>
      <c r="X17" s="9"/>
      <c r="Y17" s="4"/>
      <c r="Z17" s="10" t="str">
        <f>IF($A17="","",IF(UPPER($C17)&lt;&gt;"CREW","N/A",IF(OR($W17="",$X17=""),"MISSING",IF(MIN($W17,$X17)&lt;MAX('TRIP MANAGER'!$L$18:$L$25),"EXPIRED","VALID"))))</f>
        <v/>
      </c>
      <c r="AA17" s="4"/>
      <c r="AB17" s="4"/>
      <c r="AC17" s="4"/>
      <c r="AD17" s="4"/>
      <c r="AE17" s="10" t="str">
        <f>IF($A17="","",admin!$B$2&amp;"\PaxCrewDocs\"&amp;$B17&amp;"\"&amp;$A17)</f>
        <v/>
      </c>
      <c r="AF17" s="10" t="str">
        <f t="shared" si="1"/>
        <v/>
      </c>
      <c r="AG17" s="10" t="str">
        <f t="shared" si="2"/>
        <v/>
      </c>
      <c r="AH17" s="10" t="str">
        <f t="shared" si="3"/>
        <v/>
      </c>
      <c r="AI17" s="1" t="str">
        <f t="shared" si="4"/>
        <v/>
      </c>
      <c r="AJ17" t="str">
        <f>IF($A17="","",IF($B17='TRIP MANAGER'!$B$5,COUNTIFS($A$3:$A17,"&lt;&gt;",$B$3:$B17,$B17),""))</f>
        <v/>
      </c>
      <c r="AK17" t="str">
        <f>IF($A17="","",COUNTIF(DOCUMENTS!$C$5:$C$44,$A17))</f>
        <v/>
      </c>
      <c r="AL17" t="str">
        <f>IF($A17="","",COUNTIFS(DOCUMENTS!$C$5:$C$44,$A17,DOCUMENTS!$AI$5:$AI$44,"&lt;&gt;")-COUNTIFS(DOCUMENTS!$C$5:$C$44,$A17,DOCUMENTS!$AI$5:$AI$44,"REJECT DOCUMENT"))</f>
        <v/>
      </c>
      <c r="AM17" t="str">
        <f>IF($A17="","",COUNTIFS(DOCUMENTS!$C$5:$C$44,$A17,DOCUMENTS!$AI$5:$AI$44,""))</f>
        <v/>
      </c>
      <c r="AN17" t="str" cm="1">
        <f t="array" ref="AN17">IF($A17="","",SUMPRODUCT((DOCUMENTS!$C$5:$C$44=$A17)*(ISNUMBER(SEARCH("MISMATCH",DOCUMENTS!$AH$5:$AH$44)))))</f>
        <v/>
      </c>
    </row>
    <row r="18" spans="1:40" x14ac:dyDescent="0.3">
      <c r="A18" s="4"/>
      <c r="B18" s="28" t="str">
        <f>'TRIP MANAGER'!$B$5</f>
        <v>JTL-2608-001</v>
      </c>
      <c r="C18" s="4"/>
      <c r="D18" s="4"/>
      <c r="E18" s="4"/>
      <c r="F18" s="4"/>
      <c r="G18" s="4"/>
      <c r="H18" s="4"/>
      <c r="I18" s="4"/>
      <c r="J18" s="9"/>
      <c r="K18" s="10" t="str">
        <f t="shared" ca="1" si="0"/>
        <v/>
      </c>
      <c r="L18" s="4"/>
      <c r="M18" s="4"/>
      <c r="N18" s="4"/>
      <c r="O18" s="9"/>
      <c r="P18" s="9"/>
      <c r="Q18" s="10" t="str">
        <f>IF($P18="","MISSING",IF($P18&lt;MAX('TRIP MANAGER'!$L$18:$L$25),"EXPIRES BEFORE TRIP",IF($P18&lt;MAX('TRIP MANAGER'!$L$18:$L$25)+180,"UNDER 6 MONTHS","VALID")))</f>
        <v>MISSING</v>
      </c>
      <c r="R18" s="28" t="str" cm="1">
        <f t="array" ref="R18">IF($A18="","",IFERROR(INDEX('TRIP MANAGER'!$E$97:$J$97,INDEX('TRIP MANAGER'!$AJ$18:$AJ$37,MATCH($L18,'TRIP MANAGER'!$AH$18:$AH$37,0))),"NOT ASSESSED"))</f>
        <v/>
      </c>
      <c r="S18" s="4"/>
      <c r="T18" s="9"/>
      <c r="U18" s="10" t="str">
        <f>IF($A18="","",IF($R18="NO","N/A",IF(OR($R18="VERIFY",$R18="NOT ASSESSED"),"VISA RULE NOT ON FILE",IF($T18="","MISSING",IF($T18&lt;MAX('TRIP MANAGER'!$L$18:$L$25),"EXPIRED","VALID")))))</f>
        <v/>
      </c>
      <c r="V18" s="4"/>
      <c r="W18" s="9"/>
      <c r="X18" s="9"/>
      <c r="Y18" s="4"/>
      <c r="Z18" s="10" t="str">
        <f>IF($A18="","",IF(UPPER($C18)&lt;&gt;"CREW","N/A",IF(OR($W18="",$X18=""),"MISSING",IF(MIN($W18,$X18)&lt;MAX('TRIP MANAGER'!$L$18:$L$25),"EXPIRED","VALID"))))</f>
        <v/>
      </c>
      <c r="AA18" s="4"/>
      <c r="AB18" s="4"/>
      <c r="AC18" s="4"/>
      <c r="AD18" s="4"/>
      <c r="AE18" s="10" t="str">
        <f>IF($A18="","",admin!$B$2&amp;"\PaxCrewDocs\"&amp;$B18&amp;"\"&amp;$A18)</f>
        <v/>
      </c>
      <c r="AF18" s="10" t="str">
        <f t="shared" si="1"/>
        <v/>
      </c>
      <c r="AG18" s="10" t="str">
        <f t="shared" si="2"/>
        <v/>
      </c>
      <c r="AH18" s="10" t="str">
        <f t="shared" si="3"/>
        <v/>
      </c>
      <c r="AI18" s="1" t="str">
        <f t="shared" si="4"/>
        <v/>
      </c>
      <c r="AJ18" t="str">
        <f>IF($A18="","",IF($B18='TRIP MANAGER'!$B$5,COUNTIFS($A$3:$A18,"&lt;&gt;",$B$3:$B18,$B18),""))</f>
        <v/>
      </c>
      <c r="AK18" t="str">
        <f>IF($A18="","",COUNTIF(DOCUMENTS!$C$5:$C$44,$A18))</f>
        <v/>
      </c>
      <c r="AL18" t="str">
        <f>IF($A18="","",COUNTIFS(DOCUMENTS!$C$5:$C$44,$A18,DOCUMENTS!$AI$5:$AI$44,"&lt;&gt;")-COUNTIFS(DOCUMENTS!$C$5:$C$44,$A18,DOCUMENTS!$AI$5:$AI$44,"REJECT DOCUMENT"))</f>
        <v/>
      </c>
      <c r="AM18" t="str">
        <f>IF($A18="","",COUNTIFS(DOCUMENTS!$C$5:$C$44,$A18,DOCUMENTS!$AI$5:$AI$44,""))</f>
        <v/>
      </c>
      <c r="AN18" t="str" cm="1">
        <f t="array" ref="AN18">IF($A18="","",SUMPRODUCT((DOCUMENTS!$C$5:$C$44=$A18)*(ISNUMBER(SEARCH("MISMATCH",DOCUMENTS!$AH$5:$AH$44)))))</f>
        <v/>
      </c>
    </row>
    <row r="19" spans="1:40" x14ac:dyDescent="0.3">
      <c r="A19" s="4"/>
      <c r="B19" s="28" t="str">
        <f>'TRIP MANAGER'!$B$5</f>
        <v>JTL-2608-001</v>
      </c>
      <c r="C19" s="4"/>
      <c r="D19" s="4"/>
      <c r="E19" s="4"/>
      <c r="F19" s="4"/>
      <c r="G19" s="4"/>
      <c r="H19" s="4"/>
      <c r="I19" s="4"/>
      <c r="J19" s="9"/>
      <c r="K19" s="10" t="str">
        <f t="shared" ca="1" si="0"/>
        <v/>
      </c>
      <c r="L19" s="4"/>
      <c r="M19" s="4"/>
      <c r="N19" s="4"/>
      <c r="O19" s="9"/>
      <c r="P19" s="9"/>
      <c r="Q19" s="10" t="str">
        <f>IF($P19="","MISSING",IF($P19&lt;MAX('TRIP MANAGER'!$L$18:$L$25),"EXPIRES BEFORE TRIP",IF($P19&lt;MAX('TRIP MANAGER'!$L$18:$L$25)+180,"UNDER 6 MONTHS","VALID")))</f>
        <v>MISSING</v>
      </c>
      <c r="R19" s="28" t="str" cm="1">
        <f t="array" ref="R19">IF($A19="","",IFERROR(INDEX('TRIP MANAGER'!$E$97:$J$97,INDEX('TRIP MANAGER'!$AJ$18:$AJ$37,MATCH($L19,'TRIP MANAGER'!$AH$18:$AH$37,0))),"NOT ASSESSED"))</f>
        <v/>
      </c>
      <c r="S19" s="4"/>
      <c r="T19" s="9"/>
      <c r="U19" s="10" t="str">
        <f>IF($A19="","",IF($R19="NO","N/A",IF(OR($R19="VERIFY",$R19="NOT ASSESSED"),"VISA RULE NOT ON FILE",IF($T19="","MISSING",IF($T19&lt;MAX('TRIP MANAGER'!$L$18:$L$25),"EXPIRED","VALID")))))</f>
        <v/>
      </c>
      <c r="V19" s="4"/>
      <c r="W19" s="9"/>
      <c r="X19" s="9"/>
      <c r="Y19" s="4"/>
      <c r="Z19" s="10" t="str">
        <f>IF($A19="","",IF(UPPER($C19)&lt;&gt;"CREW","N/A",IF(OR($W19="",$X19=""),"MISSING",IF(MIN($W19,$X19)&lt;MAX('TRIP MANAGER'!$L$18:$L$25),"EXPIRED","VALID"))))</f>
        <v/>
      </c>
      <c r="AA19" s="4"/>
      <c r="AB19" s="4"/>
      <c r="AC19" s="4"/>
      <c r="AD19" s="4"/>
      <c r="AE19" s="10" t="str">
        <f>IF($A19="","",admin!$B$2&amp;"\PaxCrewDocs\"&amp;$B19&amp;"\"&amp;$A19)</f>
        <v/>
      </c>
      <c r="AF19" s="10" t="str">
        <f t="shared" si="1"/>
        <v/>
      </c>
      <c r="AG19" s="10" t="str">
        <f t="shared" si="2"/>
        <v/>
      </c>
      <c r="AH19" s="10" t="str">
        <f t="shared" si="3"/>
        <v/>
      </c>
      <c r="AI19" s="1" t="str">
        <f t="shared" si="4"/>
        <v/>
      </c>
      <c r="AJ19" t="str">
        <f>IF($A19="","",IF($B19='TRIP MANAGER'!$B$5,COUNTIFS($A$3:$A19,"&lt;&gt;",$B$3:$B19,$B19),""))</f>
        <v/>
      </c>
      <c r="AK19" t="str">
        <f>IF($A19="","",COUNTIF(DOCUMENTS!$C$5:$C$44,$A19))</f>
        <v/>
      </c>
      <c r="AL19" t="str">
        <f>IF($A19="","",COUNTIFS(DOCUMENTS!$C$5:$C$44,$A19,DOCUMENTS!$AI$5:$AI$44,"&lt;&gt;")-COUNTIFS(DOCUMENTS!$C$5:$C$44,$A19,DOCUMENTS!$AI$5:$AI$44,"REJECT DOCUMENT"))</f>
        <v/>
      </c>
      <c r="AM19" t="str">
        <f>IF($A19="","",COUNTIFS(DOCUMENTS!$C$5:$C$44,$A19,DOCUMENTS!$AI$5:$AI$44,""))</f>
        <v/>
      </c>
      <c r="AN19" t="str" cm="1">
        <f t="array" ref="AN19">IF($A19="","",SUMPRODUCT((DOCUMENTS!$C$5:$C$44=$A19)*(ISNUMBER(SEARCH("MISMATCH",DOCUMENTS!$AH$5:$AH$44)))))</f>
        <v/>
      </c>
    </row>
    <row r="20" spans="1:40" x14ac:dyDescent="0.3">
      <c r="A20" s="4"/>
      <c r="B20" s="28" t="str">
        <f>'TRIP MANAGER'!$B$5</f>
        <v>JTL-2608-001</v>
      </c>
      <c r="C20" s="4"/>
      <c r="D20" s="4"/>
      <c r="E20" s="4"/>
      <c r="F20" s="4"/>
      <c r="G20" s="4"/>
      <c r="H20" s="4"/>
      <c r="I20" s="4"/>
      <c r="J20" s="9"/>
      <c r="K20" s="10" t="str">
        <f t="shared" ca="1" si="0"/>
        <v/>
      </c>
      <c r="L20" s="4"/>
      <c r="M20" s="4"/>
      <c r="N20" s="4"/>
      <c r="O20" s="9"/>
      <c r="P20" s="9"/>
      <c r="Q20" s="10" t="str">
        <f>IF($P20="","MISSING",IF($P20&lt;MAX('TRIP MANAGER'!$L$18:$L$25),"EXPIRES BEFORE TRIP",IF($P20&lt;MAX('TRIP MANAGER'!$L$18:$L$25)+180,"UNDER 6 MONTHS","VALID")))</f>
        <v>MISSING</v>
      </c>
      <c r="R20" s="28" t="str" cm="1">
        <f t="array" ref="R20">IF($A20="","",IFERROR(INDEX('TRIP MANAGER'!$E$97:$J$97,INDEX('TRIP MANAGER'!$AJ$18:$AJ$37,MATCH($L20,'TRIP MANAGER'!$AH$18:$AH$37,0))),"NOT ASSESSED"))</f>
        <v/>
      </c>
      <c r="S20" s="4"/>
      <c r="T20" s="9"/>
      <c r="U20" s="10" t="str">
        <f>IF($A20="","",IF($R20="NO","N/A",IF(OR($R20="VERIFY",$R20="NOT ASSESSED"),"VISA RULE NOT ON FILE",IF($T20="","MISSING",IF($T20&lt;MAX('TRIP MANAGER'!$L$18:$L$25),"EXPIRED","VALID")))))</f>
        <v/>
      </c>
      <c r="V20" s="4"/>
      <c r="W20" s="9"/>
      <c r="X20" s="9"/>
      <c r="Y20" s="4"/>
      <c r="Z20" s="10" t="str">
        <f>IF($A20="","",IF(UPPER($C20)&lt;&gt;"CREW","N/A",IF(OR($W20="",$X20=""),"MISSING",IF(MIN($W20,$X20)&lt;MAX('TRIP MANAGER'!$L$18:$L$25),"EXPIRED","VALID"))))</f>
        <v/>
      </c>
      <c r="AA20" s="4"/>
      <c r="AB20" s="4"/>
      <c r="AC20" s="4"/>
      <c r="AD20" s="4"/>
      <c r="AE20" s="10" t="str">
        <f>IF($A20="","",admin!$B$2&amp;"\PaxCrewDocs\"&amp;$B20&amp;"\"&amp;$A20)</f>
        <v/>
      </c>
      <c r="AF20" s="10" t="str">
        <f t="shared" si="1"/>
        <v/>
      </c>
      <c r="AG20" s="10" t="str">
        <f t="shared" si="2"/>
        <v/>
      </c>
      <c r="AH20" s="10" t="str">
        <f t="shared" si="3"/>
        <v/>
      </c>
      <c r="AI20" s="1" t="str">
        <f t="shared" si="4"/>
        <v/>
      </c>
      <c r="AJ20" t="str">
        <f>IF($A20="","",IF($B20='TRIP MANAGER'!$B$5,COUNTIFS($A$3:$A20,"&lt;&gt;",$B$3:$B20,$B20),""))</f>
        <v/>
      </c>
      <c r="AK20" t="str">
        <f>IF($A20="","",COUNTIF(DOCUMENTS!$C$5:$C$44,$A20))</f>
        <v/>
      </c>
      <c r="AL20" t="str">
        <f>IF($A20="","",COUNTIFS(DOCUMENTS!$C$5:$C$44,$A20,DOCUMENTS!$AI$5:$AI$44,"&lt;&gt;")-COUNTIFS(DOCUMENTS!$C$5:$C$44,$A20,DOCUMENTS!$AI$5:$AI$44,"REJECT DOCUMENT"))</f>
        <v/>
      </c>
      <c r="AM20" t="str">
        <f>IF($A20="","",COUNTIFS(DOCUMENTS!$C$5:$C$44,$A20,DOCUMENTS!$AI$5:$AI$44,""))</f>
        <v/>
      </c>
      <c r="AN20" t="str" cm="1">
        <f t="array" ref="AN20">IF($A20="","",SUMPRODUCT((DOCUMENTS!$C$5:$C$44=$A20)*(ISNUMBER(SEARCH("MISMATCH",DOCUMENTS!$AH$5:$AH$44)))))</f>
        <v/>
      </c>
    </row>
    <row r="21" spans="1:40" x14ac:dyDescent="0.3">
      <c r="A21" s="4"/>
      <c r="B21" s="28" t="str">
        <f>'TRIP MANAGER'!$B$5</f>
        <v>JTL-2608-001</v>
      </c>
      <c r="C21" s="4"/>
      <c r="D21" s="4"/>
      <c r="E21" s="4"/>
      <c r="F21" s="4"/>
      <c r="G21" s="4"/>
      <c r="H21" s="4"/>
      <c r="I21" s="4"/>
      <c r="J21" s="9"/>
      <c r="K21" s="10" t="str">
        <f t="shared" ca="1" si="0"/>
        <v/>
      </c>
      <c r="L21" s="4"/>
      <c r="M21" s="4"/>
      <c r="N21" s="4"/>
      <c r="O21" s="9"/>
      <c r="P21" s="9"/>
      <c r="Q21" s="10" t="str">
        <f>IF($P21="","MISSING",IF($P21&lt;MAX('TRIP MANAGER'!$L$18:$L$25),"EXPIRES BEFORE TRIP",IF($P21&lt;MAX('TRIP MANAGER'!$L$18:$L$25)+180,"UNDER 6 MONTHS","VALID")))</f>
        <v>MISSING</v>
      </c>
      <c r="R21" s="28" t="str" cm="1">
        <f t="array" ref="R21">IF($A21="","",IFERROR(INDEX('TRIP MANAGER'!$E$97:$J$97,INDEX('TRIP MANAGER'!$AJ$18:$AJ$37,MATCH($L21,'TRIP MANAGER'!$AH$18:$AH$37,0))),"NOT ASSESSED"))</f>
        <v/>
      </c>
      <c r="S21" s="4"/>
      <c r="T21" s="9"/>
      <c r="U21" s="10" t="str">
        <f>IF($A21="","",IF($R21="NO","N/A",IF(OR($R21="VERIFY",$R21="NOT ASSESSED"),"VISA RULE NOT ON FILE",IF($T21="","MISSING",IF($T21&lt;MAX('TRIP MANAGER'!$L$18:$L$25),"EXPIRED","VALID")))))</f>
        <v/>
      </c>
      <c r="V21" s="4"/>
      <c r="W21" s="9"/>
      <c r="X21" s="9"/>
      <c r="Y21" s="4"/>
      <c r="Z21" s="10" t="str">
        <f>IF($A21="","",IF(UPPER($C21)&lt;&gt;"CREW","N/A",IF(OR($W21="",$X21=""),"MISSING",IF(MIN($W21,$X21)&lt;MAX('TRIP MANAGER'!$L$18:$L$25),"EXPIRED","VALID"))))</f>
        <v/>
      </c>
      <c r="AA21" s="4"/>
      <c r="AB21" s="4"/>
      <c r="AC21" s="4"/>
      <c r="AD21" s="4"/>
      <c r="AE21" s="10" t="str">
        <f>IF($A21="","",admin!$B$2&amp;"\PaxCrewDocs\"&amp;$B21&amp;"\"&amp;$A21)</f>
        <v/>
      </c>
      <c r="AF21" s="10" t="str">
        <f t="shared" si="1"/>
        <v/>
      </c>
      <c r="AG21" s="10" t="str">
        <f t="shared" si="2"/>
        <v/>
      </c>
      <c r="AH21" s="10" t="str">
        <f t="shared" si="3"/>
        <v/>
      </c>
      <c r="AI21" s="1" t="str">
        <f t="shared" si="4"/>
        <v/>
      </c>
      <c r="AJ21" t="str">
        <f>IF($A21="","",IF($B21='TRIP MANAGER'!$B$5,COUNTIFS($A$3:$A21,"&lt;&gt;",$B$3:$B21,$B21),""))</f>
        <v/>
      </c>
      <c r="AK21" t="str">
        <f>IF($A21="","",COUNTIF(DOCUMENTS!$C$5:$C$44,$A21))</f>
        <v/>
      </c>
      <c r="AL21" t="str">
        <f>IF($A21="","",COUNTIFS(DOCUMENTS!$C$5:$C$44,$A21,DOCUMENTS!$AI$5:$AI$44,"&lt;&gt;")-COUNTIFS(DOCUMENTS!$C$5:$C$44,$A21,DOCUMENTS!$AI$5:$AI$44,"REJECT DOCUMENT"))</f>
        <v/>
      </c>
      <c r="AM21" t="str">
        <f>IF($A21="","",COUNTIFS(DOCUMENTS!$C$5:$C$44,$A21,DOCUMENTS!$AI$5:$AI$44,""))</f>
        <v/>
      </c>
      <c r="AN21" t="str" cm="1">
        <f t="array" ref="AN21">IF($A21="","",SUMPRODUCT((DOCUMENTS!$C$5:$C$44=$A21)*(ISNUMBER(SEARCH("MISMATCH",DOCUMENTS!$AH$5:$AH$44)))))</f>
        <v/>
      </c>
    </row>
    <row r="22" spans="1:40" x14ac:dyDescent="0.3">
      <c r="A22" s="4"/>
      <c r="B22" s="28" t="str">
        <f>'TRIP MANAGER'!$B$5</f>
        <v>JTL-2608-001</v>
      </c>
      <c r="C22" s="4"/>
      <c r="D22" s="4"/>
      <c r="E22" s="4"/>
      <c r="F22" s="4"/>
      <c r="G22" s="4"/>
      <c r="H22" s="4"/>
      <c r="I22" s="4"/>
      <c r="J22" s="9"/>
      <c r="K22" s="10" t="str">
        <f t="shared" ca="1" si="0"/>
        <v/>
      </c>
      <c r="L22" s="4"/>
      <c r="M22" s="4"/>
      <c r="N22" s="4"/>
      <c r="O22" s="9"/>
      <c r="P22" s="9"/>
      <c r="Q22" s="10" t="str">
        <f>IF($P22="","MISSING",IF($P22&lt;MAX('TRIP MANAGER'!$L$18:$L$25),"EXPIRES BEFORE TRIP",IF($P22&lt;MAX('TRIP MANAGER'!$L$18:$L$25)+180,"UNDER 6 MONTHS","VALID")))</f>
        <v>MISSING</v>
      </c>
      <c r="R22" s="28" t="str" cm="1">
        <f t="array" ref="R22">IF($A22="","",IFERROR(INDEX('TRIP MANAGER'!$E$97:$J$97,INDEX('TRIP MANAGER'!$AJ$18:$AJ$37,MATCH($L22,'TRIP MANAGER'!$AH$18:$AH$37,0))),"NOT ASSESSED"))</f>
        <v/>
      </c>
      <c r="S22" s="4"/>
      <c r="T22" s="9"/>
      <c r="U22" s="10" t="str">
        <f>IF($A22="","",IF($R22="NO","N/A",IF(OR($R22="VERIFY",$R22="NOT ASSESSED"),"VISA RULE NOT ON FILE",IF($T22="","MISSING",IF($T22&lt;MAX('TRIP MANAGER'!$L$18:$L$25),"EXPIRED","VALID")))))</f>
        <v/>
      </c>
      <c r="V22" s="4"/>
      <c r="W22" s="9"/>
      <c r="X22" s="9"/>
      <c r="Y22" s="4"/>
      <c r="Z22" s="10" t="str">
        <f>IF($A22="","",IF(UPPER($C22)&lt;&gt;"CREW","N/A",IF(OR($W22="",$X22=""),"MISSING",IF(MIN($W22,$X22)&lt;MAX('TRIP MANAGER'!$L$18:$L$25),"EXPIRED","VALID"))))</f>
        <v/>
      </c>
      <c r="AA22" s="4"/>
      <c r="AB22" s="4"/>
      <c r="AC22" s="4"/>
      <c r="AD22" s="4"/>
      <c r="AE22" s="10" t="str">
        <f>IF($A22="","",admin!$B$2&amp;"\PaxCrewDocs\"&amp;$B22&amp;"\"&amp;$A22)</f>
        <v/>
      </c>
      <c r="AF22" s="10" t="str">
        <f t="shared" si="1"/>
        <v/>
      </c>
      <c r="AG22" s="10" t="str">
        <f t="shared" si="2"/>
        <v/>
      </c>
      <c r="AH22" s="10" t="str">
        <f t="shared" si="3"/>
        <v/>
      </c>
      <c r="AI22" s="1" t="str">
        <f t="shared" si="4"/>
        <v/>
      </c>
      <c r="AJ22" t="str">
        <f>IF($A22="","",IF($B22='TRIP MANAGER'!$B$5,COUNTIFS($A$3:$A22,"&lt;&gt;",$B$3:$B22,$B22),""))</f>
        <v/>
      </c>
      <c r="AK22" t="str">
        <f>IF($A22="","",COUNTIF(DOCUMENTS!$C$5:$C$44,$A22))</f>
        <v/>
      </c>
      <c r="AL22" t="str">
        <f>IF($A22="","",COUNTIFS(DOCUMENTS!$C$5:$C$44,$A22,DOCUMENTS!$AI$5:$AI$44,"&lt;&gt;")-COUNTIFS(DOCUMENTS!$C$5:$C$44,$A22,DOCUMENTS!$AI$5:$AI$44,"REJECT DOCUMENT"))</f>
        <v/>
      </c>
      <c r="AM22" t="str">
        <f>IF($A22="","",COUNTIFS(DOCUMENTS!$C$5:$C$44,$A22,DOCUMENTS!$AI$5:$AI$44,""))</f>
        <v/>
      </c>
      <c r="AN22" t="str" cm="1">
        <f t="array" ref="AN22">IF($A22="","",SUMPRODUCT((DOCUMENTS!$C$5:$C$44=$A22)*(ISNUMBER(SEARCH("MISMATCH",DOCUMENTS!$AH$5:$AH$44)))))</f>
        <v/>
      </c>
    </row>
    <row r="23" spans="1:40" x14ac:dyDescent="0.3">
      <c r="A23" s="4"/>
      <c r="B23" s="28" t="str">
        <f>'TRIP MANAGER'!$B$5</f>
        <v>JTL-2608-001</v>
      </c>
      <c r="C23" s="4"/>
      <c r="D23" s="4"/>
      <c r="E23" s="4"/>
      <c r="F23" s="4"/>
      <c r="G23" s="4"/>
      <c r="H23" s="4"/>
      <c r="I23" s="4"/>
      <c r="J23" s="9"/>
      <c r="K23" s="10" t="str">
        <f t="shared" ca="1" si="0"/>
        <v/>
      </c>
      <c r="L23" s="4"/>
      <c r="M23" s="4"/>
      <c r="N23" s="4"/>
      <c r="O23" s="9"/>
      <c r="P23" s="9"/>
      <c r="Q23" s="10" t="str">
        <f>IF($P23="","MISSING",IF($P23&lt;MAX('TRIP MANAGER'!$L$18:$L$25),"EXPIRES BEFORE TRIP",IF($P23&lt;MAX('TRIP MANAGER'!$L$18:$L$25)+180,"UNDER 6 MONTHS","VALID")))</f>
        <v>MISSING</v>
      </c>
      <c r="R23" s="28" t="str" cm="1">
        <f t="array" ref="R23">IF($A23="","",IFERROR(INDEX('TRIP MANAGER'!$E$97:$J$97,INDEX('TRIP MANAGER'!$AJ$18:$AJ$37,MATCH($L23,'TRIP MANAGER'!$AH$18:$AH$37,0))),"NOT ASSESSED"))</f>
        <v/>
      </c>
      <c r="S23" s="4"/>
      <c r="T23" s="9"/>
      <c r="U23" s="10" t="str">
        <f>IF($A23="","",IF($R23="NO","N/A",IF(OR($R23="VERIFY",$R23="NOT ASSESSED"),"VISA RULE NOT ON FILE",IF($T23="","MISSING",IF($T23&lt;MAX('TRIP MANAGER'!$L$18:$L$25),"EXPIRED","VALID")))))</f>
        <v/>
      </c>
      <c r="V23" s="4"/>
      <c r="W23" s="9"/>
      <c r="X23" s="9"/>
      <c r="Y23" s="4"/>
      <c r="Z23" s="10" t="str">
        <f>IF($A23="","",IF(UPPER($C23)&lt;&gt;"CREW","N/A",IF(OR($W23="",$X23=""),"MISSING",IF(MIN($W23,$X23)&lt;MAX('TRIP MANAGER'!$L$18:$L$25),"EXPIRED","VALID"))))</f>
        <v/>
      </c>
      <c r="AA23" s="4"/>
      <c r="AB23" s="4"/>
      <c r="AC23" s="4"/>
      <c r="AD23" s="4"/>
      <c r="AE23" s="10" t="str">
        <f>IF($A23="","",admin!$B$2&amp;"\PaxCrewDocs\"&amp;$B23&amp;"\"&amp;$A23)</f>
        <v/>
      </c>
      <c r="AF23" s="10" t="str">
        <f t="shared" si="1"/>
        <v/>
      </c>
      <c r="AG23" s="10" t="str">
        <f t="shared" si="2"/>
        <v/>
      </c>
      <c r="AH23" s="10" t="str">
        <f t="shared" si="3"/>
        <v/>
      </c>
      <c r="AI23" s="1" t="str">
        <f t="shared" si="4"/>
        <v/>
      </c>
      <c r="AJ23" t="str">
        <f>IF($A23="","",IF($B23='TRIP MANAGER'!$B$5,COUNTIFS($A$3:$A23,"&lt;&gt;",$B$3:$B23,$B23),""))</f>
        <v/>
      </c>
      <c r="AK23" t="str">
        <f>IF($A23="","",COUNTIF(DOCUMENTS!$C$5:$C$44,$A23))</f>
        <v/>
      </c>
      <c r="AL23" t="str">
        <f>IF($A23="","",COUNTIFS(DOCUMENTS!$C$5:$C$44,$A23,DOCUMENTS!$AI$5:$AI$44,"&lt;&gt;")-COUNTIFS(DOCUMENTS!$C$5:$C$44,$A23,DOCUMENTS!$AI$5:$AI$44,"REJECT DOCUMENT"))</f>
        <v/>
      </c>
      <c r="AM23" t="str">
        <f>IF($A23="","",COUNTIFS(DOCUMENTS!$C$5:$C$44,$A23,DOCUMENTS!$AI$5:$AI$44,""))</f>
        <v/>
      </c>
      <c r="AN23" t="str" cm="1">
        <f t="array" ref="AN23">IF($A23="","",SUMPRODUCT((DOCUMENTS!$C$5:$C$44=$A23)*(ISNUMBER(SEARCH("MISMATCH",DOCUMENTS!$AH$5:$AH$44)))))</f>
        <v/>
      </c>
    </row>
    <row r="24" spans="1:40" x14ac:dyDescent="0.3">
      <c r="A24" s="4"/>
      <c r="B24" s="28" t="str">
        <f>'TRIP MANAGER'!$B$5</f>
        <v>JTL-2608-001</v>
      </c>
      <c r="C24" s="4"/>
      <c r="D24" s="4"/>
      <c r="E24" s="4"/>
      <c r="F24" s="4"/>
      <c r="G24" s="4"/>
      <c r="H24" s="4"/>
      <c r="I24" s="4"/>
      <c r="J24" s="9"/>
      <c r="K24" s="10" t="str">
        <f t="shared" ca="1" si="0"/>
        <v/>
      </c>
      <c r="L24" s="4"/>
      <c r="M24" s="4"/>
      <c r="N24" s="4"/>
      <c r="O24" s="9"/>
      <c r="P24" s="9"/>
      <c r="Q24" s="10" t="str">
        <f>IF($P24="","MISSING",IF($P24&lt;MAX('TRIP MANAGER'!$L$18:$L$25),"EXPIRES BEFORE TRIP",IF($P24&lt;MAX('TRIP MANAGER'!$L$18:$L$25)+180,"UNDER 6 MONTHS","VALID")))</f>
        <v>MISSING</v>
      </c>
      <c r="R24" s="28" t="str" cm="1">
        <f t="array" ref="R24">IF($A24="","",IFERROR(INDEX('TRIP MANAGER'!$E$97:$J$97,INDEX('TRIP MANAGER'!$AJ$18:$AJ$37,MATCH($L24,'TRIP MANAGER'!$AH$18:$AH$37,0))),"NOT ASSESSED"))</f>
        <v/>
      </c>
      <c r="S24" s="4"/>
      <c r="T24" s="9"/>
      <c r="U24" s="10" t="str">
        <f>IF($A24="","",IF($R24="NO","N/A",IF(OR($R24="VERIFY",$R24="NOT ASSESSED"),"VISA RULE NOT ON FILE",IF($T24="","MISSING",IF($T24&lt;MAX('TRIP MANAGER'!$L$18:$L$25),"EXPIRED","VALID")))))</f>
        <v/>
      </c>
      <c r="V24" s="4"/>
      <c r="W24" s="9"/>
      <c r="X24" s="9"/>
      <c r="Y24" s="4"/>
      <c r="Z24" s="10" t="str">
        <f>IF($A24="","",IF(UPPER($C24)&lt;&gt;"CREW","N/A",IF(OR($W24="",$X24=""),"MISSING",IF(MIN($W24,$X24)&lt;MAX('TRIP MANAGER'!$L$18:$L$25),"EXPIRED","VALID"))))</f>
        <v/>
      </c>
      <c r="AA24" s="4"/>
      <c r="AB24" s="4"/>
      <c r="AC24" s="4"/>
      <c r="AD24" s="4"/>
      <c r="AE24" s="10" t="str">
        <f>IF($A24="","",admin!$B$2&amp;"\PaxCrewDocs\"&amp;$B24&amp;"\"&amp;$A24)</f>
        <v/>
      </c>
      <c r="AF24" s="10" t="str">
        <f t="shared" si="1"/>
        <v/>
      </c>
      <c r="AG24" s="10" t="str">
        <f t="shared" si="2"/>
        <v/>
      </c>
      <c r="AH24" s="10" t="str">
        <f t="shared" si="3"/>
        <v/>
      </c>
      <c r="AI24" s="1" t="str">
        <f t="shared" si="4"/>
        <v/>
      </c>
      <c r="AJ24" t="str">
        <f>IF($A24="","",IF($B24='TRIP MANAGER'!$B$5,COUNTIFS($A$3:$A24,"&lt;&gt;",$B$3:$B24,$B24),""))</f>
        <v/>
      </c>
      <c r="AK24" t="str">
        <f>IF($A24="","",COUNTIF(DOCUMENTS!$C$5:$C$44,$A24))</f>
        <v/>
      </c>
      <c r="AL24" t="str">
        <f>IF($A24="","",COUNTIFS(DOCUMENTS!$C$5:$C$44,$A24,DOCUMENTS!$AI$5:$AI$44,"&lt;&gt;")-COUNTIFS(DOCUMENTS!$C$5:$C$44,$A24,DOCUMENTS!$AI$5:$AI$44,"REJECT DOCUMENT"))</f>
        <v/>
      </c>
      <c r="AM24" t="str">
        <f>IF($A24="","",COUNTIFS(DOCUMENTS!$C$5:$C$44,$A24,DOCUMENTS!$AI$5:$AI$44,""))</f>
        <v/>
      </c>
      <c r="AN24" t="str" cm="1">
        <f t="array" ref="AN24">IF($A24="","",SUMPRODUCT((DOCUMENTS!$C$5:$C$44=$A24)*(ISNUMBER(SEARCH("MISMATCH",DOCUMENTS!$AH$5:$AH$44)))))</f>
        <v/>
      </c>
    </row>
    <row r="25" spans="1:40" x14ac:dyDescent="0.3">
      <c r="A25" s="4"/>
      <c r="B25" s="28" t="str">
        <f>'TRIP MANAGER'!$B$5</f>
        <v>JTL-2608-001</v>
      </c>
      <c r="C25" s="4"/>
      <c r="D25" s="4"/>
      <c r="E25" s="4"/>
      <c r="F25" s="4"/>
      <c r="G25" s="4"/>
      <c r="H25" s="4"/>
      <c r="I25" s="4"/>
      <c r="J25" s="9"/>
      <c r="K25" s="10" t="str">
        <f t="shared" ca="1" si="0"/>
        <v/>
      </c>
      <c r="L25" s="4"/>
      <c r="M25" s="4"/>
      <c r="N25" s="4"/>
      <c r="O25" s="9"/>
      <c r="P25" s="9"/>
      <c r="Q25" s="10" t="str">
        <f>IF($P25="","MISSING",IF($P25&lt;MAX('TRIP MANAGER'!$L$18:$L$25),"EXPIRES BEFORE TRIP",IF($P25&lt;MAX('TRIP MANAGER'!$L$18:$L$25)+180,"UNDER 6 MONTHS","VALID")))</f>
        <v>MISSING</v>
      </c>
      <c r="R25" s="28" t="str" cm="1">
        <f t="array" ref="R25">IF($A25="","",IFERROR(INDEX('TRIP MANAGER'!$E$97:$J$97,INDEX('TRIP MANAGER'!$AJ$18:$AJ$37,MATCH($L25,'TRIP MANAGER'!$AH$18:$AH$37,0))),"NOT ASSESSED"))</f>
        <v/>
      </c>
      <c r="S25" s="4"/>
      <c r="T25" s="9"/>
      <c r="U25" s="10" t="str">
        <f>IF($A25="","",IF($R25="NO","N/A",IF(OR($R25="VERIFY",$R25="NOT ASSESSED"),"VISA RULE NOT ON FILE",IF($T25="","MISSING",IF($T25&lt;MAX('TRIP MANAGER'!$L$18:$L$25),"EXPIRED","VALID")))))</f>
        <v/>
      </c>
      <c r="V25" s="4"/>
      <c r="W25" s="9"/>
      <c r="X25" s="9"/>
      <c r="Y25" s="4"/>
      <c r="Z25" s="10" t="str">
        <f>IF($A25="","",IF(UPPER($C25)&lt;&gt;"CREW","N/A",IF(OR($W25="",$X25=""),"MISSING",IF(MIN($W25,$X25)&lt;MAX('TRIP MANAGER'!$L$18:$L$25),"EXPIRED","VALID"))))</f>
        <v/>
      </c>
      <c r="AA25" s="4"/>
      <c r="AB25" s="4"/>
      <c r="AC25" s="4"/>
      <c r="AD25" s="4"/>
      <c r="AE25" s="10" t="str">
        <f>IF($A25="","",admin!$B$2&amp;"\PaxCrewDocs\"&amp;$B25&amp;"\"&amp;$A25)</f>
        <v/>
      </c>
      <c r="AF25" s="10" t="str">
        <f t="shared" si="1"/>
        <v/>
      </c>
      <c r="AG25" s="10" t="str">
        <f t="shared" si="2"/>
        <v/>
      </c>
      <c r="AH25" s="10" t="str">
        <f t="shared" si="3"/>
        <v/>
      </c>
      <c r="AI25" s="1" t="str">
        <f t="shared" si="4"/>
        <v/>
      </c>
      <c r="AJ25" t="str">
        <f>IF($A25="","",IF($B25='TRIP MANAGER'!$B$5,COUNTIFS($A$3:$A25,"&lt;&gt;",$B$3:$B25,$B25),""))</f>
        <v/>
      </c>
      <c r="AK25" t="str">
        <f>IF($A25="","",COUNTIF(DOCUMENTS!$C$5:$C$44,$A25))</f>
        <v/>
      </c>
      <c r="AL25" t="str">
        <f>IF($A25="","",COUNTIFS(DOCUMENTS!$C$5:$C$44,$A25,DOCUMENTS!$AI$5:$AI$44,"&lt;&gt;")-COUNTIFS(DOCUMENTS!$C$5:$C$44,$A25,DOCUMENTS!$AI$5:$AI$44,"REJECT DOCUMENT"))</f>
        <v/>
      </c>
      <c r="AM25" t="str">
        <f>IF($A25="","",COUNTIFS(DOCUMENTS!$C$5:$C$44,$A25,DOCUMENTS!$AI$5:$AI$44,""))</f>
        <v/>
      </c>
      <c r="AN25" t="str" cm="1">
        <f t="array" ref="AN25">IF($A25="","",SUMPRODUCT((DOCUMENTS!$C$5:$C$44=$A25)*(ISNUMBER(SEARCH("MISMATCH",DOCUMENTS!$AH$5:$AH$44)))))</f>
        <v/>
      </c>
    </row>
    <row r="26" spans="1:40" x14ac:dyDescent="0.3">
      <c r="A26" s="4"/>
      <c r="B26" s="28" t="str">
        <f>'TRIP MANAGER'!$B$5</f>
        <v>JTL-2608-001</v>
      </c>
      <c r="C26" s="4"/>
      <c r="D26" s="4"/>
      <c r="E26" s="4"/>
      <c r="F26" s="4"/>
      <c r="G26" s="4"/>
      <c r="H26" s="4"/>
      <c r="I26" s="4"/>
      <c r="J26" s="9"/>
      <c r="K26" s="10" t="str">
        <f t="shared" ca="1" si="0"/>
        <v/>
      </c>
      <c r="L26" s="4"/>
      <c r="M26" s="4"/>
      <c r="N26" s="4"/>
      <c r="O26" s="9"/>
      <c r="P26" s="9"/>
      <c r="Q26" s="10" t="str">
        <f>IF($P26="","MISSING",IF($P26&lt;MAX('TRIP MANAGER'!$L$18:$L$25),"EXPIRES BEFORE TRIP",IF($P26&lt;MAX('TRIP MANAGER'!$L$18:$L$25)+180,"UNDER 6 MONTHS","VALID")))</f>
        <v>MISSING</v>
      </c>
      <c r="R26" s="28" t="str" cm="1">
        <f t="array" ref="R26">IF($A26="","",IFERROR(INDEX('TRIP MANAGER'!$E$97:$J$97,INDEX('TRIP MANAGER'!$AJ$18:$AJ$37,MATCH($L26,'TRIP MANAGER'!$AH$18:$AH$37,0))),"NOT ASSESSED"))</f>
        <v/>
      </c>
      <c r="S26" s="4"/>
      <c r="T26" s="9"/>
      <c r="U26" s="10" t="str">
        <f>IF($A26="","",IF($R26="NO","N/A",IF(OR($R26="VERIFY",$R26="NOT ASSESSED"),"VISA RULE NOT ON FILE",IF($T26="","MISSING",IF($T26&lt;MAX('TRIP MANAGER'!$L$18:$L$25),"EXPIRED","VALID")))))</f>
        <v/>
      </c>
      <c r="V26" s="4"/>
      <c r="W26" s="9"/>
      <c r="X26" s="9"/>
      <c r="Y26" s="4"/>
      <c r="Z26" s="10" t="str">
        <f>IF($A26="","",IF(UPPER($C26)&lt;&gt;"CREW","N/A",IF(OR($W26="",$X26=""),"MISSING",IF(MIN($W26,$X26)&lt;MAX('TRIP MANAGER'!$L$18:$L$25),"EXPIRED","VALID"))))</f>
        <v/>
      </c>
      <c r="AA26" s="4"/>
      <c r="AB26" s="4"/>
      <c r="AC26" s="4"/>
      <c r="AD26" s="4"/>
      <c r="AE26" s="10" t="str">
        <f>IF($A26="","",admin!$B$2&amp;"\PaxCrewDocs\"&amp;$B26&amp;"\"&amp;$A26)</f>
        <v/>
      </c>
      <c r="AF26" s="10" t="str">
        <f t="shared" si="1"/>
        <v/>
      </c>
      <c r="AG26" s="10" t="str">
        <f t="shared" si="2"/>
        <v/>
      </c>
      <c r="AH26" s="10" t="str">
        <f t="shared" si="3"/>
        <v/>
      </c>
      <c r="AI26" s="1" t="str">
        <f t="shared" si="4"/>
        <v/>
      </c>
      <c r="AJ26" t="str">
        <f>IF($A26="","",IF($B26='TRIP MANAGER'!$B$5,COUNTIFS($A$3:$A26,"&lt;&gt;",$B$3:$B26,$B26),""))</f>
        <v/>
      </c>
      <c r="AK26" t="str">
        <f>IF($A26="","",COUNTIF(DOCUMENTS!$C$5:$C$44,$A26))</f>
        <v/>
      </c>
      <c r="AL26" t="str">
        <f>IF($A26="","",COUNTIFS(DOCUMENTS!$C$5:$C$44,$A26,DOCUMENTS!$AI$5:$AI$44,"&lt;&gt;")-COUNTIFS(DOCUMENTS!$C$5:$C$44,$A26,DOCUMENTS!$AI$5:$AI$44,"REJECT DOCUMENT"))</f>
        <v/>
      </c>
      <c r="AM26" t="str">
        <f>IF($A26="","",COUNTIFS(DOCUMENTS!$C$5:$C$44,$A26,DOCUMENTS!$AI$5:$AI$44,""))</f>
        <v/>
      </c>
      <c r="AN26" t="str" cm="1">
        <f t="array" ref="AN26">IF($A26="","",SUMPRODUCT((DOCUMENTS!$C$5:$C$44=$A26)*(ISNUMBER(SEARCH("MISMATCH",DOCUMENTS!$AH$5:$AH$44)))))</f>
        <v/>
      </c>
    </row>
    <row r="27" spans="1:40" x14ac:dyDescent="0.3">
      <c r="A27" s="4"/>
      <c r="B27" s="28" t="str">
        <f>'TRIP MANAGER'!$B$5</f>
        <v>JTL-2608-001</v>
      </c>
      <c r="C27" s="4"/>
      <c r="D27" s="4"/>
      <c r="E27" s="4"/>
      <c r="F27" s="4"/>
      <c r="G27" s="4"/>
      <c r="H27" s="4"/>
      <c r="I27" s="4"/>
      <c r="J27" s="9"/>
      <c r="K27" s="10" t="str">
        <f t="shared" ca="1" si="0"/>
        <v/>
      </c>
      <c r="L27" s="4"/>
      <c r="M27" s="4"/>
      <c r="N27" s="4"/>
      <c r="O27" s="9"/>
      <c r="P27" s="9"/>
      <c r="Q27" s="10" t="str">
        <f>IF($P27="","MISSING",IF($P27&lt;MAX('TRIP MANAGER'!$L$18:$L$25),"EXPIRES BEFORE TRIP",IF($P27&lt;MAX('TRIP MANAGER'!$L$18:$L$25)+180,"UNDER 6 MONTHS","VALID")))</f>
        <v>MISSING</v>
      </c>
      <c r="R27" s="28" t="str" cm="1">
        <f t="array" ref="R27">IF($A27="","",IFERROR(INDEX('TRIP MANAGER'!$E$97:$J$97,INDEX('TRIP MANAGER'!$AJ$18:$AJ$37,MATCH($L27,'TRIP MANAGER'!$AH$18:$AH$37,0))),"NOT ASSESSED"))</f>
        <v/>
      </c>
      <c r="S27" s="4"/>
      <c r="T27" s="9"/>
      <c r="U27" s="10" t="str">
        <f>IF($A27="","",IF($R27="NO","N/A",IF(OR($R27="VERIFY",$R27="NOT ASSESSED"),"VISA RULE NOT ON FILE",IF($T27="","MISSING",IF($T27&lt;MAX('TRIP MANAGER'!$L$18:$L$25),"EXPIRED","VALID")))))</f>
        <v/>
      </c>
      <c r="V27" s="4"/>
      <c r="W27" s="9"/>
      <c r="X27" s="9"/>
      <c r="Y27" s="4"/>
      <c r="Z27" s="10" t="str">
        <f>IF($A27="","",IF(UPPER($C27)&lt;&gt;"CREW","N/A",IF(OR($W27="",$X27=""),"MISSING",IF(MIN($W27,$X27)&lt;MAX('TRIP MANAGER'!$L$18:$L$25),"EXPIRED","VALID"))))</f>
        <v/>
      </c>
      <c r="AA27" s="4"/>
      <c r="AB27" s="4"/>
      <c r="AC27" s="4"/>
      <c r="AD27" s="4"/>
      <c r="AE27" s="10" t="str">
        <f>IF($A27="","",admin!$B$2&amp;"\PaxCrewDocs\"&amp;$B27&amp;"\"&amp;$A27)</f>
        <v/>
      </c>
      <c r="AF27" s="10" t="str">
        <f t="shared" si="1"/>
        <v/>
      </c>
      <c r="AG27" s="10" t="str">
        <f t="shared" si="2"/>
        <v/>
      </c>
      <c r="AH27" s="10" t="str">
        <f t="shared" si="3"/>
        <v/>
      </c>
      <c r="AI27" s="1" t="str">
        <f t="shared" si="4"/>
        <v/>
      </c>
      <c r="AJ27" t="str">
        <f>IF($A27="","",IF($B27='TRIP MANAGER'!$B$5,COUNTIFS($A$3:$A27,"&lt;&gt;",$B$3:$B27,$B27),""))</f>
        <v/>
      </c>
      <c r="AK27" t="str">
        <f>IF($A27="","",COUNTIF(DOCUMENTS!$C$5:$C$44,$A27))</f>
        <v/>
      </c>
      <c r="AL27" t="str">
        <f>IF($A27="","",COUNTIFS(DOCUMENTS!$C$5:$C$44,$A27,DOCUMENTS!$AI$5:$AI$44,"&lt;&gt;")-COUNTIFS(DOCUMENTS!$C$5:$C$44,$A27,DOCUMENTS!$AI$5:$AI$44,"REJECT DOCUMENT"))</f>
        <v/>
      </c>
      <c r="AM27" t="str">
        <f>IF($A27="","",COUNTIFS(DOCUMENTS!$C$5:$C$44,$A27,DOCUMENTS!$AI$5:$AI$44,""))</f>
        <v/>
      </c>
      <c r="AN27" t="str" cm="1">
        <f t="array" ref="AN27">IF($A27="","",SUMPRODUCT((DOCUMENTS!$C$5:$C$44=$A27)*(ISNUMBER(SEARCH("MISMATCH",DOCUMENTS!$AH$5:$AH$44)))))</f>
        <v/>
      </c>
    </row>
    <row r="28" spans="1:40" x14ac:dyDescent="0.3">
      <c r="A28" s="4"/>
      <c r="B28" s="28" t="str">
        <f>'TRIP MANAGER'!$B$5</f>
        <v>JTL-2608-001</v>
      </c>
      <c r="C28" s="4"/>
      <c r="D28" s="4"/>
      <c r="E28" s="4"/>
      <c r="F28" s="4"/>
      <c r="G28" s="4"/>
      <c r="H28" s="4"/>
      <c r="I28" s="4"/>
      <c r="J28" s="9"/>
      <c r="K28" s="10" t="str">
        <f t="shared" ca="1" si="0"/>
        <v/>
      </c>
      <c r="L28" s="4"/>
      <c r="M28" s="4"/>
      <c r="N28" s="4"/>
      <c r="O28" s="9"/>
      <c r="P28" s="9"/>
      <c r="Q28" s="10" t="str">
        <f>IF($P28="","MISSING",IF($P28&lt;MAX('TRIP MANAGER'!$L$18:$L$25),"EXPIRES BEFORE TRIP",IF($P28&lt;MAX('TRIP MANAGER'!$L$18:$L$25)+180,"UNDER 6 MONTHS","VALID")))</f>
        <v>MISSING</v>
      </c>
      <c r="R28" s="28" t="str" cm="1">
        <f t="array" ref="R28">IF($A28="","",IFERROR(INDEX('TRIP MANAGER'!$E$97:$J$97,INDEX('TRIP MANAGER'!$AJ$18:$AJ$37,MATCH($L28,'TRIP MANAGER'!$AH$18:$AH$37,0))),"NOT ASSESSED"))</f>
        <v/>
      </c>
      <c r="S28" s="4"/>
      <c r="T28" s="9"/>
      <c r="U28" s="10" t="str">
        <f>IF($A28="","",IF($R28="NO","N/A",IF(OR($R28="VERIFY",$R28="NOT ASSESSED"),"VISA RULE NOT ON FILE",IF($T28="","MISSING",IF($T28&lt;MAX('TRIP MANAGER'!$L$18:$L$25),"EXPIRED","VALID")))))</f>
        <v/>
      </c>
      <c r="V28" s="4"/>
      <c r="W28" s="9"/>
      <c r="X28" s="9"/>
      <c r="Y28" s="4"/>
      <c r="Z28" s="10" t="str">
        <f>IF($A28="","",IF(UPPER($C28)&lt;&gt;"CREW","N/A",IF(OR($W28="",$X28=""),"MISSING",IF(MIN($W28,$X28)&lt;MAX('TRIP MANAGER'!$L$18:$L$25),"EXPIRED","VALID"))))</f>
        <v/>
      </c>
      <c r="AA28" s="4"/>
      <c r="AB28" s="4"/>
      <c r="AC28" s="4"/>
      <c r="AD28" s="4"/>
      <c r="AE28" s="10" t="str">
        <f>IF($A28="","",admin!$B$2&amp;"\PaxCrewDocs\"&amp;$B28&amp;"\"&amp;$A28)</f>
        <v/>
      </c>
      <c r="AF28" s="10" t="str">
        <f t="shared" si="1"/>
        <v/>
      </c>
      <c r="AG28" s="10" t="str">
        <f t="shared" si="2"/>
        <v/>
      </c>
      <c r="AH28" s="10" t="str">
        <f t="shared" si="3"/>
        <v/>
      </c>
      <c r="AI28" s="1" t="str">
        <f t="shared" si="4"/>
        <v/>
      </c>
      <c r="AJ28" t="str">
        <f>IF($A28="","",IF($B28='TRIP MANAGER'!$B$5,COUNTIFS($A$3:$A28,"&lt;&gt;",$B$3:$B28,$B28),""))</f>
        <v/>
      </c>
      <c r="AK28" t="str">
        <f>IF($A28="","",COUNTIF(DOCUMENTS!$C$5:$C$44,$A28))</f>
        <v/>
      </c>
      <c r="AL28" t="str">
        <f>IF($A28="","",COUNTIFS(DOCUMENTS!$C$5:$C$44,$A28,DOCUMENTS!$AI$5:$AI$44,"&lt;&gt;")-COUNTIFS(DOCUMENTS!$C$5:$C$44,$A28,DOCUMENTS!$AI$5:$AI$44,"REJECT DOCUMENT"))</f>
        <v/>
      </c>
      <c r="AM28" t="str">
        <f>IF($A28="","",COUNTIFS(DOCUMENTS!$C$5:$C$44,$A28,DOCUMENTS!$AI$5:$AI$44,""))</f>
        <v/>
      </c>
      <c r="AN28" t="str" cm="1">
        <f t="array" ref="AN28">IF($A28="","",SUMPRODUCT((DOCUMENTS!$C$5:$C$44=$A28)*(ISNUMBER(SEARCH("MISMATCH",DOCUMENTS!$AH$5:$AH$44)))))</f>
        <v/>
      </c>
    </row>
    <row r="29" spans="1:40" x14ac:dyDescent="0.3">
      <c r="A29" s="4"/>
      <c r="B29" s="28" t="str">
        <f>'TRIP MANAGER'!$B$5</f>
        <v>JTL-2608-001</v>
      </c>
      <c r="C29" s="4"/>
      <c r="D29" s="4"/>
      <c r="E29" s="4"/>
      <c r="F29" s="4"/>
      <c r="G29" s="4"/>
      <c r="H29" s="4"/>
      <c r="I29" s="4"/>
      <c r="J29" s="9"/>
      <c r="K29" s="10" t="str">
        <f t="shared" ca="1" si="0"/>
        <v/>
      </c>
      <c r="L29" s="4"/>
      <c r="M29" s="4"/>
      <c r="N29" s="4"/>
      <c r="O29" s="9"/>
      <c r="P29" s="9"/>
      <c r="Q29" s="10" t="str">
        <f>IF($P29="","MISSING",IF($P29&lt;MAX('TRIP MANAGER'!$L$18:$L$25),"EXPIRES BEFORE TRIP",IF($P29&lt;MAX('TRIP MANAGER'!$L$18:$L$25)+180,"UNDER 6 MONTHS","VALID")))</f>
        <v>MISSING</v>
      </c>
      <c r="R29" s="28" t="str" cm="1">
        <f t="array" ref="R29">IF($A29="","",IFERROR(INDEX('TRIP MANAGER'!$E$97:$J$97,INDEX('TRIP MANAGER'!$AJ$18:$AJ$37,MATCH($L29,'TRIP MANAGER'!$AH$18:$AH$37,0))),"NOT ASSESSED"))</f>
        <v/>
      </c>
      <c r="S29" s="4"/>
      <c r="T29" s="9"/>
      <c r="U29" s="10" t="str">
        <f>IF($A29="","",IF($R29="NO","N/A",IF(OR($R29="VERIFY",$R29="NOT ASSESSED"),"VISA RULE NOT ON FILE",IF($T29="","MISSING",IF($T29&lt;MAX('TRIP MANAGER'!$L$18:$L$25),"EXPIRED","VALID")))))</f>
        <v/>
      </c>
      <c r="V29" s="4"/>
      <c r="W29" s="9"/>
      <c r="X29" s="9"/>
      <c r="Y29" s="4"/>
      <c r="Z29" s="10" t="str">
        <f>IF($A29="","",IF(UPPER($C29)&lt;&gt;"CREW","N/A",IF(OR($W29="",$X29=""),"MISSING",IF(MIN($W29,$X29)&lt;MAX('TRIP MANAGER'!$L$18:$L$25),"EXPIRED","VALID"))))</f>
        <v/>
      </c>
      <c r="AA29" s="4"/>
      <c r="AB29" s="4"/>
      <c r="AC29" s="4"/>
      <c r="AD29" s="4"/>
      <c r="AE29" s="10" t="str">
        <f>IF($A29="","",admin!$B$2&amp;"\PaxCrewDocs\"&amp;$B29&amp;"\"&amp;$A29)</f>
        <v/>
      </c>
      <c r="AF29" s="10" t="str">
        <f t="shared" si="1"/>
        <v/>
      </c>
      <c r="AG29" s="10" t="str">
        <f t="shared" si="2"/>
        <v/>
      </c>
      <c r="AH29" s="10" t="str">
        <f t="shared" si="3"/>
        <v/>
      </c>
      <c r="AI29" s="1" t="str">
        <f t="shared" si="4"/>
        <v/>
      </c>
      <c r="AJ29" t="str">
        <f>IF($A29="","",IF($B29='TRIP MANAGER'!$B$5,COUNTIFS($A$3:$A29,"&lt;&gt;",$B$3:$B29,$B29),""))</f>
        <v/>
      </c>
      <c r="AK29" t="str">
        <f>IF($A29="","",COUNTIF(DOCUMENTS!$C$5:$C$44,$A29))</f>
        <v/>
      </c>
      <c r="AL29" t="str">
        <f>IF($A29="","",COUNTIFS(DOCUMENTS!$C$5:$C$44,$A29,DOCUMENTS!$AI$5:$AI$44,"&lt;&gt;")-COUNTIFS(DOCUMENTS!$C$5:$C$44,$A29,DOCUMENTS!$AI$5:$AI$44,"REJECT DOCUMENT"))</f>
        <v/>
      </c>
      <c r="AM29" t="str">
        <f>IF($A29="","",COUNTIFS(DOCUMENTS!$C$5:$C$44,$A29,DOCUMENTS!$AI$5:$AI$44,""))</f>
        <v/>
      </c>
      <c r="AN29" t="str" cm="1">
        <f t="array" ref="AN29">IF($A29="","",SUMPRODUCT((DOCUMENTS!$C$5:$C$44=$A29)*(ISNUMBER(SEARCH("MISMATCH",DOCUMENTS!$AH$5:$AH$44)))))</f>
        <v/>
      </c>
    </row>
    <row r="30" spans="1:40" x14ac:dyDescent="0.3">
      <c r="A30" s="4"/>
      <c r="B30" s="28" t="str">
        <f>'TRIP MANAGER'!$B$5</f>
        <v>JTL-2608-001</v>
      </c>
      <c r="C30" s="4"/>
      <c r="D30" s="4"/>
      <c r="E30" s="4"/>
      <c r="F30" s="4"/>
      <c r="G30" s="4"/>
      <c r="H30" s="4"/>
      <c r="I30" s="4"/>
      <c r="J30" s="9"/>
      <c r="K30" s="10" t="str">
        <f t="shared" ca="1" si="0"/>
        <v/>
      </c>
      <c r="L30" s="4"/>
      <c r="M30" s="4"/>
      <c r="N30" s="4"/>
      <c r="O30" s="9"/>
      <c r="P30" s="9"/>
      <c r="Q30" s="10" t="str">
        <f>IF($P30="","MISSING",IF($P30&lt;MAX('TRIP MANAGER'!$L$18:$L$25),"EXPIRES BEFORE TRIP",IF($P30&lt;MAX('TRIP MANAGER'!$L$18:$L$25)+180,"UNDER 6 MONTHS","VALID")))</f>
        <v>MISSING</v>
      </c>
      <c r="R30" s="28" t="str" cm="1">
        <f t="array" ref="R30">IF($A30="","",IFERROR(INDEX('TRIP MANAGER'!$E$97:$J$97,INDEX('TRIP MANAGER'!$AJ$18:$AJ$37,MATCH($L30,'TRIP MANAGER'!$AH$18:$AH$37,0))),"NOT ASSESSED"))</f>
        <v/>
      </c>
      <c r="S30" s="4"/>
      <c r="T30" s="9"/>
      <c r="U30" s="10" t="str">
        <f>IF($A30="","",IF($R30="NO","N/A",IF(OR($R30="VERIFY",$R30="NOT ASSESSED"),"VISA RULE NOT ON FILE",IF($T30="","MISSING",IF($T30&lt;MAX('TRIP MANAGER'!$L$18:$L$25),"EXPIRED","VALID")))))</f>
        <v/>
      </c>
      <c r="V30" s="4"/>
      <c r="W30" s="9"/>
      <c r="X30" s="9"/>
      <c r="Y30" s="4"/>
      <c r="Z30" s="10" t="str">
        <f>IF($A30="","",IF(UPPER($C30)&lt;&gt;"CREW","N/A",IF(OR($W30="",$X30=""),"MISSING",IF(MIN($W30,$X30)&lt;MAX('TRIP MANAGER'!$L$18:$L$25),"EXPIRED","VALID"))))</f>
        <v/>
      </c>
      <c r="AA30" s="4"/>
      <c r="AB30" s="4"/>
      <c r="AC30" s="4"/>
      <c r="AD30" s="4"/>
      <c r="AE30" s="10" t="str">
        <f>IF($A30="","",admin!$B$2&amp;"\PaxCrewDocs\"&amp;$B30&amp;"\"&amp;$A30)</f>
        <v/>
      </c>
      <c r="AF30" s="10" t="str">
        <f t="shared" si="1"/>
        <v/>
      </c>
      <c r="AG30" s="10" t="str">
        <f t="shared" si="2"/>
        <v/>
      </c>
      <c r="AH30" s="10" t="str">
        <f t="shared" si="3"/>
        <v/>
      </c>
      <c r="AI30" s="1" t="str">
        <f t="shared" si="4"/>
        <v/>
      </c>
      <c r="AJ30" t="str">
        <f>IF($A30="","",IF($B30='TRIP MANAGER'!$B$5,COUNTIFS($A$3:$A30,"&lt;&gt;",$B$3:$B30,$B30),""))</f>
        <v/>
      </c>
      <c r="AK30" t="str">
        <f>IF($A30="","",COUNTIF(DOCUMENTS!$C$5:$C$44,$A30))</f>
        <v/>
      </c>
      <c r="AL30" t="str">
        <f>IF($A30="","",COUNTIFS(DOCUMENTS!$C$5:$C$44,$A30,DOCUMENTS!$AI$5:$AI$44,"&lt;&gt;")-COUNTIFS(DOCUMENTS!$C$5:$C$44,$A30,DOCUMENTS!$AI$5:$AI$44,"REJECT DOCUMENT"))</f>
        <v/>
      </c>
      <c r="AM30" t="str">
        <f>IF($A30="","",COUNTIFS(DOCUMENTS!$C$5:$C$44,$A30,DOCUMENTS!$AI$5:$AI$44,""))</f>
        <v/>
      </c>
      <c r="AN30" t="str" cm="1">
        <f t="array" ref="AN30">IF($A30="","",SUMPRODUCT((DOCUMENTS!$C$5:$C$44=$A30)*(ISNUMBER(SEARCH("MISMATCH",DOCUMENTS!$AH$5:$AH$44)))))</f>
        <v/>
      </c>
    </row>
    <row r="31" spans="1:40" x14ac:dyDescent="0.3">
      <c r="A31" s="4"/>
      <c r="B31" s="28" t="str">
        <f>'TRIP MANAGER'!$B$5</f>
        <v>JTL-2608-001</v>
      </c>
      <c r="C31" s="4"/>
      <c r="D31" s="4"/>
      <c r="E31" s="4"/>
      <c r="F31" s="4"/>
      <c r="G31" s="4"/>
      <c r="H31" s="4"/>
      <c r="I31" s="4"/>
      <c r="J31" s="9"/>
      <c r="K31" s="10" t="str">
        <f t="shared" ca="1" si="0"/>
        <v/>
      </c>
      <c r="L31" s="4"/>
      <c r="M31" s="4"/>
      <c r="N31" s="4"/>
      <c r="O31" s="9"/>
      <c r="P31" s="9"/>
      <c r="Q31" s="10" t="str">
        <f>IF($P31="","MISSING",IF($P31&lt;MAX('TRIP MANAGER'!$L$18:$L$25),"EXPIRES BEFORE TRIP",IF($P31&lt;MAX('TRIP MANAGER'!$L$18:$L$25)+180,"UNDER 6 MONTHS","VALID")))</f>
        <v>MISSING</v>
      </c>
      <c r="R31" s="28" t="str" cm="1">
        <f t="array" ref="R31">IF($A31="","",IFERROR(INDEX('TRIP MANAGER'!$E$97:$J$97,INDEX('TRIP MANAGER'!$AJ$18:$AJ$37,MATCH($L31,'TRIP MANAGER'!$AH$18:$AH$37,0))),"NOT ASSESSED"))</f>
        <v/>
      </c>
      <c r="S31" s="4"/>
      <c r="T31" s="9"/>
      <c r="U31" s="10" t="str">
        <f>IF($A31="","",IF($R31="NO","N/A",IF(OR($R31="VERIFY",$R31="NOT ASSESSED"),"VISA RULE NOT ON FILE",IF($T31="","MISSING",IF($T31&lt;MAX('TRIP MANAGER'!$L$18:$L$25),"EXPIRED","VALID")))))</f>
        <v/>
      </c>
      <c r="V31" s="4"/>
      <c r="W31" s="9"/>
      <c r="X31" s="9"/>
      <c r="Y31" s="4"/>
      <c r="Z31" s="10" t="str">
        <f>IF($A31="","",IF(UPPER($C31)&lt;&gt;"CREW","N/A",IF(OR($W31="",$X31=""),"MISSING",IF(MIN($W31,$X31)&lt;MAX('TRIP MANAGER'!$L$18:$L$25),"EXPIRED","VALID"))))</f>
        <v/>
      </c>
      <c r="AA31" s="4"/>
      <c r="AB31" s="4"/>
      <c r="AC31" s="4"/>
      <c r="AD31" s="4"/>
      <c r="AE31" s="10" t="str">
        <f>IF($A31="","",admin!$B$2&amp;"\PaxCrewDocs\"&amp;$B31&amp;"\"&amp;$A31)</f>
        <v/>
      </c>
      <c r="AF31" s="10" t="str">
        <f t="shared" si="1"/>
        <v/>
      </c>
      <c r="AG31" s="10" t="str">
        <f t="shared" si="2"/>
        <v/>
      </c>
      <c r="AH31" s="10" t="str">
        <f t="shared" si="3"/>
        <v/>
      </c>
      <c r="AI31" s="1" t="str">
        <f t="shared" si="4"/>
        <v/>
      </c>
      <c r="AJ31" t="str">
        <f>IF($A31="","",IF($B31='TRIP MANAGER'!$B$5,COUNTIFS($A$3:$A31,"&lt;&gt;",$B$3:$B31,$B31),""))</f>
        <v/>
      </c>
      <c r="AK31" t="str">
        <f>IF($A31="","",COUNTIF(DOCUMENTS!$C$5:$C$44,$A31))</f>
        <v/>
      </c>
      <c r="AL31" t="str">
        <f>IF($A31="","",COUNTIFS(DOCUMENTS!$C$5:$C$44,$A31,DOCUMENTS!$AI$5:$AI$44,"&lt;&gt;")-COUNTIFS(DOCUMENTS!$C$5:$C$44,$A31,DOCUMENTS!$AI$5:$AI$44,"REJECT DOCUMENT"))</f>
        <v/>
      </c>
      <c r="AM31" t="str">
        <f>IF($A31="","",COUNTIFS(DOCUMENTS!$C$5:$C$44,$A31,DOCUMENTS!$AI$5:$AI$44,""))</f>
        <v/>
      </c>
      <c r="AN31" t="str" cm="1">
        <f t="array" ref="AN31">IF($A31="","",SUMPRODUCT((DOCUMENTS!$C$5:$C$44=$A31)*(ISNUMBER(SEARCH("MISMATCH",DOCUMENTS!$AH$5:$AH$44)))))</f>
        <v/>
      </c>
    </row>
    <row r="32" spans="1:40" x14ac:dyDescent="0.3">
      <c r="A32" s="4"/>
      <c r="B32" s="28" t="str">
        <f>'TRIP MANAGER'!$B$5</f>
        <v>JTL-2608-001</v>
      </c>
      <c r="C32" s="4"/>
      <c r="D32" s="4"/>
      <c r="E32" s="4"/>
      <c r="F32" s="4"/>
      <c r="G32" s="4"/>
      <c r="H32" s="4"/>
      <c r="I32" s="4"/>
      <c r="J32" s="9"/>
      <c r="K32" s="10" t="str">
        <f t="shared" ca="1" si="0"/>
        <v/>
      </c>
      <c r="L32" s="4"/>
      <c r="M32" s="4"/>
      <c r="N32" s="4"/>
      <c r="O32" s="9"/>
      <c r="P32" s="9"/>
      <c r="Q32" s="10" t="str">
        <f>IF($P32="","MISSING",IF($P32&lt;MAX('TRIP MANAGER'!$L$18:$L$25),"EXPIRES BEFORE TRIP",IF($P32&lt;MAX('TRIP MANAGER'!$L$18:$L$25)+180,"UNDER 6 MONTHS","VALID")))</f>
        <v>MISSING</v>
      </c>
      <c r="R32" s="28" t="str" cm="1">
        <f t="array" ref="R32">IF($A32="","",IFERROR(INDEX('TRIP MANAGER'!$E$97:$J$97,INDEX('TRIP MANAGER'!$AJ$18:$AJ$37,MATCH($L32,'TRIP MANAGER'!$AH$18:$AH$37,0))),"NOT ASSESSED"))</f>
        <v/>
      </c>
      <c r="S32" s="4"/>
      <c r="T32" s="9"/>
      <c r="U32" s="10" t="str">
        <f>IF($A32="","",IF($R32="NO","N/A",IF(OR($R32="VERIFY",$R32="NOT ASSESSED"),"VISA RULE NOT ON FILE",IF($T32="","MISSING",IF($T32&lt;MAX('TRIP MANAGER'!$L$18:$L$25),"EXPIRED","VALID")))))</f>
        <v/>
      </c>
      <c r="V32" s="4"/>
      <c r="W32" s="9"/>
      <c r="X32" s="9"/>
      <c r="Y32" s="4"/>
      <c r="Z32" s="10" t="str">
        <f>IF($A32="","",IF(UPPER($C32)&lt;&gt;"CREW","N/A",IF(OR($W32="",$X32=""),"MISSING",IF(MIN($W32,$X32)&lt;MAX('TRIP MANAGER'!$L$18:$L$25),"EXPIRED","VALID"))))</f>
        <v/>
      </c>
      <c r="AA32" s="4"/>
      <c r="AB32" s="4"/>
      <c r="AC32" s="4"/>
      <c r="AD32" s="4"/>
      <c r="AE32" s="10" t="str">
        <f>IF($A32="","",admin!$B$2&amp;"\PaxCrewDocs\"&amp;$B32&amp;"\"&amp;$A32)</f>
        <v/>
      </c>
      <c r="AF32" s="10" t="str">
        <f t="shared" si="1"/>
        <v/>
      </c>
      <c r="AG32" s="10" t="str">
        <f t="shared" si="2"/>
        <v/>
      </c>
      <c r="AH32" s="10" t="str">
        <f t="shared" si="3"/>
        <v/>
      </c>
      <c r="AI32" s="1" t="str">
        <f t="shared" si="4"/>
        <v/>
      </c>
      <c r="AJ32" t="str">
        <f>IF($A32="","",IF($B32='TRIP MANAGER'!$B$5,COUNTIFS($A$3:$A32,"&lt;&gt;",$B$3:$B32,$B32),""))</f>
        <v/>
      </c>
      <c r="AK32" t="str">
        <f>IF($A32="","",COUNTIF(DOCUMENTS!$C$5:$C$44,$A32))</f>
        <v/>
      </c>
      <c r="AL32" t="str">
        <f>IF($A32="","",COUNTIFS(DOCUMENTS!$C$5:$C$44,$A32,DOCUMENTS!$AI$5:$AI$44,"&lt;&gt;")-COUNTIFS(DOCUMENTS!$C$5:$C$44,$A32,DOCUMENTS!$AI$5:$AI$44,"REJECT DOCUMENT"))</f>
        <v/>
      </c>
      <c r="AM32" t="str">
        <f>IF($A32="","",COUNTIFS(DOCUMENTS!$C$5:$C$44,$A32,DOCUMENTS!$AI$5:$AI$44,""))</f>
        <v/>
      </c>
      <c r="AN32" t="str" cm="1">
        <f t="array" ref="AN32">IF($A32="","",SUMPRODUCT((DOCUMENTS!$C$5:$C$44=$A32)*(ISNUMBER(SEARCH("MISMATCH",DOCUMENTS!$AH$5:$AH$44)))))</f>
        <v/>
      </c>
    </row>
    <row r="33" spans="1:40" x14ac:dyDescent="0.3">
      <c r="A33" s="4"/>
      <c r="B33" s="28" t="str">
        <f>'TRIP MANAGER'!$B$5</f>
        <v>JTL-2608-001</v>
      </c>
      <c r="C33" s="4"/>
      <c r="D33" s="4"/>
      <c r="E33" s="4"/>
      <c r="F33" s="4"/>
      <c r="G33" s="4"/>
      <c r="H33" s="4"/>
      <c r="I33" s="4"/>
      <c r="J33" s="9"/>
      <c r="K33" s="10" t="str">
        <f t="shared" ca="1" si="0"/>
        <v/>
      </c>
      <c r="L33" s="4"/>
      <c r="M33" s="4"/>
      <c r="N33" s="4"/>
      <c r="O33" s="9"/>
      <c r="P33" s="9"/>
      <c r="Q33" s="10" t="str">
        <f>IF($P33="","MISSING",IF($P33&lt;MAX('TRIP MANAGER'!$L$18:$L$25),"EXPIRES BEFORE TRIP",IF($P33&lt;MAX('TRIP MANAGER'!$L$18:$L$25)+180,"UNDER 6 MONTHS","VALID")))</f>
        <v>MISSING</v>
      </c>
      <c r="R33" s="28" t="str" cm="1">
        <f t="array" ref="R33">IF($A33="","",IFERROR(INDEX('TRIP MANAGER'!$E$97:$J$97,INDEX('TRIP MANAGER'!$AJ$18:$AJ$37,MATCH($L33,'TRIP MANAGER'!$AH$18:$AH$37,0))),"NOT ASSESSED"))</f>
        <v/>
      </c>
      <c r="S33" s="4"/>
      <c r="T33" s="9"/>
      <c r="U33" s="10" t="str">
        <f>IF($A33="","",IF($R33="NO","N/A",IF(OR($R33="VERIFY",$R33="NOT ASSESSED"),"VISA RULE NOT ON FILE",IF($T33="","MISSING",IF($T33&lt;MAX('TRIP MANAGER'!$L$18:$L$25),"EXPIRED","VALID")))))</f>
        <v/>
      </c>
      <c r="V33" s="4"/>
      <c r="W33" s="9"/>
      <c r="X33" s="9"/>
      <c r="Y33" s="4"/>
      <c r="Z33" s="10" t="str">
        <f>IF($A33="","",IF(UPPER($C33)&lt;&gt;"CREW","N/A",IF(OR($W33="",$X33=""),"MISSING",IF(MIN($W33,$X33)&lt;MAX('TRIP MANAGER'!$L$18:$L$25),"EXPIRED","VALID"))))</f>
        <v/>
      </c>
      <c r="AA33" s="4"/>
      <c r="AB33" s="4"/>
      <c r="AC33" s="4"/>
      <c r="AD33" s="4"/>
      <c r="AE33" s="10" t="str">
        <f>IF($A33="","",admin!$B$2&amp;"\PaxCrewDocs\"&amp;$B33&amp;"\"&amp;$A33)</f>
        <v/>
      </c>
      <c r="AF33" s="10" t="str">
        <f t="shared" si="1"/>
        <v/>
      </c>
      <c r="AG33" s="10" t="str">
        <f t="shared" si="2"/>
        <v/>
      </c>
      <c r="AH33" s="10" t="str">
        <f t="shared" si="3"/>
        <v/>
      </c>
      <c r="AI33" s="1" t="str">
        <f t="shared" si="4"/>
        <v/>
      </c>
      <c r="AJ33" t="str">
        <f>IF($A33="","",IF($B33='TRIP MANAGER'!$B$5,COUNTIFS($A$3:$A33,"&lt;&gt;",$B$3:$B33,$B33),""))</f>
        <v/>
      </c>
      <c r="AK33" t="str">
        <f>IF($A33="","",COUNTIF(DOCUMENTS!$C$5:$C$44,$A33))</f>
        <v/>
      </c>
      <c r="AL33" t="str">
        <f>IF($A33="","",COUNTIFS(DOCUMENTS!$C$5:$C$44,$A33,DOCUMENTS!$AI$5:$AI$44,"&lt;&gt;")-COUNTIFS(DOCUMENTS!$C$5:$C$44,$A33,DOCUMENTS!$AI$5:$AI$44,"REJECT DOCUMENT"))</f>
        <v/>
      </c>
      <c r="AM33" t="str">
        <f>IF($A33="","",COUNTIFS(DOCUMENTS!$C$5:$C$44,$A33,DOCUMENTS!$AI$5:$AI$44,""))</f>
        <v/>
      </c>
      <c r="AN33" t="str" cm="1">
        <f t="array" ref="AN33">IF($A33="","",SUMPRODUCT((DOCUMENTS!$C$5:$C$44=$A33)*(ISNUMBER(SEARCH("MISMATCH",DOCUMENTS!$AH$5:$AH$44)))))</f>
        <v/>
      </c>
    </row>
    <row r="34" spans="1:40" x14ac:dyDescent="0.3">
      <c r="A34" s="4"/>
      <c r="B34" s="28" t="str">
        <f>'TRIP MANAGER'!$B$5</f>
        <v>JTL-2608-001</v>
      </c>
      <c r="C34" s="4"/>
      <c r="D34" s="4"/>
      <c r="E34" s="4"/>
      <c r="F34" s="4"/>
      <c r="G34" s="4"/>
      <c r="H34" s="4"/>
      <c r="I34" s="4"/>
      <c r="J34" s="9"/>
      <c r="K34" s="10" t="str">
        <f t="shared" ca="1" si="0"/>
        <v/>
      </c>
      <c r="L34" s="4"/>
      <c r="M34" s="4"/>
      <c r="N34" s="4"/>
      <c r="O34" s="9"/>
      <c r="P34" s="9"/>
      <c r="Q34" s="10" t="str">
        <f>IF($P34="","MISSING",IF($P34&lt;MAX('TRIP MANAGER'!$L$18:$L$25),"EXPIRES BEFORE TRIP",IF($P34&lt;MAX('TRIP MANAGER'!$L$18:$L$25)+180,"UNDER 6 MONTHS","VALID")))</f>
        <v>MISSING</v>
      </c>
      <c r="R34" s="28" t="str" cm="1">
        <f t="array" ref="R34">IF($A34="","",IFERROR(INDEX('TRIP MANAGER'!$E$97:$J$97,INDEX('TRIP MANAGER'!$AJ$18:$AJ$37,MATCH($L34,'TRIP MANAGER'!$AH$18:$AH$37,0))),"NOT ASSESSED"))</f>
        <v/>
      </c>
      <c r="S34" s="4"/>
      <c r="T34" s="9"/>
      <c r="U34" s="10" t="str">
        <f>IF($A34="","",IF($R34="NO","N/A",IF(OR($R34="VERIFY",$R34="NOT ASSESSED"),"VISA RULE NOT ON FILE",IF($T34="","MISSING",IF($T34&lt;MAX('TRIP MANAGER'!$L$18:$L$25),"EXPIRED","VALID")))))</f>
        <v/>
      </c>
      <c r="V34" s="4"/>
      <c r="W34" s="9"/>
      <c r="X34" s="9"/>
      <c r="Y34" s="4"/>
      <c r="Z34" s="10" t="str">
        <f>IF($A34="","",IF(UPPER($C34)&lt;&gt;"CREW","N/A",IF(OR($W34="",$X34=""),"MISSING",IF(MIN($W34,$X34)&lt;MAX('TRIP MANAGER'!$L$18:$L$25),"EXPIRED","VALID"))))</f>
        <v/>
      </c>
      <c r="AA34" s="4"/>
      <c r="AB34" s="4"/>
      <c r="AC34" s="4"/>
      <c r="AD34" s="4"/>
      <c r="AE34" s="10" t="str">
        <f>IF($A34="","",admin!$B$2&amp;"\PaxCrewDocs\"&amp;$B34&amp;"\"&amp;$A34)</f>
        <v/>
      </c>
      <c r="AF34" s="10" t="str">
        <f t="shared" si="1"/>
        <v/>
      </c>
      <c r="AG34" s="10" t="str">
        <f t="shared" si="2"/>
        <v/>
      </c>
      <c r="AH34" s="10" t="str">
        <f t="shared" si="3"/>
        <v/>
      </c>
      <c r="AI34" s="1" t="str">
        <f t="shared" si="4"/>
        <v/>
      </c>
      <c r="AJ34" t="str">
        <f>IF($A34="","",IF($B34='TRIP MANAGER'!$B$5,COUNTIFS($A$3:$A34,"&lt;&gt;",$B$3:$B34,$B34),""))</f>
        <v/>
      </c>
      <c r="AK34" t="str">
        <f>IF($A34="","",COUNTIF(DOCUMENTS!$C$5:$C$44,$A34))</f>
        <v/>
      </c>
      <c r="AL34" t="str">
        <f>IF($A34="","",COUNTIFS(DOCUMENTS!$C$5:$C$44,$A34,DOCUMENTS!$AI$5:$AI$44,"&lt;&gt;")-COUNTIFS(DOCUMENTS!$C$5:$C$44,$A34,DOCUMENTS!$AI$5:$AI$44,"REJECT DOCUMENT"))</f>
        <v/>
      </c>
      <c r="AM34" t="str">
        <f>IF($A34="","",COUNTIFS(DOCUMENTS!$C$5:$C$44,$A34,DOCUMENTS!$AI$5:$AI$44,""))</f>
        <v/>
      </c>
      <c r="AN34" t="str" cm="1">
        <f t="array" ref="AN34">IF($A34="","",SUMPRODUCT((DOCUMENTS!$C$5:$C$44=$A34)*(ISNUMBER(SEARCH("MISMATCH",DOCUMENTS!$AH$5:$AH$44)))))</f>
        <v/>
      </c>
    </row>
    <row r="35" spans="1:40" x14ac:dyDescent="0.3">
      <c r="A35" s="4"/>
      <c r="B35" s="28" t="str">
        <f>'TRIP MANAGER'!$B$5</f>
        <v>JTL-2608-001</v>
      </c>
      <c r="C35" s="4"/>
      <c r="D35" s="4"/>
      <c r="E35" s="4"/>
      <c r="F35" s="4"/>
      <c r="G35" s="4"/>
      <c r="H35" s="4"/>
      <c r="I35" s="4"/>
      <c r="J35" s="9"/>
      <c r="K35" s="10" t="str">
        <f t="shared" ca="1" si="0"/>
        <v/>
      </c>
      <c r="L35" s="4"/>
      <c r="M35" s="4"/>
      <c r="N35" s="4"/>
      <c r="O35" s="9"/>
      <c r="P35" s="9"/>
      <c r="Q35" s="10" t="str">
        <f>IF($P35="","MISSING",IF($P35&lt;MAX('TRIP MANAGER'!$L$18:$L$25),"EXPIRES BEFORE TRIP",IF($P35&lt;MAX('TRIP MANAGER'!$L$18:$L$25)+180,"UNDER 6 MONTHS","VALID")))</f>
        <v>MISSING</v>
      </c>
      <c r="R35" s="28" t="str" cm="1">
        <f t="array" ref="R35">IF($A35="","",IFERROR(INDEX('TRIP MANAGER'!$E$97:$J$97,INDEX('TRIP MANAGER'!$AJ$18:$AJ$37,MATCH($L35,'TRIP MANAGER'!$AH$18:$AH$37,0))),"NOT ASSESSED"))</f>
        <v/>
      </c>
      <c r="S35" s="4"/>
      <c r="T35" s="9"/>
      <c r="U35" s="10" t="str">
        <f>IF($A35="","",IF($R35="NO","N/A",IF(OR($R35="VERIFY",$R35="NOT ASSESSED"),"VISA RULE NOT ON FILE",IF($T35="","MISSING",IF($T35&lt;MAX('TRIP MANAGER'!$L$18:$L$25),"EXPIRED","VALID")))))</f>
        <v/>
      </c>
      <c r="V35" s="4"/>
      <c r="W35" s="9"/>
      <c r="X35" s="9"/>
      <c r="Y35" s="4"/>
      <c r="Z35" s="10" t="str">
        <f>IF($A35="","",IF(UPPER($C35)&lt;&gt;"CREW","N/A",IF(OR($W35="",$X35=""),"MISSING",IF(MIN($W35,$X35)&lt;MAX('TRIP MANAGER'!$L$18:$L$25),"EXPIRED","VALID"))))</f>
        <v/>
      </c>
      <c r="AA35" s="4"/>
      <c r="AB35" s="4"/>
      <c r="AC35" s="4"/>
      <c r="AD35" s="4"/>
      <c r="AE35" s="10" t="str">
        <f>IF($A35="","",admin!$B$2&amp;"\PaxCrewDocs\"&amp;$B35&amp;"\"&amp;$A35)</f>
        <v/>
      </c>
      <c r="AF35" s="10" t="str">
        <f t="shared" si="1"/>
        <v/>
      </c>
      <c r="AG35" s="10" t="str">
        <f t="shared" si="2"/>
        <v/>
      </c>
      <c r="AH35" s="10" t="str">
        <f t="shared" si="3"/>
        <v/>
      </c>
      <c r="AI35" s="1" t="str">
        <f t="shared" si="4"/>
        <v/>
      </c>
      <c r="AJ35" t="str">
        <f>IF($A35="","",IF($B35='TRIP MANAGER'!$B$5,COUNTIFS($A$3:$A35,"&lt;&gt;",$B$3:$B35,$B35),""))</f>
        <v/>
      </c>
      <c r="AK35" t="str">
        <f>IF($A35="","",COUNTIF(DOCUMENTS!$C$5:$C$44,$A35))</f>
        <v/>
      </c>
      <c r="AL35" t="str">
        <f>IF($A35="","",COUNTIFS(DOCUMENTS!$C$5:$C$44,$A35,DOCUMENTS!$AI$5:$AI$44,"&lt;&gt;")-COUNTIFS(DOCUMENTS!$C$5:$C$44,$A35,DOCUMENTS!$AI$5:$AI$44,"REJECT DOCUMENT"))</f>
        <v/>
      </c>
      <c r="AM35" t="str">
        <f>IF($A35="","",COUNTIFS(DOCUMENTS!$C$5:$C$44,$A35,DOCUMENTS!$AI$5:$AI$44,""))</f>
        <v/>
      </c>
      <c r="AN35" t="str" cm="1">
        <f t="array" ref="AN35">IF($A35="","",SUMPRODUCT((DOCUMENTS!$C$5:$C$44=$A35)*(ISNUMBER(SEARCH("MISMATCH",DOCUMENTS!$AH$5:$AH$44)))))</f>
        <v/>
      </c>
    </row>
    <row r="36" spans="1:40" x14ac:dyDescent="0.3">
      <c r="A36" s="4"/>
      <c r="B36" s="28" t="str">
        <f>'TRIP MANAGER'!$B$5</f>
        <v>JTL-2608-001</v>
      </c>
      <c r="C36" s="4"/>
      <c r="D36" s="4"/>
      <c r="E36" s="4"/>
      <c r="F36" s="4"/>
      <c r="G36" s="4"/>
      <c r="H36" s="4"/>
      <c r="I36" s="4"/>
      <c r="J36" s="9"/>
      <c r="K36" s="10" t="str">
        <f t="shared" ca="1" si="0"/>
        <v/>
      </c>
      <c r="L36" s="4"/>
      <c r="M36" s="4"/>
      <c r="N36" s="4"/>
      <c r="O36" s="9"/>
      <c r="P36" s="9"/>
      <c r="Q36" s="10" t="str">
        <f>IF($P36="","MISSING",IF($P36&lt;MAX('TRIP MANAGER'!$L$18:$L$25),"EXPIRES BEFORE TRIP",IF($P36&lt;MAX('TRIP MANAGER'!$L$18:$L$25)+180,"UNDER 6 MONTHS","VALID")))</f>
        <v>MISSING</v>
      </c>
      <c r="R36" s="28" t="str" cm="1">
        <f t="array" ref="R36">IF($A36="","",IFERROR(INDEX('TRIP MANAGER'!$E$97:$J$97,INDEX('TRIP MANAGER'!$AJ$18:$AJ$37,MATCH($L36,'TRIP MANAGER'!$AH$18:$AH$37,0))),"NOT ASSESSED"))</f>
        <v/>
      </c>
      <c r="S36" s="4"/>
      <c r="T36" s="9"/>
      <c r="U36" s="10" t="str">
        <f>IF($A36="","",IF($R36="NO","N/A",IF(OR($R36="VERIFY",$R36="NOT ASSESSED"),"VISA RULE NOT ON FILE",IF($T36="","MISSING",IF($T36&lt;MAX('TRIP MANAGER'!$L$18:$L$25),"EXPIRED","VALID")))))</f>
        <v/>
      </c>
      <c r="V36" s="4"/>
      <c r="W36" s="9"/>
      <c r="X36" s="9"/>
      <c r="Y36" s="4"/>
      <c r="Z36" s="10" t="str">
        <f>IF($A36="","",IF(UPPER($C36)&lt;&gt;"CREW","N/A",IF(OR($W36="",$X36=""),"MISSING",IF(MIN($W36,$X36)&lt;MAX('TRIP MANAGER'!$L$18:$L$25),"EXPIRED","VALID"))))</f>
        <v/>
      </c>
      <c r="AA36" s="4"/>
      <c r="AB36" s="4"/>
      <c r="AC36" s="4"/>
      <c r="AD36" s="4"/>
      <c r="AE36" s="10" t="str">
        <f>IF($A36="","",admin!$B$2&amp;"\PaxCrewDocs\"&amp;$B36&amp;"\"&amp;$A36)</f>
        <v/>
      </c>
      <c r="AF36" s="10" t="str">
        <f t="shared" si="1"/>
        <v/>
      </c>
      <c r="AG36" s="10" t="str">
        <f t="shared" si="2"/>
        <v/>
      </c>
      <c r="AH36" s="10" t="str">
        <f t="shared" si="3"/>
        <v/>
      </c>
      <c r="AI36" s="1" t="str">
        <f t="shared" si="4"/>
        <v/>
      </c>
      <c r="AJ36" t="str">
        <f>IF($A36="","",IF($B36='TRIP MANAGER'!$B$5,COUNTIFS($A$3:$A36,"&lt;&gt;",$B$3:$B36,$B36),""))</f>
        <v/>
      </c>
      <c r="AK36" t="str">
        <f>IF($A36="","",COUNTIF(DOCUMENTS!$C$5:$C$44,$A36))</f>
        <v/>
      </c>
      <c r="AL36" t="str">
        <f>IF($A36="","",COUNTIFS(DOCUMENTS!$C$5:$C$44,$A36,DOCUMENTS!$AI$5:$AI$44,"&lt;&gt;")-COUNTIFS(DOCUMENTS!$C$5:$C$44,$A36,DOCUMENTS!$AI$5:$AI$44,"REJECT DOCUMENT"))</f>
        <v/>
      </c>
      <c r="AM36" t="str">
        <f>IF($A36="","",COUNTIFS(DOCUMENTS!$C$5:$C$44,$A36,DOCUMENTS!$AI$5:$AI$44,""))</f>
        <v/>
      </c>
      <c r="AN36" t="str" cm="1">
        <f t="array" ref="AN36">IF($A36="","",SUMPRODUCT((DOCUMENTS!$C$5:$C$44=$A36)*(ISNUMBER(SEARCH("MISMATCH",DOCUMENTS!$AH$5:$AH$44)))))</f>
        <v/>
      </c>
    </row>
    <row r="37" spans="1:40" x14ac:dyDescent="0.3">
      <c r="A37" s="4"/>
      <c r="B37" s="28" t="str">
        <f>'TRIP MANAGER'!$B$5</f>
        <v>JTL-2608-001</v>
      </c>
      <c r="C37" s="4"/>
      <c r="D37" s="4"/>
      <c r="E37" s="4"/>
      <c r="F37" s="4"/>
      <c r="G37" s="4"/>
      <c r="H37" s="4"/>
      <c r="I37" s="4"/>
      <c r="J37" s="9"/>
      <c r="K37" s="10" t="str">
        <f t="shared" ca="1" si="0"/>
        <v/>
      </c>
      <c r="L37" s="4"/>
      <c r="M37" s="4"/>
      <c r="N37" s="4"/>
      <c r="O37" s="9"/>
      <c r="P37" s="9"/>
      <c r="Q37" s="10" t="str">
        <f>IF($P37="","MISSING",IF($P37&lt;MAX('TRIP MANAGER'!$L$18:$L$25),"EXPIRES BEFORE TRIP",IF($P37&lt;MAX('TRIP MANAGER'!$L$18:$L$25)+180,"UNDER 6 MONTHS","VALID")))</f>
        <v>MISSING</v>
      </c>
      <c r="R37" s="28" t="str" cm="1">
        <f t="array" ref="R37">IF($A37="","",IFERROR(INDEX('TRIP MANAGER'!$E$97:$J$97,INDEX('TRIP MANAGER'!$AJ$18:$AJ$37,MATCH($L37,'TRIP MANAGER'!$AH$18:$AH$37,0))),"NOT ASSESSED"))</f>
        <v/>
      </c>
      <c r="S37" s="4"/>
      <c r="T37" s="9"/>
      <c r="U37" s="10" t="str">
        <f>IF($A37="","",IF($R37="NO","N/A",IF(OR($R37="VERIFY",$R37="NOT ASSESSED"),"VISA RULE NOT ON FILE",IF($T37="","MISSING",IF($T37&lt;MAX('TRIP MANAGER'!$L$18:$L$25),"EXPIRED","VALID")))))</f>
        <v/>
      </c>
      <c r="V37" s="4"/>
      <c r="W37" s="9"/>
      <c r="X37" s="9"/>
      <c r="Y37" s="4"/>
      <c r="Z37" s="10" t="str">
        <f>IF($A37="","",IF(UPPER($C37)&lt;&gt;"CREW","N/A",IF(OR($W37="",$X37=""),"MISSING",IF(MIN($W37,$X37)&lt;MAX('TRIP MANAGER'!$L$18:$L$25),"EXPIRED","VALID"))))</f>
        <v/>
      </c>
      <c r="AA37" s="4"/>
      <c r="AB37" s="4"/>
      <c r="AC37" s="4"/>
      <c r="AD37" s="4"/>
      <c r="AE37" s="10" t="str">
        <f>IF($A37="","",admin!$B$2&amp;"\PaxCrewDocs\"&amp;$B37&amp;"\"&amp;$A37)</f>
        <v/>
      </c>
      <c r="AF37" s="10" t="str">
        <f t="shared" si="1"/>
        <v/>
      </c>
      <c r="AG37" s="10" t="str">
        <f t="shared" si="2"/>
        <v/>
      </c>
      <c r="AH37" s="10" t="str">
        <f t="shared" si="3"/>
        <v/>
      </c>
      <c r="AI37" s="1" t="str">
        <f t="shared" si="4"/>
        <v/>
      </c>
      <c r="AJ37" t="str">
        <f>IF($A37="","",IF($B37='TRIP MANAGER'!$B$5,COUNTIFS($A$3:$A37,"&lt;&gt;",$B$3:$B37,$B37),""))</f>
        <v/>
      </c>
      <c r="AK37" t="str">
        <f>IF($A37="","",COUNTIF(DOCUMENTS!$C$5:$C$44,$A37))</f>
        <v/>
      </c>
      <c r="AL37" t="str">
        <f>IF($A37="","",COUNTIFS(DOCUMENTS!$C$5:$C$44,$A37,DOCUMENTS!$AI$5:$AI$44,"&lt;&gt;")-COUNTIFS(DOCUMENTS!$C$5:$C$44,$A37,DOCUMENTS!$AI$5:$AI$44,"REJECT DOCUMENT"))</f>
        <v/>
      </c>
      <c r="AM37" t="str">
        <f>IF($A37="","",COUNTIFS(DOCUMENTS!$C$5:$C$44,$A37,DOCUMENTS!$AI$5:$AI$44,""))</f>
        <v/>
      </c>
      <c r="AN37" t="str" cm="1">
        <f t="array" ref="AN37">IF($A37="","",SUMPRODUCT((DOCUMENTS!$C$5:$C$44=$A37)*(ISNUMBER(SEARCH("MISMATCH",DOCUMENTS!$AH$5:$AH$44)))))</f>
        <v/>
      </c>
    </row>
    <row r="38" spans="1:40" x14ac:dyDescent="0.3">
      <c r="A38" s="4"/>
      <c r="B38" s="28" t="str">
        <f>'TRIP MANAGER'!$B$5</f>
        <v>JTL-2608-001</v>
      </c>
      <c r="C38" s="4"/>
      <c r="D38" s="4"/>
      <c r="E38" s="4"/>
      <c r="F38" s="4"/>
      <c r="G38" s="4"/>
      <c r="H38" s="4"/>
      <c r="I38" s="4"/>
      <c r="J38" s="9"/>
      <c r="K38" s="10" t="str">
        <f t="shared" ca="1" si="0"/>
        <v/>
      </c>
      <c r="L38" s="4"/>
      <c r="M38" s="4"/>
      <c r="N38" s="4"/>
      <c r="O38" s="9"/>
      <c r="P38" s="9"/>
      <c r="Q38" s="10" t="str">
        <f>IF($P38="","MISSING",IF($P38&lt;MAX('TRIP MANAGER'!$L$18:$L$25),"EXPIRES BEFORE TRIP",IF($P38&lt;MAX('TRIP MANAGER'!$L$18:$L$25)+180,"UNDER 6 MONTHS","VALID")))</f>
        <v>MISSING</v>
      </c>
      <c r="R38" s="28" t="str" cm="1">
        <f t="array" ref="R38">IF($A38="","",IFERROR(INDEX('TRIP MANAGER'!$E$97:$J$97,INDEX('TRIP MANAGER'!$AJ$18:$AJ$37,MATCH($L38,'TRIP MANAGER'!$AH$18:$AH$37,0))),"NOT ASSESSED"))</f>
        <v/>
      </c>
      <c r="S38" s="4"/>
      <c r="T38" s="9"/>
      <c r="U38" s="10" t="str">
        <f>IF($A38="","",IF($R38="NO","N/A",IF(OR($R38="VERIFY",$R38="NOT ASSESSED"),"VISA RULE NOT ON FILE",IF($T38="","MISSING",IF($T38&lt;MAX('TRIP MANAGER'!$L$18:$L$25),"EXPIRED","VALID")))))</f>
        <v/>
      </c>
      <c r="V38" s="4"/>
      <c r="W38" s="9"/>
      <c r="X38" s="9"/>
      <c r="Y38" s="4"/>
      <c r="Z38" s="10" t="str">
        <f>IF($A38="","",IF(UPPER($C38)&lt;&gt;"CREW","N/A",IF(OR($W38="",$X38=""),"MISSING",IF(MIN($W38,$X38)&lt;MAX('TRIP MANAGER'!$L$18:$L$25),"EXPIRED","VALID"))))</f>
        <v/>
      </c>
      <c r="AA38" s="4"/>
      <c r="AB38" s="4"/>
      <c r="AC38" s="4"/>
      <c r="AD38" s="4"/>
      <c r="AE38" s="10" t="str">
        <f>IF($A38="","",admin!$B$2&amp;"\PaxCrewDocs\"&amp;$B38&amp;"\"&amp;$A38)</f>
        <v/>
      </c>
      <c r="AF38" s="10" t="str">
        <f t="shared" si="1"/>
        <v/>
      </c>
      <c r="AG38" s="10" t="str">
        <f t="shared" si="2"/>
        <v/>
      </c>
      <c r="AH38" s="10" t="str">
        <f t="shared" si="3"/>
        <v/>
      </c>
      <c r="AI38" s="1" t="str">
        <f t="shared" si="4"/>
        <v/>
      </c>
      <c r="AJ38" t="str">
        <f>IF($A38="","",IF($B38='TRIP MANAGER'!$B$5,COUNTIFS($A$3:$A38,"&lt;&gt;",$B$3:$B38,$B38),""))</f>
        <v/>
      </c>
      <c r="AK38" t="str">
        <f>IF($A38="","",COUNTIF(DOCUMENTS!$C$5:$C$44,$A38))</f>
        <v/>
      </c>
      <c r="AL38" t="str">
        <f>IF($A38="","",COUNTIFS(DOCUMENTS!$C$5:$C$44,$A38,DOCUMENTS!$AI$5:$AI$44,"&lt;&gt;")-COUNTIFS(DOCUMENTS!$C$5:$C$44,$A38,DOCUMENTS!$AI$5:$AI$44,"REJECT DOCUMENT"))</f>
        <v/>
      </c>
      <c r="AM38" t="str">
        <f>IF($A38="","",COUNTIFS(DOCUMENTS!$C$5:$C$44,$A38,DOCUMENTS!$AI$5:$AI$44,""))</f>
        <v/>
      </c>
      <c r="AN38" t="str" cm="1">
        <f t="array" ref="AN38">IF($A38="","",SUMPRODUCT((DOCUMENTS!$C$5:$C$44=$A38)*(ISNUMBER(SEARCH("MISMATCH",DOCUMENTS!$AH$5:$AH$44)))))</f>
        <v/>
      </c>
    </row>
    <row r="39" spans="1:40" x14ac:dyDescent="0.3">
      <c r="A39" s="4"/>
      <c r="B39" s="28" t="str">
        <f>'TRIP MANAGER'!$B$5</f>
        <v>JTL-2608-001</v>
      </c>
      <c r="C39" s="4"/>
      <c r="D39" s="4"/>
      <c r="E39" s="4"/>
      <c r="F39" s="4"/>
      <c r="G39" s="4"/>
      <c r="H39" s="4"/>
      <c r="I39" s="4"/>
      <c r="J39" s="9"/>
      <c r="K39" s="10" t="str">
        <f t="shared" ca="1" si="0"/>
        <v/>
      </c>
      <c r="L39" s="4"/>
      <c r="M39" s="4"/>
      <c r="N39" s="4"/>
      <c r="O39" s="9"/>
      <c r="P39" s="9"/>
      <c r="Q39" s="10" t="str">
        <f>IF($P39="","MISSING",IF($P39&lt;MAX('TRIP MANAGER'!$L$18:$L$25),"EXPIRES BEFORE TRIP",IF($P39&lt;MAX('TRIP MANAGER'!$L$18:$L$25)+180,"UNDER 6 MONTHS","VALID")))</f>
        <v>MISSING</v>
      </c>
      <c r="R39" s="28" t="str" cm="1">
        <f t="array" ref="R39">IF($A39="","",IFERROR(INDEX('TRIP MANAGER'!$E$97:$J$97,INDEX('TRIP MANAGER'!$AJ$18:$AJ$37,MATCH($L39,'TRIP MANAGER'!$AH$18:$AH$37,0))),"NOT ASSESSED"))</f>
        <v/>
      </c>
      <c r="S39" s="4"/>
      <c r="T39" s="9"/>
      <c r="U39" s="10" t="str">
        <f>IF($A39="","",IF($R39="NO","N/A",IF(OR($R39="VERIFY",$R39="NOT ASSESSED"),"VISA RULE NOT ON FILE",IF($T39="","MISSING",IF($T39&lt;MAX('TRIP MANAGER'!$L$18:$L$25),"EXPIRED","VALID")))))</f>
        <v/>
      </c>
      <c r="V39" s="4"/>
      <c r="W39" s="9"/>
      <c r="X39" s="9"/>
      <c r="Y39" s="4"/>
      <c r="Z39" s="10" t="str">
        <f>IF($A39="","",IF(UPPER($C39)&lt;&gt;"CREW","N/A",IF(OR($W39="",$X39=""),"MISSING",IF(MIN($W39,$X39)&lt;MAX('TRIP MANAGER'!$L$18:$L$25),"EXPIRED","VALID"))))</f>
        <v/>
      </c>
      <c r="AA39" s="4"/>
      <c r="AB39" s="4"/>
      <c r="AC39" s="4"/>
      <c r="AD39" s="4"/>
      <c r="AE39" s="10" t="str">
        <f>IF($A39="","",admin!$B$2&amp;"\PaxCrewDocs\"&amp;$B39&amp;"\"&amp;$A39)</f>
        <v/>
      </c>
      <c r="AF39" s="10" t="str">
        <f t="shared" si="1"/>
        <v/>
      </c>
      <c r="AG39" s="10" t="str">
        <f t="shared" si="2"/>
        <v/>
      </c>
      <c r="AH39" s="10" t="str">
        <f t="shared" si="3"/>
        <v/>
      </c>
      <c r="AI39" s="1" t="str">
        <f t="shared" si="4"/>
        <v/>
      </c>
      <c r="AJ39" t="str">
        <f>IF($A39="","",IF($B39='TRIP MANAGER'!$B$5,COUNTIFS($A$3:$A39,"&lt;&gt;",$B$3:$B39,$B39),""))</f>
        <v/>
      </c>
      <c r="AK39" t="str">
        <f>IF($A39="","",COUNTIF(DOCUMENTS!$C$5:$C$44,$A39))</f>
        <v/>
      </c>
      <c r="AL39" t="str">
        <f>IF($A39="","",COUNTIFS(DOCUMENTS!$C$5:$C$44,$A39,DOCUMENTS!$AI$5:$AI$44,"&lt;&gt;")-COUNTIFS(DOCUMENTS!$C$5:$C$44,$A39,DOCUMENTS!$AI$5:$AI$44,"REJECT DOCUMENT"))</f>
        <v/>
      </c>
      <c r="AM39" t="str">
        <f>IF($A39="","",COUNTIFS(DOCUMENTS!$C$5:$C$44,$A39,DOCUMENTS!$AI$5:$AI$44,""))</f>
        <v/>
      </c>
      <c r="AN39" t="str" cm="1">
        <f t="array" ref="AN39">IF($A39="","",SUMPRODUCT((DOCUMENTS!$C$5:$C$44=$A39)*(ISNUMBER(SEARCH("MISMATCH",DOCUMENTS!$AH$5:$AH$44)))))</f>
        <v/>
      </c>
    </row>
    <row r="40" spans="1:40" x14ac:dyDescent="0.3">
      <c r="A40" s="4"/>
      <c r="B40" s="28" t="str">
        <f>'TRIP MANAGER'!$B$5</f>
        <v>JTL-2608-001</v>
      </c>
      <c r="C40" s="4"/>
      <c r="D40" s="4"/>
      <c r="E40" s="4"/>
      <c r="F40" s="4"/>
      <c r="G40" s="4"/>
      <c r="H40" s="4"/>
      <c r="I40" s="4"/>
      <c r="J40" s="9"/>
      <c r="K40" s="10" t="str">
        <f t="shared" ca="1" si="0"/>
        <v/>
      </c>
      <c r="L40" s="4"/>
      <c r="M40" s="4"/>
      <c r="N40" s="4"/>
      <c r="O40" s="9"/>
      <c r="P40" s="9"/>
      <c r="Q40" s="10" t="str">
        <f>IF($P40="","MISSING",IF($P40&lt;MAX('TRIP MANAGER'!$L$18:$L$25),"EXPIRES BEFORE TRIP",IF($P40&lt;MAX('TRIP MANAGER'!$L$18:$L$25)+180,"UNDER 6 MONTHS","VALID")))</f>
        <v>MISSING</v>
      </c>
      <c r="R40" s="28" t="str" cm="1">
        <f t="array" ref="R40">IF($A40="","",IFERROR(INDEX('TRIP MANAGER'!$E$97:$J$97,INDEX('TRIP MANAGER'!$AJ$18:$AJ$37,MATCH($L40,'TRIP MANAGER'!$AH$18:$AH$37,0))),"NOT ASSESSED"))</f>
        <v/>
      </c>
      <c r="S40" s="4"/>
      <c r="T40" s="9"/>
      <c r="U40" s="10" t="str">
        <f>IF($A40="","",IF($R40="NO","N/A",IF(OR($R40="VERIFY",$R40="NOT ASSESSED"),"VISA RULE NOT ON FILE",IF($T40="","MISSING",IF($T40&lt;MAX('TRIP MANAGER'!$L$18:$L$25),"EXPIRED","VALID")))))</f>
        <v/>
      </c>
      <c r="V40" s="4"/>
      <c r="W40" s="9"/>
      <c r="X40" s="9"/>
      <c r="Y40" s="4"/>
      <c r="Z40" s="10" t="str">
        <f>IF($A40="","",IF(UPPER($C40)&lt;&gt;"CREW","N/A",IF(OR($W40="",$X40=""),"MISSING",IF(MIN($W40,$X40)&lt;MAX('TRIP MANAGER'!$L$18:$L$25),"EXPIRED","VALID"))))</f>
        <v/>
      </c>
      <c r="AA40" s="4"/>
      <c r="AB40" s="4"/>
      <c r="AC40" s="4"/>
      <c r="AD40" s="4"/>
      <c r="AE40" s="10" t="str">
        <f>IF($A40="","",admin!$B$2&amp;"\PaxCrewDocs\"&amp;$B40&amp;"\"&amp;$A40)</f>
        <v/>
      </c>
      <c r="AF40" s="10" t="str">
        <f t="shared" si="1"/>
        <v/>
      </c>
      <c r="AG40" s="10" t="str">
        <f t="shared" si="2"/>
        <v/>
      </c>
      <c r="AH40" s="10" t="str">
        <f t="shared" si="3"/>
        <v/>
      </c>
      <c r="AI40" s="1" t="str">
        <f t="shared" si="4"/>
        <v/>
      </c>
      <c r="AJ40" t="str">
        <f>IF($A40="","",IF($B40='TRIP MANAGER'!$B$5,COUNTIFS($A$3:$A40,"&lt;&gt;",$B$3:$B40,$B40),""))</f>
        <v/>
      </c>
      <c r="AK40" t="str">
        <f>IF($A40="","",COUNTIF(DOCUMENTS!$C$5:$C$44,$A40))</f>
        <v/>
      </c>
      <c r="AL40" t="str">
        <f>IF($A40="","",COUNTIFS(DOCUMENTS!$C$5:$C$44,$A40,DOCUMENTS!$AI$5:$AI$44,"&lt;&gt;")-COUNTIFS(DOCUMENTS!$C$5:$C$44,$A40,DOCUMENTS!$AI$5:$AI$44,"REJECT DOCUMENT"))</f>
        <v/>
      </c>
      <c r="AM40" t="str">
        <f>IF($A40="","",COUNTIFS(DOCUMENTS!$C$5:$C$44,$A40,DOCUMENTS!$AI$5:$AI$44,""))</f>
        <v/>
      </c>
      <c r="AN40" t="str" cm="1">
        <f t="array" ref="AN40">IF($A40="","",SUMPRODUCT((DOCUMENTS!$C$5:$C$44=$A40)*(ISNUMBER(SEARCH("MISMATCH",DOCUMENTS!$AH$5:$AH$44)))))</f>
        <v/>
      </c>
    </row>
    <row r="41" spans="1:40" x14ac:dyDescent="0.3">
      <c r="A41" s="4"/>
      <c r="B41" s="28" t="str">
        <f>'TRIP MANAGER'!$B$5</f>
        <v>JTL-2608-001</v>
      </c>
      <c r="C41" s="4"/>
      <c r="D41" s="4"/>
      <c r="E41" s="4"/>
      <c r="F41" s="4"/>
      <c r="G41" s="4"/>
      <c r="H41" s="4"/>
      <c r="I41" s="4"/>
      <c r="J41" s="9"/>
      <c r="K41" s="10" t="str">
        <f t="shared" ca="1" si="0"/>
        <v/>
      </c>
      <c r="L41" s="4"/>
      <c r="M41" s="4"/>
      <c r="N41" s="4"/>
      <c r="O41" s="9"/>
      <c r="P41" s="9"/>
      <c r="Q41" s="10" t="str">
        <f>IF($P41="","MISSING",IF($P41&lt;MAX('TRIP MANAGER'!$L$18:$L$25),"EXPIRES BEFORE TRIP",IF($P41&lt;MAX('TRIP MANAGER'!$L$18:$L$25)+180,"UNDER 6 MONTHS","VALID")))</f>
        <v>MISSING</v>
      </c>
      <c r="R41" s="28" t="str" cm="1">
        <f t="array" ref="R41">IF($A41="","",IFERROR(INDEX('TRIP MANAGER'!$E$97:$J$97,INDEX('TRIP MANAGER'!$AJ$18:$AJ$37,MATCH($L41,'TRIP MANAGER'!$AH$18:$AH$37,0))),"NOT ASSESSED"))</f>
        <v/>
      </c>
      <c r="S41" s="4"/>
      <c r="T41" s="9"/>
      <c r="U41" s="10" t="str">
        <f>IF($A41="","",IF($R41="NO","N/A",IF(OR($R41="VERIFY",$R41="NOT ASSESSED"),"VISA RULE NOT ON FILE",IF($T41="","MISSING",IF($T41&lt;MAX('TRIP MANAGER'!$L$18:$L$25),"EXPIRED","VALID")))))</f>
        <v/>
      </c>
      <c r="V41" s="4"/>
      <c r="W41" s="9"/>
      <c r="X41" s="9"/>
      <c r="Y41" s="4"/>
      <c r="Z41" s="10" t="str">
        <f>IF($A41="","",IF(UPPER($C41)&lt;&gt;"CREW","N/A",IF(OR($W41="",$X41=""),"MISSING",IF(MIN($W41,$X41)&lt;MAX('TRIP MANAGER'!$L$18:$L$25),"EXPIRED","VALID"))))</f>
        <v/>
      </c>
      <c r="AA41" s="4"/>
      <c r="AB41" s="4"/>
      <c r="AC41" s="4"/>
      <c r="AD41" s="4"/>
      <c r="AE41" s="10" t="str">
        <f>IF($A41="","",admin!$B$2&amp;"\PaxCrewDocs\"&amp;$B41&amp;"\"&amp;$A41)</f>
        <v/>
      </c>
      <c r="AF41" s="10" t="str">
        <f t="shared" si="1"/>
        <v/>
      </c>
      <c r="AG41" s="10" t="str">
        <f t="shared" si="2"/>
        <v/>
      </c>
      <c r="AH41" s="10" t="str">
        <f t="shared" si="3"/>
        <v/>
      </c>
      <c r="AI41" s="1" t="str">
        <f t="shared" si="4"/>
        <v/>
      </c>
      <c r="AJ41" t="str">
        <f>IF($A41="","",IF($B41='TRIP MANAGER'!$B$5,COUNTIFS($A$3:$A41,"&lt;&gt;",$B$3:$B41,$B41),""))</f>
        <v/>
      </c>
      <c r="AK41" t="str">
        <f>IF($A41="","",COUNTIF(DOCUMENTS!$C$5:$C$44,$A41))</f>
        <v/>
      </c>
      <c r="AL41" t="str">
        <f>IF($A41="","",COUNTIFS(DOCUMENTS!$C$5:$C$44,$A41,DOCUMENTS!$AI$5:$AI$44,"&lt;&gt;")-COUNTIFS(DOCUMENTS!$C$5:$C$44,$A41,DOCUMENTS!$AI$5:$AI$44,"REJECT DOCUMENT"))</f>
        <v/>
      </c>
      <c r="AM41" t="str">
        <f>IF($A41="","",COUNTIFS(DOCUMENTS!$C$5:$C$44,$A41,DOCUMENTS!$AI$5:$AI$44,""))</f>
        <v/>
      </c>
      <c r="AN41" t="str" cm="1">
        <f t="array" ref="AN41">IF($A41="","",SUMPRODUCT((DOCUMENTS!$C$5:$C$44=$A41)*(ISNUMBER(SEARCH("MISMATCH",DOCUMENTS!$AH$5:$AH$44)))))</f>
        <v/>
      </c>
    </row>
    <row r="42" spans="1:40" x14ac:dyDescent="0.3">
      <c r="A42" s="4"/>
      <c r="B42" s="28" t="str">
        <f>'TRIP MANAGER'!$B$5</f>
        <v>JTL-2608-001</v>
      </c>
      <c r="C42" s="4"/>
      <c r="D42" s="4"/>
      <c r="E42" s="4"/>
      <c r="F42" s="4"/>
      <c r="G42" s="4"/>
      <c r="H42" s="4"/>
      <c r="I42" s="4"/>
      <c r="J42" s="9"/>
      <c r="K42" s="10" t="str">
        <f t="shared" ca="1" si="0"/>
        <v/>
      </c>
      <c r="L42" s="4"/>
      <c r="M42" s="4"/>
      <c r="N42" s="4"/>
      <c r="O42" s="9"/>
      <c r="P42" s="9"/>
      <c r="Q42" s="10" t="str">
        <f>IF($P42="","MISSING",IF($P42&lt;MAX('TRIP MANAGER'!$L$18:$L$25),"EXPIRES BEFORE TRIP",IF($P42&lt;MAX('TRIP MANAGER'!$L$18:$L$25)+180,"UNDER 6 MONTHS","VALID")))</f>
        <v>MISSING</v>
      </c>
      <c r="R42" s="28" t="str" cm="1">
        <f t="array" ref="R42">IF($A42="","",IFERROR(INDEX('TRIP MANAGER'!$E$97:$J$97,INDEX('TRIP MANAGER'!$AJ$18:$AJ$37,MATCH($L42,'TRIP MANAGER'!$AH$18:$AH$37,0))),"NOT ASSESSED"))</f>
        <v/>
      </c>
      <c r="S42" s="4"/>
      <c r="T42" s="9"/>
      <c r="U42" s="10" t="str">
        <f>IF($A42="","",IF($R42="NO","N/A",IF(OR($R42="VERIFY",$R42="NOT ASSESSED"),"VISA RULE NOT ON FILE",IF($T42="","MISSING",IF($T42&lt;MAX('TRIP MANAGER'!$L$18:$L$25),"EXPIRED","VALID")))))</f>
        <v/>
      </c>
      <c r="V42" s="4"/>
      <c r="W42" s="9"/>
      <c r="X42" s="9"/>
      <c r="Y42" s="4"/>
      <c r="Z42" s="10" t="str">
        <f>IF($A42="","",IF(UPPER($C42)&lt;&gt;"CREW","N/A",IF(OR($W42="",$X42=""),"MISSING",IF(MIN($W42,$X42)&lt;MAX('TRIP MANAGER'!$L$18:$L$25),"EXPIRED","VALID"))))</f>
        <v/>
      </c>
      <c r="AA42" s="4"/>
      <c r="AB42" s="4"/>
      <c r="AC42" s="4"/>
      <c r="AD42" s="4"/>
      <c r="AE42" s="10" t="str">
        <f>IF($A42="","",admin!$B$2&amp;"\PaxCrewDocs\"&amp;$B42&amp;"\"&amp;$A42)</f>
        <v/>
      </c>
      <c r="AF42" s="10" t="str">
        <f t="shared" si="1"/>
        <v/>
      </c>
      <c r="AG42" s="10" t="str">
        <f t="shared" si="2"/>
        <v/>
      </c>
      <c r="AH42" s="10" t="str">
        <f t="shared" si="3"/>
        <v/>
      </c>
      <c r="AI42" s="1" t="str">
        <f t="shared" si="4"/>
        <v/>
      </c>
      <c r="AJ42" t="str">
        <f>IF($A42="","",IF($B42='TRIP MANAGER'!$B$5,COUNTIFS($A$3:$A42,"&lt;&gt;",$B$3:$B42,$B42),""))</f>
        <v/>
      </c>
      <c r="AK42" t="str">
        <f>IF($A42="","",COUNTIF(DOCUMENTS!$C$5:$C$44,$A42))</f>
        <v/>
      </c>
      <c r="AL42" t="str">
        <f>IF($A42="","",COUNTIFS(DOCUMENTS!$C$5:$C$44,$A42,DOCUMENTS!$AI$5:$AI$44,"&lt;&gt;")-COUNTIFS(DOCUMENTS!$C$5:$C$44,$A42,DOCUMENTS!$AI$5:$AI$44,"REJECT DOCUMENT"))</f>
        <v/>
      </c>
      <c r="AM42" t="str">
        <f>IF($A42="","",COUNTIFS(DOCUMENTS!$C$5:$C$44,$A42,DOCUMENTS!$AI$5:$AI$44,""))</f>
        <v/>
      </c>
      <c r="AN42" t="str" cm="1">
        <f t="array" ref="AN42">IF($A42="","",SUMPRODUCT((DOCUMENTS!$C$5:$C$44=$A42)*(ISNUMBER(SEARCH("MISMATCH",DOCUMENTS!$AH$5:$AH$44)))))</f>
        <v/>
      </c>
    </row>
    <row r="43" spans="1:40" x14ac:dyDescent="0.3">
      <c r="A43" s="4"/>
      <c r="B43" s="28" t="str">
        <f>'TRIP MANAGER'!$B$5</f>
        <v>JTL-2608-001</v>
      </c>
      <c r="C43" s="4"/>
      <c r="D43" s="4"/>
      <c r="E43" s="4"/>
      <c r="F43" s="4"/>
      <c r="G43" s="4"/>
      <c r="H43" s="4"/>
      <c r="I43" s="4"/>
      <c r="J43" s="9"/>
      <c r="K43" s="10" t="str">
        <f t="shared" ca="1" si="0"/>
        <v/>
      </c>
      <c r="L43" s="4"/>
      <c r="M43" s="4"/>
      <c r="N43" s="4"/>
      <c r="O43" s="9"/>
      <c r="P43" s="9"/>
      <c r="Q43" s="10" t="str">
        <f>IF($P43="","MISSING",IF($P43&lt;MAX('TRIP MANAGER'!$L$18:$L$25),"EXPIRES BEFORE TRIP",IF($P43&lt;MAX('TRIP MANAGER'!$L$18:$L$25)+180,"UNDER 6 MONTHS","VALID")))</f>
        <v>MISSING</v>
      </c>
      <c r="R43" s="28" t="str" cm="1">
        <f t="array" ref="R43">IF($A43="","",IFERROR(INDEX('TRIP MANAGER'!$E$97:$J$97,INDEX('TRIP MANAGER'!$AJ$18:$AJ$37,MATCH($L43,'TRIP MANAGER'!$AH$18:$AH$37,0))),"NOT ASSESSED"))</f>
        <v/>
      </c>
      <c r="S43" s="4"/>
      <c r="T43" s="9"/>
      <c r="U43" s="10" t="str">
        <f>IF($A43="","",IF($R43="NO","N/A",IF(OR($R43="VERIFY",$R43="NOT ASSESSED"),"VISA RULE NOT ON FILE",IF($T43="","MISSING",IF($T43&lt;MAX('TRIP MANAGER'!$L$18:$L$25),"EXPIRED","VALID")))))</f>
        <v/>
      </c>
      <c r="V43" s="4"/>
      <c r="W43" s="9"/>
      <c r="X43" s="9"/>
      <c r="Y43" s="4"/>
      <c r="Z43" s="10" t="str">
        <f>IF($A43="","",IF(UPPER($C43)&lt;&gt;"CREW","N/A",IF(OR($W43="",$X43=""),"MISSING",IF(MIN($W43,$X43)&lt;MAX('TRIP MANAGER'!$L$18:$L$25),"EXPIRED","VALID"))))</f>
        <v/>
      </c>
      <c r="AA43" s="4"/>
      <c r="AB43" s="4"/>
      <c r="AC43" s="4"/>
      <c r="AD43" s="4"/>
      <c r="AE43" s="10" t="str">
        <f>IF($A43="","",admin!$B$2&amp;"\PaxCrewDocs\"&amp;$B43&amp;"\"&amp;$A43)</f>
        <v/>
      </c>
      <c r="AF43" s="10" t="str">
        <f t="shared" si="1"/>
        <v/>
      </c>
      <c r="AG43" s="10" t="str">
        <f t="shared" si="2"/>
        <v/>
      </c>
      <c r="AH43" s="10" t="str">
        <f t="shared" si="3"/>
        <v/>
      </c>
      <c r="AI43" s="1" t="str">
        <f t="shared" si="4"/>
        <v/>
      </c>
      <c r="AJ43" t="str">
        <f>IF($A43="","",IF($B43='TRIP MANAGER'!$B$5,COUNTIFS($A$3:$A43,"&lt;&gt;",$B$3:$B43,$B43),""))</f>
        <v/>
      </c>
      <c r="AK43" t="str">
        <f>IF($A43="","",COUNTIF(DOCUMENTS!$C$5:$C$44,$A43))</f>
        <v/>
      </c>
      <c r="AL43" t="str">
        <f>IF($A43="","",COUNTIFS(DOCUMENTS!$C$5:$C$44,$A43,DOCUMENTS!$AI$5:$AI$44,"&lt;&gt;")-COUNTIFS(DOCUMENTS!$C$5:$C$44,$A43,DOCUMENTS!$AI$5:$AI$44,"REJECT DOCUMENT"))</f>
        <v/>
      </c>
      <c r="AM43" t="str">
        <f>IF($A43="","",COUNTIFS(DOCUMENTS!$C$5:$C$44,$A43,DOCUMENTS!$AI$5:$AI$44,""))</f>
        <v/>
      </c>
      <c r="AN43" t="str" cm="1">
        <f t="array" ref="AN43">IF($A43="","",SUMPRODUCT((DOCUMENTS!$C$5:$C$44=$A43)*(ISNUMBER(SEARCH("MISMATCH",DOCUMENTS!$AH$5:$AH$44)))))</f>
        <v/>
      </c>
    </row>
    <row r="44" spans="1:40" x14ac:dyDescent="0.3">
      <c r="A44" s="4"/>
      <c r="B44" s="28" t="str">
        <f>'TRIP MANAGER'!$B$5</f>
        <v>JTL-2608-001</v>
      </c>
      <c r="C44" s="4"/>
      <c r="D44" s="4"/>
      <c r="E44" s="4"/>
      <c r="F44" s="4"/>
      <c r="G44" s="4"/>
      <c r="H44" s="4"/>
      <c r="I44" s="4"/>
      <c r="J44" s="9"/>
      <c r="K44" s="10" t="str">
        <f t="shared" ca="1" si="0"/>
        <v/>
      </c>
      <c r="L44" s="4"/>
      <c r="M44" s="4"/>
      <c r="N44" s="4"/>
      <c r="O44" s="9"/>
      <c r="P44" s="9"/>
      <c r="Q44" s="10" t="str">
        <f>IF($P44="","MISSING",IF($P44&lt;MAX('TRIP MANAGER'!$L$18:$L$25),"EXPIRES BEFORE TRIP",IF($P44&lt;MAX('TRIP MANAGER'!$L$18:$L$25)+180,"UNDER 6 MONTHS","VALID")))</f>
        <v>MISSING</v>
      </c>
      <c r="R44" s="28" t="str" cm="1">
        <f t="array" ref="R44">IF($A44="","",IFERROR(INDEX('TRIP MANAGER'!$E$97:$J$97,INDEX('TRIP MANAGER'!$AJ$18:$AJ$37,MATCH($L44,'TRIP MANAGER'!$AH$18:$AH$37,0))),"NOT ASSESSED"))</f>
        <v/>
      </c>
      <c r="S44" s="4"/>
      <c r="T44" s="9"/>
      <c r="U44" s="10" t="str">
        <f>IF($A44="","",IF($R44="NO","N/A",IF(OR($R44="VERIFY",$R44="NOT ASSESSED"),"VISA RULE NOT ON FILE",IF($T44="","MISSING",IF($T44&lt;MAX('TRIP MANAGER'!$L$18:$L$25),"EXPIRED","VALID")))))</f>
        <v/>
      </c>
      <c r="V44" s="4"/>
      <c r="W44" s="9"/>
      <c r="X44" s="9"/>
      <c r="Y44" s="4"/>
      <c r="Z44" s="10" t="str">
        <f>IF($A44="","",IF(UPPER($C44)&lt;&gt;"CREW","N/A",IF(OR($W44="",$X44=""),"MISSING",IF(MIN($W44,$X44)&lt;MAX('TRIP MANAGER'!$L$18:$L$25),"EXPIRED","VALID"))))</f>
        <v/>
      </c>
      <c r="AA44" s="4"/>
      <c r="AB44" s="4"/>
      <c r="AC44" s="4"/>
      <c r="AD44" s="4"/>
      <c r="AE44" s="10" t="str">
        <f>IF($A44="","",admin!$B$2&amp;"\PaxCrewDocs\"&amp;$B44&amp;"\"&amp;$A44)</f>
        <v/>
      </c>
      <c r="AF44" s="10" t="str">
        <f t="shared" si="1"/>
        <v/>
      </c>
      <c r="AG44" s="10" t="str">
        <f t="shared" si="2"/>
        <v/>
      </c>
      <c r="AH44" s="10" t="str">
        <f t="shared" si="3"/>
        <v/>
      </c>
      <c r="AI44" s="1" t="str">
        <f t="shared" si="4"/>
        <v/>
      </c>
      <c r="AJ44" t="str">
        <f>IF($A44="","",IF($B44='TRIP MANAGER'!$B$5,COUNTIFS($A$3:$A44,"&lt;&gt;",$B$3:$B44,$B44),""))</f>
        <v/>
      </c>
      <c r="AK44" t="str">
        <f>IF($A44="","",COUNTIF(DOCUMENTS!$C$5:$C$44,$A44))</f>
        <v/>
      </c>
      <c r="AL44" t="str">
        <f>IF($A44="","",COUNTIFS(DOCUMENTS!$C$5:$C$44,$A44,DOCUMENTS!$AI$5:$AI$44,"&lt;&gt;")-COUNTIFS(DOCUMENTS!$C$5:$C$44,$A44,DOCUMENTS!$AI$5:$AI$44,"REJECT DOCUMENT"))</f>
        <v/>
      </c>
      <c r="AM44" t="str">
        <f>IF($A44="","",COUNTIFS(DOCUMENTS!$C$5:$C$44,$A44,DOCUMENTS!$AI$5:$AI$44,""))</f>
        <v/>
      </c>
      <c r="AN44" t="str" cm="1">
        <f t="array" ref="AN44">IF($A44="","",SUMPRODUCT((DOCUMENTS!$C$5:$C$44=$A44)*(ISNUMBER(SEARCH("MISMATCH",DOCUMENTS!$AH$5:$AH$44)))))</f>
        <v/>
      </c>
    </row>
    <row r="45" spans="1:40" x14ac:dyDescent="0.3">
      <c r="A45" s="4"/>
      <c r="B45" s="28" t="str">
        <f>'TRIP MANAGER'!$B$5</f>
        <v>JTL-2608-001</v>
      </c>
      <c r="C45" s="4"/>
      <c r="D45" s="4"/>
      <c r="E45" s="4"/>
      <c r="F45" s="4"/>
      <c r="G45" s="4"/>
      <c r="H45" s="4"/>
      <c r="I45" s="4"/>
      <c r="J45" s="9"/>
      <c r="K45" s="10" t="str">
        <f t="shared" ca="1" si="0"/>
        <v/>
      </c>
      <c r="L45" s="4"/>
      <c r="M45" s="4"/>
      <c r="N45" s="4"/>
      <c r="O45" s="9"/>
      <c r="P45" s="9"/>
      <c r="Q45" s="10" t="str">
        <f>IF($P45="","MISSING",IF($P45&lt;MAX('TRIP MANAGER'!$L$18:$L$25),"EXPIRES BEFORE TRIP",IF($P45&lt;MAX('TRIP MANAGER'!$L$18:$L$25)+180,"UNDER 6 MONTHS","VALID")))</f>
        <v>MISSING</v>
      </c>
      <c r="R45" s="28" t="str" cm="1">
        <f t="array" ref="R45">IF($A45="","",IFERROR(INDEX('TRIP MANAGER'!$E$97:$J$97,INDEX('TRIP MANAGER'!$AJ$18:$AJ$37,MATCH($L45,'TRIP MANAGER'!$AH$18:$AH$37,0))),"NOT ASSESSED"))</f>
        <v/>
      </c>
      <c r="S45" s="4"/>
      <c r="T45" s="9"/>
      <c r="U45" s="10" t="str">
        <f>IF($A45="","",IF($R45="NO","N/A",IF(OR($R45="VERIFY",$R45="NOT ASSESSED"),"VISA RULE NOT ON FILE",IF($T45="","MISSING",IF($T45&lt;MAX('TRIP MANAGER'!$L$18:$L$25),"EXPIRED","VALID")))))</f>
        <v/>
      </c>
      <c r="V45" s="4"/>
      <c r="W45" s="9"/>
      <c r="X45" s="9"/>
      <c r="Y45" s="4"/>
      <c r="Z45" s="10" t="str">
        <f>IF($A45="","",IF(UPPER($C45)&lt;&gt;"CREW","N/A",IF(OR($W45="",$X45=""),"MISSING",IF(MIN($W45,$X45)&lt;MAX('TRIP MANAGER'!$L$18:$L$25),"EXPIRED","VALID"))))</f>
        <v/>
      </c>
      <c r="AA45" s="4"/>
      <c r="AB45" s="4"/>
      <c r="AC45" s="4"/>
      <c r="AD45" s="4"/>
      <c r="AE45" s="10" t="str">
        <f>IF($A45="","",admin!$B$2&amp;"\PaxCrewDocs\"&amp;$B45&amp;"\"&amp;$A45)</f>
        <v/>
      </c>
      <c r="AF45" s="10" t="str">
        <f t="shared" si="1"/>
        <v/>
      </c>
      <c r="AG45" s="10" t="str">
        <f t="shared" si="2"/>
        <v/>
      </c>
      <c r="AH45" s="10" t="str">
        <f t="shared" si="3"/>
        <v/>
      </c>
      <c r="AI45" s="1" t="str">
        <f t="shared" si="4"/>
        <v/>
      </c>
      <c r="AJ45" t="str">
        <f>IF($A45="","",IF($B45='TRIP MANAGER'!$B$5,COUNTIFS($A$3:$A45,"&lt;&gt;",$B$3:$B45,$B45),""))</f>
        <v/>
      </c>
      <c r="AK45" t="str">
        <f>IF($A45="","",COUNTIF(DOCUMENTS!$C$5:$C$44,$A45))</f>
        <v/>
      </c>
      <c r="AL45" t="str">
        <f>IF($A45="","",COUNTIFS(DOCUMENTS!$C$5:$C$44,$A45,DOCUMENTS!$AI$5:$AI$44,"&lt;&gt;")-COUNTIFS(DOCUMENTS!$C$5:$C$44,$A45,DOCUMENTS!$AI$5:$AI$44,"REJECT DOCUMENT"))</f>
        <v/>
      </c>
      <c r="AM45" t="str">
        <f>IF($A45="","",COUNTIFS(DOCUMENTS!$C$5:$C$44,$A45,DOCUMENTS!$AI$5:$AI$44,""))</f>
        <v/>
      </c>
      <c r="AN45" t="str" cm="1">
        <f t="array" ref="AN45">IF($A45="","",SUMPRODUCT((DOCUMENTS!$C$5:$C$44=$A45)*(ISNUMBER(SEARCH("MISMATCH",DOCUMENTS!$AH$5:$AH$44)))))</f>
        <v/>
      </c>
    </row>
    <row r="46" spans="1:40" x14ac:dyDescent="0.3">
      <c r="A46" s="4"/>
      <c r="B46" s="28" t="str">
        <f>'TRIP MANAGER'!$B$5</f>
        <v>JTL-2608-001</v>
      </c>
      <c r="C46" s="4"/>
      <c r="D46" s="4"/>
      <c r="E46" s="4"/>
      <c r="F46" s="4"/>
      <c r="G46" s="4"/>
      <c r="H46" s="4"/>
      <c r="I46" s="4"/>
      <c r="J46" s="9"/>
      <c r="K46" s="10" t="str">
        <f t="shared" ca="1" si="0"/>
        <v/>
      </c>
      <c r="L46" s="4"/>
      <c r="M46" s="4"/>
      <c r="N46" s="4"/>
      <c r="O46" s="9"/>
      <c r="P46" s="9"/>
      <c r="Q46" s="10" t="str">
        <f>IF($P46="","MISSING",IF($P46&lt;MAX('TRIP MANAGER'!$L$18:$L$25),"EXPIRES BEFORE TRIP",IF($P46&lt;MAX('TRIP MANAGER'!$L$18:$L$25)+180,"UNDER 6 MONTHS","VALID")))</f>
        <v>MISSING</v>
      </c>
      <c r="R46" s="28" t="str" cm="1">
        <f t="array" ref="R46">IF($A46="","",IFERROR(INDEX('TRIP MANAGER'!$E$97:$J$97,INDEX('TRIP MANAGER'!$AJ$18:$AJ$37,MATCH($L46,'TRIP MANAGER'!$AH$18:$AH$37,0))),"NOT ASSESSED"))</f>
        <v/>
      </c>
      <c r="S46" s="4"/>
      <c r="T46" s="9"/>
      <c r="U46" s="10" t="str">
        <f>IF($A46="","",IF($R46="NO","N/A",IF(OR($R46="VERIFY",$R46="NOT ASSESSED"),"VISA RULE NOT ON FILE",IF($T46="","MISSING",IF($T46&lt;MAX('TRIP MANAGER'!$L$18:$L$25),"EXPIRED","VALID")))))</f>
        <v/>
      </c>
      <c r="V46" s="4"/>
      <c r="W46" s="9"/>
      <c r="X46" s="9"/>
      <c r="Y46" s="4"/>
      <c r="Z46" s="10" t="str">
        <f>IF($A46="","",IF(UPPER($C46)&lt;&gt;"CREW","N/A",IF(OR($W46="",$X46=""),"MISSING",IF(MIN($W46,$X46)&lt;MAX('TRIP MANAGER'!$L$18:$L$25),"EXPIRED","VALID"))))</f>
        <v/>
      </c>
      <c r="AA46" s="4"/>
      <c r="AB46" s="4"/>
      <c r="AC46" s="4"/>
      <c r="AD46" s="4"/>
      <c r="AE46" s="10" t="str">
        <f>IF($A46="","",admin!$B$2&amp;"\PaxCrewDocs\"&amp;$B46&amp;"\"&amp;$A46)</f>
        <v/>
      </c>
      <c r="AF46" s="10" t="str">
        <f t="shared" si="1"/>
        <v/>
      </c>
      <c r="AG46" s="10" t="str">
        <f t="shared" si="2"/>
        <v/>
      </c>
      <c r="AH46" s="10" t="str">
        <f t="shared" si="3"/>
        <v/>
      </c>
      <c r="AI46" s="1" t="str">
        <f t="shared" si="4"/>
        <v/>
      </c>
      <c r="AJ46" t="str">
        <f>IF($A46="","",IF($B46='TRIP MANAGER'!$B$5,COUNTIFS($A$3:$A46,"&lt;&gt;",$B$3:$B46,$B46),""))</f>
        <v/>
      </c>
      <c r="AK46" t="str">
        <f>IF($A46="","",COUNTIF(DOCUMENTS!$C$5:$C$44,$A46))</f>
        <v/>
      </c>
      <c r="AL46" t="str">
        <f>IF($A46="","",COUNTIFS(DOCUMENTS!$C$5:$C$44,$A46,DOCUMENTS!$AI$5:$AI$44,"&lt;&gt;")-COUNTIFS(DOCUMENTS!$C$5:$C$44,$A46,DOCUMENTS!$AI$5:$AI$44,"REJECT DOCUMENT"))</f>
        <v/>
      </c>
      <c r="AM46" t="str">
        <f>IF($A46="","",COUNTIFS(DOCUMENTS!$C$5:$C$44,$A46,DOCUMENTS!$AI$5:$AI$44,""))</f>
        <v/>
      </c>
      <c r="AN46" t="str" cm="1">
        <f t="array" ref="AN46">IF($A46="","",SUMPRODUCT((DOCUMENTS!$C$5:$C$44=$A46)*(ISNUMBER(SEARCH("MISMATCH",DOCUMENTS!$AH$5:$AH$44)))))</f>
        <v/>
      </c>
    </row>
    <row r="47" spans="1:40" x14ac:dyDescent="0.3">
      <c r="A47" s="4"/>
      <c r="B47" s="28" t="str">
        <f>'TRIP MANAGER'!$B$5</f>
        <v>JTL-2608-001</v>
      </c>
      <c r="C47" s="4"/>
      <c r="D47" s="4"/>
      <c r="E47" s="4"/>
      <c r="F47" s="4"/>
      <c r="G47" s="4"/>
      <c r="H47" s="4"/>
      <c r="I47" s="4"/>
      <c r="J47" s="9"/>
      <c r="K47" s="10" t="str">
        <f t="shared" ca="1" si="0"/>
        <v/>
      </c>
      <c r="L47" s="4"/>
      <c r="M47" s="4"/>
      <c r="N47" s="4"/>
      <c r="O47" s="9"/>
      <c r="P47" s="9"/>
      <c r="Q47" s="10" t="str">
        <f>IF($P47="","MISSING",IF($P47&lt;MAX('TRIP MANAGER'!$L$18:$L$25),"EXPIRES BEFORE TRIP",IF($P47&lt;MAX('TRIP MANAGER'!$L$18:$L$25)+180,"UNDER 6 MONTHS","VALID")))</f>
        <v>MISSING</v>
      </c>
      <c r="R47" s="28" t="str" cm="1">
        <f t="array" ref="R47">IF($A47="","",IFERROR(INDEX('TRIP MANAGER'!$E$97:$J$97,INDEX('TRIP MANAGER'!$AJ$18:$AJ$37,MATCH($L47,'TRIP MANAGER'!$AH$18:$AH$37,0))),"NOT ASSESSED"))</f>
        <v/>
      </c>
      <c r="S47" s="4"/>
      <c r="T47" s="9"/>
      <c r="U47" s="10" t="str">
        <f>IF($A47="","",IF($R47="NO","N/A",IF(OR($R47="VERIFY",$R47="NOT ASSESSED"),"VISA RULE NOT ON FILE",IF($T47="","MISSING",IF($T47&lt;MAX('TRIP MANAGER'!$L$18:$L$25),"EXPIRED","VALID")))))</f>
        <v/>
      </c>
      <c r="V47" s="4"/>
      <c r="W47" s="9"/>
      <c r="X47" s="9"/>
      <c r="Y47" s="4"/>
      <c r="Z47" s="10" t="str">
        <f>IF($A47="","",IF(UPPER($C47)&lt;&gt;"CREW","N/A",IF(OR($W47="",$X47=""),"MISSING",IF(MIN($W47,$X47)&lt;MAX('TRIP MANAGER'!$L$18:$L$25),"EXPIRED","VALID"))))</f>
        <v/>
      </c>
      <c r="AA47" s="4"/>
      <c r="AB47" s="4"/>
      <c r="AC47" s="4"/>
      <c r="AD47" s="4"/>
      <c r="AE47" s="10" t="str">
        <f>IF($A47="","",admin!$B$2&amp;"\PaxCrewDocs\"&amp;$B47&amp;"\"&amp;$A47)</f>
        <v/>
      </c>
      <c r="AF47" s="10" t="str">
        <f t="shared" si="1"/>
        <v/>
      </c>
      <c r="AG47" s="10" t="str">
        <f t="shared" si="2"/>
        <v/>
      </c>
      <c r="AH47" s="10" t="str">
        <f t="shared" si="3"/>
        <v/>
      </c>
      <c r="AI47" s="1" t="str">
        <f t="shared" si="4"/>
        <v/>
      </c>
      <c r="AJ47" t="str">
        <f>IF($A47="","",IF($B47='TRIP MANAGER'!$B$5,COUNTIFS($A$3:$A47,"&lt;&gt;",$B$3:$B47,$B47),""))</f>
        <v/>
      </c>
      <c r="AK47" t="str">
        <f>IF($A47="","",COUNTIF(DOCUMENTS!$C$5:$C$44,$A47))</f>
        <v/>
      </c>
      <c r="AL47" t="str">
        <f>IF($A47="","",COUNTIFS(DOCUMENTS!$C$5:$C$44,$A47,DOCUMENTS!$AI$5:$AI$44,"&lt;&gt;")-COUNTIFS(DOCUMENTS!$C$5:$C$44,$A47,DOCUMENTS!$AI$5:$AI$44,"REJECT DOCUMENT"))</f>
        <v/>
      </c>
      <c r="AM47" t="str">
        <f>IF($A47="","",COUNTIFS(DOCUMENTS!$C$5:$C$44,$A47,DOCUMENTS!$AI$5:$AI$44,""))</f>
        <v/>
      </c>
      <c r="AN47" t="str" cm="1">
        <f t="array" ref="AN47">IF($A47="","",SUMPRODUCT((DOCUMENTS!$C$5:$C$44=$A47)*(ISNUMBER(SEARCH("MISMATCH",DOCUMENTS!$AH$5:$AH$44)))))</f>
        <v/>
      </c>
    </row>
    <row r="48" spans="1:40" x14ac:dyDescent="0.3">
      <c r="A48" s="4"/>
      <c r="B48" s="28" t="str">
        <f>'TRIP MANAGER'!$B$5</f>
        <v>JTL-2608-001</v>
      </c>
      <c r="C48" s="4"/>
      <c r="D48" s="4"/>
      <c r="E48" s="4"/>
      <c r="F48" s="4"/>
      <c r="G48" s="4"/>
      <c r="H48" s="4"/>
      <c r="I48" s="4"/>
      <c r="J48" s="9"/>
      <c r="K48" s="10" t="str">
        <f t="shared" ca="1" si="0"/>
        <v/>
      </c>
      <c r="L48" s="4"/>
      <c r="M48" s="4"/>
      <c r="N48" s="4"/>
      <c r="O48" s="9"/>
      <c r="P48" s="9"/>
      <c r="Q48" s="10" t="str">
        <f>IF($P48="","MISSING",IF($P48&lt;MAX('TRIP MANAGER'!$L$18:$L$25),"EXPIRES BEFORE TRIP",IF($P48&lt;MAX('TRIP MANAGER'!$L$18:$L$25)+180,"UNDER 6 MONTHS","VALID")))</f>
        <v>MISSING</v>
      </c>
      <c r="R48" s="28" t="str" cm="1">
        <f t="array" ref="R48">IF($A48="","",IFERROR(INDEX('TRIP MANAGER'!$E$97:$J$97,INDEX('TRIP MANAGER'!$AJ$18:$AJ$37,MATCH($L48,'TRIP MANAGER'!$AH$18:$AH$37,0))),"NOT ASSESSED"))</f>
        <v/>
      </c>
      <c r="S48" s="4"/>
      <c r="T48" s="9"/>
      <c r="U48" s="10" t="str">
        <f>IF($A48="","",IF($R48="NO","N/A",IF(OR($R48="VERIFY",$R48="NOT ASSESSED"),"VISA RULE NOT ON FILE",IF($T48="","MISSING",IF($T48&lt;MAX('TRIP MANAGER'!$L$18:$L$25),"EXPIRED","VALID")))))</f>
        <v/>
      </c>
      <c r="V48" s="4"/>
      <c r="W48" s="9"/>
      <c r="X48" s="9"/>
      <c r="Y48" s="4"/>
      <c r="Z48" s="10" t="str">
        <f>IF($A48="","",IF(UPPER($C48)&lt;&gt;"CREW","N/A",IF(OR($W48="",$X48=""),"MISSING",IF(MIN($W48,$X48)&lt;MAX('TRIP MANAGER'!$L$18:$L$25),"EXPIRED","VALID"))))</f>
        <v/>
      </c>
      <c r="AA48" s="4"/>
      <c r="AB48" s="4"/>
      <c r="AC48" s="4"/>
      <c r="AD48" s="4"/>
      <c r="AE48" s="10" t="str">
        <f>IF($A48="","",admin!$B$2&amp;"\PaxCrewDocs\"&amp;$B48&amp;"\"&amp;$A48)</f>
        <v/>
      </c>
      <c r="AF48" s="10" t="str">
        <f t="shared" si="1"/>
        <v/>
      </c>
      <c r="AG48" s="10" t="str">
        <f t="shared" si="2"/>
        <v/>
      </c>
      <c r="AH48" s="10" t="str">
        <f t="shared" si="3"/>
        <v/>
      </c>
      <c r="AI48" s="1" t="str">
        <f t="shared" si="4"/>
        <v/>
      </c>
      <c r="AJ48" t="str">
        <f>IF($A48="","",IF($B48='TRIP MANAGER'!$B$5,COUNTIFS($A$3:$A48,"&lt;&gt;",$B$3:$B48,$B48),""))</f>
        <v/>
      </c>
      <c r="AK48" t="str">
        <f>IF($A48="","",COUNTIF(DOCUMENTS!$C$5:$C$44,$A48))</f>
        <v/>
      </c>
      <c r="AL48" t="str">
        <f>IF($A48="","",COUNTIFS(DOCUMENTS!$C$5:$C$44,$A48,DOCUMENTS!$AI$5:$AI$44,"&lt;&gt;")-COUNTIFS(DOCUMENTS!$C$5:$C$44,$A48,DOCUMENTS!$AI$5:$AI$44,"REJECT DOCUMENT"))</f>
        <v/>
      </c>
      <c r="AM48" t="str">
        <f>IF($A48="","",COUNTIFS(DOCUMENTS!$C$5:$C$44,$A48,DOCUMENTS!$AI$5:$AI$44,""))</f>
        <v/>
      </c>
      <c r="AN48" t="str" cm="1">
        <f t="array" ref="AN48">IF($A48="","",SUMPRODUCT((DOCUMENTS!$C$5:$C$44=$A48)*(ISNUMBER(SEARCH("MISMATCH",DOCUMENTS!$AH$5:$AH$44)))))</f>
        <v/>
      </c>
    </row>
    <row r="49" spans="1:40" x14ac:dyDescent="0.3">
      <c r="A49" s="4"/>
      <c r="B49" s="28" t="str">
        <f>'TRIP MANAGER'!$B$5</f>
        <v>JTL-2608-001</v>
      </c>
      <c r="C49" s="4"/>
      <c r="D49" s="4"/>
      <c r="E49" s="4"/>
      <c r="F49" s="4"/>
      <c r="G49" s="4"/>
      <c r="H49" s="4"/>
      <c r="I49" s="4"/>
      <c r="J49" s="9"/>
      <c r="K49" s="10" t="str">
        <f t="shared" ca="1" si="0"/>
        <v/>
      </c>
      <c r="L49" s="4"/>
      <c r="M49" s="4"/>
      <c r="N49" s="4"/>
      <c r="O49" s="9"/>
      <c r="P49" s="9"/>
      <c r="Q49" s="10" t="str">
        <f>IF($P49="","MISSING",IF($P49&lt;MAX('TRIP MANAGER'!$L$18:$L$25),"EXPIRES BEFORE TRIP",IF($P49&lt;MAX('TRIP MANAGER'!$L$18:$L$25)+180,"UNDER 6 MONTHS","VALID")))</f>
        <v>MISSING</v>
      </c>
      <c r="R49" s="28" t="str" cm="1">
        <f t="array" ref="R49">IF($A49="","",IFERROR(INDEX('TRIP MANAGER'!$E$97:$J$97,INDEX('TRIP MANAGER'!$AJ$18:$AJ$37,MATCH($L49,'TRIP MANAGER'!$AH$18:$AH$37,0))),"NOT ASSESSED"))</f>
        <v/>
      </c>
      <c r="S49" s="4"/>
      <c r="T49" s="9"/>
      <c r="U49" s="10" t="str">
        <f>IF($A49="","",IF($R49="NO","N/A",IF(OR($R49="VERIFY",$R49="NOT ASSESSED"),"VISA RULE NOT ON FILE",IF($T49="","MISSING",IF($T49&lt;MAX('TRIP MANAGER'!$L$18:$L$25),"EXPIRED","VALID")))))</f>
        <v/>
      </c>
      <c r="V49" s="4"/>
      <c r="W49" s="9"/>
      <c r="X49" s="9"/>
      <c r="Y49" s="4"/>
      <c r="Z49" s="10" t="str">
        <f>IF($A49="","",IF(UPPER($C49)&lt;&gt;"CREW","N/A",IF(OR($W49="",$X49=""),"MISSING",IF(MIN($W49,$X49)&lt;MAX('TRIP MANAGER'!$L$18:$L$25),"EXPIRED","VALID"))))</f>
        <v/>
      </c>
      <c r="AA49" s="4"/>
      <c r="AB49" s="4"/>
      <c r="AC49" s="4"/>
      <c r="AD49" s="4"/>
      <c r="AE49" s="10" t="str">
        <f>IF($A49="","",admin!$B$2&amp;"\PaxCrewDocs\"&amp;$B49&amp;"\"&amp;$A49)</f>
        <v/>
      </c>
      <c r="AF49" s="10" t="str">
        <f t="shared" si="1"/>
        <v/>
      </c>
      <c r="AG49" s="10" t="str">
        <f t="shared" si="2"/>
        <v/>
      </c>
      <c r="AH49" s="10" t="str">
        <f t="shared" si="3"/>
        <v/>
      </c>
      <c r="AI49" s="1" t="str">
        <f t="shared" si="4"/>
        <v/>
      </c>
      <c r="AJ49" t="str">
        <f>IF($A49="","",IF($B49='TRIP MANAGER'!$B$5,COUNTIFS($A$3:$A49,"&lt;&gt;",$B$3:$B49,$B49),""))</f>
        <v/>
      </c>
      <c r="AK49" t="str">
        <f>IF($A49="","",COUNTIF(DOCUMENTS!$C$5:$C$44,$A49))</f>
        <v/>
      </c>
      <c r="AL49" t="str">
        <f>IF($A49="","",COUNTIFS(DOCUMENTS!$C$5:$C$44,$A49,DOCUMENTS!$AI$5:$AI$44,"&lt;&gt;")-COUNTIFS(DOCUMENTS!$C$5:$C$44,$A49,DOCUMENTS!$AI$5:$AI$44,"REJECT DOCUMENT"))</f>
        <v/>
      </c>
      <c r="AM49" t="str">
        <f>IF($A49="","",COUNTIFS(DOCUMENTS!$C$5:$C$44,$A49,DOCUMENTS!$AI$5:$AI$44,""))</f>
        <v/>
      </c>
      <c r="AN49" t="str" cm="1">
        <f t="array" ref="AN49">IF($A49="","",SUMPRODUCT((DOCUMENTS!$C$5:$C$44=$A49)*(ISNUMBER(SEARCH("MISMATCH",DOCUMENTS!$AH$5:$AH$44)))))</f>
        <v/>
      </c>
    </row>
    <row r="50" spans="1:40" x14ac:dyDescent="0.3">
      <c r="A50" s="4"/>
      <c r="B50" s="28" t="str">
        <f>'TRIP MANAGER'!$B$5</f>
        <v>JTL-2608-001</v>
      </c>
      <c r="C50" s="4"/>
      <c r="D50" s="4"/>
      <c r="E50" s="4"/>
      <c r="F50" s="4"/>
      <c r="G50" s="4"/>
      <c r="H50" s="4"/>
      <c r="I50" s="4"/>
      <c r="J50" s="9"/>
      <c r="K50" s="10" t="str">
        <f t="shared" ca="1" si="0"/>
        <v/>
      </c>
      <c r="L50" s="4"/>
      <c r="M50" s="4"/>
      <c r="N50" s="4"/>
      <c r="O50" s="9"/>
      <c r="P50" s="9"/>
      <c r="Q50" s="10" t="str">
        <f>IF($P50="","MISSING",IF($P50&lt;MAX('TRIP MANAGER'!$L$18:$L$25),"EXPIRES BEFORE TRIP",IF($P50&lt;MAX('TRIP MANAGER'!$L$18:$L$25)+180,"UNDER 6 MONTHS","VALID")))</f>
        <v>MISSING</v>
      </c>
      <c r="R50" s="28" t="str" cm="1">
        <f t="array" ref="R50">IF($A50="","",IFERROR(INDEX('TRIP MANAGER'!$E$97:$J$97,INDEX('TRIP MANAGER'!$AJ$18:$AJ$37,MATCH($L50,'TRIP MANAGER'!$AH$18:$AH$37,0))),"NOT ASSESSED"))</f>
        <v/>
      </c>
      <c r="S50" s="4"/>
      <c r="T50" s="9"/>
      <c r="U50" s="10" t="str">
        <f>IF($A50="","",IF($R50="NO","N/A",IF(OR($R50="VERIFY",$R50="NOT ASSESSED"),"VISA RULE NOT ON FILE",IF($T50="","MISSING",IF($T50&lt;MAX('TRIP MANAGER'!$L$18:$L$25),"EXPIRED","VALID")))))</f>
        <v/>
      </c>
      <c r="V50" s="4"/>
      <c r="W50" s="9"/>
      <c r="X50" s="9"/>
      <c r="Y50" s="4"/>
      <c r="Z50" s="10" t="str">
        <f>IF($A50="","",IF(UPPER($C50)&lt;&gt;"CREW","N/A",IF(OR($W50="",$X50=""),"MISSING",IF(MIN($W50,$X50)&lt;MAX('TRIP MANAGER'!$L$18:$L$25),"EXPIRED","VALID"))))</f>
        <v/>
      </c>
      <c r="AA50" s="4"/>
      <c r="AB50" s="4"/>
      <c r="AC50" s="4"/>
      <c r="AD50" s="4"/>
      <c r="AE50" s="10" t="str">
        <f>IF($A50="","",admin!$B$2&amp;"\PaxCrewDocs\"&amp;$B50&amp;"\"&amp;$A50)</f>
        <v/>
      </c>
      <c r="AF50" s="10" t="str">
        <f t="shared" si="1"/>
        <v/>
      </c>
      <c r="AG50" s="10" t="str">
        <f t="shared" si="2"/>
        <v/>
      </c>
      <c r="AH50" s="10" t="str">
        <f t="shared" si="3"/>
        <v/>
      </c>
      <c r="AI50" s="1" t="str">
        <f t="shared" si="4"/>
        <v/>
      </c>
      <c r="AJ50" t="str">
        <f>IF($A50="","",IF($B50='TRIP MANAGER'!$B$5,COUNTIFS($A$3:$A50,"&lt;&gt;",$B$3:$B50,$B50),""))</f>
        <v/>
      </c>
      <c r="AK50" t="str">
        <f>IF($A50="","",COUNTIF(DOCUMENTS!$C$5:$C$44,$A50))</f>
        <v/>
      </c>
      <c r="AL50" t="str">
        <f>IF($A50="","",COUNTIFS(DOCUMENTS!$C$5:$C$44,$A50,DOCUMENTS!$AI$5:$AI$44,"&lt;&gt;")-COUNTIFS(DOCUMENTS!$C$5:$C$44,$A50,DOCUMENTS!$AI$5:$AI$44,"REJECT DOCUMENT"))</f>
        <v/>
      </c>
      <c r="AM50" t="str">
        <f>IF($A50="","",COUNTIFS(DOCUMENTS!$C$5:$C$44,$A50,DOCUMENTS!$AI$5:$AI$44,""))</f>
        <v/>
      </c>
      <c r="AN50" t="str" cm="1">
        <f t="array" ref="AN50">IF($A50="","",SUMPRODUCT((DOCUMENTS!$C$5:$C$44=$A50)*(ISNUMBER(SEARCH("MISMATCH",DOCUMENTS!$AH$5:$AH$44)))))</f>
        <v/>
      </c>
    </row>
    <row r="51" spans="1:40" x14ac:dyDescent="0.3">
      <c r="A51" s="4"/>
      <c r="B51" s="28" t="str">
        <f>'TRIP MANAGER'!$B$5</f>
        <v>JTL-2608-001</v>
      </c>
      <c r="C51" s="4"/>
      <c r="D51" s="4"/>
      <c r="E51" s="4"/>
      <c r="F51" s="4"/>
      <c r="G51" s="4"/>
      <c r="H51" s="4"/>
      <c r="I51" s="4"/>
      <c r="J51" s="9"/>
      <c r="K51" s="10" t="str">
        <f t="shared" ca="1" si="0"/>
        <v/>
      </c>
      <c r="L51" s="4"/>
      <c r="M51" s="4"/>
      <c r="N51" s="4"/>
      <c r="O51" s="9"/>
      <c r="P51" s="9"/>
      <c r="Q51" s="10" t="str">
        <f>IF($P51="","MISSING",IF($P51&lt;MAX('TRIP MANAGER'!$L$18:$L$25),"EXPIRES BEFORE TRIP",IF($P51&lt;MAX('TRIP MANAGER'!$L$18:$L$25)+180,"UNDER 6 MONTHS","VALID")))</f>
        <v>MISSING</v>
      </c>
      <c r="R51" s="28" t="str" cm="1">
        <f t="array" ref="R51">IF($A51="","",IFERROR(INDEX('TRIP MANAGER'!$E$97:$J$97,INDEX('TRIP MANAGER'!$AJ$18:$AJ$37,MATCH($L51,'TRIP MANAGER'!$AH$18:$AH$37,0))),"NOT ASSESSED"))</f>
        <v/>
      </c>
      <c r="S51" s="4"/>
      <c r="T51" s="9"/>
      <c r="U51" s="10" t="str">
        <f>IF($A51="","",IF($R51="NO","N/A",IF(OR($R51="VERIFY",$R51="NOT ASSESSED"),"VISA RULE NOT ON FILE",IF($T51="","MISSING",IF($T51&lt;MAX('TRIP MANAGER'!$L$18:$L$25),"EXPIRED","VALID")))))</f>
        <v/>
      </c>
      <c r="V51" s="4"/>
      <c r="W51" s="9"/>
      <c r="X51" s="9"/>
      <c r="Y51" s="4"/>
      <c r="Z51" s="10" t="str">
        <f>IF($A51="","",IF(UPPER($C51)&lt;&gt;"CREW","N/A",IF(OR($W51="",$X51=""),"MISSING",IF(MIN($W51,$X51)&lt;MAX('TRIP MANAGER'!$L$18:$L$25),"EXPIRED","VALID"))))</f>
        <v/>
      </c>
      <c r="AA51" s="4"/>
      <c r="AB51" s="4"/>
      <c r="AC51" s="4"/>
      <c r="AD51" s="4"/>
      <c r="AE51" s="10" t="str">
        <f>IF($A51="","",admin!$B$2&amp;"\PaxCrewDocs\"&amp;$B51&amp;"\"&amp;$A51)</f>
        <v/>
      </c>
      <c r="AF51" s="10" t="str">
        <f t="shared" si="1"/>
        <v/>
      </c>
      <c r="AG51" s="10" t="str">
        <f t="shared" si="2"/>
        <v/>
      </c>
      <c r="AH51" s="10" t="str">
        <f t="shared" si="3"/>
        <v/>
      </c>
      <c r="AI51" s="1" t="str">
        <f t="shared" si="4"/>
        <v/>
      </c>
      <c r="AJ51" t="str">
        <f>IF($A51="","",IF($B51='TRIP MANAGER'!$B$5,COUNTIFS($A$3:$A51,"&lt;&gt;",$B$3:$B51,$B51),""))</f>
        <v/>
      </c>
      <c r="AK51" t="str">
        <f>IF($A51="","",COUNTIF(DOCUMENTS!$C$5:$C$44,$A51))</f>
        <v/>
      </c>
      <c r="AL51" t="str">
        <f>IF($A51="","",COUNTIFS(DOCUMENTS!$C$5:$C$44,$A51,DOCUMENTS!$AI$5:$AI$44,"&lt;&gt;")-COUNTIFS(DOCUMENTS!$C$5:$C$44,$A51,DOCUMENTS!$AI$5:$AI$44,"REJECT DOCUMENT"))</f>
        <v/>
      </c>
      <c r="AM51" t="str">
        <f>IF($A51="","",COUNTIFS(DOCUMENTS!$C$5:$C$44,$A51,DOCUMENTS!$AI$5:$AI$44,""))</f>
        <v/>
      </c>
      <c r="AN51" t="str" cm="1">
        <f t="array" ref="AN51">IF($A51="","",SUMPRODUCT((DOCUMENTS!$C$5:$C$44=$A51)*(ISNUMBER(SEARCH("MISMATCH",DOCUMENTS!$AH$5:$AH$44)))))</f>
        <v/>
      </c>
    </row>
    <row r="52" spans="1:40" x14ac:dyDescent="0.3">
      <c r="A52" s="4"/>
      <c r="B52" s="28" t="str">
        <f>'TRIP MANAGER'!$B$5</f>
        <v>JTL-2608-001</v>
      </c>
      <c r="C52" s="4"/>
      <c r="D52" s="4"/>
      <c r="E52" s="4"/>
      <c r="F52" s="4"/>
      <c r="G52" s="4"/>
      <c r="H52" s="4"/>
      <c r="I52" s="4"/>
      <c r="J52" s="9"/>
      <c r="K52" s="10" t="str">
        <f t="shared" ca="1" si="0"/>
        <v/>
      </c>
      <c r="L52" s="4"/>
      <c r="M52" s="4"/>
      <c r="N52" s="4"/>
      <c r="O52" s="9"/>
      <c r="P52" s="9"/>
      <c r="Q52" s="10" t="str">
        <f>IF($P52="","MISSING",IF($P52&lt;MAX('TRIP MANAGER'!$L$18:$L$25),"EXPIRES BEFORE TRIP",IF($P52&lt;MAX('TRIP MANAGER'!$L$18:$L$25)+180,"UNDER 6 MONTHS","VALID")))</f>
        <v>MISSING</v>
      </c>
      <c r="R52" s="28" t="str" cm="1">
        <f t="array" ref="R52">IF($A52="","",IFERROR(INDEX('TRIP MANAGER'!$E$97:$J$97,INDEX('TRIP MANAGER'!$AJ$18:$AJ$37,MATCH($L52,'TRIP MANAGER'!$AH$18:$AH$37,0))),"NOT ASSESSED"))</f>
        <v/>
      </c>
      <c r="S52" s="4"/>
      <c r="T52" s="9"/>
      <c r="U52" s="10" t="str">
        <f>IF($A52="","",IF($R52="NO","N/A",IF(OR($R52="VERIFY",$R52="NOT ASSESSED"),"VISA RULE NOT ON FILE",IF($T52="","MISSING",IF($T52&lt;MAX('TRIP MANAGER'!$L$18:$L$25),"EXPIRED","VALID")))))</f>
        <v/>
      </c>
      <c r="V52" s="4"/>
      <c r="W52" s="9"/>
      <c r="X52" s="9"/>
      <c r="Y52" s="4"/>
      <c r="Z52" s="10" t="str">
        <f>IF($A52="","",IF(UPPER($C52)&lt;&gt;"CREW","N/A",IF(OR($W52="",$X52=""),"MISSING",IF(MIN($W52,$X52)&lt;MAX('TRIP MANAGER'!$L$18:$L$25),"EXPIRED","VALID"))))</f>
        <v/>
      </c>
      <c r="AA52" s="4"/>
      <c r="AB52" s="4"/>
      <c r="AC52" s="4"/>
      <c r="AD52" s="4"/>
      <c r="AE52" s="10" t="str">
        <f>IF($A52="","",admin!$B$2&amp;"\PaxCrewDocs\"&amp;$B52&amp;"\"&amp;$A52)</f>
        <v/>
      </c>
      <c r="AF52" s="10" t="str">
        <f t="shared" si="1"/>
        <v/>
      </c>
      <c r="AG52" s="10" t="str">
        <f t="shared" si="2"/>
        <v/>
      </c>
      <c r="AH52" s="10" t="str">
        <f t="shared" si="3"/>
        <v/>
      </c>
      <c r="AI52" s="1" t="str">
        <f t="shared" si="4"/>
        <v/>
      </c>
      <c r="AJ52" t="str">
        <f>IF($A52="","",IF($B52='TRIP MANAGER'!$B$5,COUNTIFS($A$3:$A52,"&lt;&gt;",$B$3:$B52,$B52),""))</f>
        <v/>
      </c>
      <c r="AK52" t="str">
        <f>IF($A52="","",COUNTIF(DOCUMENTS!$C$5:$C$44,$A52))</f>
        <v/>
      </c>
      <c r="AL52" t="str">
        <f>IF($A52="","",COUNTIFS(DOCUMENTS!$C$5:$C$44,$A52,DOCUMENTS!$AI$5:$AI$44,"&lt;&gt;")-COUNTIFS(DOCUMENTS!$C$5:$C$44,$A52,DOCUMENTS!$AI$5:$AI$44,"REJECT DOCUMENT"))</f>
        <v/>
      </c>
      <c r="AM52" t="str">
        <f>IF($A52="","",COUNTIFS(DOCUMENTS!$C$5:$C$44,$A52,DOCUMENTS!$AI$5:$AI$44,""))</f>
        <v/>
      </c>
      <c r="AN52" t="str" cm="1">
        <f t="array" ref="AN52">IF($A52="","",SUMPRODUCT((DOCUMENTS!$C$5:$C$44=$A52)*(ISNUMBER(SEARCH("MISMATCH",DOCUMENTS!$AH$5:$AH$44)))))</f>
        <v/>
      </c>
    </row>
    <row r="53" spans="1:40" x14ac:dyDescent="0.3">
      <c r="A53" s="4"/>
      <c r="B53" s="28" t="str">
        <f>'TRIP MANAGER'!$B$5</f>
        <v>JTL-2608-001</v>
      </c>
      <c r="C53" s="4"/>
      <c r="D53" s="4"/>
      <c r="E53" s="4"/>
      <c r="F53" s="4"/>
      <c r="G53" s="4"/>
      <c r="H53" s="4"/>
      <c r="I53" s="4"/>
      <c r="J53" s="9"/>
      <c r="K53" s="10" t="str">
        <f t="shared" ca="1" si="0"/>
        <v/>
      </c>
      <c r="L53" s="4"/>
      <c r="M53" s="4"/>
      <c r="N53" s="4"/>
      <c r="O53" s="9"/>
      <c r="P53" s="9"/>
      <c r="Q53" s="10" t="str">
        <f>IF($P53="","MISSING",IF($P53&lt;MAX('TRIP MANAGER'!$L$18:$L$25),"EXPIRES BEFORE TRIP",IF($P53&lt;MAX('TRIP MANAGER'!$L$18:$L$25)+180,"UNDER 6 MONTHS","VALID")))</f>
        <v>MISSING</v>
      </c>
      <c r="R53" s="28" t="str" cm="1">
        <f t="array" ref="R53">IF($A53="","",IFERROR(INDEX('TRIP MANAGER'!$E$97:$J$97,INDEX('TRIP MANAGER'!$AJ$18:$AJ$37,MATCH($L53,'TRIP MANAGER'!$AH$18:$AH$37,0))),"NOT ASSESSED"))</f>
        <v/>
      </c>
      <c r="S53" s="4"/>
      <c r="T53" s="9"/>
      <c r="U53" s="10" t="str">
        <f>IF($A53="","",IF($R53="NO","N/A",IF(OR($R53="VERIFY",$R53="NOT ASSESSED"),"VISA RULE NOT ON FILE",IF($T53="","MISSING",IF($T53&lt;MAX('TRIP MANAGER'!$L$18:$L$25),"EXPIRED","VALID")))))</f>
        <v/>
      </c>
      <c r="V53" s="4"/>
      <c r="W53" s="9"/>
      <c r="X53" s="9"/>
      <c r="Y53" s="4"/>
      <c r="Z53" s="10" t="str">
        <f>IF($A53="","",IF(UPPER($C53)&lt;&gt;"CREW","N/A",IF(OR($W53="",$X53=""),"MISSING",IF(MIN($W53,$X53)&lt;MAX('TRIP MANAGER'!$L$18:$L$25),"EXPIRED","VALID"))))</f>
        <v/>
      </c>
      <c r="AA53" s="4"/>
      <c r="AB53" s="4"/>
      <c r="AC53" s="4"/>
      <c r="AD53" s="4"/>
      <c r="AE53" s="10" t="str">
        <f>IF($A53="","",admin!$B$2&amp;"\PaxCrewDocs\"&amp;$B53&amp;"\"&amp;$A53)</f>
        <v/>
      </c>
      <c r="AF53" s="10" t="str">
        <f t="shared" si="1"/>
        <v/>
      </c>
      <c r="AG53" s="10" t="str">
        <f t="shared" si="2"/>
        <v/>
      </c>
      <c r="AH53" s="10" t="str">
        <f t="shared" si="3"/>
        <v/>
      </c>
      <c r="AI53" s="1" t="str">
        <f t="shared" si="4"/>
        <v/>
      </c>
      <c r="AJ53" t="str">
        <f>IF($A53="","",IF($B53='TRIP MANAGER'!$B$5,COUNTIFS($A$3:$A53,"&lt;&gt;",$B$3:$B53,$B53),""))</f>
        <v/>
      </c>
      <c r="AK53" t="str">
        <f>IF($A53="","",COUNTIF(DOCUMENTS!$C$5:$C$44,$A53))</f>
        <v/>
      </c>
      <c r="AL53" t="str">
        <f>IF($A53="","",COUNTIFS(DOCUMENTS!$C$5:$C$44,$A53,DOCUMENTS!$AI$5:$AI$44,"&lt;&gt;")-COUNTIFS(DOCUMENTS!$C$5:$C$44,$A53,DOCUMENTS!$AI$5:$AI$44,"REJECT DOCUMENT"))</f>
        <v/>
      </c>
      <c r="AM53" t="str">
        <f>IF($A53="","",COUNTIFS(DOCUMENTS!$C$5:$C$44,$A53,DOCUMENTS!$AI$5:$AI$44,""))</f>
        <v/>
      </c>
      <c r="AN53" t="str" cm="1">
        <f t="array" ref="AN53">IF($A53="","",SUMPRODUCT((DOCUMENTS!$C$5:$C$44=$A53)*(ISNUMBER(SEARCH("MISMATCH",DOCUMENTS!$AH$5:$AH$44)))))</f>
        <v/>
      </c>
    </row>
    <row r="54" spans="1:40" x14ac:dyDescent="0.3">
      <c r="A54" s="4"/>
      <c r="B54" s="28" t="str">
        <f>'TRIP MANAGER'!$B$5</f>
        <v>JTL-2608-001</v>
      </c>
      <c r="C54" s="4"/>
      <c r="D54" s="4"/>
      <c r="E54" s="4"/>
      <c r="F54" s="4"/>
      <c r="G54" s="4"/>
      <c r="H54" s="4"/>
      <c r="I54" s="4"/>
      <c r="J54" s="9"/>
      <c r="K54" s="10" t="str">
        <f t="shared" ca="1" si="0"/>
        <v/>
      </c>
      <c r="L54" s="4"/>
      <c r="M54" s="4"/>
      <c r="N54" s="4"/>
      <c r="O54" s="9"/>
      <c r="P54" s="9"/>
      <c r="Q54" s="10" t="str">
        <f>IF($P54="","MISSING",IF($P54&lt;MAX('TRIP MANAGER'!$L$18:$L$25),"EXPIRES BEFORE TRIP",IF($P54&lt;MAX('TRIP MANAGER'!$L$18:$L$25)+180,"UNDER 6 MONTHS","VALID")))</f>
        <v>MISSING</v>
      </c>
      <c r="R54" s="28" t="str" cm="1">
        <f t="array" ref="R54">IF($A54="","",IFERROR(INDEX('TRIP MANAGER'!$E$97:$J$97,INDEX('TRIP MANAGER'!$AJ$18:$AJ$37,MATCH($L54,'TRIP MANAGER'!$AH$18:$AH$37,0))),"NOT ASSESSED"))</f>
        <v/>
      </c>
      <c r="S54" s="4"/>
      <c r="T54" s="9"/>
      <c r="U54" s="10" t="str">
        <f>IF($A54="","",IF($R54="NO","N/A",IF(OR($R54="VERIFY",$R54="NOT ASSESSED"),"VISA RULE NOT ON FILE",IF($T54="","MISSING",IF($T54&lt;MAX('TRIP MANAGER'!$L$18:$L$25),"EXPIRED","VALID")))))</f>
        <v/>
      </c>
      <c r="V54" s="4"/>
      <c r="W54" s="9"/>
      <c r="X54" s="9"/>
      <c r="Y54" s="4"/>
      <c r="Z54" s="10" t="str">
        <f>IF($A54="","",IF(UPPER($C54)&lt;&gt;"CREW","N/A",IF(OR($W54="",$X54=""),"MISSING",IF(MIN($W54,$X54)&lt;MAX('TRIP MANAGER'!$L$18:$L$25),"EXPIRED","VALID"))))</f>
        <v/>
      </c>
      <c r="AA54" s="4"/>
      <c r="AB54" s="4"/>
      <c r="AC54" s="4"/>
      <c r="AD54" s="4"/>
      <c r="AE54" s="10" t="str">
        <f>IF($A54="","",admin!$B$2&amp;"\PaxCrewDocs\"&amp;$B54&amp;"\"&amp;$A54)</f>
        <v/>
      </c>
      <c r="AF54" s="10" t="str">
        <f t="shared" si="1"/>
        <v/>
      </c>
      <c r="AG54" s="10" t="str">
        <f t="shared" si="2"/>
        <v/>
      </c>
      <c r="AH54" s="10" t="str">
        <f t="shared" si="3"/>
        <v/>
      </c>
      <c r="AI54" s="1" t="str">
        <f t="shared" si="4"/>
        <v/>
      </c>
      <c r="AJ54" t="str">
        <f>IF($A54="","",IF($B54='TRIP MANAGER'!$B$5,COUNTIFS($A$3:$A54,"&lt;&gt;",$B$3:$B54,$B54),""))</f>
        <v/>
      </c>
      <c r="AK54" t="str">
        <f>IF($A54="","",COUNTIF(DOCUMENTS!$C$5:$C$44,$A54))</f>
        <v/>
      </c>
      <c r="AL54" t="str">
        <f>IF($A54="","",COUNTIFS(DOCUMENTS!$C$5:$C$44,$A54,DOCUMENTS!$AI$5:$AI$44,"&lt;&gt;")-COUNTIFS(DOCUMENTS!$C$5:$C$44,$A54,DOCUMENTS!$AI$5:$AI$44,"REJECT DOCUMENT"))</f>
        <v/>
      </c>
      <c r="AM54" t="str">
        <f>IF($A54="","",COUNTIFS(DOCUMENTS!$C$5:$C$44,$A54,DOCUMENTS!$AI$5:$AI$44,""))</f>
        <v/>
      </c>
      <c r="AN54" t="str" cm="1">
        <f t="array" ref="AN54">IF($A54="","",SUMPRODUCT((DOCUMENTS!$C$5:$C$44=$A54)*(ISNUMBER(SEARCH("MISMATCH",DOCUMENTS!$AH$5:$AH$44)))))</f>
        <v/>
      </c>
    </row>
    <row r="55" spans="1:40" x14ac:dyDescent="0.3">
      <c r="A55" s="4"/>
      <c r="B55" s="28" t="str">
        <f>'TRIP MANAGER'!$B$5</f>
        <v>JTL-2608-001</v>
      </c>
      <c r="C55" s="4"/>
      <c r="D55" s="4"/>
      <c r="E55" s="4"/>
      <c r="F55" s="4"/>
      <c r="G55" s="4"/>
      <c r="H55" s="4"/>
      <c r="I55" s="4"/>
      <c r="J55" s="9"/>
      <c r="K55" s="10" t="str">
        <f t="shared" ca="1" si="0"/>
        <v/>
      </c>
      <c r="L55" s="4"/>
      <c r="M55" s="4"/>
      <c r="N55" s="4"/>
      <c r="O55" s="9"/>
      <c r="P55" s="9"/>
      <c r="Q55" s="10" t="str">
        <f>IF($P55="","MISSING",IF($P55&lt;MAX('TRIP MANAGER'!$L$18:$L$25),"EXPIRES BEFORE TRIP",IF($P55&lt;MAX('TRIP MANAGER'!$L$18:$L$25)+180,"UNDER 6 MONTHS","VALID")))</f>
        <v>MISSING</v>
      </c>
      <c r="R55" s="28" t="str" cm="1">
        <f t="array" ref="R55">IF($A55="","",IFERROR(INDEX('TRIP MANAGER'!$E$97:$J$97,INDEX('TRIP MANAGER'!$AJ$18:$AJ$37,MATCH($L55,'TRIP MANAGER'!$AH$18:$AH$37,0))),"NOT ASSESSED"))</f>
        <v/>
      </c>
      <c r="S55" s="4"/>
      <c r="T55" s="9"/>
      <c r="U55" s="10" t="str">
        <f>IF($A55="","",IF($R55="NO","N/A",IF(OR($R55="VERIFY",$R55="NOT ASSESSED"),"VISA RULE NOT ON FILE",IF($T55="","MISSING",IF($T55&lt;MAX('TRIP MANAGER'!$L$18:$L$25),"EXPIRED","VALID")))))</f>
        <v/>
      </c>
      <c r="V55" s="4"/>
      <c r="W55" s="9"/>
      <c r="X55" s="9"/>
      <c r="Y55" s="4"/>
      <c r="Z55" s="10" t="str">
        <f>IF($A55="","",IF(UPPER($C55)&lt;&gt;"CREW","N/A",IF(OR($W55="",$X55=""),"MISSING",IF(MIN($W55,$X55)&lt;MAX('TRIP MANAGER'!$L$18:$L$25),"EXPIRED","VALID"))))</f>
        <v/>
      </c>
      <c r="AA55" s="4"/>
      <c r="AB55" s="4"/>
      <c r="AC55" s="4"/>
      <c r="AD55" s="4"/>
      <c r="AE55" s="10" t="str">
        <f>IF($A55="","",admin!$B$2&amp;"\PaxCrewDocs\"&amp;$B55&amp;"\"&amp;$A55)</f>
        <v/>
      </c>
      <c r="AF55" s="10" t="str">
        <f t="shared" si="1"/>
        <v/>
      </c>
      <c r="AG55" s="10" t="str">
        <f t="shared" si="2"/>
        <v/>
      </c>
      <c r="AH55" s="10" t="str">
        <f t="shared" si="3"/>
        <v/>
      </c>
      <c r="AI55" s="1" t="str">
        <f t="shared" si="4"/>
        <v/>
      </c>
      <c r="AJ55" t="str">
        <f>IF($A55="","",IF($B55='TRIP MANAGER'!$B$5,COUNTIFS($A$3:$A55,"&lt;&gt;",$B$3:$B55,$B55),""))</f>
        <v/>
      </c>
      <c r="AK55" t="str">
        <f>IF($A55="","",COUNTIF(DOCUMENTS!$C$5:$C$44,$A55))</f>
        <v/>
      </c>
      <c r="AL55" t="str">
        <f>IF($A55="","",COUNTIFS(DOCUMENTS!$C$5:$C$44,$A55,DOCUMENTS!$AI$5:$AI$44,"&lt;&gt;")-COUNTIFS(DOCUMENTS!$C$5:$C$44,$A55,DOCUMENTS!$AI$5:$AI$44,"REJECT DOCUMENT"))</f>
        <v/>
      </c>
      <c r="AM55" t="str">
        <f>IF($A55="","",COUNTIFS(DOCUMENTS!$C$5:$C$44,$A55,DOCUMENTS!$AI$5:$AI$44,""))</f>
        <v/>
      </c>
      <c r="AN55" t="str" cm="1">
        <f t="array" ref="AN55">IF($A55="","",SUMPRODUCT((DOCUMENTS!$C$5:$C$44=$A55)*(ISNUMBER(SEARCH("MISMATCH",DOCUMENTS!$AH$5:$AH$44)))))</f>
        <v/>
      </c>
    </row>
    <row r="56" spans="1:40" x14ac:dyDescent="0.3">
      <c r="A56" s="4"/>
      <c r="B56" s="28" t="str">
        <f>'TRIP MANAGER'!$B$5</f>
        <v>JTL-2608-001</v>
      </c>
      <c r="C56" s="4"/>
      <c r="D56" s="4"/>
      <c r="E56" s="4"/>
      <c r="F56" s="4"/>
      <c r="G56" s="4"/>
      <c r="H56" s="4"/>
      <c r="I56" s="4"/>
      <c r="J56" s="9"/>
      <c r="K56" s="10" t="str">
        <f t="shared" ca="1" si="0"/>
        <v/>
      </c>
      <c r="L56" s="4"/>
      <c r="M56" s="4"/>
      <c r="N56" s="4"/>
      <c r="O56" s="9"/>
      <c r="P56" s="9"/>
      <c r="Q56" s="10" t="str">
        <f>IF($P56="","MISSING",IF($P56&lt;MAX('TRIP MANAGER'!$L$18:$L$25),"EXPIRES BEFORE TRIP",IF($P56&lt;MAX('TRIP MANAGER'!$L$18:$L$25)+180,"UNDER 6 MONTHS","VALID")))</f>
        <v>MISSING</v>
      </c>
      <c r="R56" s="28" t="str" cm="1">
        <f t="array" ref="R56">IF($A56="","",IFERROR(INDEX('TRIP MANAGER'!$E$97:$J$97,INDEX('TRIP MANAGER'!$AJ$18:$AJ$37,MATCH($L56,'TRIP MANAGER'!$AH$18:$AH$37,0))),"NOT ASSESSED"))</f>
        <v/>
      </c>
      <c r="S56" s="4"/>
      <c r="T56" s="9"/>
      <c r="U56" s="10" t="str">
        <f>IF($A56="","",IF($R56="NO","N/A",IF(OR($R56="VERIFY",$R56="NOT ASSESSED"),"VISA RULE NOT ON FILE",IF($T56="","MISSING",IF($T56&lt;MAX('TRIP MANAGER'!$L$18:$L$25),"EXPIRED","VALID")))))</f>
        <v/>
      </c>
      <c r="V56" s="4"/>
      <c r="W56" s="9"/>
      <c r="X56" s="9"/>
      <c r="Y56" s="4"/>
      <c r="Z56" s="10" t="str">
        <f>IF($A56="","",IF(UPPER($C56)&lt;&gt;"CREW","N/A",IF(OR($W56="",$X56=""),"MISSING",IF(MIN($W56,$X56)&lt;MAX('TRIP MANAGER'!$L$18:$L$25),"EXPIRED","VALID"))))</f>
        <v/>
      </c>
      <c r="AA56" s="4"/>
      <c r="AB56" s="4"/>
      <c r="AC56" s="4"/>
      <c r="AD56" s="4"/>
      <c r="AE56" s="10" t="str">
        <f>IF($A56="","",admin!$B$2&amp;"\PaxCrewDocs\"&amp;$B56&amp;"\"&amp;$A56)</f>
        <v/>
      </c>
      <c r="AF56" s="10" t="str">
        <f t="shared" si="1"/>
        <v/>
      </c>
      <c r="AG56" s="10" t="str">
        <f t="shared" si="2"/>
        <v/>
      </c>
      <c r="AH56" s="10" t="str">
        <f t="shared" si="3"/>
        <v/>
      </c>
      <c r="AI56" s="1" t="str">
        <f t="shared" si="4"/>
        <v/>
      </c>
      <c r="AJ56" t="str">
        <f>IF($A56="","",IF($B56='TRIP MANAGER'!$B$5,COUNTIFS($A$3:$A56,"&lt;&gt;",$B$3:$B56,$B56),""))</f>
        <v/>
      </c>
      <c r="AK56" t="str">
        <f>IF($A56="","",COUNTIF(DOCUMENTS!$C$5:$C$44,$A56))</f>
        <v/>
      </c>
      <c r="AL56" t="str">
        <f>IF($A56="","",COUNTIFS(DOCUMENTS!$C$5:$C$44,$A56,DOCUMENTS!$AI$5:$AI$44,"&lt;&gt;")-COUNTIFS(DOCUMENTS!$C$5:$C$44,$A56,DOCUMENTS!$AI$5:$AI$44,"REJECT DOCUMENT"))</f>
        <v/>
      </c>
      <c r="AM56" t="str">
        <f>IF($A56="","",COUNTIFS(DOCUMENTS!$C$5:$C$44,$A56,DOCUMENTS!$AI$5:$AI$44,""))</f>
        <v/>
      </c>
      <c r="AN56" t="str" cm="1">
        <f t="array" ref="AN56">IF($A56="","",SUMPRODUCT((DOCUMENTS!$C$5:$C$44=$A56)*(ISNUMBER(SEARCH("MISMATCH",DOCUMENTS!$AH$5:$AH$44)))))</f>
        <v/>
      </c>
    </row>
    <row r="57" spans="1:40" x14ac:dyDescent="0.3">
      <c r="A57" s="4"/>
      <c r="B57" s="28" t="str">
        <f>'TRIP MANAGER'!$B$5</f>
        <v>JTL-2608-001</v>
      </c>
      <c r="C57" s="4"/>
      <c r="D57" s="4"/>
      <c r="E57" s="4"/>
      <c r="F57" s="4"/>
      <c r="G57" s="4"/>
      <c r="H57" s="4"/>
      <c r="I57" s="4"/>
      <c r="J57" s="9"/>
      <c r="K57" s="10" t="str">
        <f t="shared" ca="1" si="0"/>
        <v/>
      </c>
      <c r="L57" s="4"/>
      <c r="M57" s="4"/>
      <c r="N57" s="4"/>
      <c r="O57" s="9"/>
      <c r="P57" s="9"/>
      <c r="Q57" s="10" t="str">
        <f>IF($P57="","MISSING",IF($P57&lt;MAX('TRIP MANAGER'!$L$18:$L$25),"EXPIRES BEFORE TRIP",IF($P57&lt;MAX('TRIP MANAGER'!$L$18:$L$25)+180,"UNDER 6 MONTHS","VALID")))</f>
        <v>MISSING</v>
      </c>
      <c r="R57" s="28" t="str" cm="1">
        <f t="array" ref="R57">IF($A57="","",IFERROR(INDEX('TRIP MANAGER'!$E$97:$J$97,INDEX('TRIP MANAGER'!$AJ$18:$AJ$37,MATCH($L57,'TRIP MANAGER'!$AH$18:$AH$37,0))),"NOT ASSESSED"))</f>
        <v/>
      </c>
      <c r="S57" s="4"/>
      <c r="T57" s="9"/>
      <c r="U57" s="10" t="str">
        <f>IF($A57="","",IF($R57="NO","N/A",IF(OR($R57="VERIFY",$R57="NOT ASSESSED"),"VISA RULE NOT ON FILE",IF($T57="","MISSING",IF($T57&lt;MAX('TRIP MANAGER'!$L$18:$L$25),"EXPIRED","VALID")))))</f>
        <v/>
      </c>
      <c r="V57" s="4"/>
      <c r="W57" s="9"/>
      <c r="X57" s="9"/>
      <c r="Y57" s="4"/>
      <c r="Z57" s="10" t="str">
        <f>IF($A57="","",IF(UPPER($C57)&lt;&gt;"CREW","N/A",IF(OR($W57="",$X57=""),"MISSING",IF(MIN($W57,$X57)&lt;MAX('TRIP MANAGER'!$L$18:$L$25),"EXPIRED","VALID"))))</f>
        <v/>
      </c>
      <c r="AA57" s="4"/>
      <c r="AB57" s="4"/>
      <c r="AC57" s="4"/>
      <c r="AD57" s="4"/>
      <c r="AE57" s="10" t="str">
        <f>IF($A57="","",admin!$B$2&amp;"\PaxCrewDocs\"&amp;$B57&amp;"\"&amp;$A57)</f>
        <v/>
      </c>
      <c r="AF57" s="10" t="str">
        <f t="shared" si="1"/>
        <v/>
      </c>
      <c r="AG57" s="10" t="str">
        <f t="shared" si="2"/>
        <v/>
      </c>
      <c r="AH57" s="10" t="str">
        <f t="shared" si="3"/>
        <v/>
      </c>
      <c r="AI57" s="1" t="str">
        <f t="shared" si="4"/>
        <v/>
      </c>
      <c r="AJ57" t="str">
        <f>IF($A57="","",IF($B57='TRIP MANAGER'!$B$5,COUNTIFS($A$3:$A57,"&lt;&gt;",$B$3:$B57,$B57),""))</f>
        <v/>
      </c>
      <c r="AK57" t="str">
        <f>IF($A57="","",COUNTIF(DOCUMENTS!$C$5:$C$44,$A57))</f>
        <v/>
      </c>
      <c r="AL57" t="str">
        <f>IF($A57="","",COUNTIFS(DOCUMENTS!$C$5:$C$44,$A57,DOCUMENTS!$AI$5:$AI$44,"&lt;&gt;")-COUNTIFS(DOCUMENTS!$C$5:$C$44,$A57,DOCUMENTS!$AI$5:$AI$44,"REJECT DOCUMENT"))</f>
        <v/>
      </c>
      <c r="AM57" t="str">
        <f>IF($A57="","",COUNTIFS(DOCUMENTS!$C$5:$C$44,$A57,DOCUMENTS!$AI$5:$AI$44,""))</f>
        <v/>
      </c>
      <c r="AN57" t="str" cm="1">
        <f t="array" ref="AN57">IF($A57="","",SUMPRODUCT((DOCUMENTS!$C$5:$C$44=$A57)*(ISNUMBER(SEARCH("MISMATCH",DOCUMENTS!$AH$5:$AH$44)))))</f>
        <v/>
      </c>
    </row>
    <row r="58" spans="1:40" x14ac:dyDescent="0.3">
      <c r="A58" s="4"/>
      <c r="B58" s="28" t="str">
        <f>'TRIP MANAGER'!$B$5</f>
        <v>JTL-2608-001</v>
      </c>
      <c r="C58" s="4"/>
      <c r="D58" s="4"/>
      <c r="E58" s="4"/>
      <c r="F58" s="4"/>
      <c r="G58" s="4"/>
      <c r="H58" s="4"/>
      <c r="I58" s="4"/>
      <c r="J58" s="9"/>
      <c r="K58" s="10" t="str">
        <f t="shared" ca="1" si="0"/>
        <v/>
      </c>
      <c r="L58" s="4"/>
      <c r="M58" s="4"/>
      <c r="N58" s="4"/>
      <c r="O58" s="9"/>
      <c r="P58" s="9"/>
      <c r="Q58" s="10" t="str">
        <f>IF($P58="","MISSING",IF($P58&lt;MAX('TRIP MANAGER'!$L$18:$L$25),"EXPIRES BEFORE TRIP",IF($P58&lt;MAX('TRIP MANAGER'!$L$18:$L$25)+180,"UNDER 6 MONTHS","VALID")))</f>
        <v>MISSING</v>
      </c>
      <c r="R58" s="28" t="str" cm="1">
        <f t="array" ref="R58">IF($A58="","",IFERROR(INDEX('TRIP MANAGER'!$E$97:$J$97,INDEX('TRIP MANAGER'!$AJ$18:$AJ$37,MATCH($L58,'TRIP MANAGER'!$AH$18:$AH$37,0))),"NOT ASSESSED"))</f>
        <v/>
      </c>
      <c r="S58" s="4"/>
      <c r="T58" s="9"/>
      <c r="U58" s="10" t="str">
        <f>IF($A58="","",IF($R58="NO","N/A",IF(OR($R58="VERIFY",$R58="NOT ASSESSED"),"VISA RULE NOT ON FILE",IF($T58="","MISSING",IF($T58&lt;MAX('TRIP MANAGER'!$L$18:$L$25),"EXPIRED","VALID")))))</f>
        <v/>
      </c>
      <c r="V58" s="4"/>
      <c r="W58" s="9"/>
      <c r="X58" s="9"/>
      <c r="Y58" s="4"/>
      <c r="Z58" s="10" t="str">
        <f>IF($A58="","",IF(UPPER($C58)&lt;&gt;"CREW","N/A",IF(OR($W58="",$X58=""),"MISSING",IF(MIN($W58,$X58)&lt;MAX('TRIP MANAGER'!$L$18:$L$25),"EXPIRED","VALID"))))</f>
        <v/>
      </c>
      <c r="AA58" s="4"/>
      <c r="AB58" s="4"/>
      <c r="AC58" s="4"/>
      <c r="AD58" s="4"/>
      <c r="AE58" s="10" t="str">
        <f>IF($A58="","",admin!$B$2&amp;"\PaxCrewDocs\"&amp;$B58&amp;"\"&amp;$A58)</f>
        <v/>
      </c>
      <c r="AF58" s="10" t="str">
        <f t="shared" si="1"/>
        <v/>
      </c>
      <c r="AG58" s="10" t="str">
        <f t="shared" si="2"/>
        <v/>
      </c>
      <c r="AH58" s="10" t="str">
        <f t="shared" si="3"/>
        <v/>
      </c>
      <c r="AI58" s="1" t="str">
        <f t="shared" si="4"/>
        <v/>
      </c>
      <c r="AJ58" t="str">
        <f>IF($A58="","",IF($B58='TRIP MANAGER'!$B$5,COUNTIFS($A$3:$A58,"&lt;&gt;",$B$3:$B58,$B58),""))</f>
        <v/>
      </c>
      <c r="AK58" t="str">
        <f>IF($A58="","",COUNTIF(DOCUMENTS!$C$5:$C$44,$A58))</f>
        <v/>
      </c>
      <c r="AL58" t="str">
        <f>IF($A58="","",COUNTIFS(DOCUMENTS!$C$5:$C$44,$A58,DOCUMENTS!$AI$5:$AI$44,"&lt;&gt;")-COUNTIFS(DOCUMENTS!$C$5:$C$44,$A58,DOCUMENTS!$AI$5:$AI$44,"REJECT DOCUMENT"))</f>
        <v/>
      </c>
      <c r="AM58" t="str">
        <f>IF($A58="","",COUNTIFS(DOCUMENTS!$C$5:$C$44,$A58,DOCUMENTS!$AI$5:$AI$44,""))</f>
        <v/>
      </c>
      <c r="AN58" t="str" cm="1">
        <f t="array" ref="AN58">IF($A58="","",SUMPRODUCT((DOCUMENTS!$C$5:$C$44=$A58)*(ISNUMBER(SEARCH("MISMATCH",DOCUMENTS!$AH$5:$AH$44)))))</f>
        <v/>
      </c>
    </row>
    <row r="59" spans="1:40" x14ac:dyDescent="0.3">
      <c r="A59" s="4"/>
      <c r="B59" s="28" t="str">
        <f>'TRIP MANAGER'!$B$5</f>
        <v>JTL-2608-001</v>
      </c>
      <c r="C59" s="4"/>
      <c r="D59" s="4"/>
      <c r="E59" s="4"/>
      <c r="F59" s="4"/>
      <c r="G59" s="4"/>
      <c r="H59" s="4"/>
      <c r="I59" s="4"/>
      <c r="J59" s="9"/>
      <c r="K59" s="10" t="str">
        <f t="shared" ca="1" si="0"/>
        <v/>
      </c>
      <c r="L59" s="4"/>
      <c r="M59" s="4"/>
      <c r="N59" s="4"/>
      <c r="O59" s="9"/>
      <c r="P59" s="9"/>
      <c r="Q59" s="10" t="str">
        <f>IF($P59="","MISSING",IF($P59&lt;MAX('TRIP MANAGER'!$L$18:$L$25),"EXPIRES BEFORE TRIP",IF($P59&lt;MAX('TRIP MANAGER'!$L$18:$L$25)+180,"UNDER 6 MONTHS","VALID")))</f>
        <v>MISSING</v>
      </c>
      <c r="R59" s="28" t="str" cm="1">
        <f t="array" ref="R59">IF($A59="","",IFERROR(INDEX('TRIP MANAGER'!$E$97:$J$97,INDEX('TRIP MANAGER'!$AJ$18:$AJ$37,MATCH($L59,'TRIP MANAGER'!$AH$18:$AH$37,0))),"NOT ASSESSED"))</f>
        <v/>
      </c>
      <c r="S59" s="4"/>
      <c r="T59" s="9"/>
      <c r="U59" s="10" t="str">
        <f>IF($A59="","",IF($R59="NO","N/A",IF(OR($R59="VERIFY",$R59="NOT ASSESSED"),"VISA RULE NOT ON FILE",IF($T59="","MISSING",IF($T59&lt;MAX('TRIP MANAGER'!$L$18:$L$25),"EXPIRED","VALID")))))</f>
        <v/>
      </c>
      <c r="V59" s="4"/>
      <c r="W59" s="9"/>
      <c r="X59" s="9"/>
      <c r="Y59" s="4"/>
      <c r="Z59" s="10" t="str">
        <f>IF($A59="","",IF(UPPER($C59)&lt;&gt;"CREW","N/A",IF(OR($W59="",$X59=""),"MISSING",IF(MIN($W59,$X59)&lt;MAX('TRIP MANAGER'!$L$18:$L$25),"EXPIRED","VALID"))))</f>
        <v/>
      </c>
      <c r="AA59" s="4"/>
      <c r="AB59" s="4"/>
      <c r="AC59" s="4"/>
      <c r="AD59" s="4"/>
      <c r="AE59" s="10" t="str">
        <f>IF($A59="","",admin!$B$2&amp;"\PaxCrewDocs\"&amp;$B59&amp;"\"&amp;$A59)</f>
        <v/>
      </c>
      <c r="AF59" s="10" t="str">
        <f t="shared" si="1"/>
        <v/>
      </c>
      <c r="AG59" s="10" t="str">
        <f t="shared" si="2"/>
        <v/>
      </c>
      <c r="AH59" s="10" t="str">
        <f t="shared" si="3"/>
        <v/>
      </c>
      <c r="AI59" s="1" t="str">
        <f t="shared" si="4"/>
        <v/>
      </c>
      <c r="AJ59" t="str">
        <f>IF($A59="","",IF($B59='TRIP MANAGER'!$B$5,COUNTIFS($A$3:$A59,"&lt;&gt;",$B$3:$B59,$B59),""))</f>
        <v/>
      </c>
      <c r="AK59" t="str">
        <f>IF($A59="","",COUNTIF(DOCUMENTS!$C$5:$C$44,$A59))</f>
        <v/>
      </c>
      <c r="AL59" t="str">
        <f>IF($A59="","",COUNTIFS(DOCUMENTS!$C$5:$C$44,$A59,DOCUMENTS!$AI$5:$AI$44,"&lt;&gt;")-COUNTIFS(DOCUMENTS!$C$5:$C$44,$A59,DOCUMENTS!$AI$5:$AI$44,"REJECT DOCUMENT"))</f>
        <v/>
      </c>
      <c r="AM59" t="str">
        <f>IF($A59="","",COUNTIFS(DOCUMENTS!$C$5:$C$44,$A59,DOCUMENTS!$AI$5:$AI$44,""))</f>
        <v/>
      </c>
      <c r="AN59" t="str" cm="1">
        <f t="array" ref="AN59">IF($A59="","",SUMPRODUCT((DOCUMENTS!$C$5:$C$44=$A59)*(ISNUMBER(SEARCH("MISMATCH",DOCUMENTS!$AH$5:$AH$44)))))</f>
        <v/>
      </c>
    </row>
    <row r="60" spans="1:40" x14ac:dyDescent="0.3">
      <c r="A60" s="4"/>
      <c r="B60" s="28" t="str">
        <f>'TRIP MANAGER'!$B$5</f>
        <v>JTL-2608-001</v>
      </c>
      <c r="C60" s="4"/>
      <c r="D60" s="4"/>
      <c r="E60" s="4"/>
      <c r="F60" s="4"/>
      <c r="G60" s="4"/>
      <c r="H60" s="4"/>
      <c r="I60" s="4"/>
      <c r="J60" s="9"/>
      <c r="K60" s="10" t="str">
        <f t="shared" ca="1" si="0"/>
        <v/>
      </c>
      <c r="L60" s="4"/>
      <c r="M60" s="4"/>
      <c r="N60" s="4"/>
      <c r="O60" s="9"/>
      <c r="P60" s="9"/>
      <c r="Q60" s="10" t="str">
        <f>IF($P60="","MISSING",IF($P60&lt;MAX('TRIP MANAGER'!$L$18:$L$25),"EXPIRES BEFORE TRIP",IF($P60&lt;MAX('TRIP MANAGER'!$L$18:$L$25)+180,"UNDER 6 MONTHS","VALID")))</f>
        <v>MISSING</v>
      </c>
      <c r="R60" s="28" t="str" cm="1">
        <f t="array" ref="R60">IF($A60="","",IFERROR(INDEX('TRIP MANAGER'!$E$97:$J$97,INDEX('TRIP MANAGER'!$AJ$18:$AJ$37,MATCH($L60,'TRIP MANAGER'!$AH$18:$AH$37,0))),"NOT ASSESSED"))</f>
        <v/>
      </c>
      <c r="S60" s="4"/>
      <c r="T60" s="9"/>
      <c r="U60" s="10" t="str">
        <f>IF($A60="","",IF($R60="NO","N/A",IF(OR($R60="VERIFY",$R60="NOT ASSESSED"),"VISA RULE NOT ON FILE",IF($T60="","MISSING",IF($T60&lt;MAX('TRIP MANAGER'!$L$18:$L$25),"EXPIRED","VALID")))))</f>
        <v/>
      </c>
      <c r="V60" s="4"/>
      <c r="W60" s="9"/>
      <c r="X60" s="9"/>
      <c r="Y60" s="4"/>
      <c r="Z60" s="10" t="str">
        <f>IF($A60="","",IF(UPPER($C60)&lt;&gt;"CREW","N/A",IF(OR($W60="",$X60=""),"MISSING",IF(MIN($W60,$X60)&lt;MAX('TRIP MANAGER'!$L$18:$L$25),"EXPIRED","VALID"))))</f>
        <v/>
      </c>
      <c r="AA60" s="4"/>
      <c r="AB60" s="4"/>
      <c r="AC60" s="4"/>
      <c r="AD60" s="4"/>
      <c r="AE60" s="10" t="str">
        <f>IF($A60="","",admin!$B$2&amp;"\PaxCrewDocs\"&amp;$B60&amp;"\"&amp;$A60)</f>
        <v/>
      </c>
      <c r="AF60" s="10" t="str">
        <f t="shared" si="1"/>
        <v/>
      </c>
      <c r="AG60" s="10" t="str">
        <f t="shared" si="2"/>
        <v/>
      </c>
      <c r="AH60" s="10" t="str">
        <f t="shared" si="3"/>
        <v/>
      </c>
      <c r="AI60" s="1" t="str">
        <f t="shared" si="4"/>
        <v/>
      </c>
      <c r="AJ60" t="str">
        <f>IF($A60="","",IF($B60='TRIP MANAGER'!$B$5,COUNTIFS($A$3:$A60,"&lt;&gt;",$B$3:$B60,$B60),""))</f>
        <v/>
      </c>
      <c r="AK60" t="str">
        <f>IF($A60="","",COUNTIF(DOCUMENTS!$C$5:$C$44,$A60))</f>
        <v/>
      </c>
      <c r="AL60" t="str">
        <f>IF($A60="","",COUNTIFS(DOCUMENTS!$C$5:$C$44,$A60,DOCUMENTS!$AI$5:$AI$44,"&lt;&gt;")-COUNTIFS(DOCUMENTS!$C$5:$C$44,$A60,DOCUMENTS!$AI$5:$AI$44,"REJECT DOCUMENT"))</f>
        <v/>
      </c>
      <c r="AM60" t="str">
        <f>IF($A60="","",COUNTIFS(DOCUMENTS!$C$5:$C$44,$A60,DOCUMENTS!$AI$5:$AI$44,""))</f>
        <v/>
      </c>
      <c r="AN60" t="str" cm="1">
        <f t="array" ref="AN60">IF($A60="","",SUMPRODUCT((DOCUMENTS!$C$5:$C$44=$A60)*(ISNUMBER(SEARCH("MISMATCH",DOCUMENTS!$AH$5:$AH$44)))))</f>
        <v/>
      </c>
    </row>
    <row r="61" spans="1:40" x14ac:dyDescent="0.3">
      <c r="A61" s="4"/>
      <c r="B61" s="28" t="str">
        <f>'TRIP MANAGER'!$B$5</f>
        <v>JTL-2608-001</v>
      </c>
      <c r="C61" s="4"/>
      <c r="D61" s="4"/>
      <c r="E61" s="4"/>
      <c r="F61" s="4"/>
      <c r="G61" s="4"/>
      <c r="H61" s="4"/>
      <c r="I61" s="4"/>
      <c r="J61" s="9"/>
      <c r="K61" s="10" t="str">
        <f t="shared" ca="1" si="0"/>
        <v/>
      </c>
      <c r="L61" s="4"/>
      <c r="M61" s="4"/>
      <c r="N61" s="4"/>
      <c r="O61" s="9"/>
      <c r="P61" s="9"/>
      <c r="Q61" s="10" t="str">
        <f>IF($P61="","MISSING",IF($P61&lt;MAX('TRIP MANAGER'!$L$18:$L$25),"EXPIRES BEFORE TRIP",IF($P61&lt;MAX('TRIP MANAGER'!$L$18:$L$25)+180,"UNDER 6 MONTHS","VALID")))</f>
        <v>MISSING</v>
      </c>
      <c r="R61" s="28" t="str" cm="1">
        <f t="array" ref="R61">IF($A61="","",IFERROR(INDEX('TRIP MANAGER'!$E$97:$J$97,INDEX('TRIP MANAGER'!$AJ$18:$AJ$37,MATCH($L61,'TRIP MANAGER'!$AH$18:$AH$37,0))),"NOT ASSESSED"))</f>
        <v/>
      </c>
      <c r="S61" s="4"/>
      <c r="T61" s="9"/>
      <c r="U61" s="10" t="str">
        <f>IF($A61="","",IF($R61="NO","N/A",IF(OR($R61="VERIFY",$R61="NOT ASSESSED"),"VISA RULE NOT ON FILE",IF($T61="","MISSING",IF($T61&lt;MAX('TRIP MANAGER'!$L$18:$L$25),"EXPIRED","VALID")))))</f>
        <v/>
      </c>
      <c r="V61" s="4"/>
      <c r="W61" s="9"/>
      <c r="X61" s="9"/>
      <c r="Y61" s="4"/>
      <c r="Z61" s="10" t="str">
        <f>IF($A61="","",IF(UPPER($C61)&lt;&gt;"CREW","N/A",IF(OR($W61="",$X61=""),"MISSING",IF(MIN($W61,$X61)&lt;MAX('TRIP MANAGER'!$L$18:$L$25),"EXPIRED","VALID"))))</f>
        <v/>
      </c>
      <c r="AA61" s="4"/>
      <c r="AB61" s="4"/>
      <c r="AC61" s="4"/>
      <c r="AD61" s="4"/>
      <c r="AE61" s="10" t="str">
        <f>IF($A61="","",admin!$B$2&amp;"\PaxCrewDocs\"&amp;$B61&amp;"\"&amp;$A61)</f>
        <v/>
      </c>
      <c r="AF61" s="10" t="str">
        <f t="shared" si="1"/>
        <v/>
      </c>
      <c r="AG61" s="10" t="str">
        <f t="shared" si="2"/>
        <v/>
      </c>
      <c r="AH61" s="10" t="str">
        <f t="shared" si="3"/>
        <v/>
      </c>
      <c r="AI61" s="1" t="str">
        <f t="shared" si="4"/>
        <v/>
      </c>
      <c r="AJ61" t="str">
        <f>IF($A61="","",IF($B61='TRIP MANAGER'!$B$5,COUNTIFS($A$3:$A61,"&lt;&gt;",$B$3:$B61,$B61),""))</f>
        <v/>
      </c>
      <c r="AK61" t="str">
        <f>IF($A61="","",COUNTIF(DOCUMENTS!$C$5:$C$44,$A61))</f>
        <v/>
      </c>
      <c r="AL61" t="str">
        <f>IF($A61="","",COUNTIFS(DOCUMENTS!$C$5:$C$44,$A61,DOCUMENTS!$AI$5:$AI$44,"&lt;&gt;")-COUNTIFS(DOCUMENTS!$C$5:$C$44,$A61,DOCUMENTS!$AI$5:$AI$44,"REJECT DOCUMENT"))</f>
        <v/>
      </c>
      <c r="AM61" t="str">
        <f>IF($A61="","",COUNTIFS(DOCUMENTS!$C$5:$C$44,$A61,DOCUMENTS!$AI$5:$AI$44,""))</f>
        <v/>
      </c>
      <c r="AN61" t="str" cm="1">
        <f t="array" ref="AN61">IF($A61="","",SUMPRODUCT((DOCUMENTS!$C$5:$C$44=$A61)*(ISNUMBER(SEARCH("MISMATCH",DOCUMENTS!$AH$5:$AH$44)))))</f>
        <v/>
      </c>
    </row>
    <row r="62" spans="1:40" x14ac:dyDescent="0.3">
      <c r="A62" s="4"/>
      <c r="B62" s="28" t="str">
        <f>'TRIP MANAGER'!$B$5</f>
        <v>JTL-2608-001</v>
      </c>
      <c r="C62" s="4"/>
      <c r="D62" s="4"/>
      <c r="E62" s="4"/>
      <c r="F62" s="4"/>
      <c r="G62" s="4"/>
      <c r="H62" s="4"/>
      <c r="I62" s="4"/>
      <c r="J62" s="9"/>
      <c r="K62" s="10" t="str">
        <f t="shared" ca="1" si="0"/>
        <v/>
      </c>
      <c r="L62" s="4"/>
      <c r="M62" s="4"/>
      <c r="N62" s="4"/>
      <c r="O62" s="9"/>
      <c r="P62" s="9"/>
      <c r="Q62" s="10" t="str">
        <f>IF($P62="","MISSING",IF($P62&lt;MAX('TRIP MANAGER'!$L$18:$L$25),"EXPIRES BEFORE TRIP",IF($P62&lt;MAX('TRIP MANAGER'!$L$18:$L$25)+180,"UNDER 6 MONTHS","VALID")))</f>
        <v>MISSING</v>
      </c>
      <c r="R62" s="28" t="str" cm="1">
        <f t="array" ref="R62">IF($A62="","",IFERROR(INDEX('TRIP MANAGER'!$E$97:$J$97,INDEX('TRIP MANAGER'!$AJ$18:$AJ$37,MATCH($L62,'TRIP MANAGER'!$AH$18:$AH$37,0))),"NOT ASSESSED"))</f>
        <v/>
      </c>
      <c r="S62" s="4"/>
      <c r="T62" s="9"/>
      <c r="U62" s="10" t="str">
        <f>IF($A62="","",IF($R62="NO","N/A",IF(OR($R62="VERIFY",$R62="NOT ASSESSED"),"VISA RULE NOT ON FILE",IF($T62="","MISSING",IF($T62&lt;MAX('TRIP MANAGER'!$L$18:$L$25),"EXPIRED","VALID")))))</f>
        <v/>
      </c>
      <c r="V62" s="4"/>
      <c r="W62" s="9"/>
      <c r="X62" s="9"/>
      <c r="Y62" s="4"/>
      <c r="Z62" s="10" t="str">
        <f>IF($A62="","",IF(UPPER($C62)&lt;&gt;"CREW","N/A",IF(OR($W62="",$X62=""),"MISSING",IF(MIN($W62,$X62)&lt;MAX('TRIP MANAGER'!$L$18:$L$25),"EXPIRED","VALID"))))</f>
        <v/>
      </c>
      <c r="AA62" s="4"/>
      <c r="AB62" s="4"/>
      <c r="AC62" s="4"/>
      <c r="AD62" s="4"/>
      <c r="AE62" s="10" t="str">
        <f>IF($A62="","",admin!$B$2&amp;"\PaxCrewDocs\"&amp;$B62&amp;"\"&amp;$A62)</f>
        <v/>
      </c>
      <c r="AF62" s="10" t="str">
        <f t="shared" si="1"/>
        <v/>
      </c>
      <c r="AG62" s="10" t="str">
        <f t="shared" si="2"/>
        <v/>
      </c>
      <c r="AH62" s="10" t="str">
        <f t="shared" si="3"/>
        <v/>
      </c>
      <c r="AI62" s="1" t="str">
        <f t="shared" si="4"/>
        <v/>
      </c>
      <c r="AJ62" t="str">
        <f>IF($A62="","",IF($B62='TRIP MANAGER'!$B$5,COUNTIFS($A$3:$A62,"&lt;&gt;",$B$3:$B62,$B62),""))</f>
        <v/>
      </c>
      <c r="AK62" t="str">
        <f>IF($A62="","",COUNTIF(DOCUMENTS!$C$5:$C$44,$A62))</f>
        <v/>
      </c>
      <c r="AL62" t="str">
        <f>IF($A62="","",COUNTIFS(DOCUMENTS!$C$5:$C$44,$A62,DOCUMENTS!$AI$5:$AI$44,"&lt;&gt;")-COUNTIFS(DOCUMENTS!$C$5:$C$44,$A62,DOCUMENTS!$AI$5:$AI$44,"REJECT DOCUMENT"))</f>
        <v/>
      </c>
      <c r="AM62" t="str">
        <f>IF($A62="","",COUNTIFS(DOCUMENTS!$C$5:$C$44,$A62,DOCUMENTS!$AI$5:$AI$44,""))</f>
        <v/>
      </c>
      <c r="AN62" t="str" cm="1">
        <f t="array" ref="AN62">IF($A62="","",SUMPRODUCT((DOCUMENTS!$C$5:$C$44=$A62)*(ISNUMBER(SEARCH("MISMATCH",DOCUMENTS!$AH$5:$AH$44)))))</f>
        <v/>
      </c>
    </row>
  </sheetData>
  <dataValidations count="4">
    <dataValidation type="list" allowBlank="1" showInputMessage="1" showErrorMessage="1" sqref="C3:C62" xr:uid="{2E05815C-D3E6-42C0-9831-87D365A7E1D3}">
      <formula1>"CREW,PAX"</formula1>
    </dataValidation>
    <dataValidation type="list" allowBlank="1" showInputMessage="1" showErrorMessage="1" sqref="D3:D62" xr:uid="{A845C121-FEC1-4D52-A8B0-87706381F562}">
      <formula1>"PIC,SIC,FA,ENGINEER,MEDIC,SECURITY,PAX"</formula1>
    </dataValidation>
    <dataValidation type="list" allowBlank="1" showInputMessage="1" showErrorMessage="1" sqref="I3:I62" xr:uid="{3894C7CD-6F10-49EF-809D-72BF099EFFD9}">
      <formula1>"M,F,X"</formula1>
    </dataValidation>
    <dataValidation type="list" allowBlank="1" showInputMessage="1" showErrorMessage="1" sqref="R3:R62" xr:uid="{2FFBB14F-6E0E-43ED-BE3C-45DF871E124B}">
      <formula1>"YES,NO"</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6A1A0-6E3E-49AE-AA3B-D54397741804}">
  <dimension ref="A1:AA60"/>
  <sheetViews>
    <sheetView workbookViewId="0">
      <pane ySplit="2" topLeftCell="A3" activePane="bottomLeft" state="frozen"/>
      <selection pane="bottomLeft"/>
    </sheetView>
  </sheetViews>
  <sheetFormatPr defaultRowHeight="14.4" x14ac:dyDescent="0.3"/>
  <cols>
    <col min="1" max="19" width="26.88671875" customWidth="1"/>
    <col min="20" max="27" width="31.44140625" customWidth="1"/>
  </cols>
  <sheetData>
    <row r="1" spans="1:27" ht="17.399999999999999" x14ac:dyDescent="0.35">
      <c r="A1" s="48" t="s">
        <v>4638</v>
      </c>
    </row>
    <row r="2" spans="1:27" x14ac:dyDescent="0.3">
      <c r="A2" s="25" t="s">
        <v>4639</v>
      </c>
      <c r="B2" s="25" t="s">
        <v>3807</v>
      </c>
      <c r="C2" s="25" t="s">
        <v>4279</v>
      </c>
      <c r="D2" s="25" t="s">
        <v>4640</v>
      </c>
      <c r="E2" s="25" t="s">
        <v>4641</v>
      </c>
      <c r="F2" s="25" t="s">
        <v>4642</v>
      </c>
      <c r="G2" s="25" t="s">
        <v>4643</v>
      </c>
      <c r="H2" s="25" t="s">
        <v>4644</v>
      </c>
      <c r="I2" s="25" t="s">
        <v>4645</v>
      </c>
      <c r="J2" s="25" t="s">
        <v>4646</v>
      </c>
      <c r="K2" s="25" t="s">
        <v>3821</v>
      </c>
      <c r="L2" s="25" t="s">
        <v>4647</v>
      </c>
      <c r="M2" s="25" t="s">
        <v>2299</v>
      </c>
      <c r="N2" s="25" t="s">
        <v>2298</v>
      </c>
      <c r="O2" s="25" t="s">
        <v>4648</v>
      </c>
      <c r="P2" s="25" t="s">
        <v>3826</v>
      </c>
      <c r="Q2" s="25" t="s">
        <v>2300</v>
      </c>
      <c r="R2" s="25" t="s">
        <v>4649</v>
      </c>
      <c r="S2" s="25" t="s">
        <v>4650</v>
      </c>
      <c r="T2" s="67" t="s">
        <v>5095</v>
      </c>
      <c r="U2" s="67" t="s">
        <v>5096</v>
      </c>
      <c r="V2" s="67" t="s">
        <v>5097</v>
      </c>
      <c r="W2" s="67" t="s">
        <v>2296</v>
      </c>
      <c r="X2" s="67" t="s">
        <v>2297</v>
      </c>
      <c r="Y2" s="67" t="s">
        <v>5098</v>
      </c>
      <c r="Z2" s="67" t="s">
        <v>5099</v>
      </c>
      <c r="AA2" s="67" t="s">
        <v>5100</v>
      </c>
    </row>
    <row r="3" spans="1:27" x14ac:dyDescent="0.3">
      <c r="A3" s="4" t="s">
        <v>4651</v>
      </c>
      <c r="B3" s="4" t="s">
        <v>4123</v>
      </c>
      <c r="C3" s="4" t="s">
        <v>4296</v>
      </c>
      <c r="D3" s="4" t="s">
        <v>4652</v>
      </c>
      <c r="E3" s="4" t="s">
        <v>4653</v>
      </c>
      <c r="F3" s="4"/>
      <c r="G3" s="4" t="s">
        <v>4654</v>
      </c>
      <c r="H3" s="4" t="s">
        <v>4579</v>
      </c>
      <c r="I3" s="4" t="s">
        <v>4655</v>
      </c>
      <c r="J3" s="4" t="s">
        <v>4302</v>
      </c>
      <c r="K3" s="4" t="s">
        <v>4656</v>
      </c>
      <c r="L3" s="4" t="s">
        <v>4305</v>
      </c>
      <c r="M3" s="4" t="s">
        <v>4657</v>
      </c>
      <c r="N3" s="4" t="s">
        <v>4658</v>
      </c>
      <c r="O3" s="4">
        <v>250000</v>
      </c>
      <c r="P3" s="4" t="s">
        <v>3830</v>
      </c>
      <c r="Q3" s="4" t="s">
        <v>4659</v>
      </c>
      <c r="R3" s="10" t="str">
        <f>IF($A3="","",IFERROR(INDEX(Operators!$B:$B,MATCH($B3,Operators!$A:$A,0))&amp;"","UNKNOWN OPERATOR ID"))</f>
        <v/>
      </c>
      <c r="S3" s="10" t="str">
        <f>IF($A3="","",IF($B3="","OPERATOR REQUIRED",IF(COUNTIF(Operators!$A:$A,$B3)=0,"UNKNOWN OPERATOR ID",IF(OR($D3="",$E3="",$K3=""),"BILLING DETAILS INCOMPLETE","OK"))))</f>
        <v>OK</v>
      </c>
      <c r="T3" t="str">
        <f>IF($A3="","","EMAIL (SMTP)")</f>
        <v>EMAIL (SMTP)</v>
      </c>
      <c r="U3" t="str">
        <f>IF($A3="","",IF($K3&lt;&gt;"",$K3,""))</f>
        <v>ops@jetelio.com</v>
      </c>
      <c r="V3" t="str">
        <f>IF($A3="","","")</f>
        <v/>
      </c>
      <c r="Y3" t="str">
        <f>IF($A3="","","PLAIN TEXT UPPERCASE")</f>
        <v>PLAIN TEXT UPPERCASE</v>
      </c>
      <c r="Z3" t="str">
        <f>IF($A3="","","JTL TRIP SUPPORT")</f>
        <v>JTL TRIP SUPPORT</v>
      </c>
      <c r="AA3" t="str">
        <f>IF($A3="","",IF($T3="EMAIL (SMTP)",IF($U3="","NO SENDING ADDRESS - ADD BILLING/MESSAGING EMAIL","OK"),IF(AND($W3="",$X3=""),"CHANNEL SET BUT NO SITA/AFTN ADDRESS","OK")))</f>
        <v>OK</v>
      </c>
    </row>
    <row r="4" spans="1:27" x14ac:dyDescent="0.3">
      <c r="A4" s="4" t="s">
        <v>4660</v>
      </c>
      <c r="B4" s="4" t="s">
        <v>4123</v>
      </c>
      <c r="C4" s="4" t="s">
        <v>4661</v>
      </c>
      <c r="D4" s="4" t="s">
        <v>4662</v>
      </c>
      <c r="E4" s="4" t="s">
        <v>4663</v>
      </c>
      <c r="F4" s="4" t="s">
        <v>4664</v>
      </c>
      <c r="G4" s="4" t="s">
        <v>4665</v>
      </c>
      <c r="H4" s="4" t="s">
        <v>4666</v>
      </c>
      <c r="I4" s="4" t="s">
        <v>4667</v>
      </c>
      <c r="J4" s="4" t="s">
        <v>4668</v>
      </c>
      <c r="K4" s="4" t="s">
        <v>4669</v>
      </c>
      <c r="L4" s="4" t="s">
        <v>4670</v>
      </c>
      <c r="M4" s="4" t="s">
        <v>4671</v>
      </c>
      <c r="N4" s="4" t="s">
        <v>4672</v>
      </c>
      <c r="O4" s="4">
        <v>100000</v>
      </c>
      <c r="P4" s="4" t="s">
        <v>3830</v>
      </c>
      <c r="Q4" s="4" t="s">
        <v>4673</v>
      </c>
      <c r="R4" s="10" t="str">
        <f>IF($A4="","",IFERROR(INDEX(Operators!$B:$B,MATCH($B4,Operators!$A:$A,0))&amp;"","UNKNOWN OPERATOR ID"))</f>
        <v/>
      </c>
      <c r="S4" s="10" t="str">
        <f>IF($A4="","",IF($B4="","OPERATOR REQUIRED",IF(COUNTIF(Operators!$A:$A,$B4)=0,"UNKNOWN OPERATOR ID",IF(OR($D4="",$E4="",$K4=""),"BILLING DETAILS INCOMPLETE","OK"))))</f>
        <v>OK</v>
      </c>
      <c r="T4" t="str">
        <f t="shared" ref="T4:T60" si="0">IF($A4="","","EMAIL (SMTP)")</f>
        <v>EMAIL (SMTP)</v>
      </c>
      <c r="U4" t="str">
        <f t="shared" ref="U4:U60" si="1">IF($A4="","",IF($K4&lt;&gt;"",$K4,""))</f>
        <v>billing.eu@jetelio.com</v>
      </c>
      <c r="V4" t="str">
        <f t="shared" ref="V4:V60" si="2">IF($A4="","","")</f>
        <v/>
      </c>
      <c r="Y4" t="str">
        <f t="shared" ref="Y4:Y60" si="3">IF($A4="","","PLAIN TEXT UPPERCASE")</f>
        <v>PLAIN TEXT UPPERCASE</v>
      </c>
      <c r="Z4" t="str">
        <f t="shared" ref="Z4:Z60" si="4">IF($A4="","","JTL TRIP SUPPORT")</f>
        <v>JTL TRIP SUPPORT</v>
      </c>
      <c r="AA4" t="str">
        <f t="shared" ref="AA4:AA60" si="5">IF($A4="","",IF($T4="EMAIL (SMTP)",IF($U4="","NO SENDING ADDRESS - ADD BILLING/MESSAGING EMAIL","OK"),IF(AND($W4="",$X4=""),"CHANNEL SET BUT NO SITA/AFTN ADDRESS","OK")))</f>
        <v>OK</v>
      </c>
    </row>
    <row r="5" spans="1:27" x14ac:dyDescent="0.3">
      <c r="A5" s="4" t="s">
        <v>4674</v>
      </c>
      <c r="B5" s="4" t="s">
        <v>3828</v>
      </c>
      <c r="C5" s="4" t="s">
        <v>4675</v>
      </c>
      <c r="D5" s="4" t="s">
        <v>2870</v>
      </c>
      <c r="E5" s="4" t="s">
        <v>4676</v>
      </c>
      <c r="F5" s="4"/>
      <c r="G5" s="4" t="s">
        <v>4677</v>
      </c>
      <c r="H5" s="4" t="s">
        <v>4316</v>
      </c>
      <c r="I5" s="4" t="s">
        <v>4678</v>
      </c>
      <c r="J5" s="4" t="s">
        <v>4668</v>
      </c>
      <c r="K5" s="4" t="s">
        <v>4679</v>
      </c>
      <c r="L5" s="4" t="s">
        <v>4680</v>
      </c>
      <c r="M5" s="4" t="s">
        <v>4657</v>
      </c>
      <c r="N5" s="4" t="s">
        <v>4681</v>
      </c>
      <c r="O5" s="4">
        <v>0</v>
      </c>
      <c r="P5" s="4" t="s">
        <v>3830</v>
      </c>
      <c r="Q5" s="4" t="s">
        <v>4682</v>
      </c>
      <c r="R5" s="10" t="str">
        <f>IF($A5="","",IFERROR(INDEX(Operators!$B:$B,MATCH($B5,Operators!$A:$A,0))&amp;"","UNKNOWN OPERATOR ID"))</f>
        <v>FIRE BLADE AVIATION PROPRIETARY LIMITED</v>
      </c>
      <c r="S5" s="10" t="str">
        <f>IF($A5="","",IF($B5="","OPERATOR REQUIRED",IF(COUNTIF(Operators!$A:$A,$B5)=0,"UNKNOWN OPERATOR ID",IF(OR($D5="",$E5="",$K5=""),"BILLING DETAILS INCOMPLETE","OK"))))</f>
        <v>OK</v>
      </c>
      <c r="T5" t="str">
        <f t="shared" si="0"/>
        <v>EMAIL (SMTP)</v>
      </c>
      <c r="U5" t="str">
        <f t="shared" si="1"/>
        <v>accounts@fireblade.example</v>
      </c>
      <c r="V5" t="str">
        <f t="shared" si="2"/>
        <v/>
      </c>
      <c r="Y5" t="str">
        <f t="shared" si="3"/>
        <v>PLAIN TEXT UPPERCASE</v>
      </c>
      <c r="Z5" t="str">
        <f t="shared" si="4"/>
        <v>JTL TRIP SUPPORT</v>
      </c>
      <c r="AA5" t="str">
        <f t="shared" si="5"/>
        <v>OK</v>
      </c>
    </row>
    <row r="6" spans="1:27" x14ac:dyDescent="0.3">
      <c r="A6" s="4"/>
      <c r="B6" s="4"/>
      <c r="C6" s="4"/>
      <c r="D6" s="4"/>
      <c r="E6" s="4"/>
      <c r="F6" s="4"/>
      <c r="G6" s="4"/>
      <c r="H6" s="4"/>
      <c r="I6" s="4"/>
      <c r="J6" s="4"/>
      <c r="K6" s="4"/>
      <c r="L6" s="4"/>
      <c r="M6" s="4"/>
      <c r="N6" s="4"/>
      <c r="O6" s="4"/>
      <c r="P6" s="4"/>
      <c r="Q6" s="4"/>
      <c r="R6" s="10" t="str">
        <f>IF($A6="","",IFERROR(INDEX(Operators!$B:$B,MATCH($B6,Operators!$A:$A,0))&amp;"","UNKNOWN OPERATOR ID"))</f>
        <v/>
      </c>
      <c r="S6" s="10" t="str">
        <f>IF($A6="","",IF($B6="","OPERATOR REQUIRED",IF(COUNTIF(Operators!$A:$A,$B6)=0,"UNKNOWN OPERATOR ID",IF(OR($D6="",$E6="",$K6=""),"BILLING DETAILS INCOMPLETE","OK"))))</f>
        <v/>
      </c>
      <c r="T6" t="str">
        <f t="shared" si="0"/>
        <v/>
      </c>
      <c r="U6" t="str">
        <f t="shared" si="1"/>
        <v/>
      </c>
      <c r="V6" t="str">
        <f t="shared" si="2"/>
        <v/>
      </c>
      <c r="Y6" t="str">
        <f t="shared" si="3"/>
        <v/>
      </c>
      <c r="Z6" t="str">
        <f t="shared" si="4"/>
        <v/>
      </c>
      <c r="AA6" t="str">
        <f t="shared" si="5"/>
        <v/>
      </c>
    </row>
    <row r="7" spans="1:27" x14ac:dyDescent="0.3">
      <c r="A7" s="4"/>
      <c r="B7" s="4"/>
      <c r="C7" s="4"/>
      <c r="D7" s="4"/>
      <c r="E7" s="4"/>
      <c r="F7" s="4"/>
      <c r="G7" s="4"/>
      <c r="H7" s="4"/>
      <c r="I7" s="4"/>
      <c r="J7" s="4"/>
      <c r="K7" s="4"/>
      <c r="L7" s="4"/>
      <c r="M7" s="4"/>
      <c r="N7" s="4"/>
      <c r="O7" s="4"/>
      <c r="P7" s="4"/>
      <c r="Q7" s="4"/>
      <c r="R7" s="10" t="str">
        <f>IF($A7="","",IFERROR(INDEX(Operators!$B:$B,MATCH($B7,Operators!$A:$A,0))&amp;"","UNKNOWN OPERATOR ID"))</f>
        <v/>
      </c>
      <c r="S7" s="10" t="str">
        <f>IF($A7="","",IF($B7="","OPERATOR REQUIRED",IF(COUNTIF(Operators!$A:$A,$B7)=0,"UNKNOWN OPERATOR ID",IF(OR($D7="",$E7="",$K7=""),"BILLING DETAILS INCOMPLETE","OK"))))</f>
        <v/>
      </c>
      <c r="T7" t="str">
        <f t="shared" si="0"/>
        <v/>
      </c>
      <c r="U7" t="str">
        <f t="shared" si="1"/>
        <v/>
      </c>
      <c r="V7" t="str">
        <f t="shared" si="2"/>
        <v/>
      </c>
      <c r="Y7" t="str">
        <f t="shared" si="3"/>
        <v/>
      </c>
      <c r="Z7" t="str">
        <f t="shared" si="4"/>
        <v/>
      </c>
      <c r="AA7" t="str">
        <f t="shared" si="5"/>
        <v/>
      </c>
    </row>
    <row r="8" spans="1:27" x14ac:dyDescent="0.3">
      <c r="A8" s="4"/>
      <c r="B8" s="4"/>
      <c r="C8" s="4"/>
      <c r="D8" s="4"/>
      <c r="E8" s="4"/>
      <c r="F8" s="4"/>
      <c r="G8" s="4"/>
      <c r="H8" s="4"/>
      <c r="I8" s="4"/>
      <c r="J8" s="4"/>
      <c r="K8" s="4"/>
      <c r="L8" s="4"/>
      <c r="M8" s="4"/>
      <c r="N8" s="4"/>
      <c r="O8" s="4"/>
      <c r="P8" s="4"/>
      <c r="Q8" s="4"/>
      <c r="R8" s="10" t="str">
        <f>IF($A8="","",IFERROR(INDEX(Operators!$B:$B,MATCH($B8,Operators!$A:$A,0))&amp;"","UNKNOWN OPERATOR ID"))</f>
        <v/>
      </c>
      <c r="S8" s="10" t="str">
        <f>IF($A8="","",IF($B8="","OPERATOR REQUIRED",IF(COUNTIF(Operators!$A:$A,$B8)=0,"UNKNOWN OPERATOR ID",IF(OR($D8="",$E8="",$K8=""),"BILLING DETAILS INCOMPLETE","OK"))))</f>
        <v/>
      </c>
      <c r="T8" t="str">
        <f t="shared" si="0"/>
        <v/>
      </c>
      <c r="U8" t="str">
        <f t="shared" si="1"/>
        <v/>
      </c>
      <c r="V8" t="str">
        <f t="shared" si="2"/>
        <v/>
      </c>
      <c r="Y8" t="str">
        <f t="shared" si="3"/>
        <v/>
      </c>
      <c r="Z8" t="str">
        <f t="shared" si="4"/>
        <v/>
      </c>
      <c r="AA8" t="str">
        <f t="shared" si="5"/>
        <v/>
      </c>
    </row>
    <row r="9" spans="1:27" x14ac:dyDescent="0.3">
      <c r="A9" s="4"/>
      <c r="B9" s="4"/>
      <c r="C9" s="4"/>
      <c r="D9" s="4"/>
      <c r="E9" s="4"/>
      <c r="F9" s="4"/>
      <c r="G9" s="4"/>
      <c r="H9" s="4"/>
      <c r="I9" s="4"/>
      <c r="J9" s="4"/>
      <c r="K9" s="4"/>
      <c r="L9" s="4"/>
      <c r="M9" s="4"/>
      <c r="N9" s="4"/>
      <c r="O9" s="4"/>
      <c r="P9" s="4"/>
      <c r="Q9" s="4"/>
      <c r="R9" s="10" t="str">
        <f>IF($A9="","",IFERROR(INDEX(Operators!$B:$B,MATCH($B9,Operators!$A:$A,0))&amp;"","UNKNOWN OPERATOR ID"))</f>
        <v/>
      </c>
      <c r="S9" s="10" t="str">
        <f>IF($A9="","",IF($B9="","OPERATOR REQUIRED",IF(COUNTIF(Operators!$A:$A,$B9)=0,"UNKNOWN OPERATOR ID",IF(OR($D9="",$E9="",$K9=""),"BILLING DETAILS INCOMPLETE","OK"))))</f>
        <v/>
      </c>
      <c r="T9" t="str">
        <f t="shared" si="0"/>
        <v/>
      </c>
      <c r="U9" t="str">
        <f t="shared" si="1"/>
        <v/>
      </c>
      <c r="V9" t="str">
        <f t="shared" si="2"/>
        <v/>
      </c>
      <c r="Y9" t="str">
        <f t="shared" si="3"/>
        <v/>
      </c>
      <c r="Z9" t="str">
        <f t="shared" si="4"/>
        <v/>
      </c>
      <c r="AA9" t="str">
        <f t="shared" si="5"/>
        <v/>
      </c>
    </row>
    <row r="10" spans="1:27" x14ac:dyDescent="0.3">
      <c r="A10" s="4"/>
      <c r="B10" s="4"/>
      <c r="C10" s="4"/>
      <c r="D10" s="4"/>
      <c r="E10" s="4"/>
      <c r="F10" s="4"/>
      <c r="G10" s="4"/>
      <c r="H10" s="4"/>
      <c r="I10" s="4"/>
      <c r="J10" s="4"/>
      <c r="K10" s="4"/>
      <c r="L10" s="4"/>
      <c r="M10" s="4"/>
      <c r="N10" s="4"/>
      <c r="O10" s="4"/>
      <c r="P10" s="4"/>
      <c r="Q10" s="4"/>
      <c r="R10" s="10" t="str">
        <f>IF($A10="","",IFERROR(INDEX(Operators!$B:$B,MATCH($B10,Operators!$A:$A,0))&amp;"","UNKNOWN OPERATOR ID"))</f>
        <v/>
      </c>
      <c r="S10" s="10" t="str">
        <f>IF($A10="","",IF($B10="","OPERATOR REQUIRED",IF(COUNTIF(Operators!$A:$A,$B10)=0,"UNKNOWN OPERATOR ID",IF(OR($D10="",$E10="",$K10=""),"BILLING DETAILS INCOMPLETE","OK"))))</f>
        <v/>
      </c>
      <c r="T10" t="str">
        <f t="shared" si="0"/>
        <v/>
      </c>
      <c r="U10" t="str">
        <f t="shared" si="1"/>
        <v/>
      </c>
      <c r="V10" t="str">
        <f t="shared" si="2"/>
        <v/>
      </c>
      <c r="Y10" t="str">
        <f t="shared" si="3"/>
        <v/>
      </c>
      <c r="Z10" t="str">
        <f t="shared" si="4"/>
        <v/>
      </c>
      <c r="AA10" t="str">
        <f t="shared" si="5"/>
        <v/>
      </c>
    </row>
    <row r="11" spans="1:27" x14ac:dyDescent="0.3">
      <c r="A11" s="4"/>
      <c r="B11" s="4"/>
      <c r="C11" s="4"/>
      <c r="D11" s="4"/>
      <c r="E11" s="4"/>
      <c r="F11" s="4"/>
      <c r="G11" s="4"/>
      <c r="H11" s="4"/>
      <c r="I11" s="4"/>
      <c r="J11" s="4"/>
      <c r="K11" s="4"/>
      <c r="L11" s="4"/>
      <c r="M11" s="4"/>
      <c r="N11" s="4"/>
      <c r="O11" s="4"/>
      <c r="P11" s="4"/>
      <c r="Q11" s="4"/>
      <c r="R11" s="10" t="str">
        <f>IF($A11="","",IFERROR(INDEX(Operators!$B:$B,MATCH($B11,Operators!$A:$A,0))&amp;"","UNKNOWN OPERATOR ID"))</f>
        <v/>
      </c>
      <c r="S11" s="10" t="str">
        <f>IF($A11="","",IF($B11="","OPERATOR REQUIRED",IF(COUNTIF(Operators!$A:$A,$B11)=0,"UNKNOWN OPERATOR ID",IF(OR($D11="",$E11="",$K11=""),"BILLING DETAILS INCOMPLETE","OK"))))</f>
        <v/>
      </c>
      <c r="T11" t="str">
        <f t="shared" si="0"/>
        <v/>
      </c>
      <c r="U11" t="str">
        <f t="shared" si="1"/>
        <v/>
      </c>
      <c r="V11" t="str">
        <f t="shared" si="2"/>
        <v/>
      </c>
      <c r="Y11" t="str">
        <f t="shared" si="3"/>
        <v/>
      </c>
      <c r="Z11" t="str">
        <f t="shared" si="4"/>
        <v/>
      </c>
      <c r="AA11" t="str">
        <f t="shared" si="5"/>
        <v/>
      </c>
    </row>
    <row r="12" spans="1:27" x14ac:dyDescent="0.3">
      <c r="A12" s="4"/>
      <c r="B12" s="4"/>
      <c r="C12" s="4"/>
      <c r="D12" s="4"/>
      <c r="E12" s="4"/>
      <c r="F12" s="4"/>
      <c r="G12" s="4"/>
      <c r="H12" s="4"/>
      <c r="I12" s="4"/>
      <c r="J12" s="4"/>
      <c r="K12" s="4"/>
      <c r="L12" s="4"/>
      <c r="M12" s="4"/>
      <c r="N12" s="4"/>
      <c r="O12" s="4"/>
      <c r="P12" s="4"/>
      <c r="Q12" s="4"/>
      <c r="R12" s="10" t="str">
        <f>IF($A12="","",IFERROR(INDEX(Operators!$B:$B,MATCH($B12,Operators!$A:$A,0))&amp;"","UNKNOWN OPERATOR ID"))</f>
        <v/>
      </c>
      <c r="S12" s="10" t="str">
        <f>IF($A12="","",IF($B12="","OPERATOR REQUIRED",IF(COUNTIF(Operators!$A:$A,$B12)=0,"UNKNOWN OPERATOR ID",IF(OR($D12="",$E12="",$K12=""),"BILLING DETAILS INCOMPLETE","OK"))))</f>
        <v/>
      </c>
      <c r="T12" t="str">
        <f t="shared" si="0"/>
        <v/>
      </c>
      <c r="U12" t="str">
        <f t="shared" si="1"/>
        <v/>
      </c>
      <c r="V12" t="str">
        <f t="shared" si="2"/>
        <v/>
      </c>
      <c r="Y12" t="str">
        <f t="shared" si="3"/>
        <v/>
      </c>
      <c r="Z12" t="str">
        <f t="shared" si="4"/>
        <v/>
      </c>
      <c r="AA12" t="str">
        <f t="shared" si="5"/>
        <v/>
      </c>
    </row>
    <row r="13" spans="1:27" x14ac:dyDescent="0.3">
      <c r="A13" s="4"/>
      <c r="B13" s="4"/>
      <c r="C13" s="4"/>
      <c r="D13" s="4"/>
      <c r="E13" s="4"/>
      <c r="F13" s="4"/>
      <c r="G13" s="4"/>
      <c r="H13" s="4"/>
      <c r="I13" s="4"/>
      <c r="J13" s="4"/>
      <c r="K13" s="4"/>
      <c r="L13" s="4"/>
      <c r="M13" s="4"/>
      <c r="N13" s="4"/>
      <c r="O13" s="4"/>
      <c r="P13" s="4"/>
      <c r="Q13" s="4"/>
      <c r="R13" s="10" t="str">
        <f>IF($A13="","",IFERROR(INDEX(Operators!$B:$B,MATCH($B13,Operators!$A:$A,0))&amp;"","UNKNOWN OPERATOR ID"))</f>
        <v/>
      </c>
      <c r="S13" s="10" t="str">
        <f>IF($A13="","",IF($B13="","OPERATOR REQUIRED",IF(COUNTIF(Operators!$A:$A,$B13)=0,"UNKNOWN OPERATOR ID",IF(OR($D13="",$E13="",$K13=""),"BILLING DETAILS INCOMPLETE","OK"))))</f>
        <v/>
      </c>
      <c r="T13" t="str">
        <f t="shared" si="0"/>
        <v/>
      </c>
      <c r="U13" t="str">
        <f t="shared" si="1"/>
        <v/>
      </c>
      <c r="V13" t="str">
        <f t="shared" si="2"/>
        <v/>
      </c>
      <c r="Y13" t="str">
        <f t="shared" si="3"/>
        <v/>
      </c>
      <c r="Z13" t="str">
        <f t="shared" si="4"/>
        <v/>
      </c>
      <c r="AA13" t="str">
        <f t="shared" si="5"/>
        <v/>
      </c>
    </row>
    <row r="14" spans="1:27" x14ac:dyDescent="0.3">
      <c r="A14" s="4"/>
      <c r="B14" s="4"/>
      <c r="C14" s="4"/>
      <c r="D14" s="4"/>
      <c r="E14" s="4"/>
      <c r="F14" s="4"/>
      <c r="G14" s="4"/>
      <c r="H14" s="4"/>
      <c r="I14" s="4"/>
      <c r="J14" s="4"/>
      <c r="K14" s="4"/>
      <c r="L14" s="4"/>
      <c r="M14" s="4"/>
      <c r="N14" s="4"/>
      <c r="O14" s="4"/>
      <c r="P14" s="4"/>
      <c r="Q14" s="4"/>
      <c r="R14" s="10" t="str">
        <f>IF($A14="","",IFERROR(INDEX(Operators!$B:$B,MATCH($B14,Operators!$A:$A,0))&amp;"","UNKNOWN OPERATOR ID"))</f>
        <v/>
      </c>
      <c r="S14" s="10" t="str">
        <f>IF($A14="","",IF($B14="","OPERATOR REQUIRED",IF(COUNTIF(Operators!$A:$A,$B14)=0,"UNKNOWN OPERATOR ID",IF(OR($D14="",$E14="",$K14=""),"BILLING DETAILS INCOMPLETE","OK"))))</f>
        <v/>
      </c>
      <c r="T14" t="str">
        <f t="shared" si="0"/>
        <v/>
      </c>
      <c r="U14" t="str">
        <f t="shared" si="1"/>
        <v/>
      </c>
      <c r="V14" t="str">
        <f t="shared" si="2"/>
        <v/>
      </c>
      <c r="Y14" t="str">
        <f t="shared" si="3"/>
        <v/>
      </c>
      <c r="Z14" t="str">
        <f t="shared" si="4"/>
        <v/>
      </c>
      <c r="AA14" t="str">
        <f t="shared" si="5"/>
        <v/>
      </c>
    </row>
    <row r="15" spans="1:27" x14ac:dyDescent="0.3">
      <c r="A15" s="4"/>
      <c r="B15" s="4"/>
      <c r="C15" s="4"/>
      <c r="D15" s="4"/>
      <c r="E15" s="4"/>
      <c r="F15" s="4"/>
      <c r="G15" s="4"/>
      <c r="H15" s="4"/>
      <c r="I15" s="4"/>
      <c r="J15" s="4"/>
      <c r="K15" s="4"/>
      <c r="L15" s="4"/>
      <c r="M15" s="4"/>
      <c r="N15" s="4"/>
      <c r="O15" s="4"/>
      <c r="P15" s="4"/>
      <c r="Q15" s="4"/>
      <c r="R15" s="10" t="str">
        <f>IF($A15="","",IFERROR(INDEX(Operators!$B:$B,MATCH($B15,Operators!$A:$A,0))&amp;"","UNKNOWN OPERATOR ID"))</f>
        <v/>
      </c>
      <c r="S15" s="10" t="str">
        <f>IF($A15="","",IF($B15="","OPERATOR REQUIRED",IF(COUNTIF(Operators!$A:$A,$B15)=0,"UNKNOWN OPERATOR ID",IF(OR($D15="",$E15="",$K15=""),"BILLING DETAILS INCOMPLETE","OK"))))</f>
        <v/>
      </c>
      <c r="T15" t="str">
        <f t="shared" si="0"/>
        <v/>
      </c>
      <c r="U15" t="str">
        <f t="shared" si="1"/>
        <v/>
      </c>
      <c r="V15" t="str">
        <f t="shared" si="2"/>
        <v/>
      </c>
      <c r="Y15" t="str">
        <f t="shared" si="3"/>
        <v/>
      </c>
      <c r="Z15" t="str">
        <f t="shared" si="4"/>
        <v/>
      </c>
      <c r="AA15" t="str">
        <f t="shared" si="5"/>
        <v/>
      </c>
    </row>
    <row r="16" spans="1:27" x14ac:dyDescent="0.3">
      <c r="A16" s="4"/>
      <c r="B16" s="4"/>
      <c r="C16" s="4"/>
      <c r="D16" s="4"/>
      <c r="E16" s="4"/>
      <c r="F16" s="4"/>
      <c r="G16" s="4"/>
      <c r="H16" s="4"/>
      <c r="I16" s="4"/>
      <c r="J16" s="4"/>
      <c r="K16" s="4"/>
      <c r="L16" s="4"/>
      <c r="M16" s="4"/>
      <c r="N16" s="4"/>
      <c r="O16" s="4"/>
      <c r="P16" s="4"/>
      <c r="Q16" s="4"/>
      <c r="R16" s="10" t="str">
        <f>IF($A16="","",IFERROR(INDEX(Operators!$B:$B,MATCH($B16,Operators!$A:$A,0))&amp;"","UNKNOWN OPERATOR ID"))</f>
        <v/>
      </c>
      <c r="S16" s="10" t="str">
        <f>IF($A16="","",IF($B16="","OPERATOR REQUIRED",IF(COUNTIF(Operators!$A:$A,$B16)=0,"UNKNOWN OPERATOR ID",IF(OR($D16="",$E16="",$K16=""),"BILLING DETAILS INCOMPLETE","OK"))))</f>
        <v/>
      </c>
      <c r="T16" t="str">
        <f t="shared" si="0"/>
        <v/>
      </c>
      <c r="U16" t="str">
        <f t="shared" si="1"/>
        <v/>
      </c>
      <c r="V16" t="str">
        <f t="shared" si="2"/>
        <v/>
      </c>
      <c r="Y16" t="str">
        <f t="shared" si="3"/>
        <v/>
      </c>
      <c r="Z16" t="str">
        <f t="shared" si="4"/>
        <v/>
      </c>
      <c r="AA16" t="str">
        <f t="shared" si="5"/>
        <v/>
      </c>
    </row>
    <row r="17" spans="1:27" x14ac:dyDescent="0.3">
      <c r="A17" s="4"/>
      <c r="B17" s="4"/>
      <c r="C17" s="4"/>
      <c r="D17" s="4"/>
      <c r="E17" s="4"/>
      <c r="F17" s="4"/>
      <c r="G17" s="4"/>
      <c r="H17" s="4"/>
      <c r="I17" s="4"/>
      <c r="J17" s="4"/>
      <c r="K17" s="4"/>
      <c r="L17" s="4"/>
      <c r="M17" s="4"/>
      <c r="N17" s="4"/>
      <c r="O17" s="4"/>
      <c r="P17" s="4"/>
      <c r="Q17" s="4"/>
      <c r="R17" s="10" t="str">
        <f>IF($A17="","",IFERROR(INDEX(Operators!$B:$B,MATCH($B17,Operators!$A:$A,0))&amp;"","UNKNOWN OPERATOR ID"))</f>
        <v/>
      </c>
      <c r="S17" s="10" t="str">
        <f>IF($A17="","",IF($B17="","OPERATOR REQUIRED",IF(COUNTIF(Operators!$A:$A,$B17)=0,"UNKNOWN OPERATOR ID",IF(OR($D17="",$E17="",$K17=""),"BILLING DETAILS INCOMPLETE","OK"))))</f>
        <v/>
      </c>
      <c r="T17" t="str">
        <f t="shared" si="0"/>
        <v/>
      </c>
      <c r="U17" t="str">
        <f t="shared" si="1"/>
        <v/>
      </c>
      <c r="V17" t="str">
        <f t="shared" si="2"/>
        <v/>
      </c>
      <c r="Y17" t="str">
        <f t="shared" si="3"/>
        <v/>
      </c>
      <c r="Z17" t="str">
        <f t="shared" si="4"/>
        <v/>
      </c>
      <c r="AA17" t="str">
        <f t="shared" si="5"/>
        <v/>
      </c>
    </row>
    <row r="18" spans="1:27" x14ac:dyDescent="0.3">
      <c r="A18" s="4"/>
      <c r="B18" s="4"/>
      <c r="C18" s="4"/>
      <c r="D18" s="4"/>
      <c r="E18" s="4"/>
      <c r="F18" s="4"/>
      <c r="G18" s="4"/>
      <c r="H18" s="4"/>
      <c r="I18" s="4"/>
      <c r="J18" s="4"/>
      <c r="K18" s="4"/>
      <c r="L18" s="4"/>
      <c r="M18" s="4"/>
      <c r="N18" s="4"/>
      <c r="O18" s="4"/>
      <c r="P18" s="4"/>
      <c r="Q18" s="4"/>
      <c r="R18" s="10" t="str">
        <f>IF($A18="","",IFERROR(INDEX(Operators!$B:$B,MATCH($B18,Operators!$A:$A,0))&amp;"","UNKNOWN OPERATOR ID"))</f>
        <v/>
      </c>
      <c r="S18" s="10" t="str">
        <f>IF($A18="","",IF($B18="","OPERATOR REQUIRED",IF(COUNTIF(Operators!$A:$A,$B18)=0,"UNKNOWN OPERATOR ID",IF(OR($D18="",$E18="",$K18=""),"BILLING DETAILS INCOMPLETE","OK"))))</f>
        <v/>
      </c>
      <c r="T18" t="str">
        <f t="shared" si="0"/>
        <v/>
      </c>
      <c r="U18" t="str">
        <f t="shared" si="1"/>
        <v/>
      </c>
      <c r="V18" t="str">
        <f t="shared" si="2"/>
        <v/>
      </c>
      <c r="Y18" t="str">
        <f t="shared" si="3"/>
        <v/>
      </c>
      <c r="Z18" t="str">
        <f t="shared" si="4"/>
        <v/>
      </c>
      <c r="AA18" t="str">
        <f t="shared" si="5"/>
        <v/>
      </c>
    </row>
    <row r="19" spans="1:27" x14ac:dyDescent="0.3">
      <c r="A19" s="4"/>
      <c r="B19" s="4"/>
      <c r="C19" s="4"/>
      <c r="D19" s="4"/>
      <c r="E19" s="4"/>
      <c r="F19" s="4"/>
      <c r="G19" s="4"/>
      <c r="H19" s="4"/>
      <c r="I19" s="4"/>
      <c r="J19" s="4"/>
      <c r="K19" s="4"/>
      <c r="L19" s="4"/>
      <c r="M19" s="4"/>
      <c r="N19" s="4"/>
      <c r="O19" s="4"/>
      <c r="P19" s="4"/>
      <c r="Q19" s="4"/>
      <c r="R19" s="10" t="str">
        <f>IF($A19="","",IFERROR(INDEX(Operators!$B:$B,MATCH($B19,Operators!$A:$A,0))&amp;"","UNKNOWN OPERATOR ID"))</f>
        <v/>
      </c>
      <c r="S19" s="10" t="str">
        <f>IF($A19="","",IF($B19="","OPERATOR REQUIRED",IF(COUNTIF(Operators!$A:$A,$B19)=0,"UNKNOWN OPERATOR ID",IF(OR($D19="",$E19="",$K19=""),"BILLING DETAILS INCOMPLETE","OK"))))</f>
        <v/>
      </c>
      <c r="T19" t="str">
        <f t="shared" si="0"/>
        <v/>
      </c>
      <c r="U19" t="str">
        <f t="shared" si="1"/>
        <v/>
      </c>
      <c r="V19" t="str">
        <f t="shared" si="2"/>
        <v/>
      </c>
      <c r="Y19" t="str">
        <f t="shared" si="3"/>
        <v/>
      </c>
      <c r="Z19" t="str">
        <f t="shared" si="4"/>
        <v/>
      </c>
      <c r="AA19" t="str">
        <f t="shared" si="5"/>
        <v/>
      </c>
    </row>
    <row r="20" spans="1:27" x14ac:dyDescent="0.3">
      <c r="A20" s="4"/>
      <c r="B20" s="4"/>
      <c r="C20" s="4"/>
      <c r="D20" s="4"/>
      <c r="E20" s="4"/>
      <c r="F20" s="4"/>
      <c r="G20" s="4"/>
      <c r="H20" s="4"/>
      <c r="I20" s="4"/>
      <c r="J20" s="4"/>
      <c r="K20" s="4"/>
      <c r="L20" s="4"/>
      <c r="M20" s="4"/>
      <c r="N20" s="4"/>
      <c r="O20" s="4"/>
      <c r="P20" s="4"/>
      <c r="Q20" s="4"/>
      <c r="R20" s="10" t="str">
        <f>IF($A20="","",IFERROR(INDEX(Operators!$B:$B,MATCH($B20,Operators!$A:$A,0))&amp;"","UNKNOWN OPERATOR ID"))</f>
        <v/>
      </c>
      <c r="S20" s="10" t="str">
        <f>IF($A20="","",IF($B20="","OPERATOR REQUIRED",IF(COUNTIF(Operators!$A:$A,$B20)=0,"UNKNOWN OPERATOR ID",IF(OR($D20="",$E20="",$K20=""),"BILLING DETAILS INCOMPLETE","OK"))))</f>
        <v/>
      </c>
      <c r="T20" t="str">
        <f t="shared" si="0"/>
        <v/>
      </c>
      <c r="U20" t="str">
        <f t="shared" si="1"/>
        <v/>
      </c>
      <c r="V20" t="str">
        <f t="shared" si="2"/>
        <v/>
      </c>
      <c r="Y20" t="str">
        <f t="shared" si="3"/>
        <v/>
      </c>
      <c r="Z20" t="str">
        <f t="shared" si="4"/>
        <v/>
      </c>
      <c r="AA20" t="str">
        <f t="shared" si="5"/>
        <v/>
      </c>
    </row>
    <row r="21" spans="1:27" x14ac:dyDescent="0.3">
      <c r="A21" s="4"/>
      <c r="B21" s="4"/>
      <c r="C21" s="4"/>
      <c r="D21" s="4"/>
      <c r="E21" s="4"/>
      <c r="F21" s="4"/>
      <c r="G21" s="4"/>
      <c r="H21" s="4"/>
      <c r="I21" s="4"/>
      <c r="J21" s="4"/>
      <c r="K21" s="4"/>
      <c r="L21" s="4"/>
      <c r="M21" s="4"/>
      <c r="N21" s="4"/>
      <c r="O21" s="4"/>
      <c r="P21" s="4"/>
      <c r="Q21" s="4"/>
      <c r="R21" s="10" t="str">
        <f>IF($A21="","",IFERROR(INDEX(Operators!$B:$B,MATCH($B21,Operators!$A:$A,0))&amp;"","UNKNOWN OPERATOR ID"))</f>
        <v/>
      </c>
      <c r="S21" s="10" t="str">
        <f>IF($A21="","",IF($B21="","OPERATOR REQUIRED",IF(COUNTIF(Operators!$A:$A,$B21)=0,"UNKNOWN OPERATOR ID",IF(OR($D21="",$E21="",$K21=""),"BILLING DETAILS INCOMPLETE","OK"))))</f>
        <v/>
      </c>
      <c r="T21" t="str">
        <f t="shared" si="0"/>
        <v/>
      </c>
      <c r="U21" t="str">
        <f t="shared" si="1"/>
        <v/>
      </c>
      <c r="V21" t="str">
        <f t="shared" si="2"/>
        <v/>
      </c>
      <c r="Y21" t="str">
        <f t="shared" si="3"/>
        <v/>
      </c>
      <c r="Z21" t="str">
        <f t="shared" si="4"/>
        <v/>
      </c>
      <c r="AA21" t="str">
        <f t="shared" si="5"/>
        <v/>
      </c>
    </row>
    <row r="22" spans="1:27" x14ac:dyDescent="0.3">
      <c r="A22" s="4"/>
      <c r="B22" s="4"/>
      <c r="C22" s="4"/>
      <c r="D22" s="4"/>
      <c r="E22" s="4"/>
      <c r="F22" s="4"/>
      <c r="G22" s="4"/>
      <c r="H22" s="4"/>
      <c r="I22" s="4"/>
      <c r="J22" s="4"/>
      <c r="K22" s="4"/>
      <c r="L22" s="4"/>
      <c r="M22" s="4"/>
      <c r="N22" s="4"/>
      <c r="O22" s="4"/>
      <c r="P22" s="4"/>
      <c r="Q22" s="4"/>
      <c r="R22" s="10" t="str">
        <f>IF($A22="","",IFERROR(INDEX(Operators!$B:$B,MATCH($B22,Operators!$A:$A,0))&amp;"","UNKNOWN OPERATOR ID"))</f>
        <v/>
      </c>
      <c r="S22" s="10" t="str">
        <f>IF($A22="","",IF($B22="","OPERATOR REQUIRED",IF(COUNTIF(Operators!$A:$A,$B22)=0,"UNKNOWN OPERATOR ID",IF(OR($D22="",$E22="",$K22=""),"BILLING DETAILS INCOMPLETE","OK"))))</f>
        <v/>
      </c>
      <c r="T22" t="str">
        <f t="shared" si="0"/>
        <v/>
      </c>
      <c r="U22" t="str">
        <f t="shared" si="1"/>
        <v/>
      </c>
      <c r="V22" t="str">
        <f t="shared" si="2"/>
        <v/>
      </c>
      <c r="Y22" t="str">
        <f t="shared" si="3"/>
        <v/>
      </c>
      <c r="Z22" t="str">
        <f t="shared" si="4"/>
        <v/>
      </c>
      <c r="AA22" t="str">
        <f t="shared" si="5"/>
        <v/>
      </c>
    </row>
    <row r="23" spans="1:27" x14ac:dyDescent="0.3">
      <c r="A23" s="4"/>
      <c r="B23" s="4"/>
      <c r="C23" s="4"/>
      <c r="D23" s="4"/>
      <c r="E23" s="4"/>
      <c r="F23" s="4"/>
      <c r="G23" s="4"/>
      <c r="H23" s="4"/>
      <c r="I23" s="4"/>
      <c r="J23" s="4"/>
      <c r="K23" s="4"/>
      <c r="L23" s="4"/>
      <c r="M23" s="4"/>
      <c r="N23" s="4"/>
      <c r="O23" s="4"/>
      <c r="P23" s="4"/>
      <c r="Q23" s="4"/>
      <c r="R23" s="10" t="str">
        <f>IF($A23="","",IFERROR(INDEX(Operators!$B:$B,MATCH($B23,Operators!$A:$A,0))&amp;"","UNKNOWN OPERATOR ID"))</f>
        <v/>
      </c>
      <c r="S23" s="10" t="str">
        <f>IF($A23="","",IF($B23="","OPERATOR REQUIRED",IF(COUNTIF(Operators!$A:$A,$B23)=0,"UNKNOWN OPERATOR ID",IF(OR($D23="",$E23="",$K23=""),"BILLING DETAILS INCOMPLETE","OK"))))</f>
        <v/>
      </c>
      <c r="T23" t="str">
        <f t="shared" si="0"/>
        <v/>
      </c>
      <c r="U23" t="str">
        <f t="shared" si="1"/>
        <v/>
      </c>
      <c r="V23" t="str">
        <f t="shared" si="2"/>
        <v/>
      </c>
      <c r="Y23" t="str">
        <f t="shared" si="3"/>
        <v/>
      </c>
      <c r="Z23" t="str">
        <f t="shared" si="4"/>
        <v/>
      </c>
      <c r="AA23" t="str">
        <f t="shared" si="5"/>
        <v/>
      </c>
    </row>
    <row r="24" spans="1:27" x14ac:dyDescent="0.3">
      <c r="A24" s="4"/>
      <c r="B24" s="4"/>
      <c r="C24" s="4"/>
      <c r="D24" s="4"/>
      <c r="E24" s="4"/>
      <c r="F24" s="4"/>
      <c r="G24" s="4"/>
      <c r="H24" s="4"/>
      <c r="I24" s="4"/>
      <c r="J24" s="4"/>
      <c r="K24" s="4"/>
      <c r="L24" s="4"/>
      <c r="M24" s="4"/>
      <c r="N24" s="4"/>
      <c r="O24" s="4"/>
      <c r="P24" s="4"/>
      <c r="Q24" s="4"/>
      <c r="R24" s="10" t="str">
        <f>IF($A24="","",IFERROR(INDEX(Operators!$B:$B,MATCH($B24,Operators!$A:$A,0))&amp;"","UNKNOWN OPERATOR ID"))</f>
        <v/>
      </c>
      <c r="S24" s="10" t="str">
        <f>IF($A24="","",IF($B24="","OPERATOR REQUIRED",IF(COUNTIF(Operators!$A:$A,$B24)=0,"UNKNOWN OPERATOR ID",IF(OR($D24="",$E24="",$K24=""),"BILLING DETAILS INCOMPLETE","OK"))))</f>
        <v/>
      </c>
      <c r="T24" t="str">
        <f t="shared" si="0"/>
        <v/>
      </c>
      <c r="U24" t="str">
        <f t="shared" si="1"/>
        <v/>
      </c>
      <c r="V24" t="str">
        <f t="shared" si="2"/>
        <v/>
      </c>
      <c r="Y24" t="str">
        <f t="shared" si="3"/>
        <v/>
      </c>
      <c r="Z24" t="str">
        <f t="shared" si="4"/>
        <v/>
      </c>
      <c r="AA24" t="str">
        <f t="shared" si="5"/>
        <v/>
      </c>
    </row>
    <row r="25" spans="1:27" x14ac:dyDescent="0.3">
      <c r="A25" s="4"/>
      <c r="B25" s="4"/>
      <c r="C25" s="4"/>
      <c r="D25" s="4"/>
      <c r="E25" s="4"/>
      <c r="F25" s="4"/>
      <c r="G25" s="4"/>
      <c r="H25" s="4"/>
      <c r="I25" s="4"/>
      <c r="J25" s="4"/>
      <c r="K25" s="4"/>
      <c r="L25" s="4"/>
      <c r="M25" s="4"/>
      <c r="N25" s="4"/>
      <c r="O25" s="4"/>
      <c r="P25" s="4"/>
      <c r="Q25" s="4"/>
      <c r="R25" s="10" t="str">
        <f>IF($A25="","",IFERROR(INDEX(Operators!$B:$B,MATCH($B25,Operators!$A:$A,0))&amp;"","UNKNOWN OPERATOR ID"))</f>
        <v/>
      </c>
      <c r="S25" s="10" t="str">
        <f>IF($A25="","",IF($B25="","OPERATOR REQUIRED",IF(COUNTIF(Operators!$A:$A,$B25)=0,"UNKNOWN OPERATOR ID",IF(OR($D25="",$E25="",$K25=""),"BILLING DETAILS INCOMPLETE","OK"))))</f>
        <v/>
      </c>
      <c r="T25" t="str">
        <f t="shared" si="0"/>
        <v/>
      </c>
      <c r="U25" t="str">
        <f t="shared" si="1"/>
        <v/>
      </c>
      <c r="V25" t="str">
        <f t="shared" si="2"/>
        <v/>
      </c>
      <c r="Y25" t="str">
        <f t="shared" si="3"/>
        <v/>
      </c>
      <c r="Z25" t="str">
        <f t="shared" si="4"/>
        <v/>
      </c>
      <c r="AA25" t="str">
        <f t="shared" si="5"/>
        <v/>
      </c>
    </row>
    <row r="26" spans="1:27" x14ac:dyDescent="0.3">
      <c r="A26" s="4"/>
      <c r="B26" s="4"/>
      <c r="C26" s="4"/>
      <c r="D26" s="4"/>
      <c r="E26" s="4"/>
      <c r="F26" s="4"/>
      <c r="G26" s="4"/>
      <c r="H26" s="4"/>
      <c r="I26" s="4"/>
      <c r="J26" s="4"/>
      <c r="K26" s="4"/>
      <c r="L26" s="4"/>
      <c r="M26" s="4"/>
      <c r="N26" s="4"/>
      <c r="O26" s="4"/>
      <c r="P26" s="4"/>
      <c r="Q26" s="4"/>
      <c r="R26" s="10" t="str">
        <f>IF($A26="","",IFERROR(INDEX(Operators!$B:$B,MATCH($B26,Operators!$A:$A,0))&amp;"","UNKNOWN OPERATOR ID"))</f>
        <v/>
      </c>
      <c r="S26" s="10" t="str">
        <f>IF($A26="","",IF($B26="","OPERATOR REQUIRED",IF(COUNTIF(Operators!$A:$A,$B26)=0,"UNKNOWN OPERATOR ID",IF(OR($D26="",$E26="",$K26=""),"BILLING DETAILS INCOMPLETE","OK"))))</f>
        <v/>
      </c>
      <c r="T26" t="str">
        <f t="shared" si="0"/>
        <v/>
      </c>
      <c r="U26" t="str">
        <f t="shared" si="1"/>
        <v/>
      </c>
      <c r="V26" t="str">
        <f t="shared" si="2"/>
        <v/>
      </c>
      <c r="Y26" t="str">
        <f t="shared" si="3"/>
        <v/>
      </c>
      <c r="Z26" t="str">
        <f t="shared" si="4"/>
        <v/>
      </c>
      <c r="AA26" t="str">
        <f t="shared" si="5"/>
        <v/>
      </c>
    </row>
    <row r="27" spans="1:27" x14ac:dyDescent="0.3">
      <c r="A27" s="4"/>
      <c r="B27" s="4"/>
      <c r="C27" s="4"/>
      <c r="D27" s="4"/>
      <c r="E27" s="4"/>
      <c r="F27" s="4"/>
      <c r="G27" s="4"/>
      <c r="H27" s="4"/>
      <c r="I27" s="4"/>
      <c r="J27" s="4"/>
      <c r="K27" s="4"/>
      <c r="L27" s="4"/>
      <c r="M27" s="4"/>
      <c r="N27" s="4"/>
      <c r="O27" s="4"/>
      <c r="P27" s="4"/>
      <c r="Q27" s="4"/>
      <c r="R27" s="10" t="str">
        <f>IF($A27="","",IFERROR(INDEX(Operators!$B:$B,MATCH($B27,Operators!$A:$A,0))&amp;"","UNKNOWN OPERATOR ID"))</f>
        <v/>
      </c>
      <c r="S27" s="10" t="str">
        <f>IF($A27="","",IF($B27="","OPERATOR REQUIRED",IF(COUNTIF(Operators!$A:$A,$B27)=0,"UNKNOWN OPERATOR ID",IF(OR($D27="",$E27="",$K27=""),"BILLING DETAILS INCOMPLETE","OK"))))</f>
        <v/>
      </c>
      <c r="T27" t="str">
        <f t="shared" si="0"/>
        <v/>
      </c>
      <c r="U27" t="str">
        <f t="shared" si="1"/>
        <v/>
      </c>
      <c r="V27" t="str">
        <f t="shared" si="2"/>
        <v/>
      </c>
      <c r="Y27" t="str">
        <f t="shared" si="3"/>
        <v/>
      </c>
      <c r="Z27" t="str">
        <f t="shared" si="4"/>
        <v/>
      </c>
      <c r="AA27" t="str">
        <f t="shared" si="5"/>
        <v/>
      </c>
    </row>
    <row r="28" spans="1:27" x14ac:dyDescent="0.3">
      <c r="A28" s="4"/>
      <c r="B28" s="4"/>
      <c r="C28" s="4"/>
      <c r="D28" s="4"/>
      <c r="E28" s="4"/>
      <c r="F28" s="4"/>
      <c r="G28" s="4"/>
      <c r="H28" s="4"/>
      <c r="I28" s="4"/>
      <c r="J28" s="4"/>
      <c r="K28" s="4"/>
      <c r="L28" s="4"/>
      <c r="M28" s="4"/>
      <c r="N28" s="4"/>
      <c r="O28" s="4"/>
      <c r="P28" s="4"/>
      <c r="Q28" s="4"/>
      <c r="R28" s="10" t="str">
        <f>IF($A28="","",IFERROR(INDEX(Operators!$B:$B,MATCH($B28,Operators!$A:$A,0))&amp;"","UNKNOWN OPERATOR ID"))</f>
        <v/>
      </c>
      <c r="S28" s="10" t="str">
        <f>IF($A28="","",IF($B28="","OPERATOR REQUIRED",IF(COUNTIF(Operators!$A:$A,$B28)=0,"UNKNOWN OPERATOR ID",IF(OR($D28="",$E28="",$K28=""),"BILLING DETAILS INCOMPLETE","OK"))))</f>
        <v/>
      </c>
      <c r="T28" t="str">
        <f t="shared" si="0"/>
        <v/>
      </c>
      <c r="U28" t="str">
        <f t="shared" si="1"/>
        <v/>
      </c>
      <c r="V28" t="str">
        <f t="shared" si="2"/>
        <v/>
      </c>
      <c r="Y28" t="str">
        <f t="shared" si="3"/>
        <v/>
      </c>
      <c r="Z28" t="str">
        <f t="shared" si="4"/>
        <v/>
      </c>
      <c r="AA28" t="str">
        <f t="shared" si="5"/>
        <v/>
      </c>
    </row>
    <row r="29" spans="1:27" x14ac:dyDescent="0.3">
      <c r="A29" s="4"/>
      <c r="B29" s="4"/>
      <c r="C29" s="4"/>
      <c r="D29" s="4"/>
      <c r="E29" s="4"/>
      <c r="F29" s="4"/>
      <c r="G29" s="4"/>
      <c r="H29" s="4"/>
      <c r="I29" s="4"/>
      <c r="J29" s="4"/>
      <c r="K29" s="4"/>
      <c r="L29" s="4"/>
      <c r="M29" s="4"/>
      <c r="N29" s="4"/>
      <c r="O29" s="4"/>
      <c r="P29" s="4"/>
      <c r="Q29" s="4"/>
      <c r="R29" s="10" t="str">
        <f>IF($A29="","",IFERROR(INDEX(Operators!$B:$B,MATCH($B29,Operators!$A:$A,0))&amp;"","UNKNOWN OPERATOR ID"))</f>
        <v/>
      </c>
      <c r="S29" s="10" t="str">
        <f>IF($A29="","",IF($B29="","OPERATOR REQUIRED",IF(COUNTIF(Operators!$A:$A,$B29)=0,"UNKNOWN OPERATOR ID",IF(OR($D29="",$E29="",$K29=""),"BILLING DETAILS INCOMPLETE","OK"))))</f>
        <v/>
      </c>
      <c r="T29" t="str">
        <f t="shared" si="0"/>
        <v/>
      </c>
      <c r="U29" t="str">
        <f t="shared" si="1"/>
        <v/>
      </c>
      <c r="V29" t="str">
        <f t="shared" si="2"/>
        <v/>
      </c>
      <c r="Y29" t="str">
        <f t="shared" si="3"/>
        <v/>
      </c>
      <c r="Z29" t="str">
        <f t="shared" si="4"/>
        <v/>
      </c>
      <c r="AA29" t="str">
        <f t="shared" si="5"/>
        <v/>
      </c>
    </row>
    <row r="30" spans="1:27" x14ac:dyDescent="0.3">
      <c r="A30" s="4"/>
      <c r="B30" s="4"/>
      <c r="C30" s="4"/>
      <c r="D30" s="4"/>
      <c r="E30" s="4"/>
      <c r="F30" s="4"/>
      <c r="G30" s="4"/>
      <c r="H30" s="4"/>
      <c r="I30" s="4"/>
      <c r="J30" s="4"/>
      <c r="K30" s="4"/>
      <c r="L30" s="4"/>
      <c r="M30" s="4"/>
      <c r="N30" s="4"/>
      <c r="O30" s="4"/>
      <c r="P30" s="4"/>
      <c r="Q30" s="4"/>
      <c r="R30" s="10" t="str">
        <f>IF($A30="","",IFERROR(INDEX(Operators!$B:$B,MATCH($B30,Operators!$A:$A,0))&amp;"","UNKNOWN OPERATOR ID"))</f>
        <v/>
      </c>
      <c r="S30" s="10" t="str">
        <f>IF($A30="","",IF($B30="","OPERATOR REQUIRED",IF(COUNTIF(Operators!$A:$A,$B30)=0,"UNKNOWN OPERATOR ID",IF(OR($D30="",$E30="",$K30=""),"BILLING DETAILS INCOMPLETE","OK"))))</f>
        <v/>
      </c>
      <c r="T30" t="str">
        <f t="shared" si="0"/>
        <v/>
      </c>
      <c r="U30" t="str">
        <f t="shared" si="1"/>
        <v/>
      </c>
      <c r="V30" t="str">
        <f t="shared" si="2"/>
        <v/>
      </c>
      <c r="Y30" t="str">
        <f t="shared" si="3"/>
        <v/>
      </c>
      <c r="Z30" t="str">
        <f t="shared" si="4"/>
        <v/>
      </c>
      <c r="AA30" t="str">
        <f t="shared" si="5"/>
        <v/>
      </c>
    </row>
    <row r="31" spans="1:27" x14ac:dyDescent="0.3">
      <c r="A31" s="4"/>
      <c r="B31" s="4"/>
      <c r="C31" s="4"/>
      <c r="D31" s="4"/>
      <c r="E31" s="4"/>
      <c r="F31" s="4"/>
      <c r="G31" s="4"/>
      <c r="H31" s="4"/>
      <c r="I31" s="4"/>
      <c r="J31" s="4"/>
      <c r="K31" s="4"/>
      <c r="L31" s="4"/>
      <c r="M31" s="4"/>
      <c r="N31" s="4"/>
      <c r="O31" s="4"/>
      <c r="P31" s="4"/>
      <c r="Q31" s="4"/>
      <c r="R31" s="10" t="str">
        <f>IF($A31="","",IFERROR(INDEX(Operators!$B:$B,MATCH($B31,Operators!$A:$A,0))&amp;"","UNKNOWN OPERATOR ID"))</f>
        <v/>
      </c>
      <c r="S31" s="10" t="str">
        <f>IF($A31="","",IF($B31="","OPERATOR REQUIRED",IF(COUNTIF(Operators!$A:$A,$B31)=0,"UNKNOWN OPERATOR ID",IF(OR($D31="",$E31="",$K31=""),"BILLING DETAILS INCOMPLETE","OK"))))</f>
        <v/>
      </c>
      <c r="T31" t="str">
        <f t="shared" si="0"/>
        <v/>
      </c>
      <c r="U31" t="str">
        <f t="shared" si="1"/>
        <v/>
      </c>
      <c r="V31" t="str">
        <f t="shared" si="2"/>
        <v/>
      </c>
      <c r="Y31" t="str">
        <f t="shared" si="3"/>
        <v/>
      </c>
      <c r="Z31" t="str">
        <f t="shared" si="4"/>
        <v/>
      </c>
      <c r="AA31" t="str">
        <f t="shared" si="5"/>
        <v/>
      </c>
    </row>
    <row r="32" spans="1:27" x14ac:dyDescent="0.3">
      <c r="A32" s="4"/>
      <c r="B32" s="4"/>
      <c r="C32" s="4"/>
      <c r="D32" s="4"/>
      <c r="E32" s="4"/>
      <c r="F32" s="4"/>
      <c r="G32" s="4"/>
      <c r="H32" s="4"/>
      <c r="I32" s="4"/>
      <c r="J32" s="4"/>
      <c r="K32" s="4"/>
      <c r="L32" s="4"/>
      <c r="M32" s="4"/>
      <c r="N32" s="4"/>
      <c r="O32" s="4"/>
      <c r="P32" s="4"/>
      <c r="Q32" s="4"/>
      <c r="R32" s="10" t="str">
        <f>IF($A32="","",IFERROR(INDEX(Operators!$B:$B,MATCH($B32,Operators!$A:$A,0))&amp;"","UNKNOWN OPERATOR ID"))</f>
        <v/>
      </c>
      <c r="S32" s="10" t="str">
        <f>IF($A32="","",IF($B32="","OPERATOR REQUIRED",IF(COUNTIF(Operators!$A:$A,$B32)=0,"UNKNOWN OPERATOR ID",IF(OR($D32="",$E32="",$K32=""),"BILLING DETAILS INCOMPLETE","OK"))))</f>
        <v/>
      </c>
      <c r="T32" t="str">
        <f t="shared" si="0"/>
        <v/>
      </c>
      <c r="U32" t="str">
        <f t="shared" si="1"/>
        <v/>
      </c>
      <c r="V32" t="str">
        <f t="shared" si="2"/>
        <v/>
      </c>
      <c r="Y32" t="str">
        <f t="shared" si="3"/>
        <v/>
      </c>
      <c r="Z32" t="str">
        <f t="shared" si="4"/>
        <v/>
      </c>
      <c r="AA32" t="str">
        <f t="shared" si="5"/>
        <v/>
      </c>
    </row>
    <row r="33" spans="1:27" x14ac:dyDescent="0.3">
      <c r="A33" s="4"/>
      <c r="B33" s="4"/>
      <c r="C33" s="4"/>
      <c r="D33" s="4"/>
      <c r="E33" s="4"/>
      <c r="F33" s="4"/>
      <c r="G33" s="4"/>
      <c r="H33" s="4"/>
      <c r="I33" s="4"/>
      <c r="J33" s="4"/>
      <c r="K33" s="4"/>
      <c r="L33" s="4"/>
      <c r="M33" s="4"/>
      <c r="N33" s="4"/>
      <c r="O33" s="4"/>
      <c r="P33" s="4"/>
      <c r="Q33" s="4"/>
      <c r="R33" s="10" t="str">
        <f>IF($A33="","",IFERROR(INDEX(Operators!$B:$B,MATCH($B33,Operators!$A:$A,0))&amp;"","UNKNOWN OPERATOR ID"))</f>
        <v/>
      </c>
      <c r="S33" s="10" t="str">
        <f>IF($A33="","",IF($B33="","OPERATOR REQUIRED",IF(COUNTIF(Operators!$A:$A,$B33)=0,"UNKNOWN OPERATOR ID",IF(OR($D33="",$E33="",$K33=""),"BILLING DETAILS INCOMPLETE","OK"))))</f>
        <v/>
      </c>
      <c r="T33" t="str">
        <f t="shared" si="0"/>
        <v/>
      </c>
      <c r="U33" t="str">
        <f t="shared" si="1"/>
        <v/>
      </c>
      <c r="V33" t="str">
        <f t="shared" si="2"/>
        <v/>
      </c>
      <c r="Y33" t="str">
        <f t="shared" si="3"/>
        <v/>
      </c>
      <c r="Z33" t="str">
        <f t="shared" si="4"/>
        <v/>
      </c>
      <c r="AA33" t="str">
        <f t="shared" si="5"/>
        <v/>
      </c>
    </row>
    <row r="34" spans="1:27" x14ac:dyDescent="0.3">
      <c r="A34" s="4"/>
      <c r="B34" s="4"/>
      <c r="C34" s="4"/>
      <c r="D34" s="4"/>
      <c r="E34" s="4"/>
      <c r="F34" s="4"/>
      <c r="G34" s="4"/>
      <c r="H34" s="4"/>
      <c r="I34" s="4"/>
      <c r="J34" s="4"/>
      <c r="K34" s="4"/>
      <c r="L34" s="4"/>
      <c r="M34" s="4"/>
      <c r="N34" s="4"/>
      <c r="O34" s="4"/>
      <c r="P34" s="4"/>
      <c r="Q34" s="4"/>
      <c r="R34" s="10" t="str">
        <f>IF($A34="","",IFERROR(INDEX(Operators!$B:$B,MATCH($B34,Operators!$A:$A,0))&amp;"","UNKNOWN OPERATOR ID"))</f>
        <v/>
      </c>
      <c r="S34" s="10" t="str">
        <f>IF($A34="","",IF($B34="","OPERATOR REQUIRED",IF(COUNTIF(Operators!$A:$A,$B34)=0,"UNKNOWN OPERATOR ID",IF(OR($D34="",$E34="",$K34=""),"BILLING DETAILS INCOMPLETE","OK"))))</f>
        <v/>
      </c>
      <c r="T34" t="str">
        <f t="shared" si="0"/>
        <v/>
      </c>
      <c r="U34" t="str">
        <f t="shared" si="1"/>
        <v/>
      </c>
      <c r="V34" t="str">
        <f t="shared" si="2"/>
        <v/>
      </c>
      <c r="Y34" t="str">
        <f t="shared" si="3"/>
        <v/>
      </c>
      <c r="Z34" t="str">
        <f t="shared" si="4"/>
        <v/>
      </c>
      <c r="AA34" t="str">
        <f t="shared" si="5"/>
        <v/>
      </c>
    </row>
    <row r="35" spans="1:27" x14ac:dyDescent="0.3">
      <c r="A35" s="4"/>
      <c r="B35" s="4"/>
      <c r="C35" s="4"/>
      <c r="D35" s="4"/>
      <c r="E35" s="4"/>
      <c r="F35" s="4"/>
      <c r="G35" s="4"/>
      <c r="H35" s="4"/>
      <c r="I35" s="4"/>
      <c r="J35" s="4"/>
      <c r="K35" s="4"/>
      <c r="L35" s="4"/>
      <c r="M35" s="4"/>
      <c r="N35" s="4"/>
      <c r="O35" s="4"/>
      <c r="P35" s="4"/>
      <c r="Q35" s="4"/>
      <c r="R35" s="10" t="str">
        <f>IF($A35="","",IFERROR(INDEX(Operators!$B:$B,MATCH($B35,Operators!$A:$A,0))&amp;"","UNKNOWN OPERATOR ID"))</f>
        <v/>
      </c>
      <c r="S35" s="10" t="str">
        <f>IF($A35="","",IF($B35="","OPERATOR REQUIRED",IF(COUNTIF(Operators!$A:$A,$B35)=0,"UNKNOWN OPERATOR ID",IF(OR($D35="",$E35="",$K35=""),"BILLING DETAILS INCOMPLETE","OK"))))</f>
        <v/>
      </c>
      <c r="T35" t="str">
        <f t="shared" si="0"/>
        <v/>
      </c>
      <c r="U35" t="str">
        <f t="shared" si="1"/>
        <v/>
      </c>
      <c r="V35" t="str">
        <f t="shared" si="2"/>
        <v/>
      </c>
      <c r="Y35" t="str">
        <f t="shared" si="3"/>
        <v/>
      </c>
      <c r="Z35" t="str">
        <f t="shared" si="4"/>
        <v/>
      </c>
      <c r="AA35" t="str">
        <f t="shared" si="5"/>
        <v/>
      </c>
    </row>
    <row r="36" spans="1:27" x14ac:dyDescent="0.3">
      <c r="A36" s="4"/>
      <c r="B36" s="4"/>
      <c r="C36" s="4"/>
      <c r="D36" s="4"/>
      <c r="E36" s="4"/>
      <c r="F36" s="4"/>
      <c r="G36" s="4"/>
      <c r="H36" s="4"/>
      <c r="I36" s="4"/>
      <c r="J36" s="4"/>
      <c r="K36" s="4"/>
      <c r="L36" s="4"/>
      <c r="M36" s="4"/>
      <c r="N36" s="4"/>
      <c r="O36" s="4"/>
      <c r="P36" s="4"/>
      <c r="Q36" s="4"/>
      <c r="R36" s="10" t="str">
        <f>IF($A36="","",IFERROR(INDEX(Operators!$B:$B,MATCH($B36,Operators!$A:$A,0))&amp;"","UNKNOWN OPERATOR ID"))</f>
        <v/>
      </c>
      <c r="S36" s="10" t="str">
        <f>IF($A36="","",IF($B36="","OPERATOR REQUIRED",IF(COUNTIF(Operators!$A:$A,$B36)=0,"UNKNOWN OPERATOR ID",IF(OR($D36="",$E36="",$K36=""),"BILLING DETAILS INCOMPLETE","OK"))))</f>
        <v/>
      </c>
      <c r="T36" t="str">
        <f t="shared" si="0"/>
        <v/>
      </c>
      <c r="U36" t="str">
        <f t="shared" si="1"/>
        <v/>
      </c>
      <c r="V36" t="str">
        <f t="shared" si="2"/>
        <v/>
      </c>
      <c r="Y36" t="str">
        <f t="shared" si="3"/>
        <v/>
      </c>
      <c r="Z36" t="str">
        <f t="shared" si="4"/>
        <v/>
      </c>
      <c r="AA36" t="str">
        <f t="shared" si="5"/>
        <v/>
      </c>
    </row>
    <row r="37" spans="1:27" x14ac:dyDescent="0.3">
      <c r="A37" s="4"/>
      <c r="B37" s="4"/>
      <c r="C37" s="4"/>
      <c r="D37" s="4"/>
      <c r="E37" s="4"/>
      <c r="F37" s="4"/>
      <c r="G37" s="4"/>
      <c r="H37" s="4"/>
      <c r="I37" s="4"/>
      <c r="J37" s="4"/>
      <c r="K37" s="4"/>
      <c r="L37" s="4"/>
      <c r="M37" s="4"/>
      <c r="N37" s="4"/>
      <c r="O37" s="4"/>
      <c r="P37" s="4"/>
      <c r="Q37" s="4"/>
      <c r="R37" s="10" t="str">
        <f>IF($A37="","",IFERROR(INDEX(Operators!$B:$B,MATCH($B37,Operators!$A:$A,0))&amp;"","UNKNOWN OPERATOR ID"))</f>
        <v/>
      </c>
      <c r="S37" s="10" t="str">
        <f>IF($A37="","",IF($B37="","OPERATOR REQUIRED",IF(COUNTIF(Operators!$A:$A,$B37)=0,"UNKNOWN OPERATOR ID",IF(OR($D37="",$E37="",$K37=""),"BILLING DETAILS INCOMPLETE","OK"))))</f>
        <v/>
      </c>
      <c r="T37" t="str">
        <f t="shared" si="0"/>
        <v/>
      </c>
      <c r="U37" t="str">
        <f t="shared" si="1"/>
        <v/>
      </c>
      <c r="V37" t="str">
        <f t="shared" si="2"/>
        <v/>
      </c>
      <c r="Y37" t="str">
        <f t="shared" si="3"/>
        <v/>
      </c>
      <c r="Z37" t="str">
        <f t="shared" si="4"/>
        <v/>
      </c>
      <c r="AA37" t="str">
        <f t="shared" si="5"/>
        <v/>
      </c>
    </row>
    <row r="38" spans="1:27" x14ac:dyDescent="0.3">
      <c r="A38" s="4"/>
      <c r="B38" s="4"/>
      <c r="C38" s="4"/>
      <c r="D38" s="4"/>
      <c r="E38" s="4"/>
      <c r="F38" s="4"/>
      <c r="G38" s="4"/>
      <c r="H38" s="4"/>
      <c r="I38" s="4"/>
      <c r="J38" s="4"/>
      <c r="K38" s="4"/>
      <c r="L38" s="4"/>
      <c r="M38" s="4"/>
      <c r="N38" s="4"/>
      <c r="O38" s="4"/>
      <c r="P38" s="4"/>
      <c r="Q38" s="4"/>
      <c r="R38" s="10" t="str">
        <f>IF($A38="","",IFERROR(INDEX(Operators!$B:$B,MATCH($B38,Operators!$A:$A,0))&amp;"","UNKNOWN OPERATOR ID"))</f>
        <v/>
      </c>
      <c r="S38" s="10" t="str">
        <f>IF($A38="","",IF($B38="","OPERATOR REQUIRED",IF(COUNTIF(Operators!$A:$A,$B38)=0,"UNKNOWN OPERATOR ID",IF(OR($D38="",$E38="",$K38=""),"BILLING DETAILS INCOMPLETE","OK"))))</f>
        <v/>
      </c>
      <c r="T38" t="str">
        <f t="shared" si="0"/>
        <v/>
      </c>
      <c r="U38" t="str">
        <f t="shared" si="1"/>
        <v/>
      </c>
      <c r="V38" t="str">
        <f t="shared" si="2"/>
        <v/>
      </c>
      <c r="Y38" t="str">
        <f t="shared" si="3"/>
        <v/>
      </c>
      <c r="Z38" t="str">
        <f t="shared" si="4"/>
        <v/>
      </c>
      <c r="AA38" t="str">
        <f t="shared" si="5"/>
        <v/>
      </c>
    </row>
    <row r="39" spans="1:27" x14ac:dyDescent="0.3">
      <c r="A39" s="4"/>
      <c r="B39" s="4"/>
      <c r="C39" s="4"/>
      <c r="D39" s="4"/>
      <c r="E39" s="4"/>
      <c r="F39" s="4"/>
      <c r="G39" s="4"/>
      <c r="H39" s="4"/>
      <c r="I39" s="4"/>
      <c r="J39" s="4"/>
      <c r="K39" s="4"/>
      <c r="L39" s="4"/>
      <c r="M39" s="4"/>
      <c r="N39" s="4"/>
      <c r="O39" s="4"/>
      <c r="P39" s="4"/>
      <c r="Q39" s="4"/>
      <c r="R39" s="10" t="str">
        <f>IF($A39="","",IFERROR(INDEX(Operators!$B:$B,MATCH($B39,Operators!$A:$A,0))&amp;"","UNKNOWN OPERATOR ID"))</f>
        <v/>
      </c>
      <c r="S39" s="10" t="str">
        <f>IF($A39="","",IF($B39="","OPERATOR REQUIRED",IF(COUNTIF(Operators!$A:$A,$B39)=0,"UNKNOWN OPERATOR ID",IF(OR($D39="",$E39="",$K39=""),"BILLING DETAILS INCOMPLETE","OK"))))</f>
        <v/>
      </c>
      <c r="T39" t="str">
        <f t="shared" si="0"/>
        <v/>
      </c>
      <c r="U39" t="str">
        <f t="shared" si="1"/>
        <v/>
      </c>
      <c r="V39" t="str">
        <f t="shared" si="2"/>
        <v/>
      </c>
      <c r="Y39" t="str">
        <f t="shared" si="3"/>
        <v/>
      </c>
      <c r="Z39" t="str">
        <f t="shared" si="4"/>
        <v/>
      </c>
      <c r="AA39" t="str">
        <f t="shared" si="5"/>
        <v/>
      </c>
    </row>
    <row r="40" spans="1:27" x14ac:dyDescent="0.3">
      <c r="A40" s="4"/>
      <c r="B40" s="4"/>
      <c r="C40" s="4"/>
      <c r="D40" s="4"/>
      <c r="E40" s="4"/>
      <c r="F40" s="4"/>
      <c r="G40" s="4"/>
      <c r="H40" s="4"/>
      <c r="I40" s="4"/>
      <c r="J40" s="4"/>
      <c r="K40" s="4"/>
      <c r="L40" s="4"/>
      <c r="M40" s="4"/>
      <c r="N40" s="4"/>
      <c r="O40" s="4"/>
      <c r="P40" s="4"/>
      <c r="Q40" s="4"/>
      <c r="R40" s="10" t="str">
        <f>IF($A40="","",IFERROR(INDEX(Operators!$B:$B,MATCH($B40,Operators!$A:$A,0))&amp;"","UNKNOWN OPERATOR ID"))</f>
        <v/>
      </c>
      <c r="S40" s="10" t="str">
        <f>IF($A40="","",IF($B40="","OPERATOR REQUIRED",IF(COUNTIF(Operators!$A:$A,$B40)=0,"UNKNOWN OPERATOR ID",IF(OR($D40="",$E40="",$K40=""),"BILLING DETAILS INCOMPLETE","OK"))))</f>
        <v/>
      </c>
      <c r="T40" t="str">
        <f t="shared" si="0"/>
        <v/>
      </c>
      <c r="U40" t="str">
        <f t="shared" si="1"/>
        <v/>
      </c>
      <c r="V40" t="str">
        <f t="shared" si="2"/>
        <v/>
      </c>
      <c r="Y40" t="str">
        <f t="shared" si="3"/>
        <v/>
      </c>
      <c r="Z40" t="str">
        <f t="shared" si="4"/>
        <v/>
      </c>
      <c r="AA40" t="str">
        <f t="shared" si="5"/>
        <v/>
      </c>
    </row>
    <row r="41" spans="1:27" x14ac:dyDescent="0.3">
      <c r="A41" s="4"/>
      <c r="B41" s="4"/>
      <c r="C41" s="4"/>
      <c r="D41" s="4"/>
      <c r="E41" s="4"/>
      <c r="F41" s="4"/>
      <c r="G41" s="4"/>
      <c r="H41" s="4"/>
      <c r="I41" s="4"/>
      <c r="J41" s="4"/>
      <c r="K41" s="4"/>
      <c r="L41" s="4"/>
      <c r="M41" s="4"/>
      <c r="N41" s="4"/>
      <c r="O41" s="4"/>
      <c r="P41" s="4"/>
      <c r="Q41" s="4"/>
      <c r="R41" s="10" t="str">
        <f>IF($A41="","",IFERROR(INDEX(Operators!$B:$B,MATCH($B41,Operators!$A:$A,0))&amp;"","UNKNOWN OPERATOR ID"))</f>
        <v/>
      </c>
      <c r="S41" s="10" t="str">
        <f>IF($A41="","",IF($B41="","OPERATOR REQUIRED",IF(COUNTIF(Operators!$A:$A,$B41)=0,"UNKNOWN OPERATOR ID",IF(OR($D41="",$E41="",$K41=""),"BILLING DETAILS INCOMPLETE","OK"))))</f>
        <v/>
      </c>
      <c r="T41" t="str">
        <f t="shared" si="0"/>
        <v/>
      </c>
      <c r="U41" t="str">
        <f t="shared" si="1"/>
        <v/>
      </c>
      <c r="V41" t="str">
        <f t="shared" si="2"/>
        <v/>
      </c>
      <c r="Y41" t="str">
        <f t="shared" si="3"/>
        <v/>
      </c>
      <c r="Z41" t="str">
        <f t="shared" si="4"/>
        <v/>
      </c>
      <c r="AA41" t="str">
        <f t="shared" si="5"/>
        <v/>
      </c>
    </row>
    <row r="42" spans="1:27" x14ac:dyDescent="0.3">
      <c r="A42" s="4"/>
      <c r="B42" s="4"/>
      <c r="C42" s="4"/>
      <c r="D42" s="4"/>
      <c r="E42" s="4"/>
      <c r="F42" s="4"/>
      <c r="G42" s="4"/>
      <c r="H42" s="4"/>
      <c r="I42" s="4"/>
      <c r="J42" s="4"/>
      <c r="K42" s="4"/>
      <c r="L42" s="4"/>
      <c r="M42" s="4"/>
      <c r="N42" s="4"/>
      <c r="O42" s="4"/>
      <c r="P42" s="4"/>
      <c r="Q42" s="4"/>
      <c r="R42" s="10" t="str">
        <f>IF($A42="","",IFERROR(INDEX(Operators!$B:$B,MATCH($B42,Operators!$A:$A,0))&amp;"","UNKNOWN OPERATOR ID"))</f>
        <v/>
      </c>
      <c r="S42" s="10" t="str">
        <f>IF($A42="","",IF($B42="","OPERATOR REQUIRED",IF(COUNTIF(Operators!$A:$A,$B42)=0,"UNKNOWN OPERATOR ID",IF(OR($D42="",$E42="",$K42=""),"BILLING DETAILS INCOMPLETE","OK"))))</f>
        <v/>
      </c>
      <c r="T42" t="str">
        <f t="shared" si="0"/>
        <v/>
      </c>
      <c r="U42" t="str">
        <f t="shared" si="1"/>
        <v/>
      </c>
      <c r="V42" t="str">
        <f t="shared" si="2"/>
        <v/>
      </c>
      <c r="Y42" t="str">
        <f t="shared" si="3"/>
        <v/>
      </c>
      <c r="Z42" t="str">
        <f t="shared" si="4"/>
        <v/>
      </c>
      <c r="AA42" t="str">
        <f t="shared" si="5"/>
        <v/>
      </c>
    </row>
    <row r="43" spans="1:27" x14ac:dyDescent="0.3">
      <c r="A43" s="4"/>
      <c r="B43" s="4"/>
      <c r="C43" s="4"/>
      <c r="D43" s="4"/>
      <c r="E43" s="4"/>
      <c r="F43" s="4"/>
      <c r="G43" s="4"/>
      <c r="H43" s="4"/>
      <c r="I43" s="4"/>
      <c r="J43" s="4"/>
      <c r="K43" s="4"/>
      <c r="L43" s="4"/>
      <c r="M43" s="4"/>
      <c r="N43" s="4"/>
      <c r="O43" s="4"/>
      <c r="P43" s="4"/>
      <c r="Q43" s="4"/>
      <c r="R43" s="10" t="str">
        <f>IF($A43="","",IFERROR(INDEX(Operators!$B:$B,MATCH($B43,Operators!$A:$A,0))&amp;"","UNKNOWN OPERATOR ID"))</f>
        <v/>
      </c>
      <c r="S43" s="10" t="str">
        <f>IF($A43="","",IF($B43="","OPERATOR REQUIRED",IF(COUNTIF(Operators!$A:$A,$B43)=0,"UNKNOWN OPERATOR ID",IF(OR($D43="",$E43="",$K43=""),"BILLING DETAILS INCOMPLETE","OK"))))</f>
        <v/>
      </c>
      <c r="T43" t="str">
        <f t="shared" si="0"/>
        <v/>
      </c>
      <c r="U43" t="str">
        <f t="shared" si="1"/>
        <v/>
      </c>
      <c r="V43" t="str">
        <f t="shared" si="2"/>
        <v/>
      </c>
      <c r="Y43" t="str">
        <f t="shared" si="3"/>
        <v/>
      </c>
      <c r="Z43" t="str">
        <f t="shared" si="4"/>
        <v/>
      </c>
      <c r="AA43" t="str">
        <f t="shared" si="5"/>
        <v/>
      </c>
    </row>
    <row r="44" spans="1:27" x14ac:dyDescent="0.3">
      <c r="A44" s="4"/>
      <c r="B44" s="4"/>
      <c r="C44" s="4"/>
      <c r="D44" s="4"/>
      <c r="E44" s="4"/>
      <c r="F44" s="4"/>
      <c r="G44" s="4"/>
      <c r="H44" s="4"/>
      <c r="I44" s="4"/>
      <c r="J44" s="4"/>
      <c r="K44" s="4"/>
      <c r="L44" s="4"/>
      <c r="M44" s="4"/>
      <c r="N44" s="4"/>
      <c r="O44" s="4"/>
      <c r="P44" s="4"/>
      <c r="Q44" s="4"/>
      <c r="R44" s="10" t="str">
        <f>IF($A44="","",IFERROR(INDEX(Operators!$B:$B,MATCH($B44,Operators!$A:$A,0))&amp;"","UNKNOWN OPERATOR ID"))</f>
        <v/>
      </c>
      <c r="S44" s="10" t="str">
        <f>IF($A44="","",IF($B44="","OPERATOR REQUIRED",IF(COUNTIF(Operators!$A:$A,$B44)=0,"UNKNOWN OPERATOR ID",IF(OR($D44="",$E44="",$K44=""),"BILLING DETAILS INCOMPLETE","OK"))))</f>
        <v/>
      </c>
      <c r="T44" t="str">
        <f t="shared" si="0"/>
        <v/>
      </c>
      <c r="U44" t="str">
        <f t="shared" si="1"/>
        <v/>
      </c>
      <c r="V44" t="str">
        <f t="shared" si="2"/>
        <v/>
      </c>
      <c r="Y44" t="str">
        <f t="shared" si="3"/>
        <v/>
      </c>
      <c r="Z44" t="str">
        <f t="shared" si="4"/>
        <v/>
      </c>
      <c r="AA44" t="str">
        <f t="shared" si="5"/>
        <v/>
      </c>
    </row>
    <row r="45" spans="1:27" x14ac:dyDescent="0.3">
      <c r="A45" s="4"/>
      <c r="B45" s="4"/>
      <c r="C45" s="4"/>
      <c r="D45" s="4"/>
      <c r="E45" s="4"/>
      <c r="F45" s="4"/>
      <c r="G45" s="4"/>
      <c r="H45" s="4"/>
      <c r="I45" s="4"/>
      <c r="J45" s="4"/>
      <c r="K45" s="4"/>
      <c r="L45" s="4"/>
      <c r="M45" s="4"/>
      <c r="N45" s="4"/>
      <c r="O45" s="4"/>
      <c r="P45" s="4"/>
      <c r="Q45" s="4"/>
      <c r="R45" s="10" t="str">
        <f>IF($A45="","",IFERROR(INDEX(Operators!$B:$B,MATCH($B45,Operators!$A:$A,0))&amp;"","UNKNOWN OPERATOR ID"))</f>
        <v/>
      </c>
      <c r="S45" s="10" t="str">
        <f>IF($A45="","",IF($B45="","OPERATOR REQUIRED",IF(COUNTIF(Operators!$A:$A,$B45)=0,"UNKNOWN OPERATOR ID",IF(OR($D45="",$E45="",$K45=""),"BILLING DETAILS INCOMPLETE","OK"))))</f>
        <v/>
      </c>
      <c r="T45" t="str">
        <f t="shared" si="0"/>
        <v/>
      </c>
      <c r="U45" t="str">
        <f t="shared" si="1"/>
        <v/>
      </c>
      <c r="V45" t="str">
        <f t="shared" si="2"/>
        <v/>
      </c>
      <c r="Y45" t="str">
        <f t="shared" si="3"/>
        <v/>
      </c>
      <c r="Z45" t="str">
        <f t="shared" si="4"/>
        <v/>
      </c>
      <c r="AA45" t="str">
        <f t="shared" si="5"/>
        <v/>
      </c>
    </row>
    <row r="46" spans="1:27" x14ac:dyDescent="0.3">
      <c r="A46" s="4"/>
      <c r="B46" s="4"/>
      <c r="C46" s="4"/>
      <c r="D46" s="4"/>
      <c r="E46" s="4"/>
      <c r="F46" s="4"/>
      <c r="G46" s="4"/>
      <c r="H46" s="4"/>
      <c r="I46" s="4"/>
      <c r="J46" s="4"/>
      <c r="K46" s="4"/>
      <c r="L46" s="4"/>
      <c r="M46" s="4"/>
      <c r="N46" s="4"/>
      <c r="O46" s="4"/>
      <c r="P46" s="4"/>
      <c r="Q46" s="4"/>
      <c r="R46" s="10" t="str">
        <f>IF($A46="","",IFERROR(INDEX(Operators!$B:$B,MATCH($B46,Operators!$A:$A,0))&amp;"","UNKNOWN OPERATOR ID"))</f>
        <v/>
      </c>
      <c r="S46" s="10" t="str">
        <f>IF($A46="","",IF($B46="","OPERATOR REQUIRED",IF(COUNTIF(Operators!$A:$A,$B46)=0,"UNKNOWN OPERATOR ID",IF(OR($D46="",$E46="",$K46=""),"BILLING DETAILS INCOMPLETE","OK"))))</f>
        <v/>
      </c>
      <c r="T46" t="str">
        <f t="shared" si="0"/>
        <v/>
      </c>
      <c r="U46" t="str">
        <f t="shared" si="1"/>
        <v/>
      </c>
      <c r="V46" t="str">
        <f t="shared" si="2"/>
        <v/>
      </c>
      <c r="Y46" t="str">
        <f t="shared" si="3"/>
        <v/>
      </c>
      <c r="Z46" t="str">
        <f t="shared" si="4"/>
        <v/>
      </c>
      <c r="AA46" t="str">
        <f t="shared" si="5"/>
        <v/>
      </c>
    </row>
    <row r="47" spans="1:27" x14ac:dyDescent="0.3">
      <c r="A47" s="4"/>
      <c r="B47" s="4"/>
      <c r="C47" s="4"/>
      <c r="D47" s="4"/>
      <c r="E47" s="4"/>
      <c r="F47" s="4"/>
      <c r="G47" s="4"/>
      <c r="H47" s="4"/>
      <c r="I47" s="4"/>
      <c r="J47" s="4"/>
      <c r="K47" s="4"/>
      <c r="L47" s="4"/>
      <c r="M47" s="4"/>
      <c r="N47" s="4"/>
      <c r="O47" s="4"/>
      <c r="P47" s="4"/>
      <c r="Q47" s="4"/>
      <c r="R47" s="10" t="str">
        <f>IF($A47="","",IFERROR(INDEX(Operators!$B:$B,MATCH($B47,Operators!$A:$A,0))&amp;"","UNKNOWN OPERATOR ID"))</f>
        <v/>
      </c>
      <c r="S47" s="10" t="str">
        <f>IF($A47="","",IF($B47="","OPERATOR REQUIRED",IF(COUNTIF(Operators!$A:$A,$B47)=0,"UNKNOWN OPERATOR ID",IF(OR($D47="",$E47="",$K47=""),"BILLING DETAILS INCOMPLETE","OK"))))</f>
        <v/>
      </c>
      <c r="T47" t="str">
        <f t="shared" si="0"/>
        <v/>
      </c>
      <c r="U47" t="str">
        <f t="shared" si="1"/>
        <v/>
      </c>
      <c r="V47" t="str">
        <f t="shared" si="2"/>
        <v/>
      </c>
      <c r="Y47" t="str">
        <f t="shared" si="3"/>
        <v/>
      </c>
      <c r="Z47" t="str">
        <f t="shared" si="4"/>
        <v/>
      </c>
      <c r="AA47" t="str">
        <f t="shared" si="5"/>
        <v/>
      </c>
    </row>
    <row r="48" spans="1:27" x14ac:dyDescent="0.3">
      <c r="A48" s="4"/>
      <c r="B48" s="4"/>
      <c r="C48" s="4"/>
      <c r="D48" s="4"/>
      <c r="E48" s="4"/>
      <c r="F48" s="4"/>
      <c r="G48" s="4"/>
      <c r="H48" s="4"/>
      <c r="I48" s="4"/>
      <c r="J48" s="4"/>
      <c r="K48" s="4"/>
      <c r="L48" s="4"/>
      <c r="M48" s="4"/>
      <c r="N48" s="4"/>
      <c r="O48" s="4"/>
      <c r="P48" s="4"/>
      <c r="Q48" s="4"/>
      <c r="R48" s="10" t="str">
        <f>IF($A48="","",IFERROR(INDEX(Operators!$B:$B,MATCH($B48,Operators!$A:$A,0))&amp;"","UNKNOWN OPERATOR ID"))</f>
        <v/>
      </c>
      <c r="S48" s="10" t="str">
        <f>IF($A48="","",IF($B48="","OPERATOR REQUIRED",IF(COUNTIF(Operators!$A:$A,$B48)=0,"UNKNOWN OPERATOR ID",IF(OR($D48="",$E48="",$K48=""),"BILLING DETAILS INCOMPLETE","OK"))))</f>
        <v/>
      </c>
      <c r="T48" t="str">
        <f t="shared" si="0"/>
        <v/>
      </c>
      <c r="U48" t="str">
        <f t="shared" si="1"/>
        <v/>
      </c>
      <c r="V48" t="str">
        <f t="shared" si="2"/>
        <v/>
      </c>
      <c r="Y48" t="str">
        <f t="shared" si="3"/>
        <v/>
      </c>
      <c r="Z48" t="str">
        <f t="shared" si="4"/>
        <v/>
      </c>
      <c r="AA48" t="str">
        <f t="shared" si="5"/>
        <v/>
      </c>
    </row>
    <row r="49" spans="1:27" x14ac:dyDescent="0.3">
      <c r="A49" s="4"/>
      <c r="B49" s="4"/>
      <c r="C49" s="4"/>
      <c r="D49" s="4"/>
      <c r="E49" s="4"/>
      <c r="F49" s="4"/>
      <c r="G49" s="4"/>
      <c r="H49" s="4"/>
      <c r="I49" s="4"/>
      <c r="J49" s="4"/>
      <c r="K49" s="4"/>
      <c r="L49" s="4"/>
      <c r="M49" s="4"/>
      <c r="N49" s="4"/>
      <c r="O49" s="4"/>
      <c r="P49" s="4"/>
      <c r="Q49" s="4"/>
      <c r="R49" s="10" t="str">
        <f>IF($A49="","",IFERROR(INDEX(Operators!$B:$B,MATCH($B49,Operators!$A:$A,0))&amp;"","UNKNOWN OPERATOR ID"))</f>
        <v/>
      </c>
      <c r="S49" s="10" t="str">
        <f>IF($A49="","",IF($B49="","OPERATOR REQUIRED",IF(COUNTIF(Operators!$A:$A,$B49)=0,"UNKNOWN OPERATOR ID",IF(OR($D49="",$E49="",$K49=""),"BILLING DETAILS INCOMPLETE","OK"))))</f>
        <v/>
      </c>
      <c r="T49" t="str">
        <f t="shared" si="0"/>
        <v/>
      </c>
      <c r="U49" t="str">
        <f t="shared" si="1"/>
        <v/>
      </c>
      <c r="V49" t="str">
        <f t="shared" si="2"/>
        <v/>
      </c>
      <c r="Y49" t="str">
        <f t="shared" si="3"/>
        <v/>
      </c>
      <c r="Z49" t="str">
        <f t="shared" si="4"/>
        <v/>
      </c>
      <c r="AA49" t="str">
        <f t="shared" si="5"/>
        <v/>
      </c>
    </row>
    <row r="50" spans="1:27" x14ac:dyDescent="0.3">
      <c r="A50" s="4"/>
      <c r="B50" s="4"/>
      <c r="C50" s="4"/>
      <c r="D50" s="4"/>
      <c r="E50" s="4"/>
      <c r="F50" s="4"/>
      <c r="G50" s="4"/>
      <c r="H50" s="4"/>
      <c r="I50" s="4"/>
      <c r="J50" s="4"/>
      <c r="K50" s="4"/>
      <c r="L50" s="4"/>
      <c r="M50" s="4"/>
      <c r="N50" s="4"/>
      <c r="O50" s="4"/>
      <c r="P50" s="4"/>
      <c r="Q50" s="4"/>
      <c r="R50" s="10" t="str">
        <f>IF($A50="","",IFERROR(INDEX(Operators!$B:$B,MATCH($B50,Operators!$A:$A,0))&amp;"","UNKNOWN OPERATOR ID"))</f>
        <v/>
      </c>
      <c r="S50" s="10" t="str">
        <f>IF($A50="","",IF($B50="","OPERATOR REQUIRED",IF(COUNTIF(Operators!$A:$A,$B50)=0,"UNKNOWN OPERATOR ID",IF(OR($D50="",$E50="",$K50=""),"BILLING DETAILS INCOMPLETE","OK"))))</f>
        <v/>
      </c>
      <c r="T50" t="str">
        <f t="shared" si="0"/>
        <v/>
      </c>
      <c r="U50" t="str">
        <f t="shared" si="1"/>
        <v/>
      </c>
      <c r="V50" t="str">
        <f t="shared" si="2"/>
        <v/>
      </c>
      <c r="Y50" t="str">
        <f t="shared" si="3"/>
        <v/>
      </c>
      <c r="Z50" t="str">
        <f t="shared" si="4"/>
        <v/>
      </c>
      <c r="AA50" t="str">
        <f t="shared" si="5"/>
        <v/>
      </c>
    </row>
    <row r="51" spans="1:27" x14ac:dyDescent="0.3">
      <c r="A51" s="4"/>
      <c r="B51" s="4"/>
      <c r="C51" s="4"/>
      <c r="D51" s="4"/>
      <c r="E51" s="4"/>
      <c r="F51" s="4"/>
      <c r="G51" s="4"/>
      <c r="H51" s="4"/>
      <c r="I51" s="4"/>
      <c r="J51" s="4"/>
      <c r="K51" s="4"/>
      <c r="L51" s="4"/>
      <c r="M51" s="4"/>
      <c r="N51" s="4"/>
      <c r="O51" s="4"/>
      <c r="P51" s="4"/>
      <c r="Q51" s="4"/>
      <c r="R51" s="10" t="str">
        <f>IF($A51="","",IFERROR(INDEX(Operators!$B:$B,MATCH($B51,Operators!$A:$A,0))&amp;"","UNKNOWN OPERATOR ID"))</f>
        <v/>
      </c>
      <c r="S51" s="10" t="str">
        <f>IF($A51="","",IF($B51="","OPERATOR REQUIRED",IF(COUNTIF(Operators!$A:$A,$B51)=0,"UNKNOWN OPERATOR ID",IF(OR($D51="",$E51="",$K51=""),"BILLING DETAILS INCOMPLETE","OK"))))</f>
        <v/>
      </c>
      <c r="T51" t="str">
        <f t="shared" si="0"/>
        <v/>
      </c>
      <c r="U51" t="str">
        <f t="shared" si="1"/>
        <v/>
      </c>
      <c r="V51" t="str">
        <f t="shared" si="2"/>
        <v/>
      </c>
      <c r="Y51" t="str">
        <f t="shared" si="3"/>
        <v/>
      </c>
      <c r="Z51" t="str">
        <f t="shared" si="4"/>
        <v/>
      </c>
      <c r="AA51" t="str">
        <f t="shared" si="5"/>
        <v/>
      </c>
    </row>
    <row r="52" spans="1:27" x14ac:dyDescent="0.3">
      <c r="A52" s="4"/>
      <c r="B52" s="4"/>
      <c r="C52" s="4"/>
      <c r="D52" s="4"/>
      <c r="E52" s="4"/>
      <c r="F52" s="4"/>
      <c r="G52" s="4"/>
      <c r="H52" s="4"/>
      <c r="I52" s="4"/>
      <c r="J52" s="4"/>
      <c r="K52" s="4"/>
      <c r="L52" s="4"/>
      <c r="M52" s="4"/>
      <c r="N52" s="4"/>
      <c r="O52" s="4"/>
      <c r="P52" s="4"/>
      <c r="Q52" s="4"/>
      <c r="R52" s="10" t="str">
        <f>IF($A52="","",IFERROR(INDEX(Operators!$B:$B,MATCH($B52,Operators!$A:$A,0))&amp;"","UNKNOWN OPERATOR ID"))</f>
        <v/>
      </c>
      <c r="S52" s="10" t="str">
        <f>IF($A52="","",IF($B52="","OPERATOR REQUIRED",IF(COUNTIF(Operators!$A:$A,$B52)=0,"UNKNOWN OPERATOR ID",IF(OR($D52="",$E52="",$K52=""),"BILLING DETAILS INCOMPLETE","OK"))))</f>
        <v/>
      </c>
      <c r="T52" t="str">
        <f t="shared" si="0"/>
        <v/>
      </c>
      <c r="U52" t="str">
        <f t="shared" si="1"/>
        <v/>
      </c>
      <c r="V52" t="str">
        <f t="shared" si="2"/>
        <v/>
      </c>
      <c r="Y52" t="str">
        <f t="shared" si="3"/>
        <v/>
      </c>
      <c r="Z52" t="str">
        <f t="shared" si="4"/>
        <v/>
      </c>
      <c r="AA52" t="str">
        <f t="shared" si="5"/>
        <v/>
      </c>
    </row>
    <row r="53" spans="1:27" x14ac:dyDescent="0.3">
      <c r="A53" s="4"/>
      <c r="B53" s="4"/>
      <c r="C53" s="4"/>
      <c r="D53" s="4"/>
      <c r="E53" s="4"/>
      <c r="F53" s="4"/>
      <c r="G53" s="4"/>
      <c r="H53" s="4"/>
      <c r="I53" s="4"/>
      <c r="J53" s="4"/>
      <c r="K53" s="4"/>
      <c r="L53" s="4"/>
      <c r="M53" s="4"/>
      <c r="N53" s="4"/>
      <c r="O53" s="4"/>
      <c r="P53" s="4"/>
      <c r="Q53" s="4"/>
      <c r="R53" s="10" t="str">
        <f>IF($A53="","",IFERROR(INDEX(Operators!$B:$B,MATCH($B53,Operators!$A:$A,0))&amp;"","UNKNOWN OPERATOR ID"))</f>
        <v/>
      </c>
      <c r="S53" s="10" t="str">
        <f>IF($A53="","",IF($B53="","OPERATOR REQUIRED",IF(COUNTIF(Operators!$A:$A,$B53)=0,"UNKNOWN OPERATOR ID",IF(OR($D53="",$E53="",$K53=""),"BILLING DETAILS INCOMPLETE","OK"))))</f>
        <v/>
      </c>
      <c r="T53" t="str">
        <f t="shared" si="0"/>
        <v/>
      </c>
      <c r="U53" t="str">
        <f t="shared" si="1"/>
        <v/>
      </c>
      <c r="V53" t="str">
        <f t="shared" si="2"/>
        <v/>
      </c>
      <c r="Y53" t="str">
        <f t="shared" si="3"/>
        <v/>
      </c>
      <c r="Z53" t="str">
        <f t="shared" si="4"/>
        <v/>
      </c>
      <c r="AA53" t="str">
        <f t="shared" si="5"/>
        <v/>
      </c>
    </row>
    <row r="54" spans="1:27" x14ac:dyDescent="0.3">
      <c r="A54" s="4"/>
      <c r="B54" s="4"/>
      <c r="C54" s="4"/>
      <c r="D54" s="4"/>
      <c r="E54" s="4"/>
      <c r="F54" s="4"/>
      <c r="G54" s="4"/>
      <c r="H54" s="4"/>
      <c r="I54" s="4"/>
      <c r="J54" s="4"/>
      <c r="K54" s="4"/>
      <c r="L54" s="4"/>
      <c r="M54" s="4"/>
      <c r="N54" s="4"/>
      <c r="O54" s="4"/>
      <c r="P54" s="4"/>
      <c r="Q54" s="4"/>
      <c r="R54" s="10" t="str">
        <f>IF($A54="","",IFERROR(INDEX(Operators!$B:$B,MATCH($B54,Operators!$A:$A,0))&amp;"","UNKNOWN OPERATOR ID"))</f>
        <v/>
      </c>
      <c r="S54" s="10" t="str">
        <f>IF($A54="","",IF($B54="","OPERATOR REQUIRED",IF(COUNTIF(Operators!$A:$A,$B54)=0,"UNKNOWN OPERATOR ID",IF(OR($D54="",$E54="",$K54=""),"BILLING DETAILS INCOMPLETE","OK"))))</f>
        <v/>
      </c>
      <c r="T54" t="str">
        <f t="shared" si="0"/>
        <v/>
      </c>
      <c r="U54" t="str">
        <f t="shared" si="1"/>
        <v/>
      </c>
      <c r="V54" t="str">
        <f t="shared" si="2"/>
        <v/>
      </c>
      <c r="Y54" t="str">
        <f t="shared" si="3"/>
        <v/>
      </c>
      <c r="Z54" t="str">
        <f t="shared" si="4"/>
        <v/>
      </c>
      <c r="AA54" t="str">
        <f t="shared" si="5"/>
        <v/>
      </c>
    </row>
    <row r="55" spans="1:27" x14ac:dyDescent="0.3">
      <c r="A55" s="4"/>
      <c r="B55" s="4"/>
      <c r="C55" s="4"/>
      <c r="D55" s="4"/>
      <c r="E55" s="4"/>
      <c r="F55" s="4"/>
      <c r="G55" s="4"/>
      <c r="H55" s="4"/>
      <c r="I55" s="4"/>
      <c r="J55" s="4"/>
      <c r="K55" s="4"/>
      <c r="L55" s="4"/>
      <c r="M55" s="4"/>
      <c r="N55" s="4"/>
      <c r="O55" s="4"/>
      <c r="P55" s="4"/>
      <c r="Q55" s="4"/>
      <c r="R55" s="10" t="str">
        <f>IF($A55="","",IFERROR(INDEX(Operators!$B:$B,MATCH($B55,Operators!$A:$A,0))&amp;"","UNKNOWN OPERATOR ID"))</f>
        <v/>
      </c>
      <c r="S55" s="10" t="str">
        <f>IF($A55="","",IF($B55="","OPERATOR REQUIRED",IF(COUNTIF(Operators!$A:$A,$B55)=0,"UNKNOWN OPERATOR ID",IF(OR($D55="",$E55="",$K55=""),"BILLING DETAILS INCOMPLETE","OK"))))</f>
        <v/>
      </c>
      <c r="T55" t="str">
        <f t="shared" si="0"/>
        <v/>
      </c>
      <c r="U55" t="str">
        <f t="shared" si="1"/>
        <v/>
      </c>
      <c r="V55" t="str">
        <f t="shared" si="2"/>
        <v/>
      </c>
      <c r="Y55" t="str">
        <f t="shared" si="3"/>
        <v/>
      </c>
      <c r="Z55" t="str">
        <f t="shared" si="4"/>
        <v/>
      </c>
      <c r="AA55" t="str">
        <f t="shared" si="5"/>
        <v/>
      </c>
    </row>
    <row r="56" spans="1:27" x14ac:dyDescent="0.3">
      <c r="A56" s="4"/>
      <c r="B56" s="4"/>
      <c r="C56" s="4"/>
      <c r="D56" s="4"/>
      <c r="E56" s="4"/>
      <c r="F56" s="4"/>
      <c r="G56" s="4"/>
      <c r="H56" s="4"/>
      <c r="I56" s="4"/>
      <c r="J56" s="4"/>
      <c r="K56" s="4"/>
      <c r="L56" s="4"/>
      <c r="M56" s="4"/>
      <c r="N56" s="4"/>
      <c r="O56" s="4"/>
      <c r="P56" s="4"/>
      <c r="Q56" s="4"/>
      <c r="R56" s="10" t="str">
        <f>IF($A56="","",IFERROR(INDEX(Operators!$B:$B,MATCH($B56,Operators!$A:$A,0))&amp;"","UNKNOWN OPERATOR ID"))</f>
        <v/>
      </c>
      <c r="S56" s="10" t="str">
        <f>IF($A56="","",IF($B56="","OPERATOR REQUIRED",IF(COUNTIF(Operators!$A:$A,$B56)=0,"UNKNOWN OPERATOR ID",IF(OR($D56="",$E56="",$K56=""),"BILLING DETAILS INCOMPLETE","OK"))))</f>
        <v/>
      </c>
      <c r="T56" t="str">
        <f t="shared" si="0"/>
        <v/>
      </c>
      <c r="U56" t="str">
        <f t="shared" si="1"/>
        <v/>
      </c>
      <c r="V56" t="str">
        <f t="shared" si="2"/>
        <v/>
      </c>
      <c r="Y56" t="str">
        <f t="shared" si="3"/>
        <v/>
      </c>
      <c r="Z56" t="str">
        <f t="shared" si="4"/>
        <v/>
      </c>
      <c r="AA56" t="str">
        <f t="shared" si="5"/>
        <v/>
      </c>
    </row>
    <row r="57" spans="1:27" x14ac:dyDescent="0.3">
      <c r="A57" s="4"/>
      <c r="B57" s="4"/>
      <c r="C57" s="4"/>
      <c r="D57" s="4"/>
      <c r="E57" s="4"/>
      <c r="F57" s="4"/>
      <c r="G57" s="4"/>
      <c r="H57" s="4"/>
      <c r="I57" s="4"/>
      <c r="J57" s="4"/>
      <c r="K57" s="4"/>
      <c r="L57" s="4"/>
      <c r="M57" s="4"/>
      <c r="N57" s="4"/>
      <c r="O57" s="4"/>
      <c r="P57" s="4"/>
      <c r="Q57" s="4"/>
      <c r="R57" s="10" t="str">
        <f>IF($A57="","",IFERROR(INDEX(Operators!$B:$B,MATCH($B57,Operators!$A:$A,0))&amp;"","UNKNOWN OPERATOR ID"))</f>
        <v/>
      </c>
      <c r="S57" s="10" t="str">
        <f>IF($A57="","",IF($B57="","OPERATOR REQUIRED",IF(COUNTIF(Operators!$A:$A,$B57)=0,"UNKNOWN OPERATOR ID",IF(OR($D57="",$E57="",$K57=""),"BILLING DETAILS INCOMPLETE","OK"))))</f>
        <v/>
      </c>
      <c r="T57" t="str">
        <f t="shared" si="0"/>
        <v/>
      </c>
      <c r="U57" t="str">
        <f t="shared" si="1"/>
        <v/>
      </c>
      <c r="V57" t="str">
        <f t="shared" si="2"/>
        <v/>
      </c>
      <c r="Y57" t="str">
        <f t="shared" si="3"/>
        <v/>
      </c>
      <c r="Z57" t="str">
        <f t="shared" si="4"/>
        <v/>
      </c>
      <c r="AA57" t="str">
        <f t="shared" si="5"/>
        <v/>
      </c>
    </row>
    <row r="58" spans="1:27" x14ac:dyDescent="0.3">
      <c r="A58" s="4"/>
      <c r="B58" s="4"/>
      <c r="C58" s="4"/>
      <c r="D58" s="4"/>
      <c r="E58" s="4"/>
      <c r="F58" s="4"/>
      <c r="G58" s="4"/>
      <c r="H58" s="4"/>
      <c r="I58" s="4"/>
      <c r="J58" s="4"/>
      <c r="K58" s="4"/>
      <c r="L58" s="4"/>
      <c r="M58" s="4"/>
      <c r="N58" s="4"/>
      <c r="O58" s="4"/>
      <c r="P58" s="4"/>
      <c r="Q58" s="4"/>
      <c r="R58" s="10" t="str">
        <f>IF($A58="","",IFERROR(INDEX(Operators!$B:$B,MATCH($B58,Operators!$A:$A,0))&amp;"","UNKNOWN OPERATOR ID"))</f>
        <v/>
      </c>
      <c r="S58" s="10" t="str">
        <f>IF($A58="","",IF($B58="","OPERATOR REQUIRED",IF(COUNTIF(Operators!$A:$A,$B58)=0,"UNKNOWN OPERATOR ID",IF(OR($D58="",$E58="",$K58=""),"BILLING DETAILS INCOMPLETE","OK"))))</f>
        <v/>
      </c>
      <c r="T58" t="str">
        <f t="shared" si="0"/>
        <v/>
      </c>
      <c r="U58" t="str">
        <f t="shared" si="1"/>
        <v/>
      </c>
      <c r="V58" t="str">
        <f t="shared" si="2"/>
        <v/>
      </c>
      <c r="Y58" t="str">
        <f t="shared" si="3"/>
        <v/>
      </c>
      <c r="Z58" t="str">
        <f t="shared" si="4"/>
        <v/>
      </c>
      <c r="AA58" t="str">
        <f t="shared" si="5"/>
        <v/>
      </c>
    </row>
    <row r="59" spans="1:27" x14ac:dyDescent="0.3">
      <c r="A59" s="4"/>
      <c r="B59" s="4"/>
      <c r="C59" s="4"/>
      <c r="D59" s="4"/>
      <c r="E59" s="4"/>
      <c r="F59" s="4"/>
      <c r="G59" s="4"/>
      <c r="H59" s="4"/>
      <c r="I59" s="4"/>
      <c r="J59" s="4"/>
      <c r="K59" s="4"/>
      <c r="L59" s="4"/>
      <c r="M59" s="4"/>
      <c r="N59" s="4"/>
      <c r="O59" s="4"/>
      <c r="P59" s="4"/>
      <c r="Q59" s="4"/>
      <c r="R59" s="10" t="str">
        <f>IF($A59="","",IFERROR(INDEX(Operators!$B:$B,MATCH($B59,Operators!$A:$A,0))&amp;"","UNKNOWN OPERATOR ID"))</f>
        <v/>
      </c>
      <c r="S59" s="10" t="str">
        <f>IF($A59="","",IF($B59="","OPERATOR REQUIRED",IF(COUNTIF(Operators!$A:$A,$B59)=0,"UNKNOWN OPERATOR ID",IF(OR($D59="",$E59="",$K59=""),"BILLING DETAILS INCOMPLETE","OK"))))</f>
        <v/>
      </c>
      <c r="T59" t="str">
        <f t="shared" si="0"/>
        <v/>
      </c>
      <c r="U59" t="str">
        <f t="shared" si="1"/>
        <v/>
      </c>
      <c r="V59" t="str">
        <f t="shared" si="2"/>
        <v/>
      </c>
      <c r="Y59" t="str">
        <f t="shared" si="3"/>
        <v/>
      </c>
      <c r="Z59" t="str">
        <f t="shared" si="4"/>
        <v/>
      </c>
      <c r="AA59" t="str">
        <f t="shared" si="5"/>
        <v/>
      </c>
    </row>
    <row r="60" spans="1:27" x14ac:dyDescent="0.3">
      <c r="A60" s="4"/>
      <c r="B60" s="4"/>
      <c r="C60" s="4"/>
      <c r="D60" s="4"/>
      <c r="E60" s="4"/>
      <c r="F60" s="4"/>
      <c r="G60" s="4"/>
      <c r="H60" s="4"/>
      <c r="I60" s="4"/>
      <c r="J60" s="4"/>
      <c r="K60" s="4"/>
      <c r="L60" s="4"/>
      <c r="M60" s="4"/>
      <c r="N60" s="4"/>
      <c r="O60" s="4"/>
      <c r="P60" s="4"/>
      <c r="Q60" s="4"/>
      <c r="R60" s="10" t="str">
        <f>IF($A60="","",IFERROR(INDEX(Operators!$B:$B,MATCH($B60,Operators!$A:$A,0))&amp;"","UNKNOWN OPERATOR ID"))</f>
        <v/>
      </c>
      <c r="S60" s="10" t="str">
        <f>IF($A60="","",IF($B60="","OPERATOR REQUIRED",IF(COUNTIF(Operators!$A:$A,$B60)=0,"UNKNOWN OPERATOR ID",IF(OR($D60="",$E60="",$K60=""),"BILLING DETAILS INCOMPLETE","OK"))))</f>
        <v/>
      </c>
      <c r="T60" t="str">
        <f t="shared" si="0"/>
        <v/>
      </c>
      <c r="U60" t="str">
        <f t="shared" si="1"/>
        <v/>
      </c>
      <c r="V60" t="str">
        <f t="shared" si="2"/>
        <v/>
      </c>
      <c r="Y60" t="str">
        <f t="shared" si="3"/>
        <v/>
      </c>
      <c r="Z60" t="str">
        <f t="shared" si="4"/>
        <v/>
      </c>
      <c r="AA60" t="str">
        <f t="shared" si="5"/>
        <v/>
      </c>
    </row>
  </sheetData>
  <dataValidations count="2">
    <dataValidation type="list" allowBlank="1" showInputMessage="1" showErrorMessage="1" sqref="T3:T60" xr:uid="{C5678833-AE01-4F2A-8709-D9A224E2E2A5}">
      <formula1>"EMAIL (SMTP),SITA,AFTN,FAX,PORTAL"</formula1>
    </dataValidation>
    <dataValidation type="list" allowBlank="1" showInputMessage="1" showErrorMessage="1" sqref="Y3:Y60" xr:uid="{924D6CC7-F4A3-44E9-9CDB-2CDD629D321A}">
      <formula1>"PLAIN TEXT UPPERCASE,PLAIN TEXT,HTML"</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8AE7A-04EE-414C-A31F-8B2176F46876}">
  <dimension ref="A1:AR92"/>
  <sheetViews>
    <sheetView workbookViewId="0">
      <pane ySplit="2" topLeftCell="A15" activePane="bottomLeft" state="frozen"/>
      <selection pane="bottomLeft" activeCell="B35" sqref="B35"/>
    </sheetView>
  </sheetViews>
  <sheetFormatPr defaultRowHeight="14.4" x14ac:dyDescent="0.3"/>
  <cols>
    <col min="1" max="1" width="38.88671875" customWidth="1"/>
    <col min="2" max="2" width="27.77734375" customWidth="1"/>
    <col min="3" max="3" width="14.77734375" customWidth="1"/>
    <col min="4" max="4" width="29.6640625" customWidth="1"/>
    <col min="5" max="5" width="33.33203125" customWidth="1"/>
    <col min="6" max="6" width="35.21875" customWidth="1"/>
    <col min="7" max="7" width="24.109375" customWidth="1"/>
    <col min="8" max="10" width="31.44140625" customWidth="1"/>
    <col min="11" max="11" width="37" customWidth="1"/>
  </cols>
  <sheetData>
    <row r="1" spans="1:34" ht="21" x14ac:dyDescent="0.4">
      <c r="A1" s="30" t="s">
        <v>4723</v>
      </c>
    </row>
    <row r="2" spans="1:34" x14ac:dyDescent="0.3">
      <c r="A2" s="32" t="s">
        <v>4724</v>
      </c>
    </row>
    <row r="4" spans="1:34" x14ac:dyDescent="0.3">
      <c r="A4" s="25" t="s">
        <v>4725</v>
      </c>
      <c r="B4" s="25"/>
      <c r="C4" s="25"/>
      <c r="E4" s="25" t="s">
        <v>4726</v>
      </c>
      <c r="F4" s="25"/>
      <c r="G4" s="25"/>
      <c r="H4" s="25" t="s">
        <v>5101</v>
      </c>
      <c r="I4" s="25"/>
      <c r="J4" s="25"/>
      <c r="Z4" t="s">
        <v>4760</v>
      </c>
      <c r="AA4">
        <f>IFERROR(INDEX(airports!$O:$O,MATCH($B$7,airports!$A:$A,0)),"")</f>
        <v>30.111529999999998</v>
      </c>
    </row>
    <row r="5" spans="1:34" x14ac:dyDescent="0.3">
      <c r="A5" s="1" t="s">
        <v>4984</v>
      </c>
      <c r="B5" s="4" t="s">
        <v>3997</v>
      </c>
      <c r="E5" s="1" t="s">
        <v>4735</v>
      </c>
      <c r="F5" s="4" t="s">
        <v>4739</v>
      </c>
      <c r="H5" s="33" t="s">
        <v>4526</v>
      </c>
      <c r="I5" s="33" t="s">
        <v>4534</v>
      </c>
      <c r="J5" s="33" t="s">
        <v>5102</v>
      </c>
      <c r="Z5" t="s">
        <v>4761</v>
      </c>
      <c r="AA5">
        <f>IFERROR(INDEX(airports!$P:$P,MATCH($B$7,airports!$A:$A,0)),"")</f>
        <v>31.39669</v>
      </c>
      <c r="AC5" t="s">
        <v>5106</v>
      </c>
      <c r="AD5" t="s">
        <v>5107</v>
      </c>
      <c r="AE5" t="s">
        <v>4759</v>
      </c>
      <c r="AG5" t="s">
        <v>5108</v>
      </c>
      <c r="AH5" t="s">
        <v>5109</v>
      </c>
    </row>
    <row r="6" spans="1:34" x14ac:dyDescent="0.3">
      <c r="A6" s="1" t="s">
        <v>4727</v>
      </c>
      <c r="B6" s="4" t="s">
        <v>4195</v>
      </c>
      <c r="E6" s="1" t="s">
        <v>4736</v>
      </c>
      <c r="F6" s="4" t="s">
        <v>4740</v>
      </c>
      <c r="H6" s="4" t="s">
        <v>4558</v>
      </c>
      <c r="I6" s="4" t="s">
        <v>1965</v>
      </c>
      <c r="J6" s="4" t="s">
        <v>5103</v>
      </c>
      <c r="Z6" t="s">
        <v>4762</v>
      </c>
      <c r="AA6">
        <f>IFERROR(INDEX(airports!$O:$O,MATCH($B$11,airports!$A:$A,0)),"")</f>
        <v>-25.938960000000002</v>
      </c>
      <c r="AC6" t="str">
        <f>IF($I6="","",$I6)</f>
        <v>United States</v>
      </c>
      <c r="AD6">
        <f>IF($AC6="","",IF(COUNTIF($AC$6:$AC6,$AC6)=1,1,0))</f>
        <v>1</v>
      </c>
      <c r="AE6">
        <f>IF($AD6=1,SUM($AD$6:$AD6),"")</f>
        <v>1</v>
      </c>
      <c r="AG6" t="str">
        <f>IF($AA$9="","",$AA$9)</f>
        <v>EGY</v>
      </c>
      <c r="AH6" t="str">
        <f>IF($AG6="","",IFERROR(INDEX(countries!$B:$B,MATCH($AG6,countries!$D:$D,0)),$AG6))</f>
        <v>Egypt</v>
      </c>
    </row>
    <row r="7" spans="1:34" x14ac:dyDescent="0.3">
      <c r="A7" s="1" t="s">
        <v>4985</v>
      </c>
      <c r="B7" s="4" t="s">
        <v>4</v>
      </c>
      <c r="E7" s="1" t="s">
        <v>4303</v>
      </c>
      <c r="F7" s="4" t="s">
        <v>4741</v>
      </c>
      <c r="H7" s="4" t="s">
        <v>4558</v>
      </c>
      <c r="I7" s="4" t="s">
        <v>1998</v>
      </c>
      <c r="J7" s="4" t="s">
        <v>5104</v>
      </c>
      <c r="Z7" t="s">
        <v>4763</v>
      </c>
      <c r="AA7">
        <f>IFERROR(INDEX(airports!$P:$P,MATCH($B$11,airports!$A:$A,0)),"")</f>
        <v>27.926639999999999</v>
      </c>
      <c r="AC7" t="str">
        <f t="shared" ref="AC7:AC13" si="0">IF($I7="","",$I7)</f>
        <v>South Africa</v>
      </c>
      <c r="AD7">
        <f>IF($AC7="","",IF(COUNTIF($AC$6:$AC7,$AC7)=1,1,0))</f>
        <v>1</v>
      </c>
      <c r="AE7">
        <f>IF($AD7=1,SUM($AD$6:$AD7),"")</f>
        <v>2</v>
      </c>
      <c r="AG7" t="str">
        <f>IF(OR($AA$10="",$AA$10=$AA$9),"",$AA$10)</f>
        <v>ZAF</v>
      </c>
      <c r="AH7" t="str">
        <f>IF($AG7="","",IFERROR(INDEX(countries!$B:$B,MATCH($AG7,countries!$D:$D,0)),$AG7))</f>
        <v>South Africa</v>
      </c>
    </row>
    <row r="8" spans="1:34" x14ac:dyDescent="0.3">
      <c r="A8" s="1" t="s">
        <v>4728</v>
      </c>
      <c r="B8" s="9">
        <v>46248</v>
      </c>
      <c r="E8" s="1" t="s">
        <v>4304</v>
      </c>
      <c r="F8" s="4" t="s">
        <v>4680</v>
      </c>
      <c r="H8" s="4" t="s">
        <v>4572</v>
      </c>
      <c r="I8" s="4" t="s">
        <v>84</v>
      </c>
      <c r="J8" s="4" t="s">
        <v>5105</v>
      </c>
      <c r="Z8" t="s">
        <v>4764</v>
      </c>
      <c r="AA8">
        <f>IF(OR($AA$4="",$AA$6=""),"",ACOS(MIN(1,SIN(RADIANS($AA$4))*SIN(RADIANS($AA$6))+COS(RADIANS($AA$4))*COS(RADIANS($AA$6))*COS(RADIANS($AA$7-$AA$5)))))</f>
        <v>0.97998393122619054</v>
      </c>
      <c r="AC8" t="str">
        <f t="shared" si="0"/>
        <v>Oman</v>
      </c>
      <c r="AD8">
        <f>IF($AC8="","",IF(COUNTIF($AC$6:$AC8,$AC8)=1,1,0))</f>
        <v>1</v>
      </c>
      <c r="AE8">
        <f>IF($AD8=1,SUM($AD$6:$AD8),"")</f>
        <v>3</v>
      </c>
    </row>
    <row r="9" spans="1:34" x14ac:dyDescent="0.3">
      <c r="A9" s="1" t="s">
        <v>4729</v>
      </c>
      <c r="B9" s="34">
        <v>0.375</v>
      </c>
      <c r="E9" s="1" t="s">
        <v>4737</v>
      </c>
      <c r="F9" s="4"/>
      <c r="H9" s="4"/>
      <c r="I9" s="4"/>
      <c r="J9" s="4"/>
      <c r="Z9" t="s">
        <v>4765</v>
      </c>
      <c r="AA9" t="str" cm="1">
        <f t="array" ref="AA9">IF($AA$4="","",IFERROR(IF(INDEX(geo_grid!$B$2:$JU$231,INT(($AA$4+40)/0.5)+1,INT(($AA$5+30)/0.5)+1)="","",INDEX(geo_grid!$B$2:$JU$231,INT(($AA$4+40)/0.5)+1,INT(($AA$5+30)/0.5)+1)),"OUTSIDE GRID"))</f>
        <v>EGY</v>
      </c>
      <c r="AC9" t="str">
        <f t="shared" si="0"/>
        <v/>
      </c>
      <c r="AD9" t="str">
        <f>IF($AC9="","",IF(COUNTIF($AC$6:$AC9,$AC9)=1,1,0))</f>
        <v/>
      </c>
      <c r="AE9" t="str">
        <f>IF($AD9=1,SUM($AD$6:$AD9),"")</f>
        <v/>
      </c>
    </row>
    <row r="10" spans="1:34" x14ac:dyDescent="0.3">
      <c r="A10" s="1" t="s">
        <v>4730</v>
      </c>
      <c r="B10" s="4">
        <v>2</v>
      </c>
      <c r="E10" s="1" t="s">
        <v>4738</v>
      </c>
      <c r="F10" s="4"/>
      <c r="H10" s="4"/>
      <c r="I10" s="4"/>
      <c r="J10" s="4"/>
      <c r="Z10" t="s">
        <v>4766</v>
      </c>
      <c r="AA10" t="str" cm="1">
        <f t="array" ref="AA10">IF($AA$6="","",IFERROR(IF(INDEX(geo_grid!$B$2:$JU$231,INT(($AA$6+40)/0.5)+1,INT(($AA$7+30)/0.5)+1)="","",INDEX(geo_grid!$B$2:$JU$231,INT(($AA$6+40)/0.5)+1,INT(($AA$7+30)/0.5)+1)),"OUTSIDE GRID"))</f>
        <v>ZAF</v>
      </c>
      <c r="AC10" t="str">
        <f t="shared" si="0"/>
        <v/>
      </c>
      <c r="AD10" t="str">
        <f>IF($AC10="","",IF(COUNTIF($AC$6:$AC10,$AC10)=1,1,0))</f>
        <v/>
      </c>
      <c r="AE10" t="str">
        <f>IF($AD10=1,SUM($AD$6:$AD10),"")</f>
        <v/>
      </c>
    </row>
    <row r="11" spans="1:34" x14ac:dyDescent="0.3">
      <c r="A11" s="1" t="s">
        <v>4986</v>
      </c>
      <c r="B11" s="4" t="s">
        <v>3428</v>
      </c>
      <c r="H11" s="4"/>
      <c r="I11" s="4"/>
      <c r="J11" s="4"/>
      <c r="AC11" t="str">
        <f t="shared" si="0"/>
        <v/>
      </c>
      <c r="AD11" t="str">
        <f>IF($AC11="","",IF(COUNTIF($AC$6:$AC11,$AC11)=1,1,0))</f>
        <v/>
      </c>
      <c r="AE11" t="str">
        <f>IF($AD11=1,SUM($AD$6:$AD11),"")</f>
        <v/>
      </c>
    </row>
    <row r="12" spans="1:34" x14ac:dyDescent="0.3">
      <c r="A12" s="1" t="s">
        <v>4731</v>
      </c>
      <c r="B12" s="9">
        <v>46248</v>
      </c>
      <c r="H12" s="4"/>
      <c r="I12" s="4"/>
      <c r="J12" s="4"/>
      <c r="AC12" t="str">
        <f t="shared" si="0"/>
        <v/>
      </c>
      <c r="AD12" t="str">
        <f>IF($AC12="","",IF(COUNTIF($AC$6:$AC12,$AC12)=1,1,0))</f>
        <v/>
      </c>
      <c r="AE12" t="str">
        <f>IF($AD12=1,SUM($AD$6:$AD12),"")</f>
        <v/>
      </c>
    </row>
    <row r="13" spans="1:34" x14ac:dyDescent="0.3">
      <c r="A13" s="1" t="s">
        <v>4732</v>
      </c>
      <c r="B13" s="34"/>
      <c r="H13" s="4"/>
      <c r="I13" s="4"/>
      <c r="J13" s="4"/>
      <c r="AC13" t="str">
        <f t="shared" si="0"/>
        <v/>
      </c>
      <c r="AD13" t="str">
        <f>IF($AC13="","",IF(COUNTIF($AC$6:$AC13,$AC13)=1,1,0))</f>
        <v/>
      </c>
      <c r="AE13" t="str">
        <f>IF($AD13=1,SUM($AD$6:$AD13),"")</f>
        <v/>
      </c>
    </row>
    <row r="14" spans="1:34" x14ac:dyDescent="0.3">
      <c r="A14" s="1" t="s">
        <v>4733</v>
      </c>
      <c r="B14" s="4">
        <v>2</v>
      </c>
    </row>
    <row r="15" spans="1:34" x14ac:dyDescent="0.3">
      <c r="A15" s="1" t="s">
        <v>4605</v>
      </c>
      <c r="B15" s="4">
        <v>3</v>
      </c>
      <c r="H15" s="25" t="s">
        <v>5110</v>
      </c>
      <c r="I15" s="25"/>
      <c r="J15" s="25"/>
      <c r="K15" s="25"/>
    </row>
    <row r="16" spans="1:34" x14ac:dyDescent="0.3">
      <c r="A16" s="1" t="s">
        <v>4604</v>
      </c>
      <c r="B16" s="4">
        <v>2</v>
      </c>
      <c r="H16" s="33" t="s">
        <v>5111</v>
      </c>
      <c r="I16" s="33" t="s">
        <v>4534</v>
      </c>
      <c r="J16" s="33" t="s">
        <v>5112</v>
      </c>
      <c r="K16" s="33" t="s">
        <v>5113</v>
      </c>
    </row>
    <row r="17" spans="1:11" x14ac:dyDescent="0.3">
      <c r="A17" s="1" t="s">
        <v>4982</v>
      </c>
      <c r="B17" s="4" t="s">
        <v>4817</v>
      </c>
      <c r="H17" t="str" cm="1">
        <f t="array" ref="H17">IF(OR(MAX($AE$6:$AE$13)=0,ROW()-16&gt;MAX($AE$6:$AE$13)*IF($AG$7="",1,2)),"",INDEX($AH$6:$AH$7,INT((ROW()-16-1)/MAX($AE$6:$AE$13))+1))</f>
        <v>Egypt</v>
      </c>
      <c r="I17" t="str">
        <f>IF($H17="","",INDEX($AC$6:$AC$13,MATCH(MOD(ROW()-16-1,MAX($AE$6:$AE$13))+1,$AE$6:$AE$13,0)))</f>
        <v>United States</v>
      </c>
      <c r="J17">
        <f>IF($H17="","",COUNTIFS($I$6:$I$13,$I17))</f>
        <v>1</v>
      </c>
      <c r="K17" t="str" cm="1">
        <f t="array" ref="K17">IF($H17="","",IF(IFERROR(INDEX('VISA MATRIX'!$B$4:$FS$145,MATCH($H17,'VISA MATRIX'!$A$4:$A$145,0),MATCH($I17,'VISA MATRIX'!$B$3:$FS$3,0))&amp;"","")&lt;&gt;"",IFERROR(INDEX('VISA MATRIX'!$B$4:$FS$145,MATCH($H17,'VISA MATRIX'!$A$4:$A$145,0),MATCH($I17,'VISA MATRIX'!$B$3:$FS$3,0))&amp;"",""),IF(IFERROR(INDEX('VISA RULES'!$E$2:$E$400,SUMPRODUCT(MATCH(1,($H17='VISA RULES'!$B$2:$B$400)*($I17='VISA RULES'!$C$2:$C$400),0)))&amp;"","")&lt;&gt;"",IFERROR(INDEX('VISA RULES'!$E$2:$E$400,SUMPRODUCT(MATCH(1,($H17='VISA RULES'!$B$2:$B$400)*($I17='VISA RULES'!$C$2:$C$400),0)))&amp;"",""),"NOT ON FILE - VERIFY")))</f>
        <v>NOT ON FILE - VERIFY</v>
      </c>
    </row>
    <row r="18" spans="1:11" x14ac:dyDescent="0.3">
      <c r="A18" s="1" t="s">
        <v>4983</v>
      </c>
      <c r="B18" s="4" t="s">
        <v>4818</v>
      </c>
      <c r="H18" t="str" cm="1">
        <f t="array" ref="H18">IF(OR(MAX($AE$6:$AE$13)=0,ROW()-16&gt;MAX($AE$6:$AE$13)*IF($AG$7="",1,2)),"",INDEX($AH$6:$AH$7,INT((ROW()-16-1)/MAX($AE$6:$AE$13))+1))</f>
        <v>Egypt</v>
      </c>
      <c r="I18" t="str">
        <f t="shared" ref="I18:I30" si="1">IF($H18="","",INDEX($AC$6:$AC$13,MATCH(MOD(ROW()-16-1,MAX($AE$6:$AE$13))+1,$AE$6:$AE$13,0)))</f>
        <v>South Africa</v>
      </c>
      <c r="J18">
        <f t="shared" ref="J18:J30" si="2">IF($H18="","",COUNTIFS($I$6:$I$13,$I18))</f>
        <v>1</v>
      </c>
      <c r="K18" t="str" cm="1">
        <f t="array" ref="K18">IF($H18="","",IF(IFERROR(INDEX('VISA MATRIX'!$B$4:$FS$145,MATCH($H18,'VISA MATRIX'!$A$4:$A$145,0),MATCH($I18,'VISA MATRIX'!$B$3:$FS$3,0))&amp;"","")&lt;&gt;"",IFERROR(INDEX('VISA MATRIX'!$B$4:$FS$145,MATCH($H18,'VISA MATRIX'!$A$4:$A$145,0),MATCH($I18,'VISA MATRIX'!$B$3:$FS$3,0))&amp;"",""),IF(IFERROR(INDEX('VISA RULES'!$E$2:$E$400,SUMPRODUCT(MATCH(1,($H18='VISA RULES'!$B$2:$B$400)*($I18='VISA RULES'!$C$2:$C$400),0)))&amp;"","")&lt;&gt;"",IFERROR(INDEX('VISA RULES'!$E$2:$E$400,SUMPRODUCT(MATCH(1,($H18='VISA RULES'!$B$2:$B$400)*($I18='VISA RULES'!$C$2:$C$400),0)))&amp;"",""),"NOT ON FILE - VERIFY")))</f>
        <v>NOT ON FILE - VERIFY</v>
      </c>
    </row>
    <row r="19" spans="1:11" x14ac:dyDescent="0.3">
      <c r="A19" s="1" t="s">
        <v>4734</v>
      </c>
      <c r="B19" s="4" t="s">
        <v>4592</v>
      </c>
      <c r="H19" t="str" cm="1">
        <f t="array" ref="H19">IF(OR(MAX($AE$6:$AE$13)=0,ROW()-16&gt;MAX($AE$6:$AE$13)*IF($AG$7="",1,2)),"",INDEX($AH$6:$AH$7,INT((ROW()-16-1)/MAX($AE$6:$AE$13))+1))</f>
        <v>Egypt</v>
      </c>
      <c r="I19" t="str">
        <f t="shared" si="1"/>
        <v>Oman</v>
      </c>
      <c r="J19">
        <f t="shared" si="2"/>
        <v>1</v>
      </c>
      <c r="K19" t="str" cm="1">
        <f t="array" ref="K19">IF($H19="","",IF(IFERROR(INDEX('VISA MATRIX'!$B$4:$FS$145,MATCH($H19,'VISA MATRIX'!$A$4:$A$145,0),MATCH($I19,'VISA MATRIX'!$B$3:$FS$3,0))&amp;"","")&lt;&gt;"",IFERROR(INDEX('VISA MATRIX'!$B$4:$FS$145,MATCH($H19,'VISA MATRIX'!$A$4:$A$145,0),MATCH($I19,'VISA MATRIX'!$B$3:$FS$3,0))&amp;"",""),IF(IFERROR(INDEX('VISA RULES'!$E$2:$E$400,SUMPRODUCT(MATCH(1,($H19='VISA RULES'!$B$2:$B$400)*($I19='VISA RULES'!$C$2:$C$400),0)))&amp;"","")&lt;&gt;"",IFERROR(INDEX('VISA RULES'!$E$2:$E$400,SUMPRODUCT(MATCH(1,($H19='VISA RULES'!$B$2:$B$400)*($I19='VISA RULES'!$C$2:$C$400),0)))&amp;"",""),"NOT ON FILE - VERIFY")))</f>
        <v>NOT ON FILE - VERIFY</v>
      </c>
    </row>
    <row r="20" spans="1:11" x14ac:dyDescent="0.3">
      <c r="A20" s="1" t="s">
        <v>4474</v>
      </c>
      <c r="B20" s="4">
        <v>72</v>
      </c>
      <c r="H20" t="str" cm="1">
        <f t="array" ref="H20">IF(OR(MAX($AE$6:$AE$13)=0,ROW()-16&gt;MAX($AE$6:$AE$13)*IF($AG$7="",1,2)),"",INDEX($AH$6:$AH$7,INT((ROW()-16-1)/MAX($AE$6:$AE$13))+1))</f>
        <v>South Africa</v>
      </c>
      <c r="I20" t="str">
        <f t="shared" si="1"/>
        <v>United States</v>
      </c>
      <c r="J20">
        <f t="shared" si="2"/>
        <v>1</v>
      </c>
      <c r="K20" t="str" cm="1">
        <f t="array" ref="K20">IF($H20="","",IF(IFERROR(INDEX('VISA MATRIX'!$B$4:$FS$145,MATCH($H20,'VISA MATRIX'!$A$4:$A$145,0),MATCH($I20,'VISA MATRIX'!$B$3:$FS$3,0))&amp;"","")&lt;&gt;"",IFERROR(INDEX('VISA MATRIX'!$B$4:$FS$145,MATCH($H20,'VISA MATRIX'!$A$4:$A$145,0),MATCH($I20,'VISA MATRIX'!$B$3:$FS$3,0))&amp;"",""),IF(IFERROR(INDEX('VISA RULES'!$E$2:$E$400,SUMPRODUCT(MATCH(1,($H20='VISA RULES'!$B$2:$B$400)*($I20='VISA RULES'!$C$2:$C$400),0)))&amp;"","")&lt;&gt;"",IFERROR(INDEX('VISA RULES'!$E$2:$E$400,SUMPRODUCT(MATCH(1,($H20='VISA RULES'!$B$2:$B$400)*($I20='VISA RULES'!$C$2:$C$400),0)))&amp;"",""),"NOT ON FILE - VERIFY")))</f>
        <v>NOT REQUIRED</v>
      </c>
    </row>
    <row r="21" spans="1:11" x14ac:dyDescent="0.3">
      <c r="A21" s="1" t="s">
        <v>4775</v>
      </c>
      <c r="B21" s="4">
        <v>24</v>
      </c>
      <c r="H21" t="str" cm="1">
        <f t="array" ref="H21">IF(OR(MAX($AE$6:$AE$13)=0,ROW()-16&gt;MAX($AE$6:$AE$13)*IF($AG$7="",1,2)),"",INDEX($AH$6:$AH$7,INT((ROW()-16-1)/MAX($AE$6:$AE$13))+1))</f>
        <v>South Africa</v>
      </c>
      <c r="I21" t="str">
        <f t="shared" si="1"/>
        <v>South Africa</v>
      </c>
      <c r="J21">
        <f t="shared" si="2"/>
        <v>1</v>
      </c>
      <c r="K21" t="str" cm="1">
        <f t="array" ref="K21">IF($H21="","",IF(IFERROR(INDEX('VISA MATRIX'!$B$4:$FS$145,MATCH($H21,'VISA MATRIX'!$A$4:$A$145,0),MATCH($I21,'VISA MATRIX'!$B$3:$FS$3,0))&amp;"","")&lt;&gt;"",IFERROR(INDEX('VISA MATRIX'!$B$4:$FS$145,MATCH($H21,'VISA MATRIX'!$A$4:$A$145,0),MATCH($I21,'VISA MATRIX'!$B$3:$FS$3,0))&amp;"",""),IF(IFERROR(INDEX('VISA RULES'!$E$2:$E$400,SUMPRODUCT(MATCH(1,($H21='VISA RULES'!$B$2:$B$400)*($I21='VISA RULES'!$C$2:$C$400),0)))&amp;"","")&lt;&gt;"",IFERROR(INDEX('VISA RULES'!$E$2:$E$400,SUMPRODUCT(MATCH(1,($H21='VISA RULES'!$B$2:$B$400)*($I21='VISA RULES'!$C$2:$C$400),0)))&amp;"",""),"NOT ON FILE - VERIFY")))</f>
        <v>NOT ON FILE - VERIFY</v>
      </c>
    </row>
    <row r="22" spans="1:11" x14ac:dyDescent="0.3">
      <c r="A22" s="25" t="s">
        <v>4767</v>
      </c>
      <c r="B22" s="25"/>
      <c r="C22" s="25"/>
      <c r="H22" t="str" cm="1">
        <f t="array" ref="H22">IF(OR(MAX($AE$6:$AE$13)=0,ROW()-16&gt;MAX($AE$6:$AE$13)*IF($AG$7="",1,2)),"",INDEX($AH$6:$AH$7,INT((ROW()-16-1)/MAX($AE$6:$AE$13))+1))</f>
        <v>South Africa</v>
      </c>
      <c r="I22" t="str">
        <f t="shared" si="1"/>
        <v>Oman</v>
      </c>
      <c r="J22">
        <f t="shared" si="2"/>
        <v>1</v>
      </c>
      <c r="K22" t="str" cm="1">
        <f t="array" ref="K22">IF($H22="","",IF(IFERROR(INDEX('VISA MATRIX'!$B$4:$FS$145,MATCH($H22,'VISA MATRIX'!$A$4:$A$145,0),MATCH($I22,'VISA MATRIX'!$B$3:$FS$3,0))&amp;"","")&lt;&gt;"",IFERROR(INDEX('VISA MATRIX'!$B$4:$FS$145,MATCH($H22,'VISA MATRIX'!$A$4:$A$145,0),MATCH($I22,'VISA MATRIX'!$B$3:$FS$3,0))&amp;"",""),IF(IFERROR(INDEX('VISA RULES'!$E$2:$E$400,SUMPRODUCT(MATCH(1,($H22='VISA RULES'!$B$2:$B$400)*($I22='VISA RULES'!$C$2:$C$400),0)))&amp;"","")&lt;&gt;"",IFERROR(INDEX('VISA RULES'!$E$2:$E$400,SUMPRODUCT(MATCH(1,($H22='VISA RULES'!$B$2:$B$400)*($I22='VISA RULES'!$C$2:$C$400),0)))&amp;"",""),"NOT ON FILE - VERIFY")))</f>
        <v>NOT ON FILE - VERIFY</v>
      </c>
    </row>
    <row r="23" spans="1:11" x14ac:dyDescent="0.3">
      <c r="A23" s="1" t="s">
        <v>4480</v>
      </c>
      <c r="B23" t="str">
        <f>IF($B$7="","",IFERROR(INDEX(airports!$E:$E,MATCH($B$7,airports!$A:$A,0))&amp;" ("&amp;INDEX(airports!$H:$H,MATCH($B$7,airports!$A:$A,0))&amp;")","ICAO NOT IN AIRPORTS"))</f>
        <v>Cairo International Airport (Egypt)</v>
      </c>
      <c r="H23" t="str" cm="1">
        <f t="array" ref="H23">IF(OR(MAX($AE$6:$AE$13)=0,ROW()-16&gt;MAX($AE$6:$AE$13)*IF($AG$7="",1,2)),"",INDEX($AH$6:$AH$7,INT((ROW()-16-1)/MAX($AE$6:$AE$13))+1))</f>
        <v/>
      </c>
      <c r="I23" t="str">
        <f t="shared" si="1"/>
        <v/>
      </c>
      <c r="J23" t="str">
        <f t="shared" si="2"/>
        <v/>
      </c>
      <c r="K23" t="str" cm="1">
        <f t="array" ref="K23">IF($H23="","",IF(IFERROR(INDEX('VISA MATRIX'!$B$4:$FS$145,MATCH($H23,'VISA MATRIX'!$A$4:$A$145,0),MATCH($I23,'VISA MATRIX'!$B$3:$FS$3,0))&amp;"","")&lt;&gt;"",IFERROR(INDEX('VISA MATRIX'!$B$4:$FS$145,MATCH($H23,'VISA MATRIX'!$A$4:$A$145,0),MATCH($I23,'VISA MATRIX'!$B$3:$FS$3,0))&amp;"",""),IF(IFERROR(INDEX('VISA RULES'!$E$2:$E$400,SUMPRODUCT(MATCH(1,($H23='VISA RULES'!$B$2:$B$400)*($I23='VISA RULES'!$C$2:$C$400),0)))&amp;"","")&lt;&gt;"",IFERROR(INDEX('VISA RULES'!$E$2:$E$400,SUMPRODUCT(MATCH(1,($H23='VISA RULES'!$B$2:$B$400)*($I23='VISA RULES'!$C$2:$C$400),0)))&amp;"",""),"NOT ON FILE - VERIFY")))</f>
        <v/>
      </c>
    </row>
    <row r="24" spans="1:11" x14ac:dyDescent="0.3">
      <c r="A24" s="1" t="s">
        <v>4768</v>
      </c>
      <c r="B24" t="str">
        <f>IF($B$11="","",IFERROR(INDEX(airports!$E:$E,MATCH($B$11,airports!$A:$A,0))&amp;" ("&amp;INDEX(airports!$H:$H,MATCH($B$11,airports!$A:$A,0))&amp;")","ICAO NOT IN AIRPORTS"))</f>
        <v>Lanseria International Airport (South Africa)</v>
      </c>
      <c r="H24" t="str" cm="1">
        <f t="array" ref="H24">IF(OR(MAX($AE$6:$AE$13)=0,ROW()-16&gt;MAX($AE$6:$AE$13)*IF($AG$7="",1,2)),"",INDEX($AH$6:$AH$7,INT((ROW()-16-1)/MAX($AE$6:$AE$13))+1))</f>
        <v/>
      </c>
      <c r="I24" t="str">
        <f t="shared" si="1"/>
        <v/>
      </c>
      <c r="J24" t="str">
        <f t="shared" si="2"/>
        <v/>
      </c>
      <c r="K24" t="str" cm="1">
        <f t="array" ref="K24">IF($H24="","",IF(IFERROR(INDEX('VISA MATRIX'!$B$4:$FS$145,MATCH($H24,'VISA MATRIX'!$A$4:$A$145,0),MATCH($I24,'VISA MATRIX'!$B$3:$FS$3,0))&amp;"","")&lt;&gt;"",IFERROR(INDEX('VISA MATRIX'!$B$4:$FS$145,MATCH($H24,'VISA MATRIX'!$A$4:$A$145,0),MATCH($I24,'VISA MATRIX'!$B$3:$FS$3,0))&amp;"",""),IF(IFERROR(INDEX('VISA RULES'!$E$2:$E$400,SUMPRODUCT(MATCH(1,($H24='VISA RULES'!$B$2:$B$400)*($I24='VISA RULES'!$C$2:$C$400),0)))&amp;"","")&lt;&gt;"",IFERROR(INDEX('VISA RULES'!$E$2:$E$400,SUMPRODUCT(MATCH(1,($H24='VISA RULES'!$B$2:$B$400)*($I24='VISA RULES'!$C$2:$C$400),0)))&amp;"",""),"NOT ON FILE - VERIFY")))</f>
        <v/>
      </c>
    </row>
    <row r="25" spans="1:11" x14ac:dyDescent="0.3">
      <c r="A25" s="1" t="s">
        <v>4769</v>
      </c>
      <c r="B25">
        <f>IF($AA$8="","",ROUND($AA$8*3440.065,0))</f>
        <v>3371</v>
      </c>
      <c r="H25" t="str" cm="1">
        <f t="array" ref="H25">IF(OR(MAX($AE$6:$AE$13)=0,ROW()-16&gt;MAX($AE$6:$AE$13)*IF($AG$7="",1,2)),"",INDEX($AH$6:$AH$7,INT((ROW()-16-1)/MAX($AE$6:$AE$13))+1))</f>
        <v/>
      </c>
      <c r="I25" t="str">
        <f t="shared" si="1"/>
        <v/>
      </c>
      <c r="J25" t="str">
        <f t="shared" si="2"/>
        <v/>
      </c>
      <c r="K25" t="str" cm="1">
        <f t="array" ref="K25">IF($H25="","",IF(IFERROR(INDEX('VISA MATRIX'!$B$4:$FS$145,MATCH($H25,'VISA MATRIX'!$A$4:$A$145,0),MATCH($I25,'VISA MATRIX'!$B$3:$FS$3,0))&amp;"","")&lt;&gt;"",IFERROR(INDEX('VISA MATRIX'!$B$4:$FS$145,MATCH($H25,'VISA MATRIX'!$A$4:$A$145,0),MATCH($I25,'VISA MATRIX'!$B$3:$FS$3,0))&amp;"",""),IF(IFERROR(INDEX('VISA RULES'!$E$2:$E$400,SUMPRODUCT(MATCH(1,($H25='VISA RULES'!$B$2:$B$400)*($I25='VISA RULES'!$C$2:$C$400),0)))&amp;"","")&lt;&gt;"",IFERROR(INDEX('VISA RULES'!$E$2:$E$400,SUMPRODUCT(MATCH(1,($H25='VISA RULES'!$B$2:$B$400)*($I25='VISA RULES'!$C$2:$C$400),0)))&amp;"",""),"NOT ON FILE - VERIFY")))</f>
        <v/>
      </c>
    </row>
    <row r="26" spans="1:11" x14ac:dyDescent="0.3">
      <c r="A26" s="1" t="s">
        <v>4298</v>
      </c>
      <c r="B26" s="4">
        <v>470</v>
      </c>
      <c r="H26" t="str" cm="1">
        <f t="array" ref="H26">IF(OR(MAX($AE$6:$AE$13)=0,ROW()-16&gt;MAX($AE$6:$AE$13)*IF($AG$7="",1,2)),"",INDEX($AH$6:$AH$7,INT((ROW()-16-1)/MAX($AE$6:$AE$13))+1))</f>
        <v/>
      </c>
      <c r="I26" t="str">
        <f t="shared" si="1"/>
        <v/>
      </c>
      <c r="J26" t="str">
        <f t="shared" si="2"/>
        <v/>
      </c>
      <c r="K26" t="str" cm="1">
        <f t="array" ref="K26">IF($H26="","",IF(IFERROR(INDEX('VISA MATRIX'!$B$4:$FS$145,MATCH($H26,'VISA MATRIX'!$A$4:$A$145,0),MATCH($I26,'VISA MATRIX'!$B$3:$FS$3,0))&amp;"","")&lt;&gt;"",IFERROR(INDEX('VISA MATRIX'!$B$4:$FS$145,MATCH($H26,'VISA MATRIX'!$A$4:$A$145,0),MATCH($I26,'VISA MATRIX'!$B$3:$FS$3,0))&amp;"",""),IF(IFERROR(INDEX('VISA RULES'!$E$2:$E$400,SUMPRODUCT(MATCH(1,($H26='VISA RULES'!$B$2:$B$400)*($I26='VISA RULES'!$C$2:$C$400),0)))&amp;"","")&lt;&gt;"",IFERROR(INDEX('VISA RULES'!$E$2:$E$400,SUMPRODUCT(MATCH(1,($H26='VISA RULES'!$B$2:$B$400)*($I26='VISA RULES'!$C$2:$C$400),0)))&amp;"",""),"NOT ON FILE - VERIFY")))</f>
        <v/>
      </c>
    </row>
    <row r="27" spans="1:11" x14ac:dyDescent="0.3">
      <c r="A27" s="1" t="s">
        <v>4299</v>
      </c>
      <c r="B27" s="4">
        <v>0.4</v>
      </c>
      <c r="H27" t="str" cm="1">
        <f t="array" ref="H27">IF(OR(MAX($AE$6:$AE$13)=0,ROW()-16&gt;MAX($AE$6:$AE$13)*IF($AG$7="",1,2)),"",INDEX($AH$6:$AH$7,INT((ROW()-16-1)/MAX($AE$6:$AE$13))+1))</f>
        <v/>
      </c>
      <c r="I27" t="str">
        <f t="shared" si="1"/>
        <v/>
      </c>
      <c r="J27" t="str">
        <f t="shared" si="2"/>
        <v/>
      </c>
      <c r="K27" t="str" cm="1">
        <f t="array" ref="K27">IF($H27="","",IF(IFERROR(INDEX('VISA MATRIX'!$B$4:$FS$145,MATCH($H27,'VISA MATRIX'!$A$4:$A$145,0),MATCH($I27,'VISA MATRIX'!$B$3:$FS$3,0))&amp;"","")&lt;&gt;"",IFERROR(INDEX('VISA MATRIX'!$B$4:$FS$145,MATCH($H27,'VISA MATRIX'!$A$4:$A$145,0),MATCH($I27,'VISA MATRIX'!$B$3:$FS$3,0))&amp;"",""),IF(IFERROR(INDEX('VISA RULES'!$E$2:$E$400,SUMPRODUCT(MATCH(1,($H27='VISA RULES'!$B$2:$B$400)*($I27='VISA RULES'!$C$2:$C$400),0)))&amp;"","")&lt;&gt;"",IFERROR(INDEX('VISA RULES'!$E$2:$E$400,SUMPRODUCT(MATCH(1,($H27='VISA RULES'!$B$2:$B$400)*($I27='VISA RULES'!$C$2:$C$400),0)))&amp;"",""),"NOT ON FILE - VERIFY")))</f>
        <v/>
      </c>
    </row>
    <row r="28" spans="1:11" x14ac:dyDescent="0.3">
      <c r="A28" s="1" t="s">
        <v>4770</v>
      </c>
      <c r="B28">
        <f>IF($B$25="","",ROUND($B$25/$B$26+$B$27,2))</f>
        <v>7.57</v>
      </c>
      <c r="H28" t="str" cm="1">
        <f t="array" ref="H28">IF(OR(MAX($AE$6:$AE$13)=0,ROW()-16&gt;MAX($AE$6:$AE$13)*IF($AG$7="",1,2)),"",INDEX($AH$6:$AH$7,INT((ROW()-16-1)/MAX($AE$6:$AE$13))+1))</f>
        <v/>
      </c>
      <c r="I28" t="str">
        <f t="shared" si="1"/>
        <v/>
      </c>
      <c r="J28" t="str">
        <f t="shared" si="2"/>
        <v/>
      </c>
      <c r="K28" t="str" cm="1">
        <f t="array" ref="K28">IF($H28="","",IF(IFERROR(INDEX('VISA MATRIX'!$B$4:$FS$145,MATCH($H28,'VISA MATRIX'!$A$4:$A$145,0),MATCH($I28,'VISA MATRIX'!$B$3:$FS$3,0))&amp;"","")&lt;&gt;"",IFERROR(INDEX('VISA MATRIX'!$B$4:$FS$145,MATCH($H28,'VISA MATRIX'!$A$4:$A$145,0),MATCH($I28,'VISA MATRIX'!$B$3:$FS$3,0))&amp;"",""),IF(IFERROR(INDEX('VISA RULES'!$E$2:$E$400,SUMPRODUCT(MATCH(1,($H28='VISA RULES'!$B$2:$B$400)*($I28='VISA RULES'!$C$2:$C$400),0)))&amp;"","")&lt;&gt;"",IFERROR(INDEX('VISA RULES'!$E$2:$E$400,SUMPRODUCT(MATCH(1,($H28='VISA RULES'!$B$2:$B$400)*($I28='VISA RULES'!$C$2:$C$400),0)))&amp;"",""),"NOT ON FILE - VERIFY")))</f>
        <v/>
      </c>
    </row>
    <row r="29" spans="1:11" x14ac:dyDescent="0.3">
      <c r="A29" s="1" t="s">
        <v>4714</v>
      </c>
      <c r="B29" s="41">
        <f>IF($B$8="","",$B$8+$B$9)</f>
        <v>46248.375</v>
      </c>
      <c r="H29" t="str" cm="1">
        <f t="array" ref="H29">IF(OR(MAX($AE$6:$AE$13)=0,ROW()-16&gt;MAX($AE$6:$AE$13)*IF($AG$7="",1,2)),"",INDEX($AH$6:$AH$7,INT((ROW()-16-1)/MAX($AE$6:$AE$13))+1))</f>
        <v/>
      </c>
      <c r="I29" t="str">
        <f t="shared" si="1"/>
        <v/>
      </c>
      <c r="J29" t="str">
        <f t="shared" si="2"/>
        <v/>
      </c>
      <c r="K29" t="str" cm="1">
        <f t="array" ref="K29">IF($H29="","",IF(IFERROR(INDEX('VISA MATRIX'!$B$4:$FS$145,MATCH($H29,'VISA MATRIX'!$A$4:$A$145,0),MATCH($I29,'VISA MATRIX'!$B$3:$FS$3,0))&amp;"","")&lt;&gt;"",IFERROR(INDEX('VISA MATRIX'!$B$4:$FS$145,MATCH($H29,'VISA MATRIX'!$A$4:$A$145,0),MATCH($I29,'VISA MATRIX'!$B$3:$FS$3,0))&amp;"",""),IF(IFERROR(INDEX('VISA RULES'!$E$2:$E$400,SUMPRODUCT(MATCH(1,($H29='VISA RULES'!$B$2:$B$400)*($I29='VISA RULES'!$C$2:$C$400),0)))&amp;"","")&lt;&gt;"",IFERROR(INDEX('VISA RULES'!$E$2:$E$400,SUMPRODUCT(MATCH(1,($H29='VISA RULES'!$B$2:$B$400)*($I29='VISA RULES'!$C$2:$C$400),0)))&amp;"",""),"NOT ON FILE - VERIFY")))</f>
        <v/>
      </c>
    </row>
    <row r="30" spans="1:11" x14ac:dyDescent="0.3">
      <c r="A30" s="1" t="s">
        <v>4771</v>
      </c>
      <c r="B30" s="41">
        <f>IF(OR($B$29="",$B$28=""),"",$B$29+$B$28/24)</f>
        <v>46248.690416666665</v>
      </c>
      <c r="H30" t="str" cm="1">
        <f t="array" ref="H30">IF(OR(MAX($AE$6:$AE$13)=0,ROW()-16&gt;MAX($AE$6:$AE$13)*IF($AG$7="",1,2)),"",INDEX($AH$6:$AH$7,INT((ROW()-16-1)/MAX($AE$6:$AE$13))+1))</f>
        <v/>
      </c>
      <c r="I30" t="str">
        <f t="shared" si="1"/>
        <v/>
      </c>
      <c r="J30" t="str">
        <f t="shared" si="2"/>
        <v/>
      </c>
      <c r="K30" t="str" cm="1">
        <f t="array" ref="K30">IF($H30="","",IF(IFERROR(INDEX('VISA MATRIX'!$B$4:$FS$145,MATCH($H30,'VISA MATRIX'!$A$4:$A$145,0),MATCH($I30,'VISA MATRIX'!$B$3:$FS$3,0))&amp;"","")&lt;&gt;"",IFERROR(INDEX('VISA MATRIX'!$B$4:$FS$145,MATCH($H30,'VISA MATRIX'!$A$4:$A$145,0),MATCH($I30,'VISA MATRIX'!$B$3:$FS$3,0))&amp;"",""),IF(IFERROR(INDEX('VISA RULES'!$E$2:$E$400,SUMPRODUCT(MATCH(1,($H30='VISA RULES'!$B$2:$B$400)*($I30='VISA RULES'!$C$2:$C$400),0)))&amp;"","")&lt;&gt;"",IFERROR(INDEX('VISA RULES'!$E$2:$E$400,SUMPRODUCT(MATCH(1,($H30='VISA RULES'!$B$2:$B$400)*($I30='VISA RULES'!$C$2:$C$400),0)))&amp;"",""),"NOT ON FILE - VERIFY")))</f>
        <v/>
      </c>
    </row>
    <row r="31" spans="1:11" x14ac:dyDescent="0.3">
      <c r="A31" s="1" t="s">
        <v>4772</v>
      </c>
      <c r="B31">
        <f>COUNTIF(fiq_calc!$S$2:$S$143,"&gt;0")</f>
        <v>7</v>
      </c>
    </row>
    <row r="32" spans="1:11" x14ac:dyDescent="0.3">
      <c r="A32" s="1" t="s">
        <v>4721</v>
      </c>
      <c r="B32" t="str" cm="1">
        <f t="array" ref="B32">IF($B$25="","",IF(AND($B$17="",$B$18=""),"NO CONSTRAINT",TRIM(IF($B$17="","",IF(SUMPRODUCT(--((ISNUMBER(SEARCH(","&amp;fiq_calc!$Q$2:$Q$143&amp;",",","&amp;SUBSTITUTE(UPPER($B$17)," ","")&amp;","))+ISNUMBER(SEARCH(","&amp;SUBSTITUTE(UPPER(fiq_calc!$R$2:$R$143)," ","")&amp;",",","&amp;SUBSTITUTE(UPPER($B$17)," ","")&amp;",")))&gt;0),--(fiq_calc!$S$2:$S$143&gt;0))&gt;0,"AVOID CONFLICT - track crosses an excluded state. ",""))&amp;IF($B$18="","",IF(SUMPRODUCT(--((ISNUMBER(SEARCH(","&amp;fiq_calc!$Q$2:$Q$143&amp;",",","&amp;SUBSTITUTE(UPPER($B$18)," ","")&amp;","))+ISNUMBER(SEARCH(","&amp;SUBSTITUTE(UPPER(fiq_calc!$R$2:$R$143)," ","")&amp;",",","&amp;SUBSTITUTE(UPPER($B$18)," ","")&amp;",")))&gt;0),--(fiq_calc!$S$2:$S$143&gt;0))&lt;LEN($B$18)-LEN(SUBSTITUTE($B$18,",",""))+1,"INCLUDE NOT ON TRACK. ","")))))</f>
        <v>AVOID CONFLICT - track crosses an excluded state. INCLUDE NOT ON TRACK.</v>
      </c>
    </row>
    <row r="33" spans="1:10" x14ac:dyDescent="0.3">
      <c r="A33" s="1" t="s">
        <v>4773</v>
      </c>
      <c r="B33" s="41">
        <f>IF(COUNT($F$39:$F$78)=0,"",MIN($F$39:$F$78))</f>
        <v>46245.375</v>
      </c>
    </row>
    <row r="34" spans="1:10" x14ac:dyDescent="0.3">
      <c r="A34" s="1" t="s">
        <v>4774</v>
      </c>
      <c r="B34" s="1" t="str">
        <f ca="1">IF($B$33="","",IF($B$33&lt;NOW(),"NOT FEASIBLE - permit lead time already passed",IF(AND($B$32&lt;&gt;"NO CONSTRAINT",$B$32&lt;&gt;""),"NOT FEASIBLE AS ROUTED - see ROUTE CHECK",IF(($B$33-NOW())*24&lt;24,"TIGHT - short-notice filing required","FEASIBLE"))))</f>
        <v>NOT FEASIBLE AS ROUTED - see ROUTE CHECK</v>
      </c>
    </row>
    <row r="37" spans="1:10" x14ac:dyDescent="0.3">
      <c r="A37" s="25" t="s">
        <v>4776</v>
      </c>
      <c r="B37" s="25"/>
      <c r="C37" s="25"/>
      <c r="D37" s="25"/>
      <c r="E37" s="25"/>
      <c r="F37" s="25"/>
      <c r="G37" s="25"/>
      <c r="H37" s="25"/>
    </row>
    <row r="38" spans="1:10" x14ac:dyDescent="0.3">
      <c r="A38" s="33" t="s">
        <v>4518</v>
      </c>
      <c r="B38" s="33" t="s">
        <v>4314</v>
      </c>
      <c r="C38" s="33" t="s">
        <v>4505</v>
      </c>
      <c r="D38" s="33" t="s">
        <v>4777</v>
      </c>
      <c r="E38" s="33" t="s">
        <v>4514</v>
      </c>
      <c r="F38" s="33" t="s">
        <v>4520</v>
      </c>
      <c r="G38" s="33" t="s">
        <v>4778</v>
      </c>
      <c r="H38" s="33" t="s">
        <v>4311</v>
      </c>
      <c r="J38" s="27" t="s">
        <v>4695</v>
      </c>
    </row>
    <row r="39" spans="1:10" x14ac:dyDescent="0.3">
      <c r="A39">
        <f>IF(ROW()-38&gt;$B$31+2+IF($AA$9&lt;&gt;$AA$10,1,0),"",ROW()-38)</f>
        <v>1</v>
      </c>
      <c r="B39" t="str">
        <f>IF($A39="","",IFERROR(INDEX(countries!$B:$B,MATCH($C39,countries!$D:$D,0)),$C39))</f>
        <v>Sudan</v>
      </c>
      <c r="C39" t="str">
        <f>IF($A39="","",IF($J39="OVF",INDEX(fiq_calc!$Q$2:$Q$143,MATCH($A39,fiq_calc!$U$2:$U$143,0)),IF($J39="GH (DEPARTURE)",$AA$9,$AA$10)))</f>
        <v>SDN</v>
      </c>
      <c r="D39" t="str">
        <f>IF($A39="","",$J39)</f>
        <v>OVF</v>
      </c>
      <c r="E39" s="43">
        <f>IF($A39="","",IF(LEFT($J39,2)="GH",$B$21,IFERROR(IF(INDEX(countries!$I:$I,MATCH($C39,countries!$D:$D,0))=0,$B$20,INDEX(countries!$I:$I,MATCH($C39,countries!$D:$D,0))),$B$20)))</f>
        <v>72</v>
      </c>
      <c r="F39" s="41">
        <f>IF(OR($A39="",$B$29=""),"",$B$29-$E39/24)</f>
        <v>46245.375</v>
      </c>
      <c r="G39" s="42">
        <f ca="1">IF($F39="","",ROUND(($F39-NOW())*24,1))</f>
        <v>42.3</v>
      </c>
      <c r="H39" t="str">
        <f ca="1">IF($A39="","",IF($G39&lt;0,"TOO LATE FOR STANDARD FILING",IF($G39&lt;24,"URGENT - SHORT NOTICE","OK")))</f>
        <v>OK</v>
      </c>
      <c r="J39" t="str">
        <f>IF($A39="","",IF($A39&lt;=$B$31,"OVF",IF($A39=$B$31+1,"LDG",IF($A39=$B$31+2,"GH (DESTINATION)","GH (DEPARTURE)"))))</f>
        <v>OVF</v>
      </c>
    </row>
    <row r="40" spans="1:10" x14ac:dyDescent="0.3">
      <c r="A40">
        <f t="shared" ref="A40:A78" si="3">IF(ROW()-38&gt;$B$31+2+IF($AA$9&lt;&gt;$AA$10,1,0),"",ROW()-38)</f>
        <v>2</v>
      </c>
      <c r="B40" t="str">
        <f>IF($A40="","",IFERROR(INDEX(countries!$B:$B,MATCH($C40,countries!$D:$D,0)),$C40))</f>
        <v>South Sudan</v>
      </c>
      <c r="C40" t="str">
        <f>IF($A40="","",IF($J40="OVF",INDEX(fiq_calc!$Q$2:$Q$143,MATCH($A40,fiq_calc!$U$2:$U$143,0)),IF($J40="GH (DEPARTURE)",$AA$9,$AA$10)))</f>
        <v>SSD</v>
      </c>
      <c r="D40" t="str">
        <f t="shared" ref="D40:D78" si="4">IF($A40="","",$J40)</f>
        <v>OVF</v>
      </c>
      <c r="E40" s="43">
        <f>IF($A40="","",IF(LEFT($J40,2)="GH",$B$21,IFERROR(IF(INDEX(countries!$I:$I,MATCH($C40,countries!$D:$D,0))=0,$B$20,INDEX(countries!$I:$I,MATCH($C40,countries!$D:$D,0))),$B$20)))</f>
        <v>72</v>
      </c>
      <c r="F40" s="41">
        <f t="shared" ref="F40:F78" si="5">IF(OR($A40="",$B$29=""),"",$B$29-$E40/24)</f>
        <v>46245.375</v>
      </c>
      <c r="G40" s="42">
        <f t="shared" ref="G40:G78" ca="1" si="6">IF($F40="","",ROUND(($F40-NOW())*24,1))</f>
        <v>42.3</v>
      </c>
      <c r="H40" t="str">
        <f t="shared" ref="H40:H78" ca="1" si="7">IF($A40="","",IF($G40&lt;0,"TOO LATE FOR STANDARD FILING",IF($G40&lt;24,"URGENT - SHORT NOTICE","OK")))</f>
        <v>OK</v>
      </c>
      <c r="J40" t="str">
        <f t="shared" ref="J40:J78" si="8">IF($A40="","",IF($A40&lt;=$B$31,"OVF",IF($A40=$B$31+1,"LDG",IF($A40=$B$31+2,"GH (DESTINATION)","GH (DEPARTURE)"))))</f>
        <v>OVF</v>
      </c>
    </row>
    <row r="41" spans="1:10" x14ac:dyDescent="0.3">
      <c r="A41">
        <f t="shared" si="3"/>
        <v>3</v>
      </c>
      <c r="B41" t="str">
        <f>IF($A41="","",IFERROR(INDEX(countries!$B:$B,MATCH($C41,countries!$D:$D,0)),$C41))</f>
        <v>Democratic Republic of the Congo</v>
      </c>
      <c r="C41" t="str">
        <f>IF($A41="","",IF($J41="OVF",INDEX(fiq_calc!$Q$2:$Q$143,MATCH($A41,fiq_calc!$U$2:$U$143,0)),IF($J41="GH (DEPARTURE)",$AA$9,$AA$10)))</f>
        <v>COD</v>
      </c>
      <c r="D41" t="str">
        <f t="shared" si="4"/>
        <v>OVF</v>
      </c>
      <c r="E41" s="43">
        <f>IF($A41="","",IF(LEFT($J41,2)="GH",$B$21,IFERROR(IF(INDEX(countries!$I:$I,MATCH($C41,countries!$D:$D,0))=0,$B$20,INDEX(countries!$I:$I,MATCH($C41,countries!$D:$D,0))),$B$20)))</f>
        <v>72</v>
      </c>
      <c r="F41" s="41">
        <f t="shared" si="5"/>
        <v>46245.375</v>
      </c>
      <c r="G41" s="42">
        <f t="shared" ca="1" si="6"/>
        <v>42.3</v>
      </c>
      <c r="H41" t="str">
        <f t="shared" ca="1" si="7"/>
        <v>OK</v>
      </c>
      <c r="J41" t="str">
        <f t="shared" si="8"/>
        <v>OVF</v>
      </c>
    </row>
    <row r="42" spans="1:10" x14ac:dyDescent="0.3">
      <c r="A42">
        <f t="shared" si="3"/>
        <v>4</v>
      </c>
      <c r="B42" t="str">
        <f>IF($A42="","",IFERROR(INDEX(countries!$B:$B,MATCH($C42,countries!$D:$D,0)),$C42))</f>
        <v>Rwanda</v>
      </c>
      <c r="C42" t="str">
        <f>IF($A42="","",IF($J42="OVF",INDEX(fiq_calc!$Q$2:$Q$143,MATCH($A42,fiq_calc!$U$2:$U$143,0)),IF($J42="GH (DEPARTURE)",$AA$9,$AA$10)))</f>
        <v>RWA</v>
      </c>
      <c r="D42" t="str">
        <f t="shared" si="4"/>
        <v>OVF</v>
      </c>
      <c r="E42" s="43">
        <f>IF($A42="","",IF(LEFT($J42,2)="GH",$B$21,IFERROR(IF(INDEX(countries!$I:$I,MATCH($C42,countries!$D:$D,0))=0,$B$20,INDEX(countries!$I:$I,MATCH($C42,countries!$D:$D,0))),$B$20)))</f>
        <v>72</v>
      </c>
      <c r="F42" s="41">
        <f t="shared" si="5"/>
        <v>46245.375</v>
      </c>
      <c r="G42" s="42">
        <f t="shared" ca="1" si="6"/>
        <v>42.3</v>
      </c>
      <c r="H42" t="str">
        <f t="shared" ca="1" si="7"/>
        <v>OK</v>
      </c>
      <c r="J42" t="str">
        <f t="shared" si="8"/>
        <v>OVF</v>
      </c>
    </row>
    <row r="43" spans="1:10" x14ac:dyDescent="0.3">
      <c r="A43">
        <f t="shared" si="3"/>
        <v>5</v>
      </c>
      <c r="B43" t="str">
        <f>IF($A43="","",IFERROR(INDEX(countries!$B:$B,MATCH($C43,countries!$D:$D,0)),$C43))</f>
        <v>Zambia</v>
      </c>
      <c r="C43" t="str">
        <f>IF($A43="","",IF($J43="OVF",INDEX(fiq_calc!$Q$2:$Q$143,MATCH($A43,fiq_calc!$U$2:$U$143,0)),IF($J43="GH (DEPARTURE)",$AA$9,$AA$10)))</f>
        <v>ZMB</v>
      </c>
      <c r="D43" t="str">
        <f t="shared" si="4"/>
        <v>OVF</v>
      </c>
      <c r="E43" s="43">
        <f>IF($A43="","",IF(LEFT($J43,2)="GH",$B$21,IFERROR(IF(INDEX(countries!$I:$I,MATCH($C43,countries!$D:$D,0))=0,$B$20,INDEX(countries!$I:$I,MATCH($C43,countries!$D:$D,0))),$B$20)))</f>
        <v>72</v>
      </c>
      <c r="F43" s="41">
        <f t="shared" si="5"/>
        <v>46245.375</v>
      </c>
      <c r="G43" s="42">
        <f t="shared" ca="1" si="6"/>
        <v>42.3</v>
      </c>
      <c r="H43" t="str">
        <f t="shared" ca="1" si="7"/>
        <v>OK</v>
      </c>
      <c r="J43" t="str">
        <f t="shared" si="8"/>
        <v>OVF</v>
      </c>
    </row>
    <row r="44" spans="1:10" x14ac:dyDescent="0.3">
      <c r="A44">
        <f t="shared" si="3"/>
        <v>6</v>
      </c>
      <c r="B44" t="str">
        <f>IF($A44="","",IFERROR(INDEX(countries!$B:$B,MATCH($C44,countries!$D:$D,0)),$C44))</f>
        <v>Zimbabwe</v>
      </c>
      <c r="C44" t="str">
        <f>IF($A44="","",IF($J44="OVF",INDEX(fiq_calc!$Q$2:$Q$143,MATCH($A44,fiq_calc!$U$2:$U$143,0)),IF($J44="GH (DEPARTURE)",$AA$9,$AA$10)))</f>
        <v>ZWE</v>
      </c>
      <c r="D44" t="str">
        <f t="shared" si="4"/>
        <v>OVF</v>
      </c>
      <c r="E44" s="43">
        <f>IF($A44="","",IF(LEFT($J44,2)="GH",$B$21,IFERROR(IF(INDEX(countries!$I:$I,MATCH($C44,countries!$D:$D,0))=0,$B$20,INDEX(countries!$I:$I,MATCH($C44,countries!$D:$D,0))),$B$20)))</f>
        <v>72</v>
      </c>
      <c r="F44" s="41">
        <f t="shared" si="5"/>
        <v>46245.375</v>
      </c>
      <c r="G44" s="42">
        <f t="shared" ca="1" si="6"/>
        <v>42.3</v>
      </c>
      <c r="H44" t="str">
        <f t="shared" ca="1" si="7"/>
        <v>OK</v>
      </c>
      <c r="J44" t="str">
        <f t="shared" si="8"/>
        <v>OVF</v>
      </c>
    </row>
    <row r="45" spans="1:10" x14ac:dyDescent="0.3">
      <c r="A45">
        <f t="shared" si="3"/>
        <v>7</v>
      </c>
      <c r="B45" t="str">
        <f>IF($A45="","",IFERROR(INDEX(countries!$B:$B,MATCH($C45,countries!$D:$D,0)),$C45))</f>
        <v>Botswana</v>
      </c>
      <c r="C45" t="str">
        <f>IF($A45="","",IF($J45="OVF",INDEX(fiq_calc!$Q$2:$Q$143,MATCH($A45,fiq_calc!$U$2:$U$143,0)),IF($J45="GH (DEPARTURE)",$AA$9,$AA$10)))</f>
        <v>BWA</v>
      </c>
      <c r="D45" t="str">
        <f t="shared" si="4"/>
        <v>OVF</v>
      </c>
      <c r="E45" s="43">
        <f>IF($A45="","",IF(LEFT($J45,2)="GH",$B$21,IFERROR(IF(INDEX(countries!$I:$I,MATCH($C45,countries!$D:$D,0))=0,$B$20,INDEX(countries!$I:$I,MATCH($C45,countries!$D:$D,0))),$B$20)))</f>
        <v>72</v>
      </c>
      <c r="F45" s="41">
        <f t="shared" si="5"/>
        <v>46245.375</v>
      </c>
      <c r="G45" s="42">
        <f t="shared" ca="1" si="6"/>
        <v>42.3</v>
      </c>
      <c r="H45" t="str">
        <f t="shared" ca="1" si="7"/>
        <v>OK</v>
      </c>
      <c r="J45" t="str">
        <f t="shared" si="8"/>
        <v>OVF</v>
      </c>
    </row>
    <row r="46" spans="1:10" x14ac:dyDescent="0.3">
      <c r="A46">
        <f t="shared" si="3"/>
        <v>8</v>
      </c>
      <c r="B46" t="str">
        <f>IF($A46="","",IFERROR(INDEX(countries!$B:$B,MATCH($C46,countries!$D:$D,0)),$C46))</f>
        <v>South Africa</v>
      </c>
      <c r="C46" t="str">
        <f>IF($A46="","",IF($J46="OVF",INDEX(fiq_calc!$Q$2:$Q$143,MATCH($A46,fiq_calc!$U$2:$U$143,0)),IF($J46="GH (DEPARTURE)",$AA$9,$AA$10)))</f>
        <v>ZAF</v>
      </c>
      <c r="D46" t="str">
        <f t="shared" si="4"/>
        <v>LDG</v>
      </c>
      <c r="E46" s="43">
        <f>IF($A46="","",IF(LEFT($J46,2)="GH",$B$21,IFERROR(IF(INDEX(countries!$I:$I,MATCH($C46,countries!$D:$D,0))=0,$B$20,INDEX(countries!$I:$I,MATCH($C46,countries!$D:$D,0))),$B$20)))</f>
        <v>72</v>
      </c>
      <c r="F46" s="41">
        <f t="shared" si="5"/>
        <v>46245.375</v>
      </c>
      <c r="G46" s="42">
        <f t="shared" ca="1" si="6"/>
        <v>42.3</v>
      </c>
      <c r="H46" t="str">
        <f t="shared" ca="1" si="7"/>
        <v>OK</v>
      </c>
      <c r="J46" t="str">
        <f t="shared" si="8"/>
        <v>LDG</v>
      </c>
    </row>
    <row r="47" spans="1:10" x14ac:dyDescent="0.3">
      <c r="A47">
        <f t="shared" si="3"/>
        <v>9</v>
      </c>
      <c r="B47" t="str">
        <f>IF($A47="","",IFERROR(INDEX(countries!$B:$B,MATCH($C47,countries!$D:$D,0)),$C47))</f>
        <v>South Africa</v>
      </c>
      <c r="C47" t="str">
        <f>IF($A47="","",IF($J47="OVF",INDEX(fiq_calc!$Q$2:$Q$143,MATCH($A47,fiq_calc!$U$2:$U$143,0)),IF($J47="GH (DEPARTURE)",$AA$9,$AA$10)))</f>
        <v>ZAF</v>
      </c>
      <c r="D47" t="str">
        <f t="shared" si="4"/>
        <v>GH (DESTINATION)</v>
      </c>
      <c r="E47" s="43">
        <f>IF($A47="","",IF(LEFT($J47,2)="GH",$B$21,IFERROR(IF(INDEX(countries!$I:$I,MATCH($C47,countries!$D:$D,0))=0,$B$20,INDEX(countries!$I:$I,MATCH($C47,countries!$D:$D,0))),$B$20)))</f>
        <v>24</v>
      </c>
      <c r="F47" s="41">
        <f t="shared" si="5"/>
        <v>46247.375</v>
      </c>
      <c r="G47" s="42">
        <f t="shared" ca="1" si="6"/>
        <v>90.3</v>
      </c>
      <c r="H47" t="str">
        <f t="shared" ca="1" si="7"/>
        <v>OK</v>
      </c>
      <c r="J47" t="str">
        <f t="shared" si="8"/>
        <v>GH (DESTINATION)</v>
      </c>
    </row>
    <row r="48" spans="1:10" x14ac:dyDescent="0.3">
      <c r="A48">
        <f t="shared" si="3"/>
        <v>10</v>
      </c>
      <c r="B48" t="str">
        <f>IF($A48="","",IFERROR(INDEX(countries!$B:$B,MATCH($C48,countries!$D:$D,0)),$C48))</f>
        <v>Egypt</v>
      </c>
      <c r="C48" t="str">
        <f>IF($A48="","",IF($J48="OVF",INDEX(fiq_calc!$Q$2:$Q$143,MATCH($A48,fiq_calc!$U$2:$U$143,0)),IF($J48="GH (DEPARTURE)",$AA$9,$AA$10)))</f>
        <v>EGY</v>
      </c>
      <c r="D48" t="str">
        <f t="shared" si="4"/>
        <v>GH (DEPARTURE)</v>
      </c>
      <c r="E48" s="43">
        <f>IF($A48="","",IF(LEFT($J48,2)="GH",$B$21,IFERROR(IF(INDEX(countries!$I:$I,MATCH($C48,countries!$D:$D,0))=0,$B$20,INDEX(countries!$I:$I,MATCH($C48,countries!$D:$D,0))),$B$20)))</f>
        <v>24</v>
      </c>
      <c r="F48" s="41">
        <f t="shared" si="5"/>
        <v>46247.375</v>
      </c>
      <c r="G48" s="42">
        <f t="shared" ca="1" si="6"/>
        <v>90.3</v>
      </c>
      <c r="H48" t="str">
        <f t="shared" ca="1" si="7"/>
        <v>OK</v>
      </c>
      <c r="J48" t="str">
        <f t="shared" si="8"/>
        <v>GH (DEPARTURE)</v>
      </c>
    </row>
    <row r="49" spans="1:10" x14ac:dyDescent="0.3">
      <c r="A49" t="str">
        <f t="shared" si="3"/>
        <v/>
      </c>
      <c r="B49" t="str">
        <f>IF($A49="","",IFERROR(INDEX(countries!$B:$B,MATCH($C49,countries!$D:$D,0)),$C49))</f>
        <v/>
      </c>
      <c r="C49" t="str">
        <f>IF($A49="","",IF($J49="OVF",INDEX(fiq_calc!$Q$2:$Q$143,MATCH($A49,fiq_calc!$U$2:$U$143,0)),IF($J49="GH (DEPARTURE)",$AA$9,$AA$10)))</f>
        <v/>
      </c>
      <c r="D49" t="str">
        <f t="shared" si="4"/>
        <v/>
      </c>
      <c r="E49" s="43" t="str">
        <f>IF($A49="","",IF(LEFT($J49,2)="GH",$B$21,IFERROR(IF(INDEX(countries!$I:$I,MATCH($C49,countries!$D:$D,0))=0,$B$20,INDEX(countries!$I:$I,MATCH($C49,countries!$D:$D,0))),$B$20)))</f>
        <v/>
      </c>
      <c r="F49" s="41" t="str">
        <f t="shared" si="5"/>
        <v/>
      </c>
      <c r="G49" s="42" t="str">
        <f t="shared" ca="1" si="6"/>
        <v/>
      </c>
      <c r="H49" t="str">
        <f t="shared" si="7"/>
        <v/>
      </c>
      <c r="J49" t="str">
        <f t="shared" si="8"/>
        <v/>
      </c>
    </row>
    <row r="50" spans="1:10" x14ac:dyDescent="0.3">
      <c r="A50" t="str">
        <f t="shared" si="3"/>
        <v/>
      </c>
      <c r="B50" t="str">
        <f>IF($A50="","",IFERROR(INDEX(countries!$B:$B,MATCH($C50,countries!$D:$D,0)),$C50))</f>
        <v/>
      </c>
      <c r="C50" t="str">
        <f>IF($A50="","",IF($J50="OVF",INDEX(fiq_calc!$Q$2:$Q$143,MATCH($A50,fiq_calc!$U$2:$U$143,0)),IF($J50="GH (DEPARTURE)",$AA$9,$AA$10)))</f>
        <v/>
      </c>
      <c r="D50" t="str">
        <f t="shared" si="4"/>
        <v/>
      </c>
      <c r="E50" s="43" t="str">
        <f>IF($A50="","",IF(LEFT($J50,2)="GH",$B$21,IFERROR(IF(INDEX(countries!$I:$I,MATCH($C50,countries!$D:$D,0))=0,$B$20,INDEX(countries!$I:$I,MATCH($C50,countries!$D:$D,0))),$B$20)))</f>
        <v/>
      </c>
      <c r="F50" s="41" t="str">
        <f t="shared" si="5"/>
        <v/>
      </c>
      <c r="G50" s="42" t="str">
        <f t="shared" ca="1" si="6"/>
        <v/>
      </c>
      <c r="H50" t="str">
        <f t="shared" si="7"/>
        <v/>
      </c>
      <c r="J50" t="str">
        <f t="shared" si="8"/>
        <v/>
      </c>
    </row>
    <row r="51" spans="1:10" x14ac:dyDescent="0.3">
      <c r="A51" t="str">
        <f t="shared" si="3"/>
        <v/>
      </c>
      <c r="B51" t="str">
        <f>IF($A51="","",IFERROR(INDEX(countries!$B:$B,MATCH($C51,countries!$D:$D,0)),$C51))</f>
        <v/>
      </c>
      <c r="C51" t="str">
        <f>IF($A51="","",IF($J51="OVF",INDEX(fiq_calc!$Q$2:$Q$143,MATCH($A51,fiq_calc!$U$2:$U$143,0)),IF($J51="GH (DEPARTURE)",$AA$9,$AA$10)))</f>
        <v/>
      </c>
      <c r="D51" t="str">
        <f t="shared" si="4"/>
        <v/>
      </c>
      <c r="E51" s="43" t="str">
        <f>IF($A51="","",IF(LEFT($J51,2)="GH",$B$21,IFERROR(IF(INDEX(countries!$I:$I,MATCH($C51,countries!$D:$D,0))=0,$B$20,INDEX(countries!$I:$I,MATCH($C51,countries!$D:$D,0))),$B$20)))</f>
        <v/>
      </c>
      <c r="F51" s="41" t="str">
        <f t="shared" si="5"/>
        <v/>
      </c>
      <c r="G51" s="42" t="str">
        <f t="shared" ca="1" si="6"/>
        <v/>
      </c>
      <c r="H51" t="str">
        <f t="shared" si="7"/>
        <v/>
      </c>
      <c r="J51" t="str">
        <f t="shared" si="8"/>
        <v/>
      </c>
    </row>
    <row r="52" spans="1:10" x14ac:dyDescent="0.3">
      <c r="A52" t="str">
        <f t="shared" si="3"/>
        <v/>
      </c>
      <c r="B52" t="str">
        <f>IF($A52="","",IFERROR(INDEX(countries!$B:$B,MATCH($C52,countries!$D:$D,0)),$C52))</f>
        <v/>
      </c>
      <c r="C52" t="str">
        <f>IF($A52="","",IF($J52="OVF",INDEX(fiq_calc!$Q$2:$Q$143,MATCH($A52,fiq_calc!$U$2:$U$143,0)),IF($J52="GH (DEPARTURE)",$AA$9,$AA$10)))</f>
        <v/>
      </c>
      <c r="D52" t="str">
        <f t="shared" si="4"/>
        <v/>
      </c>
      <c r="E52" s="43" t="str">
        <f>IF($A52="","",IF(LEFT($J52,2)="GH",$B$21,IFERROR(IF(INDEX(countries!$I:$I,MATCH($C52,countries!$D:$D,0))=0,$B$20,INDEX(countries!$I:$I,MATCH($C52,countries!$D:$D,0))),$B$20)))</f>
        <v/>
      </c>
      <c r="F52" s="41" t="str">
        <f t="shared" si="5"/>
        <v/>
      </c>
      <c r="G52" s="42" t="str">
        <f t="shared" ca="1" si="6"/>
        <v/>
      </c>
      <c r="H52" t="str">
        <f t="shared" si="7"/>
        <v/>
      </c>
      <c r="J52" t="str">
        <f t="shared" si="8"/>
        <v/>
      </c>
    </row>
    <row r="53" spans="1:10" x14ac:dyDescent="0.3">
      <c r="A53" t="str">
        <f t="shared" si="3"/>
        <v/>
      </c>
      <c r="B53" t="str">
        <f>IF($A53="","",IFERROR(INDEX(countries!$B:$B,MATCH($C53,countries!$D:$D,0)),$C53))</f>
        <v/>
      </c>
      <c r="C53" t="str">
        <f>IF($A53="","",IF($J53="OVF",INDEX(fiq_calc!$Q$2:$Q$143,MATCH($A53,fiq_calc!$U$2:$U$143,0)),IF($J53="GH (DEPARTURE)",$AA$9,$AA$10)))</f>
        <v/>
      </c>
      <c r="D53" t="str">
        <f t="shared" si="4"/>
        <v/>
      </c>
      <c r="E53" s="43" t="str">
        <f>IF($A53="","",IF(LEFT($J53,2)="GH",$B$21,IFERROR(IF(INDEX(countries!$I:$I,MATCH($C53,countries!$D:$D,0))=0,$B$20,INDEX(countries!$I:$I,MATCH($C53,countries!$D:$D,0))),$B$20)))</f>
        <v/>
      </c>
      <c r="F53" s="41" t="str">
        <f t="shared" si="5"/>
        <v/>
      </c>
      <c r="G53" s="42" t="str">
        <f t="shared" ca="1" si="6"/>
        <v/>
      </c>
      <c r="H53" t="str">
        <f t="shared" si="7"/>
        <v/>
      </c>
      <c r="J53" t="str">
        <f t="shared" si="8"/>
        <v/>
      </c>
    </row>
    <row r="54" spans="1:10" x14ac:dyDescent="0.3">
      <c r="A54" t="str">
        <f t="shared" si="3"/>
        <v/>
      </c>
      <c r="B54" t="str">
        <f>IF($A54="","",IFERROR(INDEX(countries!$B:$B,MATCH($C54,countries!$D:$D,0)),$C54))</f>
        <v/>
      </c>
      <c r="C54" t="str">
        <f>IF($A54="","",IF($J54="OVF",INDEX(fiq_calc!$Q$2:$Q$143,MATCH($A54,fiq_calc!$U$2:$U$143,0)),IF($J54="GH (DEPARTURE)",$AA$9,$AA$10)))</f>
        <v/>
      </c>
      <c r="D54" t="str">
        <f t="shared" si="4"/>
        <v/>
      </c>
      <c r="E54" s="43" t="str">
        <f>IF($A54="","",IF(LEFT($J54,2)="GH",$B$21,IFERROR(IF(INDEX(countries!$I:$I,MATCH($C54,countries!$D:$D,0))=0,$B$20,INDEX(countries!$I:$I,MATCH($C54,countries!$D:$D,0))),$B$20)))</f>
        <v/>
      </c>
      <c r="F54" s="41" t="str">
        <f t="shared" si="5"/>
        <v/>
      </c>
      <c r="G54" s="42" t="str">
        <f t="shared" ca="1" si="6"/>
        <v/>
      </c>
      <c r="H54" t="str">
        <f t="shared" si="7"/>
        <v/>
      </c>
      <c r="J54" t="str">
        <f t="shared" si="8"/>
        <v/>
      </c>
    </row>
    <row r="55" spans="1:10" x14ac:dyDescent="0.3">
      <c r="A55" t="str">
        <f t="shared" si="3"/>
        <v/>
      </c>
      <c r="B55" t="str">
        <f>IF($A55="","",IFERROR(INDEX(countries!$B:$B,MATCH($C55,countries!$D:$D,0)),$C55))</f>
        <v/>
      </c>
      <c r="C55" t="str">
        <f>IF($A55="","",IF($J55="OVF",INDEX(fiq_calc!$Q$2:$Q$143,MATCH($A55,fiq_calc!$U$2:$U$143,0)),IF($J55="GH (DEPARTURE)",$AA$9,$AA$10)))</f>
        <v/>
      </c>
      <c r="D55" t="str">
        <f t="shared" si="4"/>
        <v/>
      </c>
      <c r="E55" s="43" t="str">
        <f>IF($A55="","",IF(LEFT($J55,2)="GH",$B$21,IFERROR(IF(INDEX(countries!$I:$I,MATCH($C55,countries!$D:$D,0))=0,$B$20,INDEX(countries!$I:$I,MATCH($C55,countries!$D:$D,0))),$B$20)))</f>
        <v/>
      </c>
      <c r="F55" s="41" t="str">
        <f t="shared" si="5"/>
        <v/>
      </c>
      <c r="G55" s="42" t="str">
        <f t="shared" ca="1" si="6"/>
        <v/>
      </c>
      <c r="H55" t="str">
        <f t="shared" si="7"/>
        <v/>
      </c>
      <c r="J55" t="str">
        <f t="shared" si="8"/>
        <v/>
      </c>
    </row>
    <row r="56" spans="1:10" x14ac:dyDescent="0.3">
      <c r="A56" t="str">
        <f t="shared" si="3"/>
        <v/>
      </c>
      <c r="B56" t="str">
        <f>IF($A56="","",IFERROR(INDEX(countries!$B:$B,MATCH($C56,countries!$D:$D,0)),$C56))</f>
        <v/>
      </c>
      <c r="C56" t="str">
        <f>IF($A56="","",IF($J56="OVF",INDEX(fiq_calc!$Q$2:$Q$143,MATCH($A56,fiq_calc!$U$2:$U$143,0)),IF($J56="GH (DEPARTURE)",$AA$9,$AA$10)))</f>
        <v/>
      </c>
      <c r="D56" t="str">
        <f t="shared" si="4"/>
        <v/>
      </c>
      <c r="E56" s="43" t="str">
        <f>IF($A56="","",IF(LEFT($J56,2)="GH",$B$21,IFERROR(IF(INDEX(countries!$I:$I,MATCH($C56,countries!$D:$D,0))=0,$B$20,INDEX(countries!$I:$I,MATCH($C56,countries!$D:$D,0))),$B$20)))</f>
        <v/>
      </c>
      <c r="F56" s="41" t="str">
        <f t="shared" si="5"/>
        <v/>
      </c>
      <c r="G56" s="42" t="str">
        <f t="shared" ca="1" si="6"/>
        <v/>
      </c>
      <c r="H56" t="str">
        <f t="shared" si="7"/>
        <v/>
      </c>
      <c r="J56" t="str">
        <f t="shared" si="8"/>
        <v/>
      </c>
    </row>
    <row r="57" spans="1:10" x14ac:dyDescent="0.3">
      <c r="A57" t="str">
        <f t="shared" si="3"/>
        <v/>
      </c>
      <c r="B57" t="str">
        <f>IF($A57="","",IFERROR(INDEX(countries!$B:$B,MATCH($C57,countries!$D:$D,0)),$C57))</f>
        <v/>
      </c>
      <c r="C57" t="str">
        <f>IF($A57="","",IF($J57="OVF",INDEX(fiq_calc!$Q$2:$Q$143,MATCH($A57,fiq_calc!$U$2:$U$143,0)),IF($J57="GH (DEPARTURE)",$AA$9,$AA$10)))</f>
        <v/>
      </c>
      <c r="D57" t="str">
        <f t="shared" si="4"/>
        <v/>
      </c>
      <c r="E57" s="43" t="str">
        <f>IF($A57="","",IF(LEFT($J57,2)="GH",$B$21,IFERROR(IF(INDEX(countries!$I:$I,MATCH($C57,countries!$D:$D,0))=0,$B$20,INDEX(countries!$I:$I,MATCH($C57,countries!$D:$D,0))),$B$20)))</f>
        <v/>
      </c>
      <c r="F57" s="41" t="str">
        <f t="shared" si="5"/>
        <v/>
      </c>
      <c r="G57" s="42" t="str">
        <f t="shared" ca="1" si="6"/>
        <v/>
      </c>
      <c r="H57" t="str">
        <f t="shared" si="7"/>
        <v/>
      </c>
      <c r="J57" t="str">
        <f t="shared" si="8"/>
        <v/>
      </c>
    </row>
    <row r="58" spans="1:10" x14ac:dyDescent="0.3">
      <c r="A58" t="str">
        <f t="shared" si="3"/>
        <v/>
      </c>
      <c r="B58" t="str">
        <f>IF($A58="","",IFERROR(INDEX(countries!$B:$B,MATCH($C58,countries!$D:$D,0)),$C58))</f>
        <v/>
      </c>
      <c r="C58" t="str">
        <f>IF($A58="","",IF($J58="OVF",INDEX(fiq_calc!$Q$2:$Q$143,MATCH($A58,fiq_calc!$U$2:$U$143,0)),IF($J58="GH (DEPARTURE)",$AA$9,$AA$10)))</f>
        <v/>
      </c>
      <c r="D58" t="str">
        <f t="shared" si="4"/>
        <v/>
      </c>
      <c r="E58" s="43" t="str">
        <f>IF($A58="","",IF(LEFT($J58,2)="GH",$B$21,IFERROR(IF(INDEX(countries!$I:$I,MATCH($C58,countries!$D:$D,0))=0,$B$20,INDEX(countries!$I:$I,MATCH($C58,countries!$D:$D,0))),$B$20)))</f>
        <v/>
      </c>
      <c r="F58" s="41" t="str">
        <f t="shared" si="5"/>
        <v/>
      </c>
      <c r="G58" s="42" t="str">
        <f t="shared" ca="1" si="6"/>
        <v/>
      </c>
      <c r="H58" t="str">
        <f t="shared" si="7"/>
        <v/>
      </c>
      <c r="J58" t="str">
        <f t="shared" si="8"/>
        <v/>
      </c>
    </row>
    <row r="59" spans="1:10" x14ac:dyDescent="0.3">
      <c r="A59" t="str">
        <f t="shared" si="3"/>
        <v/>
      </c>
      <c r="B59" t="str">
        <f>IF($A59="","",IFERROR(INDEX(countries!$B:$B,MATCH($C59,countries!$D:$D,0)),$C59))</f>
        <v/>
      </c>
      <c r="C59" t="str">
        <f>IF($A59="","",IF($J59="OVF",INDEX(fiq_calc!$Q$2:$Q$143,MATCH($A59,fiq_calc!$U$2:$U$143,0)),IF($J59="GH (DEPARTURE)",$AA$9,$AA$10)))</f>
        <v/>
      </c>
      <c r="D59" t="str">
        <f t="shared" si="4"/>
        <v/>
      </c>
      <c r="E59" s="43" t="str">
        <f>IF($A59="","",IF(LEFT($J59,2)="GH",$B$21,IFERROR(IF(INDEX(countries!$I:$I,MATCH($C59,countries!$D:$D,0))=0,$B$20,INDEX(countries!$I:$I,MATCH($C59,countries!$D:$D,0))),$B$20)))</f>
        <v/>
      </c>
      <c r="F59" s="41" t="str">
        <f t="shared" si="5"/>
        <v/>
      </c>
      <c r="G59" s="42" t="str">
        <f t="shared" ca="1" si="6"/>
        <v/>
      </c>
      <c r="H59" t="str">
        <f t="shared" si="7"/>
        <v/>
      </c>
      <c r="J59" t="str">
        <f t="shared" si="8"/>
        <v/>
      </c>
    </row>
    <row r="60" spans="1:10" x14ac:dyDescent="0.3">
      <c r="A60" t="str">
        <f t="shared" si="3"/>
        <v/>
      </c>
      <c r="B60" t="str">
        <f>IF($A60="","",IFERROR(INDEX(countries!$B:$B,MATCH($C60,countries!$D:$D,0)),$C60))</f>
        <v/>
      </c>
      <c r="C60" t="str">
        <f>IF($A60="","",IF($J60="OVF",INDEX(fiq_calc!$Q$2:$Q$143,MATCH($A60,fiq_calc!$U$2:$U$143,0)),IF($J60="GH (DEPARTURE)",$AA$9,$AA$10)))</f>
        <v/>
      </c>
      <c r="D60" t="str">
        <f t="shared" si="4"/>
        <v/>
      </c>
      <c r="E60" s="43" t="str">
        <f>IF($A60="","",IF(LEFT($J60,2)="GH",$B$21,IFERROR(IF(INDEX(countries!$I:$I,MATCH($C60,countries!$D:$D,0))=0,$B$20,INDEX(countries!$I:$I,MATCH($C60,countries!$D:$D,0))),$B$20)))</f>
        <v/>
      </c>
      <c r="F60" s="41" t="str">
        <f t="shared" si="5"/>
        <v/>
      </c>
      <c r="G60" s="42" t="str">
        <f t="shared" ca="1" si="6"/>
        <v/>
      </c>
      <c r="H60" t="str">
        <f t="shared" si="7"/>
        <v/>
      </c>
      <c r="J60" t="str">
        <f t="shared" si="8"/>
        <v/>
      </c>
    </row>
    <row r="61" spans="1:10" x14ac:dyDescent="0.3">
      <c r="A61" t="str">
        <f t="shared" si="3"/>
        <v/>
      </c>
      <c r="B61" t="str">
        <f>IF($A61="","",IFERROR(INDEX(countries!$B:$B,MATCH($C61,countries!$D:$D,0)),$C61))</f>
        <v/>
      </c>
      <c r="C61" t="str">
        <f>IF($A61="","",IF($J61="OVF",INDEX(fiq_calc!$Q$2:$Q$143,MATCH($A61,fiq_calc!$U$2:$U$143,0)),IF($J61="GH (DEPARTURE)",$AA$9,$AA$10)))</f>
        <v/>
      </c>
      <c r="D61" t="str">
        <f t="shared" si="4"/>
        <v/>
      </c>
      <c r="E61" s="43" t="str">
        <f>IF($A61="","",IF(LEFT($J61,2)="GH",$B$21,IFERROR(IF(INDEX(countries!$I:$I,MATCH($C61,countries!$D:$D,0))=0,$B$20,INDEX(countries!$I:$I,MATCH($C61,countries!$D:$D,0))),$B$20)))</f>
        <v/>
      </c>
      <c r="F61" s="41" t="str">
        <f t="shared" si="5"/>
        <v/>
      </c>
      <c r="G61" s="42" t="str">
        <f t="shared" ca="1" si="6"/>
        <v/>
      </c>
      <c r="H61" t="str">
        <f t="shared" si="7"/>
        <v/>
      </c>
      <c r="J61" t="str">
        <f t="shared" si="8"/>
        <v/>
      </c>
    </row>
    <row r="62" spans="1:10" x14ac:dyDescent="0.3">
      <c r="A62" t="str">
        <f t="shared" si="3"/>
        <v/>
      </c>
      <c r="B62" t="str">
        <f>IF($A62="","",IFERROR(INDEX(countries!$B:$B,MATCH($C62,countries!$D:$D,0)),$C62))</f>
        <v/>
      </c>
      <c r="C62" t="str">
        <f>IF($A62="","",IF($J62="OVF",INDEX(fiq_calc!$Q$2:$Q$143,MATCH($A62,fiq_calc!$U$2:$U$143,0)),IF($J62="GH (DEPARTURE)",$AA$9,$AA$10)))</f>
        <v/>
      </c>
      <c r="D62" t="str">
        <f t="shared" si="4"/>
        <v/>
      </c>
      <c r="E62" s="43" t="str">
        <f>IF($A62="","",IF(LEFT($J62,2)="GH",$B$21,IFERROR(IF(INDEX(countries!$I:$I,MATCH($C62,countries!$D:$D,0))=0,$B$20,INDEX(countries!$I:$I,MATCH($C62,countries!$D:$D,0))),$B$20)))</f>
        <v/>
      </c>
      <c r="F62" s="41" t="str">
        <f t="shared" si="5"/>
        <v/>
      </c>
      <c r="G62" s="42" t="str">
        <f t="shared" ca="1" si="6"/>
        <v/>
      </c>
      <c r="H62" t="str">
        <f t="shared" si="7"/>
        <v/>
      </c>
      <c r="J62" t="str">
        <f t="shared" si="8"/>
        <v/>
      </c>
    </row>
    <row r="63" spans="1:10" x14ac:dyDescent="0.3">
      <c r="A63" t="str">
        <f t="shared" si="3"/>
        <v/>
      </c>
      <c r="B63" t="str">
        <f>IF($A63="","",IFERROR(INDEX(countries!$B:$B,MATCH($C63,countries!$D:$D,0)),$C63))</f>
        <v/>
      </c>
      <c r="C63" t="str">
        <f>IF($A63="","",IF($J63="OVF",INDEX(fiq_calc!$Q$2:$Q$143,MATCH($A63,fiq_calc!$U$2:$U$143,0)),IF($J63="GH (DEPARTURE)",$AA$9,$AA$10)))</f>
        <v/>
      </c>
      <c r="D63" t="str">
        <f t="shared" si="4"/>
        <v/>
      </c>
      <c r="E63" s="43" t="str">
        <f>IF($A63="","",IF(LEFT($J63,2)="GH",$B$21,IFERROR(IF(INDEX(countries!$I:$I,MATCH($C63,countries!$D:$D,0))=0,$B$20,INDEX(countries!$I:$I,MATCH($C63,countries!$D:$D,0))),$B$20)))</f>
        <v/>
      </c>
      <c r="F63" s="41" t="str">
        <f t="shared" si="5"/>
        <v/>
      </c>
      <c r="G63" s="42" t="str">
        <f t="shared" ca="1" si="6"/>
        <v/>
      </c>
      <c r="H63" t="str">
        <f t="shared" si="7"/>
        <v/>
      </c>
      <c r="J63" t="str">
        <f t="shared" si="8"/>
        <v/>
      </c>
    </row>
    <row r="64" spans="1:10" x14ac:dyDescent="0.3">
      <c r="A64" t="str">
        <f t="shared" si="3"/>
        <v/>
      </c>
      <c r="B64" t="str">
        <f>IF($A64="","",IFERROR(INDEX(countries!$B:$B,MATCH($C64,countries!$D:$D,0)),$C64))</f>
        <v/>
      </c>
      <c r="C64" t="str">
        <f>IF($A64="","",IF($J64="OVF",INDEX(fiq_calc!$Q$2:$Q$143,MATCH($A64,fiq_calc!$U$2:$U$143,0)),IF($J64="GH (DEPARTURE)",$AA$9,$AA$10)))</f>
        <v/>
      </c>
      <c r="D64" t="str">
        <f t="shared" si="4"/>
        <v/>
      </c>
      <c r="E64" s="43" t="str">
        <f>IF($A64="","",IF(LEFT($J64,2)="GH",$B$21,IFERROR(IF(INDEX(countries!$I:$I,MATCH($C64,countries!$D:$D,0))=0,$B$20,INDEX(countries!$I:$I,MATCH($C64,countries!$D:$D,0))),$B$20)))</f>
        <v/>
      </c>
      <c r="F64" s="41" t="str">
        <f t="shared" si="5"/>
        <v/>
      </c>
      <c r="G64" s="42" t="str">
        <f t="shared" ca="1" si="6"/>
        <v/>
      </c>
      <c r="H64" t="str">
        <f t="shared" si="7"/>
        <v/>
      </c>
      <c r="J64" t="str">
        <f t="shared" si="8"/>
        <v/>
      </c>
    </row>
    <row r="65" spans="1:10" x14ac:dyDescent="0.3">
      <c r="A65" t="str">
        <f t="shared" si="3"/>
        <v/>
      </c>
      <c r="B65" t="str">
        <f>IF($A65="","",IFERROR(INDEX(countries!$B:$B,MATCH($C65,countries!$D:$D,0)),$C65))</f>
        <v/>
      </c>
      <c r="C65" t="str">
        <f>IF($A65="","",IF($J65="OVF",INDEX(fiq_calc!$Q$2:$Q$143,MATCH($A65,fiq_calc!$U$2:$U$143,0)),IF($J65="GH (DEPARTURE)",$AA$9,$AA$10)))</f>
        <v/>
      </c>
      <c r="D65" t="str">
        <f t="shared" si="4"/>
        <v/>
      </c>
      <c r="E65" s="43" t="str">
        <f>IF($A65="","",IF(LEFT($J65,2)="GH",$B$21,IFERROR(IF(INDEX(countries!$I:$I,MATCH($C65,countries!$D:$D,0))=0,$B$20,INDEX(countries!$I:$I,MATCH($C65,countries!$D:$D,0))),$B$20)))</f>
        <v/>
      </c>
      <c r="F65" s="41" t="str">
        <f t="shared" si="5"/>
        <v/>
      </c>
      <c r="G65" s="42" t="str">
        <f t="shared" ca="1" si="6"/>
        <v/>
      </c>
      <c r="H65" t="str">
        <f t="shared" si="7"/>
        <v/>
      </c>
      <c r="J65" t="str">
        <f t="shared" si="8"/>
        <v/>
      </c>
    </row>
    <row r="66" spans="1:10" x14ac:dyDescent="0.3">
      <c r="A66" t="str">
        <f t="shared" si="3"/>
        <v/>
      </c>
      <c r="B66" t="str">
        <f>IF($A66="","",IFERROR(INDEX(countries!$B:$B,MATCH($C66,countries!$D:$D,0)),$C66))</f>
        <v/>
      </c>
      <c r="C66" t="str">
        <f>IF($A66="","",IF($J66="OVF",INDEX(fiq_calc!$Q$2:$Q$143,MATCH($A66,fiq_calc!$U$2:$U$143,0)),IF($J66="GH (DEPARTURE)",$AA$9,$AA$10)))</f>
        <v/>
      </c>
      <c r="D66" t="str">
        <f t="shared" si="4"/>
        <v/>
      </c>
      <c r="E66" s="43" t="str">
        <f>IF($A66="","",IF(LEFT($J66,2)="GH",$B$21,IFERROR(IF(INDEX(countries!$I:$I,MATCH($C66,countries!$D:$D,0))=0,$B$20,INDEX(countries!$I:$I,MATCH($C66,countries!$D:$D,0))),$B$20)))</f>
        <v/>
      </c>
      <c r="F66" s="41" t="str">
        <f t="shared" si="5"/>
        <v/>
      </c>
      <c r="G66" s="42" t="str">
        <f t="shared" ca="1" si="6"/>
        <v/>
      </c>
      <c r="H66" t="str">
        <f t="shared" si="7"/>
        <v/>
      </c>
      <c r="J66" t="str">
        <f t="shared" si="8"/>
        <v/>
      </c>
    </row>
    <row r="67" spans="1:10" x14ac:dyDescent="0.3">
      <c r="A67" t="str">
        <f t="shared" si="3"/>
        <v/>
      </c>
      <c r="B67" t="str">
        <f>IF($A67="","",IFERROR(INDEX(countries!$B:$B,MATCH($C67,countries!$D:$D,0)),$C67))</f>
        <v/>
      </c>
      <c r="C67" t="str">
        <f>IF($A67="","",IF($J67="OVF",INDEX(fiq_calc!$Q$2:$Q$143,MATCH($A67,fiq_calc!$U$2:$U$143,0)),IF($J67="GH (DEPARTURE)",$AA$9,$AA$10)))</f>
        <v/>
      </c>
      <c r="D67" t="str">
        <f t="shared" si="4"/>
        <v/>
      </c>
      <c r="E67" s="43" t="str">
        <f>IF($A67="","",IF(LEFT($J67,2)="GH",$B$21,IFERROR(IF(INDEX(countries!$I:$I,MATCH($C67,countries!$D:$D,0))=0,$B$20,INDEX(countries!$I:$I,MATCH($C67,countries!$D:$D,0))),$B$20)))</f>
        <v/>
      </c>
      <c r="F67" s="41" t="str">
        <f t="shared" si="5"/>
        <v/>
      </c>
      <c r="G67" s="42" t="str">
        <f t="shared" ca="1" si="6"/>
        <v/>
      </c>
      <c r="H67" t="str">
        <f t="shared" si="7"/>
        <v/>
      </c>
      <c r="J67" t="str">
        <f t="shared" si="8"/>
        <v/>
      </c>
    </row>
    <row r="68" spans="1:10" x14ac:dyDescent="0.3">
      <c r="A68" t="str">
        <f t="shared" si="3"/>
        <v/>
      </c>
      <c r="B68" t="str">
        <f>IF($A68="","",IFERROR(INDEX(countries!$B:$B,MATCH($C68,countries!$D:$D,0)),$C68))</f>
        <v/>
      </c>
      <c r="C68" t="str">
        <f>IF($A68="","",IF($J68="OVF",INDEX(fiq_calc!$Q$2:$Q$143,MATCH($A68,fiq_calc!$U$2:$U$143,0)),IF($J68="GH (DEPARTURE)",$AA$9,$AA$10)))</f>
        <v/>
      </c>
      <c r="D68" t="str">
        <f t="shared" si="4"/>
        <v/>
      </c>
      <c r="E68" s="43" t="str">
        <f>IF($A68="","",IF(LEFT($J68,2)="GH",$B$21,IFERROR(IF(INDEX(countries!$I:$I,MATCH($C68,countries!$D:$D,0))=0,$B$20,INDEX(countries!$I:$I,MATCH($C68,countries!$D:$D,0))),$B$20)))</f>
        <v/>
      </c>
      <c r="F68" s="41" t="str">
        <f t="shared" si="5"/>
        <v/>
      </c>
      <c r="G68" s="42" t="str">
        <f t="shared" ca="1" si="6"/>
        <v/>
      </c>
      <c r="H68" t="str">
        <f t="shared" si="7"/>
        <v/>
      </c>
      <c r="J68" t="str">
        <f t="shared" si="8"/>
        <v/>
      </c>
    </row>
    <row r="69" spans="1:10" x14ac:dyDescent="0.3">
      <c r="A69" t="str">
        <f t="shared" si="3"/>
        <v/>
      </c>
      <c r="B69" t="str">
        <f>IF($A69="","",IFERROR(INDEX(countries!$B:$B,MATCH($C69,countries!$D:$D,0)),$C69))</f>
        <v/>
      </c>
      <c r="C69" t="str">
        <f>IF($A69="","",IF($J69="OVF",INDEX(fiq_calc!$Q$2:$Q$143,MATCH($A69,fiq_calc!$U$2:$U$143,0)),IF($J69="GH (DEPARTURE)",$AA$9,$AA$10)))</f>
        <v/>
      </c>
      <c r="D69" t="str">
        <f t="shared" si="4"/>
        <v/>
      </c>
      <c r="E69" s="43" t="str">
        <f>IF($A69="","",IF(LEFT($J69,2)="GH",$B$21,IFERROR(IF(INDEX(countries!$I:$I,MATCH($C69,countries!$D:$D,0))=0,$B$20,INDEX(countries!$I:$I,MATCH($C69,countries!$D:$D,0))),$B$20)))</f>
        <v/>
      </c>
      <c r="F69" s="41" t="str">
        <f t="shared" si="5"/>
        <v/>
      </c>
      <c r="G69" s="42" t="str">
        <f t="shared" ca="1" si="6"/>
        <v/>
      </c>
      <c r="H69" t="str">
        <f t="shared" si="7"/>
        <v/>
      </c>
      <c r="J69" t="str">
        <f t="shared" si="8"/>
        <v/>
      </c>
    </row>
    <row r="70" spans="1:10" x14ac:dyDescent="0.3">
      <c r="A70" t="str">
        <f t="shared" si="3"/>
        <v/>
      </c>
      <c r="B70" t="str">
        <f>IF($A70="","",IFERROR(INDEX(countries!$B:$B,MATCH($C70,countries!$D:$D,0)),$C70))</f>
        <v/>
      </c>
      <c r="C70" t="str">
        <f>IF($A70="","",IF($J70="OVF",INDEX(fiq_calc!$Q$2:$Q$143,MATCH($A70,fiq_calc!$U$2:$U$143,0)),IF($J70="GH (DEPARTURE)",$AA$9,$AA$10)))</f>
        <v/>
      </c>
      <c r="D70" t="str">
        <f t="shared" si="4"/>
        <v/>
      </c>
      <c r="E70" s="43" t="str">
        <f>IF($A70="","",IF(LEFT($J70,2)="GH",$B$21,IFERROR(IF(INDEX(countries!$I:$I,MATCH($C70,countries!$D:$D,0))=0,$B$20,INDEX(countries!$I:$I,MATCH($C70,countries!$D:$D,0))),$B$20)))</f>
        <v/>
      </c>
      <c r="F70" s="41" t="str">
        <f t="shared" si="5"/>
        <v/>
      </c>
      <c r="G70" s="42" t="str">
        <f t="shared" ca="1" si="6"/>
        <v/>
      </c>
      <c r="H70" t="str">
        <f t="shared" si="7"/>
        <v/>
      </c>
      <c r="J70" t="str">
        <f t="shared" si="8"/>
        <v/>
      </c>
    </row>
    <row r="71" spans="1:10" x14ac:dyDescent="0.3">
      <c r="A71" t="str">
        <f t="shared" si="3"/>
        <v/>
      </c>
      <c r="B71" t="str">
        <f>IF($A71="","",IFERROR(INDEX(countries!$B:$B,MATCH($C71,countries!$D:$D,0)),$C71))</f>
        <v/>
      </c>
      <c r="C71" t="str">
        <f>IF($A71="","",IF($J71="OVF",INDEX(fiq_calc!$Q$2:$Q$143,MATCH($A71,fiq_calc!$U$2:$U$143,0)),IF($J71="GH (DEPARTURE)",$AA$9,$AA$10)))</f>
        <v/>
      </c>
      <c r="D71" t="str">
        <f t="shared" si="4"/>
        <v/>
      </c>
      <c r="E71" s="43" t="str">
        <f>IF($A71="","",IF(LEFT($J71,2)="GH",$B$21,IFERROR(IF(INDEX(countries!$I:$I,MATCH($C71,countries!$D:$D,0))=0,$B$20,INDEX(countries!$I:$I,MATCH($C71,countries!$D:$D,0))),$B$20)))</f>
        <v/>
      </c>
      <c r="F71" s="41" t="str">
        <f t="shared" si="5"/>
        <v/>
      </c>
      <c r="G71" s="42" t="str">
        <f t="shared" ca="1" si="6"/>
        <v/>
      </c>
      <c r="H71" t="str">
        <f t="shared" si="7"/>
        <v/>
      </c>
      <c r="J71" t="str">
        <f t="shared" si="8"/>
        <v/>
      </c>
    </row>
    <row r="72" spans="1:10" x14ac:dyDescent="0.3">
      <c r="A72" t="str">
        <f t="shared" si="3"/>
        <v/>
      </c>
      <c r="B72" t="str">
        <f>IF($A72="","",IFERROR(INDEX(countries!$B:$B,MATCH($C72,countries!$D:$D,0)),$C72))</f>
        <v/>
      </c>
      <c r="C72" t="str">
        <f>IF($A72="","",IF($J72="OVF",INDEX(fiq_calc!$Q$2:$Q$143,MATCH($A72,fiq_calc!$U$2:$U$143,0)),IF($J72="GH (DEPARTURE)",$AA$9,$AA$10)))</f>
        <v/>
      </c>
      <c r="D72" t="str">
        <f t="shared" si="4"/>
        <v/>
      </c>
      <c r="E72" s="43" t="str">
        <f>IF($A72="","",IF(LEFT($J72,2)="GH",$B$21,IFERROR(IF(INDEX(countries!$I:$I,MATCH($C72,countries!$D:$D,0))=0,$B$20,INDEX(countries!$I:$I,MATCH($C72,countries!$D:$D,0))),$B$20)))</f>
        <v/>
      </c>
      <c r="F72" s="41" t="str">
        <f t="shared" si="5"/>
        <v/>
      </c>
      <c r="G72" s="42" t="str">
        <f t="shared" ca="1" si="6"/>
        <v/>
      </c>
      <c r="H72" t="str">
        <f t="shared" si="7"/>
        <v/>
      </c>
      <c r="J72" t="str">
        <f t="shared" si="8"/>
        <v/>
      </c>
    </row>
    <row r="73" spans="1:10" x14ac:dyDescent="0.3">
      <c r="A73" t="str">
        <f t="shared" si="3"/>
        <v/>
      </c>
      <c r="B73" t="str">
        <f>IF($A73="","",IFERROR(INDEX(countries!$B:$B,MATCH($C73,countries!$D:$D,0)),$C73))</f>
        <v/>
      </c>
      <c r="C73" t="str">
        <f>IF($A73="","",IF($J73="OVF",INDEX(fiq_calc!$Q$2:$Q$143,MATCH($A73,fiq_calc!$U$2:$U$143,0)),IF($J73="GH (DEPARTURE)",$AA$9,$AA$10)))</f>
        <v/>
      </c>
      <c r="D73" t="str">
        <f t="shared" si="4"/>
        <v/>
      </c>
      <c r="E73" s="43" t="str">
        <f>IF($A73="","",IF(LEFT($J73,2)="GH",$B$21,IFERROR(IF(INDEX(countries!$I:$I,MATCH($C73,countries!$D:$D,0))=0,$B$20,INDEX(countries!$I:$I,MATCH($C73,countries!$D:$D,0))),$B$20)))</f>
        <v/>
      </c>
      <c r="F73" s="41" t="str">
        <f t="shared" si="5"/>
        <v/>
      </c>
      <c r="G73" s="42" t="str">
        <f t="shared" ca="1" si="6"/>
        <v/>
      </c>
      <c r="H73" t="str">
        <f t="shared" si="7"/>
        <v/>
      </c>
      <c r="J73" t="str">
        <f t="shared" si="8"/>
        <v/>
      </c>
    </row>
    <row r="74" spans="1:10" x14ac:dyDescent="0.3">
      <c r="A74" t="str">
        <f t="shared" si="3"/>
        <v/>
      </c>
      <c r="B74" t="str">
        <f>IF($A74="","",IFERROR(INDEX(countries!$B:$B,MATCH($C74,countries!$D:$D,0)),$C74))</f>
        <v/>
      </c>
      <c r="C74" t="str">
        <f>IF($A74="","",IF($J74="OVF",INDEX(fiq_calc!$Q$2:$Q$143,MATCH($A74,fiq_calc!$U$2:$U$143,0)),IF($J74="GH (DEPARTURE)",$AA$9,$AA$10)))</f>
        <v/>
      </c>
      <c r="D74" t="str">
        <f t="shared" si="4"/>
        <v/>
      </c>
      <c r="E74" s="43" t="str">
        <f>IF($A74="","",IF(LEFT($J74,2)="GH",$B$21,IFERROR(IF(INDEX(countries!$I:$I,MATCH($C74,countries!$D:$D,0))=0,$B$20,INDEX(countries!$I:$I,MATCH($C74,countries!$D:$D,0))),$B$20)))</f>
        <v/>
      </c>
      <c r="F74" s="41" t="str">
        <f t="shared" si="5"/>
        <v/>
      </c>
      <c r="G74" s="42" t="str">
        <f t="shared" ca="1" si="6"/>
        <v/>
      </c>
      <c r="H74" t="str">
        <f t="shared" si="7"/>
        <v/>
      </c>
      <c r="J74" t="str">
        <f t="shared" si="8"/>
        <v/>
      </c>
    </row>
    <row r="75" spans="1:10" x14ac:dyDescent="0.3">
      <c r="A75" t="str">
        <f t="shared" si="3"/>
        <v/>
      </c>
      <c r="B75" t="str">
        <f>IF($A75="","",IFERROR(INDEX(countries!$B:$B,MATCH($C75,countries!$D:$D,0)),$C75))</f>
        <v/>
      </c>
      <c r="C75" t="str">
        <f>IF($A75="","",IF($J75="OVF",INDEX(fiq_calc!$Q$2:$Q$143,MATCH($A75,fiq_calc!$U$2:$U$143,0)),IF($J75="GH (DEPARTURE)",$AA$9,$AA$10)))</f>
        <v/>
      </c>
      <c r="D75" t="str">
        <f t="shared" si="4"/>
        <v/>
      </c>
      <c r="E75" s="43" t="str">
        <f>IF($A75="","",IF(LEFT($J75,2)="GH",$B$21,IFERROR(IF(INDEX(countries!$I:$I,MATCH($C75,countries!$D:$D,0))=0,$B$20,INDEX(countries!$I:$I,MATCH($C75,countries!$D:$D,0))),$B$20)))</f>
        <v/>
      </c>
      <c r="F75" s="41" t="str">
        <f t="shared" si="5"/>
        <v/>
      </c>
      <c r="G75" s="42" t="str">
        <f t="shared" ca="1" si="6"/>
        <v/>
      </c>
      <c r="H75" t="str">
        <f t="shared" si="7"/>
        <v/>
      </c>
      <c r="J75" t="str">
        <f t="shared" si="8"/>
        <v/>
      </c>
    </row>
    <row r="76" spans="1:10" x14ac:dyDescent="0.3">
      <c r="A76" t="str">
        <f t="shared" si="3"/>
        <v/>
      </c>
      <c r="B76" t="str">
        <f>IF($A76="","",IFERROR(INDEX(countries!$B:$B,MATCH($C76,countries!$D:$D,0)),$C76))</f>
        <v/>
      </c>
      <c r="C76" t="str">
        <f>IF($A76="","",IF($J76="OVF",INDEX(fiq_calc!$Q$2:$Q$143,MATCH($A76,fiq_calc!$U$2:$U$143,0)),IF($J76="GH (DEPARTURE)",$AA$9,$AA$10)))</f>
        <v/>
      </c>
      <c r="D76" t="str">
        <f t="shared" si="4"/>
        <v/>
      </c>
      <c r="E76" s="43" t="str">
        <f>IF($A76="","",IF(LEFT($J76,2)="GH",$B$21,IFERROR(IF(INDEX(countries!$I:$I,MATCH($C76,countries!$D:$D,0))=0,$B$20,INDEX(countries!$I:$I,MATCH($C76,countries!$D:$D,0))),$B$20)))</f>
        <v/>
      </c>
      <c r="F76" s="41" t="str">
        <f t="shared" si="5"/>
        <v/>
      </c>
      <c r="G76" s="42" t="str">
        <f t="shared" ca="1" si="6"/>
        <v/>
      </c>
      <c r="H76" t="str">
        <f t="shared" si="7"/>
        <v/>
      </c>
      <c r="J76" t="str">
        <f t="shared" si="8"/>
        <v/>
      </c>
    </row>
    <row r="77" spans="1:10" x14ac:dyDescent="0.3">
      <c r="A77" t="str">
        <f t="shared" si="3"/>
        <v/>
      </c>
      <c r="B77" t="str">
        <f>IF($A77="","",IFERROR(INDEX(countries!$B:$B,MATCH($C77,countries!$D:$D,0)),$C77))</f>
        <v/>
      </c>
      <c r="C77" t="str">
        <f>IF($A77="","",IF($J77="OVF",INDEX(fiq_calc!$Q$2:$Q$143,MATCH($A77,fiq_calc!$U$2:$U$143,0)),IF($J77="GH (DEPARTURE)",$AA$9,$AA$10)))</f>
        <v/>
      </c>
      <c r="D77" t="str">
        <f t="shared" si="4"/>
        <v/>
      </c>
      <c r="E77" s="43" t="str">
        <f>IF($A77="","",IF(LEFT($J77,2)="GH",$B$21,IFERROR(IF(INDEX(countries!$I:$I,MATCH($C77,countries!$D:$D,0))=0,$B$20,INDEX(countries!$I:$I,MATCH($C77,countries!$D:$D,0))),$B$20)))</f>
        <v/>
      </c>
      <c r="F77" s="41" t="str">
        <f t="shared" si="5"/>
        <v/>
      </c>
      <c r="G77" s="42" t="str">
        <f t="shared" ca="1" si="6"/>
        <v/>
      </c>
      <c r="H77" t="str">
        <f t="shared" si="7"/>
        <v/>
      </c>
      <c r="J77" t="str">
        <f t="shared" si="8"/>
        <v/>
      </c>
    </row>
    <row r="78" spans="1:10" x14ac:dyDescent="0.3">
      <c r="A78" t="str">
        <f t="shared" si="3"/>
        <v/>
      </c>
      <c r="B78" t="str">
        <f>IF($A78="","",IFERROR(INDEX(countries!$B:$B,MATCH($C78,countries!$D:$D,0)),$C78))</f>
        <v/>
      </c>
      <c r="C78" t="str">
        <f>IF($A78="","",IF($J78="OVF",INDEX(fiq_calc!$Q$2:$Q$143,MATCH($A78,fiq_calc!$U$2:$U$143,0)),IF($J78="GH (DEPARTURE)",$AA$9,$AA$10)))</f>
        <v/>
      </c>
      <c r="D78" t="str">
        <f t="shared" si="4"/>
        <v/>
      </c>
      <c r="E78" s="43" t="str">
        <f>IF($A78="","",IF(LEFT($J78,2)="GH",$B$21,IFERROR(IF(INDEX(countries!$I:$I,MATCH($C78,countries!$D:$D,0))=0,$B$20,INDEX(countries!$I:$I,MATCH($C78,countries!$D:$D,0))),$B$20)))</f>
        <v/>
      </c>
      <c r="F78" s="41" t="str">
        <f t="shared" si="5"/>
        <v/>
      </c>
      <c r="G78" s="42" t="str">
        <f t="shared" ca="1" si="6"/>
        <v/>
      </c>
      <c r="H78" t="str">
        <f t="shared" si="7"/>
        <v/>
      </c>
      <c r="J78" t="str">
        <f t="shared" si="8"/>
        <v/>
      </c>
    </row>
    <row r="81" spans="1:44" x14ac:dyDescent="0.3">
      <c r="A81" s="25" t="s">
        <v>4809</v>
      </c>
      <c r="B81" s="25"/>
      <c r="C81" s="25"/>
      <c r="D81" s="25"/>
      <c r="E81" s="25"/>
      <c r="F81" s="25"/>
      <c r="G81" s="25"/>
      <c r="H81" s="25"/>
    </row>
    <row r="82" spans="1:44" x14ac:dyDescent="0.3">
      <c r="A82" s="1" t="s">
        <v>4810</v>
      </c>
      <c r="B82" t="str">
        <f>IF(OR($B$7="",$B$11="",$B$8=""),"","FIQ-"&amp;TEXT($B$8,"yymmdd")&amp;"-"&amp;UPPER($B$7)&amp;UPPER($B$11))</f>
        <v>FIQ-260814-HECAFALA</v>
      </c>
    </row>
    <row r="83" spans="1:44" x14ac:dyDescent="0.3">
      <c r="A83" s="1" t="s">
        <v>4811</v>
      </c>
      <c r="B83" s="4" t="s">
        <v>4293</v>
      </c>
    </row>
    <row r="84" spans="1:44" x14ac:dyDescent="0.3">
      <c r="A84" s="1" t="s">
        <v>4812</v>
      </c>
      <c r="B84" s="50"/>
    </row>
    <row r="85" spans="1:44" x14ac:dyDescent="0.3">
      <c r="A85" s="1" t="s">
        <v>4813</v>
      </c>
      <c r="B85" s="4"/>
    </row>
    <row r="86" spans="1:44" x14ac:dyDescent="0.3">
      <c r="A86" s="1" t="s">
        <v>4814</v>
      </c>
      <c r="B86" s="4"/>
    </row>
    <row r="87" spans="1:44" x14ac:dyDescent="0.3">
      <c r="A87" s="1" t="s">
        <v>4815</v>
      </c>
      <c r="B87" s="4"/>
    </row>
    <row r="89" spans="1:44" x14ac:dyDescent="0.3">
      <c r="A89" s="55" t="s">
        <v>4853</v>
      </c>
    </row>
    <row r="90" spans="1:44" x14ac:dyDescent="0.3">
      <c r="A90" s="25" t="s">
        <v>4854</v>
      </c>
      <c r="B90" s="24"/>
      <c r="C90" s="24"/>
      <c r="D90" s="24"/>
      <c r="E90" s="24"/>
      <c r="F90" s="24"/>
      <c r="G90" s="24"/>
      <c r="H90" s="24"/>
      <c r="I90" s="24"/>
      <c r="J90" s="24"/>
      <c r="K90" s="24"/>
      <c r="L90" s="24"/>
      <c r="M90" s="24"/>
      <c r="N90" s="24"/>
      <c r="O90" s="24"/>
      <c r="P90" s="24"/>
      <c r="Q90" s="24"/>
      <c r="R90" s="24"/>
      <c r="S90" s="56" t="s">
        <v>4852</v>
      </c>
      <c r="T90" s="56"/>
      <c r="U90" s="56"/>
      <c r="V90" s="56"/>
      <c r="W90" s="56"/>
      <c r="X90" s="56"/>
      <c r="Y90" s="56"/>
      <c r="Z90" s="56"/>
      <c r="AA90" s="56"/>
      <c r="AB90" s="56"/>
      <c r="AC90" s="56"/>
      <c r="AD90" s="56"/>
      <c r="AE90" s="56"/>
      <c r="AF90" s="56"/>
      <c r="AG90" s="56"/>
      <c r="AH90" s="56"/>
      <c r="AI90" s="56"/>
      <c r="AJ90" s="56"/>
      <c r="AK90" s="56"/>
      <c r="AL90" s="56"/>
      <c r="AM90" s="56"/>
      <c r="AN90" s="56"/>
      <c r="AO90" s="56"/>
      <c r="AP90" s="56"/>
      <c r="AQ90" s="56"/>
      <c r="AR90" s="56"/>
    </row>
    <row r="91" spans="1:44" x14ac:dyDescent="0.3">
      <c r="A91" s="33" t="s">
        <v>4779</v>
      </c>
      <c r="B91" s="33" t="s">
        <v>4780</v>
      </c>
      <c r="C91" s="33" t="s">
        <v>4281</v>
      </c>
      <c r="D91" s="33" t="s">
        <v>4793</v>
      </c>
      <c r="E91" s="33" t="s">
        <v>4781</v>
      </c>
      <c r="F91" s="33" t="s">
        <v>4782</v>
      </c>
      <c r="G91" s="33" t="s">
        <v>4783</v>
      </c>
      <c r="H91" s="33" t="s">
        <v>4784</v>
      </c>
      <c r="I91" s="33" t="s">
        <v>4785</v>
      </c>
      <c r="J91" s="33" t="s">
        <v>3807</v>
      </c>
      <c r="K91" s="33" t="s">
        <v>3808</v>
      </c>
      <c r="L91" s="33" t="s">
        <v>4822</v>
      </c>
      <c r="M91" s="33" t="s">
        <v>4786</v>
      </c>
      <c r="N91" s="33" t="s">
        <v>3836</v>
      </c>
      <c r="O91" s="33" t="s">
        <v>4280</v>
      </c>
      <c r="P91" s="33" t="s">
        <v>4823</v>
      </c>
      <c r="Q91" s="33" t="s">
        <v>4794</v>
      </c>
      <c r="R91" s="33" t="s">
        <v>4824</v>
      </c>
      <c r="S91" s="58" t="s">
        <v>4282</v>
      </c>
      <c r="T91" s="58" t="s">
        <v>4825</v>
      </c>
      <c r="U91" s="58" t="s">
        <v>4283</v>
      </c>
      <c r="V91" s="58" t="s">
        <v>4284</v>
      </c>
      <c r="W91" s="58" t="s">
        <v>4826</v>
      </c>
      <c r="X91" s="58" t="s">
        <v>4827</v>
      </c>
      <c r="Y91" s="58" t="s">
        <v>4285</v>
      </c>
      <c r="Z91" s="58" t="s">
        <v>4286</v>
      </c>
      <c r="AA91" s="58" t="s">
        <v>4828</v>
      </c>
      <c r="AB91" s="58" t="s">
        <v>4787</v>
      </c>
      <c r="AC91" s="58" t="s">
        <v>4287</v>
      </c>
      <c r="AD91" s="58" t="s">
        <v>4788</v>
      </c>
      <c r="AE91" s="58" t="s">
        <v>4789</v>
      </c>
      <c r="AF91" s="58" t="s">
        <v>4790</v>
      </c>
      <c r="AG91" s="58" t="s">
        <v>4829</v>
      </c>
      <c r="AH91" s="58" t="s">
        <v>4791</v>
      </c>
      <c r="AI91" s="58" t="s">
        <v>4792</v>
      </c>
      <c r="AJ91" s="58" t="s">
        <v>4830</v>
      </c>
      <c r="AK91" s="58" t="s">
        <v>4831</v>
      </c>
      <c r="AL91" s="58" t="s">
        <v>4832</v>
      </c>
      <c r="AM91" s="58" t="s">
        <v>4833</v>
      </c>
      <c r="AN91" s="58" t="s">
        <v>4834</v>
      </c>
      <c r="AO91" s="58" t="s">
        <v>4835</v>
      </c>
      <c r="AP91" s="58" t="s">
        <v>4288</v>
      </c>
      <c r="AQ91" s="58" t="s">
        <v>4836</v>
      </c>
      <c r="AR91" s="58" t="s">
        <v>4837</v>
      </c>
    </row>
    <row r="92" spans="1:44" x14ac:dyDescent="0.3">
      <c r="A92" t="str">
        <f>$B$82</f>
        <v>FIQ-260814-HECAFALA</v>
      </c>
      <c r="B92" t="str">
        <f>"FEASIBILITY IQ"</f>
        <v>FEASIBILITY IQ</v>
      </c>
      <c r="C92" t="str">
        <f>IF($B$83="SUBMITTED","SUBMITTED","ENQUIRY")</f>
        <v>ENQUIRY</v>
      </c>
      <c r="D92" t="str">
        <f>"UNASSIGNED"</f>
        <v>UNASSIGNED</v>
      </c>
      <c r="E92" s="6">
        <f ca="1">TODAY()</f>
        <v>46243</v>
      </c>
      <c r="F92" t="str">
        <f>IF($F$5="","",$F$5)</f>
        <v>EXAMPLE CHARTER LTD</v>
      </c>
      <c r="G92" t="str">
        <f>IF($F$6="","",$F$6)</f>
        <v>A REQUESTER</v>
      </c>
      <c r="H92" t="str">
        <f>IF($F$7="","",$F$7)</f>
        <v>ops@example.com</v>
      </c>
      <c r="I92" t="str">
        <f>IF($F$8="","",$F$8)</f>
        <v>+27 11 000 0000</v>
      </c>
      <c r="J92" t="str">
        <f>IF($F$9="","",$F$9)</f>
        <v/>
      </c>
      <c r="K92" t="str">
        <f>""</f>
        <v/>
      </c>
      <c r="L92" t="str">
        <f>""</f>
        <v/>
      </c>
      <c r="M92" t="str">
        <f>IF($B$5="","",$B$5)</f>
        <v>GLF6</v>
      </c>
      <c r="N92" t="str">
        <f>IF($B$6="","",$B$6)</f>
        <v>5HLUX</v>
      </c>
      <c r="O92">
        <f>1</f>
        <v>1</v>
      </c>
      <c r="P92" t="str">
        <f ca="1">$B$34</f>
        <v>NOT FEASIBLE AS ROUTED - see ROUTE CHECK</v>
      </c>
      <c r="Q92" s="6">
        <f ca="1">TODAY()</f>
        <v>46243</v>
      </c>
      <c r="R92" t="str">
        <f>IF($F$10="","","Your ref: "&amp;$F$10)</f>
        <v/>
      </c>
      <c r="S92">
        <f>1</f>
        <v>1</v>
      </c>
      <c r="T92" t="str">
        <f>$B$82&amp;"-L1"</f>
        <v>FIQ-260814-HECAFALA-L1</v>
      </c>
      <c r="U92" t="str">
        <f>IF($B$7="","",$B$7)</f>
        <v>HECA</v>
      </c>
      <c r="V92" t="str">
        <f>IF($B$7="","",IFERROR(INDEX(airports!$E:$E,MATCH($B$7,airports!$A:$A,0)),""))</f>
        <v>Cairo International Airport</v>
      </c>
      <c r="W92" t="str">
        <f>IF($B$7="","",IFERROR(INDEX(airports!$H:$H,MATCH($B$7,airports!$A:$A,0)),""))</f>
        <v>Egypt</v>
      </c>
      <c r="X92" s="41">
        <f>$B$29</f>
        <v>46248.375</v>
      </c>
      <c r="Y92" t="str">
        <f>IF($B$11="","",$B$11)</f>
        <v>FALA</v>
      </c>
      <c r="Z92" t="str">
        <f>IF($B$11="","",IFERROR(INDEX(airports!$E:$E,MATCH($B$11,airports!$A:$A,0)),""))</f>
        <v>Lanseria International Airport</v>
      </c>
      <c r="AA92" t="str">
        <f>IF($B$11="","",IFERROR(INDEX(airports!$H:$H,MATCH($B$11,airports!$A:$A,0)),""))</f>
        <v>South Africa</v>
      </c>
      <c r="AB92" s="41">
        <f>$B$30</f>
        <v>46248.690416666665</v>
      </c>
      <c r="AC92">
        <f>$B$25</f>
        <v>3371</v>
      </c>
      <c r="AD92">
        <f>$B$28</f>
        <v>7.57</v>
      </c>
      <c r="AE92">
        <f>IF($B$15="","",$B$15)</f>
        <v>3</v>
      </c>
      <c r="AF92">
        <f>IF($B$16="","",$B$16)</f>
        <v>2</v>
      </c>
      <c r="AG92">
        <f>IF(OR($B$15="",$B$16=""),"",$B$15+$B$16)</f>
        <v>5</v>
      </c>
      <c r="AH92" t="str">
        <f>IF($B$17="","",$B$17)</f>
        <v>SUDAN, SOUTH SUDAN</v>
      </c>
      <c r="AI92" t="str">
        <f>IF($B$18="","",$B$18)</f>
        <v>KENYA, TANZANIA, ZAMBIA</v>
      </c>
      <c r="AJ92" t="str">
        <f>$B$32</f>
        <v>AVOID CONFLICT - track crosses an excluded state. INCLUDE NOT ON TRACK.</v>
      </c>
      <c r="AK92">
        <f>$B$31</f>
        <v>7</v>
      </c>
      <c r="AL92" t="str" cm="1">
        <f t="array" ref="AL92">_xlfn.TEXTJOIN(", ",TRUE,IF(fiq_calc!$S$2:$S$143&gt;0,fiq_calc!$R$2:$R$143,""))</f>
        <v>Botswana, Democratic Republic of the Congo, Rwanda, South Sudan, Sudan, Zambia, Zimbabwe</v>
      </c>
      <c r="AM92" t="str">
        <f>IFERROR(INDEX(countries!$B:$B,MATCH($AA$10,countries!$D:$D,0)),$AA$10)</f>
        <v>South Africa</v>
      </c>
      <c r="AN92" t="str">
        <f>IF($AA$9=$AA$10,IFERROR(INDEX(countries!$B:$B,MATCH($AA$9,countries!$D:$D,0)),$AA$9),IFERROR(INDEX(countries!$B:$B,MATCH($AA$9,countries!$D:$D,0)),$AA$9)&amp;", "&amp;IFERROR(INDEX(countries!$B:$B,MATCH($AA$10,countries!$D:$D,0)),$AA$10))</f>
        <v>Egypt, South Africa</v>
      </c>
      <c r="AO92" t="str">
        <f>"NOT FILED"</f>
        <v>NOT FILED</v>
      </c>
      <c r="AP92" t="str">
        <f>"ENQUIRY"</f>
        <v>ENQUIRY</v>
      </c>
      <c r="AQ92" t="str">
        <f>""</f>
        <v/>
      </c>
      <c r="AR92" t="str">
        <f>IF($B$19="","",$B$19)</f>
        <v>NIL</v>
      </c>
    </row>
  </sheetData>
  <dataValidations count="1">
    <dataValidation type="list" allowBlank="1" showInputMessage="1" showErrorMessage="1" sqref="B83" xr:uid="{855C5889-7DA3-405F-8845-8FAD52856E51}">
      <formula1>"DRAFT,SUBMITTED,WITHDRAWN"</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CDFF1-DE2A-4544-9EC5-96D4A05A56D8}">
  <dimension ref="A1:U152"/>
  <sheetViews>
    <sheetView workbookViewId="0"/>
  </sheetViews>
  <sheetFormatPr defaultRowHeight="14.4" x14ac:dyDescent="0.3"/>
  <sheetData>
    <row r="1" spans="1:21" x14ac:dyDescent="0.3">
      <c r="A1" s="25" t="s">
        <v>4742</v>
      </c>
      <c r="B1" s="25" t="s">
        <v>4743</v>
      </c>
      <c r="C1" s="25" t="s">
        <v>4744</v>
      </c>
      <c r="D1" s="25" t="s">
        <v>4745</v>
      </c>
      <c r="E1" s="25" t="s">
        <v>4746</v>
      </c>
      <c r="F1" s="25" t="s">
        <v>4747</v>
      </c>
      <c r="G1" s="25" t="s">
        <v>4748</v>
      </c>
      <c r="H1" s="25" t="s">
        <v>4749</v>
      </c>
      <c r="I1" s="25" t="s">
        <v>4750</v>
      </c>
      <c r="J1" s="25" t="s">
        <v>4751</v>
      </c>
      <c r="K1" s="25" t="s">
        <v>4752</v>
      </c>
      <c r="L1" s="25" t="s">
        <v>4753</v>
      </c>
      <c r="M1" s="25" t="s">
        <v>4754</v>
      </c>
      <c r="N1" s="25" t="s">
        <v>4755</v>
      </c>
      <c r="O1" s="25" t="s">
        <v>4756</v>
      </c>
      <c r="Q1" s="25" t="s">
        <v>4756</v>
      </c>
      <c r="R1" s="25" t="s">
        <v>4644</v>
      </c>
      <c r="S1" s="25" t="s">
        <v>4757</v>
      </c>
      <c r="T1" s="25" t="s">
        <v>4758</v>
      </c>
      <c r="U1" s="25" t="s">
        <v>4759</v>
      </c>
    </row>
    <row r="2" spans="1:21" x14ac:dyDescent="0.3">
      <c r="A2">
        <f>ROW()-2</f>
        <v>0</v>
      </c>
      <c r="B2">
        <f>$A2/150</f>
        <v>0</v>
      </c>
      <c r="C2">
        <f>'Feasibility IQ'!$AA$4</f>
        <v>30.111529999999998</v>
      </c>
      <c r="D2">
        <f>'Feasibility IQ'!$AA$5</f>
        <v>31.39669</v>
      </c>
      <c r="E2">
        <f>'Feasibility IQ'!$AA$6</f>
        <v>-25.938960000000002</v>
      </c>
      <c r="F2">
        <f>'Feasibility IQ'!$AA$7</f>
        <v>27.926639999999999</v>
      </c>
      <c r="G2">
        <f>'Feasibility IQ'!$AA$8</f>
        <v>0.97998393122619054</v>
      </c>
      <c r="H2">
        <f>IF(OR($G2="",$G2=0),"",SIN((1-$B2)*$G2)/SIN($G2))</f>
        <v>1</v>
      </c>
      <c r="I2">
        <f>IF($H2="","",SIN($B2*$G2)/SIN($G2))</f>
        <v>0</v>
      </c>
      <c r="J2">
        <f>IF($H2="","",$H2*COS(RADIANS($C2))*COS(RADIANS($D2))+$I2*COS(RADIANS($E2))*COS(RADIANS($F2)))</f>
        <v>0.73839056344046961</v>
      </c>
      <c r="K2">
        <f>IF($H2="","",$H2*COS(RADIANS($C2))*SIN(RADIANS($D2))+$I2*COS(RADIANS($E2))*SIN(RADIANS($F2)))</f>
        <v>0.45065697616336448</v>
      </c>
      <c r="L2">
        <f>IF($H2="","",$H2*SIN(RADIANS($C2))+$I2*SIN(RADIANS($E2)))</f>
        <v>0.50168482701528716</v>
      </c>
      <c r="M2">
        <f>IF($L2="","",DEGREES(ATAN2(SQRT($J2^2+$K2^2),$L2)))</f>
        <v>30.111529999999998</v>
      </c>
      <c r="N2">
        <f>IF($L2="","",DEGREES(ATAN2($J2,$K2)))</f>
        <v>31.39669000000001</v>
      </c>
      <c r="O2" t="str" cm="1">
        <f t="array" ref="O2">IF($M2="","",IFERROR(IF(INDEX(geo_grid!$B$2:$JU$231,INT(($M2+40)/0.5)+1,INT(($N2+30)/0.5)+1)="","",INDEX(geo_grid!$B$2:$JU$231,INT(($M2+40)/0.5)+1,INT(($N2+30)/0.5)+1)),"OUTSIDE GRID"))</f>
        <v>EGY</v>
      </c>
      <c r="Q2" t="str">
        <f>IF(countries!$D2="","",countries!$D2)</f>
        <v>DZA</v>
      </c>
      <c r="R2" t="str">
        <f>IF($Q2="","",countries!$B2)</f>
        <v>Algeria</v>
      </c>
      <c r="S2">
        <f>IF($Q2="","",IF(OR($Q2='Feasibility IQ'!$AA$9,$Q2='Feasibility IQ'!$AA$10),0,COUNTIF($O$2:$O$152,$Q2)))</f>
        <v>0</v>
      </c>
      <c r="T2" t="str">
        <f>IF($S2=0,"",_xlfn.MINIFS($A$2:$A$152,$O$2:$O$152,$Q2))</f>
        <v/>
      </c>
      <c r="U2" t="str" cm="1">
        <f t="array" ref="U2">IF($S2=0,"",SUMPRODUCT(($S$2:$S$143&gt;0)*($T$2:$T$143&lt;$T2))+1)</f>
        <v/>
      </c>
    </row>
    <row r="3" spans="1:21" x14ac:dyDescent="0.3">
      <c r="A3">
        <f t="shared" ref="A3:A66" si="0">ROW()-2</f>
        <v>1</v>
      </c>
      <c r="B3">
        <f t="shared" ref="B3:B66" si="1">$A3/150</f>
        <v>6.6666666666666671E-3</v>
      </c>
      <c r="C3">
        <f>'Feasibility IQ'!$AA$4</f>
        <v>30.111529999999998</v>
      </c>
      <c r="D3">
        <f>'Feasibility IQ'!$AA$5</f>
        <v>31.39669</v>
      </c>
      <c r="E3">
        <f>'Feasibility IQ'!$AA$6</f>
        <v>-25.938960000000002</v>
      </c>
      <c r="F3">
        <f>'Feasibility IQ'!$AA$7</f>
        <v>27.926639999999999</v>
      </c>
      <c r="G3">
        <f>'Feasibility IQ'!$AA$8</f>
        <v>0.97998393122619054</v>
      </c>
      <c r="H3">
        <f t="shared" ref="H3:H66" si="2">IF(OR($G3="",$G3=0),"",SIN((1-$B3)*$G3)/SIN($G3))</f>
        <v>0.99559664007904647</v>
      </c>
      <c r="I3">
        <f t="shared" ref="I3:I66" si="3">IF($H3="","",SIN($B3*$G3)/SIN($G3))</f>
        <v>7.8666716799992153E-3</v>
      </c>
      <c r="J3">
        <f t="shared" ref="J3:J66" si="4">IF($H3="","",$H3*COS(RADIANS($C3))*COS(RADIANS($D3))+$I3*COS(RADIANS($E3))*COS(RADIANS($F3)))</f>
        <v>0.74138954804987334</v>
      </c>
      <c r="K3">
        <f t="shared" ref="K3:K66" si="5">IF($H3="","",$H3*COS(RADIANS($C3))*SIN(RADIANS($D3))+$I3*COS(RADIANS($E3))*SIN(RADIANS($F3)))</f>
        <v>0.45198570106612351</v>
      </c>
      <c r="L3">
        <f t="shared" ref="L3:L66" si="6">IF($H3="","",$H3*SIN(RADIANS($C3))+$I3*SIN(RADIANS($E3)))</f>
        <v>0.49603474079359539</v>
      </c>
      <c r="M3">
        <f t="shared" ref="M3:M66" si="7">IF($L3="","",DEGREES(ATAN2(SQRT($J3^2+$K3^2),$L3)))</f>
        <v>29.738005485728884</v>
      </c>
      <c r="N3">
        <f t="shared" ref="N3:N66" si="8">IF($L3="","",DEGREES(ATAN2($J3,$K3)))</f>
        <v>31.368436279110028</v>
      </c>
      <c r="O3" t="str" cm="1">
        <f t="array" ref="O3">IF($M3="","",IFERROR(IF(INDEX(geo_grid!$B$2:$JU$231,INT(($M3+40)/0.5)+1,INT(($N3+30)/0.5)+1)="","",INDEX(geo_grid!$B$2:$JU$231,INT(($M3+40)/0.5)+1,INT(($N3+30)/0.5)+1)),"OUTSIDE GRID"))</f>
        <v>EGY</v>
      </c>
      <c r="Q3" t="str">
        <f>IF(countries!$D3="","",countries!$D3)</f>
        <v>AGO</v>
      </c>
      <c r="R3" t="str">
        <f>IF($Q3="","",countries!$B3)</f>
        <v>Angola</v>
      </c>
      <c r="S3">
        <f>IF($Q3="","",IF(OR($Q3='Feasibility IQ'!$AA$9,$Q3='Feasibility IQ'!$AA$10),0,COUNTIF($O$2:$O$152,$Q3)))</f>
        <v>0</v>
      </c>
      <c r="T3" t="str">
        <f t="shared" ref="T3:T66" si="9">IF($S3=0,"",_xlfn.MINIFS($A$2:$A$152,$O$2:$O$152,$Q3))</f>
        <v/>
      </c>
      <c r="U3" t="str" cm="1">
        <f t="array" ref="U3">IF($S3=0,"",SUMPRODUCT(($S$2:$S$143&gt;0)*($T$2:$T$143&lt;$T3))+1)</f>
        <v/>
      </c>
    </row>
    <row r="4" spans="1:21" x14ac:dyDescent="0.3">
      <c r="A4">
        <f t="shared" si="0"/>
        <v>2</v>
      </c>
      <c r="B4">
        <f t="shared" si="1"/>
        <v>1.3333333333333334E-2</v>
      </c>
      <c r="C4">
        <f>'Feasibility IQ'!$AA$4</f>
        <v>30.111529999999998</v>
      </c>
      <c r="D4">
        <f>'Feasibility IQ'!$AA$5</f>
        <v>31.39669</v>
      </c>
      <c r="E4">
        <f>'Feasibility IQ'!$AA$6</f>
        <v>-25.938960000000002</v>
      </c>
      <c r="F4">
        <f>'Feasibility IQ'!$AA$7</f>
        <v>27.926639999999999</v>
      </c>
      <c r="G4">
        <f>'Feasibility IQ'!$AA$8</f>
        <v>0.97998393122619054</v>
      </c>
      <c r="H4">
        <f t="shared" si="2"/>
        <v>0.99115078521336553</v>
      </c>
      <c r="I4">
        <f t="shared" si="3"/>
        <v>1.5733007587693894E-2</v>
      </c>
      <c r="J4">
        <f t="shared" si="4"/>
        <v>0.74435688800862487</v>
      </c>
      <c r="K4">
        <f t="shared" si="5"/>
        <v>0.45329513391162651</v>
      </c>
      <c r="L4">
        <f t="shared" si="6"/>
        <v>0.49036348237420402</v>
      </c>
      <c r="M4">
        <f t="shared" si="7"/>
        <v>29.364475015151967</v>
      </c>
      <c r="N4">
        <f t="shared" si="8"/>
        <v>31.3403922291538</v>
      </c>
      <c r="O4" t="str" cm="1">
        <f t="array" ref="O4">IF($M4="","",IFERROR(IF(INDEX(geo_grid!$B$2:$JU$231,INT(($M4+40)/0.5)+1,INT(($N4+30)/0.5)+1)="","",INDEX(geo_grid!$B$2:$JU$231,INT(($M4+40)/0.5)+1,INT(($N4+30)/0.5)+1)),"OUTSIDE GRID"))</f>
        <v>EGY</v>
      </c>
      <c r="Q4" t="str">
        <f>IF(countries!$D4="","",countries!$D4)</f>
        <v>BEN</v>
      </c>
      <c r="R4" t="str">
        <f>IF($Q4="","",countries!$B4)</f>
        <v>Benin</v>
      </c>
      <c r="S4">
        <f>IF($Q4="","",IF(OR($Q4='Feasibility IQ'!$AA$9,$Q4='Feasibility IQ'!$AA$10),0,COUNTIF($O$2:$O$152,$Q4)))</f>
        <v>0</v>
      </c>
      <c r="T4" t="str">
        <f t="shared" si="9"/>
        <v/>
      </c>
      <c r="U4" t="str" cm="1">
        <f t="array" ref="U4">IF($S4=0,"",SUMPRODUCT(($S$2:$S$143&gt;0)*($T$2:$T$143&lt;$T4))+1)</f>
        <v/>
      </c>
    </row>
    <row r="5" spans="1:21" x14ac:dyDescent="0.3">
      <c r="A5">
        <f t="shared" si="0"/>
        <v>3</v>
      </c>
      <c r="B5">
        <f t="shared" si="1"/>
        <v>0.02</v>
      </c>
      <c r="C5">
        <f>'Feasibility IQ'!$AA$4</f>
        <v>30.111529999999998</v>
      </c>
      <c r="D5">
        <f>'Feasibility IQ'!$AA$5</f>
        <v>31.39669</v>
      </c>
      <c r="E5">
        <f>'Feasibility IQ'!$AA$6</f>
        <v>-25.938960000000002</v>
      </c>
      <c r="F5">
        <f>'Feasibility IQ'!$AA$7</f>
        <v>27.926639999999999</v>
      </c>
      <c r="G5">
        <f>'Feasibility IQ'!$AA$8</f>
        <v>0.97998393122619054</v>
      </c>
      <c r="H5">
        <f t="shared" si="2"/>
        <v>0.98666262516490399</v>
      </c>
      <c r="I5">
        <f t="shared" si="3"/>
        <v>2.3598671965111222E-2</v>
      </c>
      <c r="J5">
        <f t="shared" si="4"/>
        <v>0.74729245666207045</v>
      </c>
      <c r="K5">
        <f t="shared" si="5"/>
        <v>0.45458521880949143</v>
      </c>
      <c r="L5">
        <f t="shared" si="6"/>
        <v>0.48467129382282836</v>
      </c>
      <c r="M5">
        <f t="shared" si="7"/>
        <v>28.990938721302161</v>
      </c>
      <c r="N5">
        <f t="shared" si="8"/>
        <v>31.312553170403991</v>
      </c>
      <c r="O5" t="str" cm="1">
        <f t="array" ref="O5">IF($M5="","",IFERROR(IF(INDEX(geo_grid!$B$2:$JU$231,INT(($M5+40)/0.5)+1,INT(($N5+30)/0.5)+1)="","",INDEX(geo_grid!$B$2:$JU$231,INT(($M5+40)/0.5)+1,INT(($N5+30)/0.5)+1)),"OUTSIDE GRID"))</f>
        <v>EGY</v>
      </c>
      <c r="Q5" t="str">
        <f>IF(countries!$D5="","",countries!$D5)</f>
        <v>BWA</v>
      </c>
      <c r="R5" t="str">
        <f>IF($Q5="","",countries!$B5)</f>
        <v>Botswana</v>
      </c>
      <c r="S5">
        <f>IF($Q5="","",IF(OR($Q5='Feasibility IQ'!$AA$9,$Q5='Feasibility IQ'!$AA$10),0,COUNTIF($O$2:$O$152,$Q5)))</f>
        <v>2</v>
      </c>
      <c r="T5">
        <f t="shared" si="9"/>
        <v>139</v>
      </c>
      <c r="U5" cm="1">
        <f t="array" ref="U5">IF($S5=0,"",SUMPRODUCT(($S$2:$S$143&gt;0)*($T$2:$T$143&lt;$T5))+1)</f>
        <v>7</v>
      </c>
    </row>
    <row r="6" spans="1:21" x14ac:dyDescent="0.3">
      <c r="A6">
        <f t="shared" si="0"/>
        <v>4</v>
      </c>
      <c r="B6">
        <f t="shared" si="1"/>
        <v>2.6666666666666668E-2</v>
      </c>
      <c r="C6">
        <f>'Feasibility IQ'!$AA$4</f>
        <v>30.111529999999998</v>
      </c>
      <c r="D6">
        <f>'Feasibility IQ'!$AA$5</f>
        <v>31.39669</v>
      </c>
      <c r="E6">
        <f>'Feasibility IQ'!$AA$6</f>
        <v>-25.938960000000002</v>
      </c>
      <c r="F6">
        <f>'Feasibility IQ'!$AA$7</f>
        <v>27.926639999999999</v>
      </c>
      <c r="G6">
        <f>'Feasibility IQ'!$AA$8</f>
        <v>0.97998393122619054</v>
      </c>
      <c r="H6">
        <f t="shared" si="2"/>
        <v>0.9821323515013165</v>
      </c>
      <c r="I6">
        <f t="shared" si="3"/>
        <v>3.1463329082941263E-2</v>
      </c>
      <c r="J6">
        <f t="shared" si="4"/>
        <v>0.75019612871164787</v>
      </c>
      <c r="K6">
        <f t="shared" si="5"/>
        <v>0.45585590069516296</v>
      </c>
      <c r="L6">
        <f t="shared" si="6"/>
        <v>0.47895841809854267</v>
      </c>
      <c r="M6">
        <f t="shared" si="7"/>
        <v>28.617396734293749</v>
      </c>
      <c r="N6">
        <f t="shared" si="8"/>
        <v>31.284914525659918</v>
      </c>
      <c r="O6" t="str" cm="1">
        <f t="array" ref="O6">IF($M6="","",IFERROR(IF(INDEX(geo_grid!$B$2:$JU$231,INT(($M6+40)/0.5)+1,INT(($N6+30)/0.5)+1)="","",INDEX(geo_grid!$B$2:$JU$231,INT(($M6+40)/0.5)+1,INT(($N6+30)/0.5)+1)),"OUTSIDE GRID"))</f>
        <v>EGY</v>
      </c>
      <c r="Q6" t="str">
        <f>IF(countries!$D6="","",countries!$D6)</f>
        <v>BFA</v>
      </c>
      <c r="R6" t="str">
        <f>IF($Q6="","",countries!$B6)</f>
        <v>Burkina Faso</v>
      </c>
      <c r="S6">
        <f>IF($Q6="","",IF(OR($Q6='Feasibility IQ'!$AA$9,$Q6='Feasibility IQ'!$AA$10),0,COUNTIF($O$2:$O$152,$Q6)))</f>
        <v>0</v>
      </c>
      <c r="T6" t="str">
        <f t="shared" si="9"/>
        <v/>
      </c>
      <c r="U6" t="str" cm="1">
        <f t="array" ref="U6">IF($S6=0,"",SUMPRODUCT(($S$2:$S$143&gt;0)*($T$2:$T$143&lt;$T6))+1)</f>
        <v/>
      </c>
    </row>
    <row r="7" spans="1:21" x14ac:dyDescent="0.3">
      <c r="A7">
        <f t="shared" si="0"/>
        <v>5</v>
      </c>
      <c r="B7">
        <f t="shared" si="1"/>
        <v>3.3333333333333333E-2</v>
      </c>
      <c r="C7">
        <f>'Feasibility IQ'!$AA$4</f>
        <v>30.111529999999998</v>
      </c>
      <c r="D7">
        <f>'Feasibility IQ'!$AA$5</f>
        <v>31.39669</v>
      </c>
      <c r="E7">
        <f>'Feasibility IQ'!$AA$6</f>
        <v>-25.938960000000002</v>
      </c>
      <c r="F7">
        <f>'Feasibility IQ'!$AA$7</f>
        <v>27.926639999999999</v>
      </c>
      <c r="G7">
        <f>'Feasibility IQ'!$AA$8</f>
        <v>0.97998393122619054</v>
      </c>
      <c r="H7">
        <f t="shared" si="2"/>
        <v>0.97756015758778847</v>
      </c>
      <c r="I7">
        <f t="shared" si="3"/>
        <v>3.9326643254866803E-2</v>
      </c>
      <c r="J7">
        <f t="shared" si="4"/>
        <v>0.75306778022023413</v>
      </c>
      <c r="K7">
        <f t="shared" si="5"/>
        <v>0.45710712533226222</v>
      </c>
      <c r="L7">
        <f t="shared" si="6"/>
        <v>0.47322509904340937</v>
      </c>
      <c r="M7">
        <f t="shared" si="7"/>
        <v>28.243849181415126</v>
      </c>
      <c r="N7">
        <f t="shared" si="8"/>
        <v>31.257471816990954</v>
      </c>
      <c r="O7" t="str" cm="1">
        <f t="array" ref="O7">IF($M7="","",IFERROR(IF(INDEX(geo_grid!$B$2:$JU$231,INT(($M7+40)/0.5)+1,INT(($N7+30)/0.5)+1)="","",INDEX(geo_grid!$B$2:$JU$231,INT(($M7+40)/0.5)+1,INT(($N7+30)/0.5)+1)),"OUTSIDE GRID"))</f>
        <v>EGY</v>
      </c>
      <c r="Q7" t="str">
        <f>IF(countries!$D7="","",countries!$D7)</f>
        <v>BDI</v>
      </c>
      <c r="R7" t="str">
        <f>IF($Q7="","",countries!$B7)</f>
        <v>Burundi</v>
      </c>
      <c r="S7">
        <f>IF($Q7="","",IF(OR($Q7='Feasibility IQ'!$AA$9,$Q7='Feasibility IQ'!$AA$10),0,COUNTIF($O$2:$O$152,$Q7)))</f>
        <v>0</v>
      </c>
      <c r="T7" t="str">
        <f t="shared" si="9"/>
        <v/>
      </c>
      <c r="U7" t="str" cm="1">
        <f t="array" ref="U7">IF($S7=0,"",SUMPRODUCT(($S$2:$S$143&gt;0)*($T$2:$T$143&lt;$T7))+1)</f>
        <v/>
      </c>
    </row>
    <row r="8" spans="1:21" x14ac:dyDescent="0.3">
      <c r="A8">
        <f t="shared" si="0"/>
        <v>6</v>
      </c>
      <c r="B8">
        <f t="shared" si="1"/>
        <v>0.04</v>
      </c>
      <c r="C8">
        <f>'Feasibility IQ'!$AA$4</f>
        <v>30.111529999999998</v>
      </c>
      <c r="D8">
        <f>'Feasibility IQ'!$AA$5</f>
        <v>31.39669</v>
      </c>
      <c r="E8">
        <f>'Feasibility IQ'!$AA$6</f>
        <v>-25.938960000000002</v>
      </c>
      <c r="F8">
        <f>'Feasibility IQ'!$AA$7</f>
        <v>27.926639999999999</v>
      </c>
      <c r="G8">
        <f>'Feasibility IQ'!$AA$8</f>
        <v>0.97998393122619054</v>
      </c>
      <c r="H8">
        <f t="shared" si="2"/>
        <v>0.97294623857878293</v>
      </c>
      <c r="I8">
        <f t="shared" si="3"/>
        <v>4.7188278851891474E-2</v>
      </c>
      <c r="J8">
        <f t="shared" si="4"/>
        <v>0.7559072886174355</v>
      </c>
      <c r="K8">
        <f t="shared" si="5"/>
        <v>0.4583388393149021</v>
      </c>
      <c r="L8">
        <f t="shared" si="6"/>
        <v>0.46747158137207168</v>
      </c>
      <c r="M8">
        <f t="shared" si="7"/>
        <v>27.87029618721845</v>
      </c>
      <c r="N8">
        <f t="shared" si="8"/>
        <v>31.230220662593759</v>
      </c>
      <c r="O8" t="str" cm="1">
        <f t="array" ref="O8">IF($M8="","",IFERROR(IF(INDEX(geo_grid!$B$2:$JU$231,INT(($M8+40)/0.5)+1,INT(($N8+30)/0.5)+1)="","",INDEX(geo_grid!$B$2:$JU$231,INT(($M8+40)/0.5)+1,INT(($N8+30)/0.5)+1)),"OUTSIDE GRID"))</f>
        <v>EGY</v>
      </c>
      <c r="Q8" t="str">
        <f>IF(countries!$D8="","",countries!$D8)</f>
        <v>CMR</v>
      </c>
      <c r="R8" t="str">
        <f>IF($Q8="","",countries!$B8)</f>
        <v>Cameroon</v>
      </c>
      <c r="S8">
        <f>IF($Q8="","",IF(OR($Q8='Feasibility IQ'!$AA$9,$Q8='Feasibility IQ'!$AA$10),0,COUNTIF($O$2:$O$152,$Q8)))</f>
        <v>0</v>
      </c>
      <c r="T8" t="str">
        <f t="shared" si="9"/>
        <v/>
      </c>
      <c r="U8" t="str" cm="1">
        <f t="array" ref="U8">IF($S8=0,"",SUMPRODUCT(($S$2:$S$143&gt;0)*($T$2:$T$143&lt;$T8))+1)</f>
        <v/>
      </c>
    </row>
    <row r="9" spans="1:21" x14ac:dyDescent="0.3">
      <c r="A9">
        <f t="shared" si="0"/>
        <v>7</v>
      </c>
      <c r="B9">
        <f t="shared" si="1"/>
        <v>4.6666666666666669E-2</v>
      </c>
      <c r="C9">
        <f>'Feasibility IQ'!$AA$4</f>
        <v>30.111529999999998</v>
      </c>
      <c r="D9">
        <f>'Feasibility IQ'!$AA$5</f>
        <v>31.39669</v>
      </c>
      <c r="E9">
        <f>'Feasibility IQ'!$AA$6</f>
        <v>-25.938960000000002</v>
      </c>
      <c r="F9">
        <f>'Feasibility IQ'!$AA$7</f>
        <v>27.926639999999999</v>
      </c>
      <c r="G9">
        <f>'Feasibility IQ'!$AA$8</f>
        <v>0.97998393122619054</v>
      </c>
      <c r="H9">
        <f t="shared" si="2"/>
        <v>0.96829079140971042</v>
      </c>
      <c r="I9">
        <f t="shared" si="3"/>
        <v>5.5047900316665323E-2</v>
      </c>
      <c r="J9">
        <f t="shared" si="4"/>
        <v>0.75871453270481926</v>
      </c>
      <c r="K9">
        <f t="shared" si="5"/>
        <v>0.45955099006996658</v>
      </c>
      <c r="L9">
        <f t="shared" si="6"/>
        <v>0.46169811066130773</v>
      </c>
      <c r="M9">
        <f t="shared" si="7"/>
        <v>27.496737873606033</v>
      </c>
      <c r="N9">
        <f t="shared" si="8"/>
        <v>31.203156773758653</v>
      </c>
      <c r="O9" t="str" cm="1">
        <f t="array" ref="O9">IF($M9="","",IFERROR(IF(INDEX(geo_grid!$B$2:$JU$231,INT(($M9+40)/0.5)+1,INT(($N9+30)/0.5)+1)="","",INDEX(geo_grid!$B$2:$JU$231,INT(($M9+40)/0.5)+1,INT(($N9+30)/0.5)+1)),"OUTSIDE GRID"))</f>
        <v>EGY</v>
      </c>
      <c r="Q9" t="str">
        <f>IF(countries!$D9="","",countries!$D9)</f>
        <v>CPV</v>
      </c>
      <c r="R9" t="str">
        <f>IF($Q9="","",countries!$B9)</f>
        <v>Cape Verde</v>
      </c>
      <c r="S9">
        <f>IF($Q9="","",IF(OR($Q9='Feasibility IQ'!$AA$9,$Q9='Feasibility IQ'!$AA$10),0,COUNTIF($O$2:$O$152,$Q9)))</f>
        <v>0</v>
      </c>
      <c r="T9" t="str">
        <f t="shared" si="9"/>
        <v/>
      </c>
      <c r="U9" t="str" cm="1">
        <f t="array" ref="U9">IF($S9=0,"",SUMPRODUCT(($S$2:$S$143&gt;0)*($T$2:$T$143&lt;$T9))+1)</f>
        <v/>
      </c>
    </row>
    <row r="10" spans="1:21" x14ac:dyDescent="0.3">
      <c r="A10">
        <f t="shared" si="0"/>
        <v>8</v>
      </c>
      <c r="B10">
        <f t="shared" si="1"/>
        <v>5.3333333333333337E-2</v>
      </c>
      <c r="C10">
        <f>'Feasibility IQ'!$AA$4</f>
        <v>30.111529999999998</v>
      </c>
      <c r="D10">
        <f>'Feasibility IQ'!$AA$5</f>
        <v>31.39669</v>
      </c>
      <c r="E10">
        <f>'Feasibility IQ'!$AA$6</f>
        <v>-25.938960000000002</v>
      </c>
      <c r="F10">
        <f>'Feasibility IQ'!$AA$7</f>
        <v>27.926639999999999</v>
      </c>
      <c r="G10">
        <f>'Feasibility IQ'!$AA$8</f>
        <v>0.97998393122619054</v>
      </c>
      <c r="H10">
        <f t="shared" si="2"/>
        <v>0.96359401478852402</v>
      </c>
      <c r="I10">
        <f t="shared" si="3"/>
        <v>6.2905172177807389E-2</v>
      </c>
      <c r="J10">
        <f t="shared" si="4"/>
        <v>0.76148939266108684</v>
      </c>
      <c r="K10">
        <f t="shared" si="5"/>
        <v>0.46074352585935491</v>
      </c>
      <c r="L10">
        <f t="shared" si="6"/>
        <v>0.45590493333954946</v>
      </c>
      <c r="M10">
        <f t="shared" si="7"/>
        <v>27.123174359913854</v>
      </c>
      <c r="N10">
        <f t="shared" si="8"/>
        <v>31.176275951940479</v>
      </c>
      <c r="O10" t="str" cm="1">
        <f t="array" ref="O10">IF($M10="","",IFERROR(IF(INDEX(geo_grid!$B$2:$JU$231,INT(($M10+40)/0.5)+1,INT(($N10+30)/0.5)+1)="","",INDEX(geo_grid!$B$2:$JU$231,INT(($M10+40)/0.5)+1,INT(($N10+30)/0.5)+1)),"OUTSIDE GRID"))</f>
        <v>EGY</v>
      </c>
      <c r="Q10" t="str">
        <f>IF(countries!$D10="","",countries!$D10)</f>
        <v>CAF</v>
      </c>
      <c r="R10" t="str">
        <f>IF($Q10="","",countries!$B10)</f>
        <v>Central African Republic</v>
      </c>
      <c r="S10">
        <f>IF($Q10="","",IF(OR($Q10='Feasibility IQ'!$AA$9,$Q10='Feasibility IQ'!$AA$10),0,COUNTIF($O$2:$O$152,$Q10)))</f>
        <v>0</v>
      </c>
      <c r="T10" t="str">
        <f t="shared" si="9"/>
        <v/>
      </c>
      <c r="U10" t="str" cm="1">
        <f t="array" ref="U10">IF($S10=0,"",SUMPRODUCT(($S$2:$S$143&gt;0)*($T$2:$T$143&lt;$T10))+1)</f>
        <v/>
      </c>
    </row>
    <row r="11" spans="1:21" x14ac:dyDescent="0.3">
      <c r="A11">
        <f t="shared" si="0"/>
        <v>9</v>
      </c>
      <c r="B11">
        <f t="shared" si="1"/>
        <v>0.06</v>
      </c>
      <c r="C11">
        <f>'Feasibility IQ'!$AA$4</f>
        <v>30.111529999999998</v>
      </c>
      <c r="D11">
        <f>'Feasibility IQ'!$AA$5</f>
        <v>31.39669</v>
      </c>
      <c r="E11">
        <f>'Feasibility IQ'!$AA$6</f>
        <v>-25.938960000000002</v>
      </c>
      <c r="F11">
        <f>'Feasibility IQ'!$AA$7</f>
        <v>27.926639999999999</v>
      </c>
      <c r="G11">
        <f>'Feasibility IQ'!$AA$8</f>
        <v>0.97998393122619054</v>
      </c>
      <c r="H11">
        <f t="shared" si="2"/>
        <v>0.95885610918723685</v>
      </c>
      <c r="I11">
        <f t="shared" si="3"/>
        <v>7.0759759064224589E-2</v>
      </c>
      <c r="J11">
        <f t="shared" si="4"/>
        <v>0.76423175004718791</v>
      </c>
      <c r="K11">
        <f t="shared" si="5"/>
        <v>0.46191639578218968</v>
      </c>
      <c r="L11">
        <f t="shared" si="6"/>
        <v>0.4500922966763638</v>
      </c>
      <c r="M11">
        <f t="shared" si="7"/>
        <v>26.749605762992172</v>
      </c>
      <c r="N11">
        <f t="shared" si="8"/>
        <v>31.149574085929519</v>
      </c>
      <c r="O11" t="str" cm="1">
        <f t="array" ref="O11">IF($M11="","",IFERROR(IF(INDEX(geo_grid!$B$2:$JU$231,INT(($M11+40)/0.5)+1,INT(($N11+30)/0.5)+1)="","",INDEX(geo_grid!$B$2:$JU$231,INT(($M11+40)/0.5)+1,INT(($N11+30)/0.5)+1)),"OUTSIDE GRID"))</f>
        <v>EGY</v>
      </c>
      <c r="Q11" t="str">
        <f>IF(countries!$D11="","",countries!$D11)</f>
        <v>TCD</v>
      </c>
      <c r="R11" t="str">
        <f>IF($Q11="","",countries!$B11)</f>
        <v>Chad</v>
      </c>
      <c r="S11">
        <f>IF($Q11="","",IF(OR($Q11='Feasibility IQ'!$AA$9,$Q11='Feasibility IQ'!$AA$10),0,COUNTIF($O$2:$O$152,$Q11)))</f>
        <v>0</v>
      </c>
      <c r="T11" t="str">
        <f t="shared" si="9"/>
        <v/>
      </c>
      <c r="U11" t="str" cm="1">
        <f t="array" ref="U11">IF($S11=0,"",SUMPRODUCT(($S$2:$S$143&gt;0)*($T$2:$T$143&lt;$T11))+1)</f>
        <v/>
      </c>
    </row>
    <row r="12" spans="1:21" x14ac:dyDescent="0.3">
      <c r="A12">
        <f t="shared" si="0"/>
        <v>10</v>
      </c>
      <c r="B12">
        <f t="shared" si="1"/>
        <v>6.6666666666666666E-2</v>
      </c>
      <c r="C12">
        <f>'Feasibility IQ'!$AA$4</f>
        <v>30.111529999999998</v>
      </c>
      <c r="D12">
        <f>'Feasibility IQ'!$AA$5</f>
        <v>31.39669</v>
      </c>
      <c r="E12">
        <f>'Feasibility IQ'!$AA$6</f>
        <v>-25.938960000000002</v>
      </c>
      <c r="F12">
        <f>'Feasibility IQ'!$AA$7</f>
        <v>27.926639999999999</v>
      </c>
      <c r="G12">
        <f>'Feasibility IQ'!$AA$8</f>
        <v>0.97998393122619054</v>
      </c>
      <c r="H12">
        <f t="shared" si="2"/>
        <v>0.95407727683336641</v>
      </c>
      <c r="I12">
        <f t="shared" si="3"/>
        <v>7.8611325719426334E-2</v>
      </c>
      <c r="J12">
        <f t="shared" si="4"/>
        <v>0.76694148781137605</v>
      </c>
      <c r="K12">
        <f t="shared" si="5"/>
        <v>0.46306954977698983</v>
      </c>
      <c r="L12">
        <f t="shared" si="6"/>
        <v>0.44426044877189885</v>
      </c>
      <c r="M12">
        <f t="shared" si="7"/>
        <v>26.376032197283376</v>
      </c>
      <c r="N12">
        <f t="shared" si="8"/>
        <v>31.123047149118452</v>
      </c>
      <c r="O12" t="str" cm="1">
        <f t="array" ref="O12">IF($M12="","",IFERROR(IF(INDEX(geo_grid!$B$2:$JU$231,INT(($M12+40)/0.5)+1,INT(($N12+30)/0.5)+1)="","",INDEX(geo_grid!$B$2:$JU$231,INT(($M12+40)/0.5)+1,INT(($N12+30)/0.5)+1)),"OUTSIDE GRID"))</f>
        <v>EGY</v>
      </c>
      <c r="Q12" t="str">
        <f>IF(countries!$D12="","",countries!$D12)</f>
        <v>COM</v>
      </c>
      <c r="R12" t="str">
        <f>IF($Q12="","",countries!$B12)</f>
        <v>Comoros</v>
      </c>
      <c r="S12">
        <f>IF($Q12="","",IF(OR($Q12='Feasibility IQ'!$AA$9,$Q12='Feasibility IQ'!$AA$10),0,COUNTIF($O$2:$O$152,$Q12)))</f>
        <v>0</v>
      </c>
      <c r="T12" t="str">
        <f t="shared" si="9"/>
        <v/>
      </c>
      <c r="U12" t="str" cm="1">
        <f t="array" ref="U12">IF($S12=0,"",SUMPRODUCT(($S$2:$S$143&gt;0)*($T$2:$T$143&lt;$T12))+1)</f>
        <v/>
      </c>
    </row>
    <row r="13" spans="1:21" x14ac:dyDescent="0.3">
      <c r="A13">
        <f t="shared" si="0"/>
        <v>11</v>
      </c>
      <c r="B13">
        <f t="shared" si="1"/>
        <v>7.3333333333333334E-2</v>
      </c>
      <c r="C13">
        <f>'Feasibility IQ'!$AA$4</f>
        <v>30.111529999999998</v>
      </c>
      <c r="D13">
        <f>'Feasibility IQ'!$AA$5</f>
        <v>31.39669</v>
      </c>
      <c r="E13">
        <f>'Feasibility IQ'!$AA$6</f>
        <v>-25.938960000000002</v>
      </c>
      <c r="F13">
        <f>'Feasibility IQ'!$AA$7</f>
        <v>27.926639999999999</v>
      </c>
      <c r="G13">
        <f>'Feasibility IQ'!$AA$8</f>
        <v>0.97998393122619054</v>
      </c>
      <c r="H13">
        <f t="shared" si="2"/>
        <v>0.94925772170130152</v>
      </c>
      <c r="I13">
        <f t="shared" si="3"/>
        <v>8.6459537015834281E-2</v>
      </c>
      <c r="J13">
        <f t="shared" si="4"/>
        <v>0.76961849029420437</v>
      </c>
      <c r="K13">
        <f t="shared" si="5"/>
        <v>0.46420293862380657</v>
      </c>
      <c r="L13">
        <f t="shared" si="6"/>
        <v>0.43840963854629367</v>
      </c>
      <c r="M13">
        <f t="shared" si="7"/>
        <v>26.002453774897301</v>
      </c>
      <c r="N13">
        <f t="shared" si="8"/>
        <v>31.096691196861158</v>
      </c>
      <c r="O13" t="str" cm="1">
        <f t="array" ref="O13">IF($M13="","",IFERROR(IF(INDEX(geo_grid!$B$2:$JU$231,INT(($M13+40)/0.5)+1,INT(($N13+30)/0.5)+1)="","",INDEX(geo_grid!$B$2:$JU$231,INT(($M13+40)/0.5)+1,INT(($N13+30)/0.5)+1)),"OUTSIDE GRID"))</f>
        <v>EGY</v>
      </c>
      <c r="Q13" t="str">
        <f>IF(countries!$D13="","",countries!$D13)</f>
        <v>CIV</v>
      </c>
      <c r="R13" t="str">
        <f>IF($Q13="","",countries!$B13)</f>
        <v>Côte d'Ivoire</v>
      </c>
      <c r="S13">
        <f>IF($Q13="","",IF(OR($Q13='Feasibility IQ'!$AA$9,$Q13='Feasibility IQ'!$AA$10),0,COUNTIF($O$2:$O$152,$Q13)))</f>
        <v>0</v>
      </c>
      <c r="T13" t="str">
        <f t="shared" si="9"/>
        <v/>
      </c>
      <c r="U13" t="str" cm="1">
        <f t="array" ref="U13">IF($S13=0,"",SUMPRODUCT(($S$2:$S$143&gt;0)*($T$2:$T$143&lt;$T13))+1)</f>
        <v/>
      </c>
    </row>
    <row r="14" spans="1:21" x14ac:dyDescent="0.3">
      <c r="A14">
        <f t="shared" si="0"/>
        <v>12</v>
      </c>
      <c r="B14">
        <f t="shared" si="1"/>
        <v>0.08</v>
      </c>
      <c r="C14">
        <f>'Feasibility IQ'!$AA$4</f>
        <v>30.111529999999998</v>
      </c>
      <c r="D14">
        <f>'Feasibility IQ'!$AA$5</f>
        <v>31.39669</v>
      </c>
      <c r="E14">
        <f>'Feasibility IQ'!$AA$6</f>
        <v>-25.938960000000002</v>
      </c>
      <c r="F14">
        <f>'Feasibility IQ'!$AA$7</f>
        <v>27.926639999999999</v>
      </c>
      <c r="G14">
        <f>'Feasibility IQ'!$AA$8</f>
        <v>0.97998393122619054</v>
      </c>
      <c r="H14">
        <f t="shared" si="2"/>
        <v>0.94439764950359806</v>
      </c>
      <c r="I14">
        <f t="shared" si="3"/>
        <v>9.4304057969086405E-2</v>
      </c>
      <c r="J14">
        <f t="shared" si="4"/>
        <v>0.77226264323346305</v>
      </c>
      <c r="K14">
        <f t="shared" si="5"/>
        <v>0.46531651394632556</v>
      </c>
      <c r="L14">
        <f t="shared" si="6"/>
        <v>0.4325401157290546</v>
      </c>
      <c r="M14">
        <f t="shared" si="7"/>
        <v>25.628870605683879</v>
      </c>
      <c r="N14">
        <f t="shared" si="8"/>
        <v>31.070502363919857</v>
      </c>
      <c r="O14" t="str" cm="1">
        <f t="array" ref="O14">IF($M14="","",IFERROR(IF(INDEX(geo_grid!$B$2:$JU$231,INT(($M14+40)/0.5)+1,INT(($N14+30)/0.5)+1)="","",INDEX(geo_grid!$B$2:$JU$231,INT(($M14+40)/0.5)+1,INT(($N14+30)/0.5)+1)),"OUTSIDE GRID"))</f>
        <v>EGY</v>
      </c>
      <c r="Q14" t="str">
        <f>IF(countries!$D14="","",countries!$D14)</f>
        <v>COD</v>
      </c>
      <c r="R14" t="str">
        <f>IF($Q14="","",countries!$B14)</f>
        <v>Democratic Republic of the Congo</v>
      </c>
      <c r="S14">
        <f>IF($Q14="","",IF(OR($Q14='Feasibility IQ'!$AA$9,$Q14='Feasibility IQ'!$AA$10),0,COUNTIF($O$2:$O$152,$Q14)))</f>
        <v>35</v>
      </c>
      <c r="T14">
        <f t="shared" si="9"/>
        <v>69</v>
      </c>
      <c r="U14" cm="1">
        <f t="array" ref="U14">IF($S14=0,"",SUMPRODUCT(($S$2:$S$143&gt;0)*($T$2:$T$143&lt;$T14))+1)</f>
        <v>3</v>
      </c>
    </row>
    <row r="15" spans="1:21" x14ac:dyDescent="0.3">
      <c r="A15">
        <f t="shared" si="0"/>
        <v>13</v>
      </c>
      <c r="B15">
        <f t="shared" si="1"/>
        <v>8.666666666666667E-2</v>
      </c>
      <c r="C15">
        <f>'Feasibility IQ'!$AA$4</f>
        <v>30.111529999999998</v>
      </c>
      <c r="D15">
        <f>'Feasibility IQ'!$AA$5</f>
        <v>31.39669</v>
      </c>
      <c r="E15">
        <f>'Feasibility IQ'!$AA$6</f>
        <v>-25.938960000000002</v>
      </c>
      <c r="F15">
        <f>'Feasibility IQ'!$AA$7</f>
        <v>27.926639999999999</v>
      </c>
      <c r="G15">
        <f>'Feasibility IQ'!$AA$8</f>
        <v>0.97998393122619054</v>
      </c>
      <c r="H15">
        <f t="shared" si="2"/>
        <v>0.93949726768219677</v>
      </c>
      <c r="I15">
        <f t="shared" si="3"/>
        <v>0.10214455375233532</v>
      </c>
      <c r="J15">
        <f t="shared" si="4"/>
        <v>0.77487383376905505</v>
      </c>
      <c r="K15">
        <f t="shared" si="5"/>
        <v>0.46641022821393036</v>
      </c>
      <c r="L15">
        <f t="shared" si="6"/>
        <v>0.42665213084839504</v>
      </c>
      <c r="M15">
        <f t="shared" si="7"/>
        <v>25.255282797303547</v>
      </c>
      <c r="N15">
        <f t="shared" si="8"/>
        <v>31.044476861996642</v>
      </c>
      <c r="O15" t="str" cm="1">
        <f t="array" ref="O15">IF($M15="","",IFERROR(IF(INDEX(geo_grid!$B$2:$JU$231,INT(($M15+40)/0.5)+1,INT(($N15+30)/0.5)+1)="","",INDEX(geo_grid!$B$2:$JU$231,INT(($M15+40)/0.5)+1,INT(($N15+30)/0.5)+1)),"OUTSIDE GRID"))</f>
        <v>EGY</v>
      </c>
      <c r="Q15" t="str">
        <f>IF(countries!$D15="","",countries!$D15)</f>
        <v>DJI</v>
      </c>
      <c r="R15" t="str">
        <f>IF($Q15="","",countries!$B15)</f>
        <v>Djibouti</v>
      </c>
      <c r="S15">
        <f>IF($Q15="","",IF(OR($Q15='Feasibility IQ'!$AA$9,$Q15='Feasibility IQ'!$AA$10),0,COUNTIF($O$2:$O$152,$Q15)))</f>
        <v>0</v>
      </c>
      <c r="T15" t="str">
        <f t="shared" si="9"/>
        <v/>
      </c>
      <c r="U15" t="str" cm="1">
        <f t="array" ref="U15">IF($S15=0,"",SUMPRODUCT(($S$2:$S$143&gt;0)*($T$2:$T$143&lt;$T15))+1)</f>
        <v/>
      </c>
    </row>
    <row r="16" spans="1:21" x14ac:dyDescent="0.3">
      <c r="A16">
        <f t="shared" si="0"/>
        <v>14</v>
      </c>
      <c r="B16">
        <f t="shared" si="1"/>
        <v>9.3333333333333338E-2</v>
      </c>
      <c r="C16">
        <f>'Feasibility IQ'!$AA$4</f>
        <v>30.111529999999998</v>
      </c>
      <c r="D16">
        <f>'Feasibility IQ'!$AA$5</f>
        <v>31.39669</v>
      </c>
      <c r="E16">
        <f>'Feasibility IQ'!$AA$6</f>
        <v>-25.938960000000002</v>
      </c>
      <c r="F16">
        <f>'Feasibility IQ'!$AA$7</f>
        <v>27.926639999999999</v>
      </c>
      <c r="G16">
        <f>'Feasibility IQ'!$AA$8</f>
        <v>0.97998393122619054</v>
      </c>
      <c r="H16">
        <f t="shared" si="2"/>
        <v>0.93455678539956988</v>
      </c>
      <c r="I16">
        <f t="shared" si="3"/>
        <v>0.10998068971053944</v>
      </c>
      <c r="J16">
        <f t="shared" si="4"/>
        <v>0.77745195044781479</v>
      </c>
      <c r="K16">
        <f t="shared" si="5"/>
        <v>0.46748403474373218</v>
      </c>
      <c r="L16">
        <f t="shared" si="6"/>
        <v>0.42074593522054288</v>
      </c>
      <c r="M16">
        <f t="shared" si="7"/>
        <v>24.881690455295185</v>
      </c>
      <c r="N16">
        <f t="shared" si="8"/>
        <v>31.018610977346203</v>
      </c>
      <c r="O16" t="str" cm="1">
        <f t="array" ref="O16">IF($M16="","",IFERROR(IF(INDEX(geo_grid!$B$2:$JU$231,INT(($M16+40)/0.5)+1,INT(($N16+30)/0.5)+1)="","",INDEX(geo_grid!$B$2:$JU$231,INT(($M16+40)/0.5)+1,INT(($N16+30)/0.5)+1)),"OUTSIDE GRID"))</f>
        <v>EGY</v>
      </c>
      <c r="Q16" t="str">
        <f>IF(countries!$D16="","",countries!$D16)</f>
        <v>EGY</v>
      </c>
      <c r="R16" t="str">
        <f>IF($Q16="","",countries!$B16)</f>
        <v>Egypt</v>
      </c>
      <c r="S16">
        <f>IF($Q16="","",IF(OR($Q16='Feasibility IQ'!$AA$9,$Q16='Feasibility IQ'!$AA$10),0,COUNTIF($O$2:$O$152,$Q16)))</f>
        <v>0</v>
      </c>
      <c r="T16" t="str">
        <f t="shared" si="9"/>
        <v/>
      </c>
      <c r="U16" t="str" cm="1">
        <f t="array" ref="U16">IF($S16=0,"",SUMPRODUCT(($S$2:$S$143&gt;0)*($T$2:$T$143&lt;$T16))+1)</f>
        <v/>
      </c>
    </row>
    <row r="17" spans="1:21" x14ac:dyDescent="0.3">
      <c r="A17">
        <f t="shared" si="0"/>
        <v>15</v>
      </c>
      <c r="B17">
        <f t="shared" si="1"/>
        <v>0.1</v>
      </c>
      <c r="C17">
        <f>'Feasibility IQ'!$AA$4</f>
        <v>30.111529999999998</v>
      </c>
      <c r="D17">
        <f>'Feasibility IQ'!$AA$5</f>
        <v>31.39669</v>
      </c>
      <c r="E17">
        <f>'Feasibility IQ'!$AA$6</f>
        <v>-25.938960000000002</v>
      </c>
      <c r="F17">
        <f>'Feasibility IQ'!$AA$7</f>
        <v>27.926639999999999</v>
      </c>
      <c r="G17">
        <f>'Feasibility IQ'!$AA$8</f>
        <v>0.97998393122619054</v>
      </c>
      <c r="H17">
        <f t="shared" si="2"/>
        <v>0.9295764135297937</v>
      </c>
      <c r="I17">
        <f t="shared" si="3"/>
        <v>0.11781213137474718</v>
      </c>
      <c r="J17">
        <f t="shared" si="4"/>
        <v>0.77999688322826422</v>
      </c>
      <c r="K17">
        <f t="shared" si="5"/>
        <v>0.46853788770256188</v>
      </c>
      <c r="L17">
        <f t="shared" si="6"/>
        <v>0.41482178093901351</v>
      </c>
      <c r="M17">
        <f t="shared" si="7"/>
        <v>24.508093683141972</v>
      </c>
      <c r="N17">
        <f t="shared" si="8"/>
        <v>30.992901068466274</v>
      </c>
      <c r="O17" t="str" cm="1">
        <f t="array" ref="O17">IF($M17="","",IFERROR(IF(INDEX(geo_grid!$B$2:$JU$231,INT(($M17+40)/0.5)+1,INT(($N17+30)/0.5)+1)="","",INDEX(geo_grid!$B$2:$JU$231,INT(($M17+40)/0.5)+1,INT(($N17+30)/0.5)+1)),"OUTSIDE GRID"))</f>
        <v>EGY</v>
      </c>
      <c r="Q17" t="str">
        <f>IF(countries!$D17="","",countries!$D17)</f>
        <v>GNQ</v>
      </c>
      <c r="R17" t="str">
        <f>IF($Q17="","",countries!$B17)</f>
        <v>Equatorial Guinea</v>
      </c>
      <c r="S17">
        <f>IF($Q17="","",IF(OR($Q17='Feasibility IQ'!$AA$9,$Q17='Feasibility IQ'!$AA$10),0,COUNTIF($O$2:$O$152,$Q17)))</f>
        <v>0</v>
      </c>
      <c r="T17" t="str">
        <f t="shared" si="9"/>
        <v/>
      </c>
      <c r="U17" t="str" cm="1">
        <f t="array" ref="U17">IF($S17=0,"",SUMPRODUCT(($S$2:$S$143&gt;0)*($T$2:$T$143&lt;$T17))+1)</f>
        <v/>
      </c>
    </row>
    <row r="18" spans="1:21" x14ac:dyDescent="0.3">
      <c r="A18">
        <f t="shared" si="0"/>
        <v>16</v>
      </c>
      <c r="B18">
        <f t="shared" si="1"/>
        <v>0.10666666666666667</v>
      </c>
      <c r="C18">
        <f>'Feasibility IQ'!$AA$4</f>
        <v>30.111529999999998</v>
      </c>
      <c r="D18">
        <f>'Feasibility IQ'!$AA$5</f>
        <v>31.39669</v>
      </c>
      <c r="E18">
        <f>'Feasibility IQ'!$AA$6</f>
        <v>-25.938960000000002</v>
      </c>
      <c r="F18">
        <f>'Feasibility IQ'!$AA$7</f>
        <v>27.926639999999999</v>
      </c>
      <c r="G18">
        <f>'Feasibility IQ'!$AA$8</f>
        <v>0.97998393122619054</v>
      </c>
      <c r="H18">
        <f t="shared" si="2"/>
        <v>0.92455636464954682</v>
      </c>
      <c r="I18">
        <f t="shared" si="3"/>
        <v>0.12563854447637302</v>
      </c>
      <c r="J18">
        <f t="shared" si="4"/>
        <v>0.78250852348531019</v>
      </c>
      <c r="K18">
        <f t="shared" si="5"/>
        <v>0.4695717421089266</v>
      </c>
      <c r="L18">
        <f t="shared" si="6"/>
        <v>0.40887992086384928</v>
      </c>
      <c r="M18">
        <f t="shared" si="7"/>
        <v>24.134492582334989</v>
      </c>
      <c r="N18">
        <f t="shared" si="8"/>
        <v>30.967343563862769</v>
      </c>
      <c r="O18" t="str" cm="1">
        <f t="array" ref="O18">IF($M18="","",IFERROR(IF(INDEX(geo_grid!$B$2:$JU$231,INT(($M18+40)/0.5)+1,INT(($N18+30)/0.5)+1)="","",INDEX(geo_grid!$B$2:$JU$231,INT(($M18+40)/0.5)+1,INT(($N18+30)/0.5)+1)),"OUTSIDE GRID"))</f>
        <v>EGY</v>
      </c>
      <c r="Q18" t="str">
        <f>IF(countries!$D18="","",countries!$D18)</f>
        <v>ERI</v>
      </c>
      <c r="R18" t="str">
        <f>IF($Q18="","",countries!$B18)</f>
        <v>Eritrea</v>
      </c>
      <c r="S18">
        <f>IF($Q18="","",IF(OR($Q18='Feasibility IQ'!$AA$9,$Q18='Feasibility IQ'!$AA$10),0,COUNTIF($O$2:$O$152,$Q18)))</f>
        <v>0</v>
      </c>
      <c r="T18" t="str">
        <f t="shared" si="9"/>
        <v/>
      </c>
      <c r="U18" t="str" cm="1">
        <f t="array" ref="U18">IF($S18=0,"",SUMPRODUCT(($S$2:$S$143&gt;0)*($T$2:$T$143&lt;$T18))+1)</f>
        <v/>
      </c>
    </row>
    <row r="19" spans="1:21" x14ac:dyDescent="0.3">
      <c r="A19">
        <f t="shared" si="0"/>
        <v>17</v>
      </c>
      <c r="B19">
        <f t="shared" si="1"/>
        <v>0.11333333333333333</v>
      </c>
      <c r="C19">
        <f>'Feasibility IQ'!$AA$4</f>
        <v>30.111529999999998</v>
      </c>
      <c r="D19">
        <f>'Feasibility IQ'!$AA$5</f>
        <v>31.39669</v>
      </c>
      <c r="E19">
        <f>'Feasibility IQ'!$AA$6</f>
        <v>-25.938960000000002</v>
      </c>
      <c r="F19">
        <f>'Feasibility IQ'!$AA$7</f>
        <v>27.926639999999999</v>
      </c>
      <c r="G19">
        <f>'Feasibility IQ'!$AA$8</f>
        <v>0.97998393122619054</v>
      </c>
      <c r="H19">
        <f t="shared" si="2"/>
        <v>0.91949685302903783</v>
      </c>
      <c r="I19">
        <f t="shared" si="3"/>
        <v>0.13345959496146492</v>
      </c>
      <c r="J19">
        <f t="shared" si="4"/>
        <v>0.78498676401488021</v>
      </c>
      <c r="K19">
        <f t="shared" si="5"/>
        <v>0.47058555383492934</v>
      </c>
      <c r="L19">
        <f t="shared" si="6"/>
        <v>0.40292060861082724</v>
      </c>
      <c r="M19">
        <f t="shared" si="7"/>
        <v>23.760887252434877</v>
      </c>
      <c r="N19">
        <f t="shared" si="8"/>
        <v>30.941934959886463</v>
      </c>
      <c r="O19" t="str" cm="1">
        <f t="array" ref="O19">IF($M19="","",IFERROR(IF(INDEX(geo_grid!$B$2:$JU$231,INT(($M19+40)/0.5)+1,INT(($N19+30)/0.5)+1)="","",INDEX(geo_grid!$B$2:$JU$231,INT(($M19+40)/0.5)+1,INT(($N19+30)/0.5)+1)),"OUTSIDE GRID"))</f>
        <v>EGY</v>
      </c>
      <c r="Q19" t="str">
        <f>IF(countries!$D19="","",countries!$D19)</f>
        <v>SWZ</v>
      </c>
      <c r="R19" t="str">
        <f>IF($Q19="","",countries!$B19)</f>
        <v>Eswatini</v>
      </c>
      <c r="S19">
        <f>IF($Q19="","",IF(OR($Q19='Feasibility IQ'!$AA$9,$Q19='Feasibility IQ'!$AA$10),0,COUNTIF($O$2:$O$152,$Q19)))</f>
        <v>0</v>
      </c>
      <c r="T19" t="str">
        <f t="shared" si="9"/>
        <v/>
      </c>
      <c r="U19" t="str" cm="1">
        <f t="array" ref="U19">IF($S19=0,"",SUMPRODUCT(($S$2:$S$143&gt;0)*($T$2:$T$143&lt;$T19))+1)</f>
        <v/>
      </c>
    </row>
    <row r="20" spans="1:21" x14ac:dyDescent="0.3">
      <c r="A20">
        <f t="shared" si="0"/>
        <v>18</v>
      </c>
      <c r="B20">
        <f t="shared" si="1"/>
        <v>0.12</v>
      </c>
      <c r="C20">
        <f>'Feasibility IQ'!$AA$4</f>
        <v>30.111529999999998</v>
      </c>
      <c r="D20">
        <f>'Feasibility IQ'!$AA$5</f>
        <v>31.39669</v>
      </c>
      <c r="E20">
        <f>'Feasibility IQ'!$AA$6</f>
        <v>-25.938960000000002</v>
      </c>
      <c r="F20">
        <f>'Feasibility IQ'!$AA$7</f>
        <v>27.926639999999999</v>
      </c>
      <c r="G20">
        <f>'Feasibility IQ'!$AA$8</f>
        <v>0.97998393122619054</v>
      </c>
      <c r="H20">
        <f t="shared" si="2"/>
        <v>0.91439809462285926</v>
      </c>
      <c r="I20">
        <f t="shared" si="3"/>
        <v>0.14127494900496301</v>
      </c>
      <c r="J20">
        <f t="shared" si="4"/>
        <v>0.78743149903849985</v>
      </c>
      <c r="K20">
        <f t="shared" si="5"/>
        <v>0.47157927960815282</v>
      </c>
      <c r="L20">
        <f t="shared" si="6"/>
        <v>0.39694409854063384</v>
      </c>
      <c r="M20">
        <f t="shared" si="7"/>
        <v>23.387277791131467</v>
      </c>
      <c r="N20">
        <f t="shared" si="8"/>
        <v>30.91667181863841</v>
      </c>
      <c r="O20" t="str" cm="1">
        <f t="array" ref="O20">IF($M20="","",IFERROR(IF(INDEX(geo_grid!$B$2:$JU$231,INT(($M20+40)/0.5)+1,INT(($N20+30)/0.5)+1)="","",INDEX(geo_grid!$B$2:$JU$231,INT(($M20+40)/0.5)+1,INT(($N20+30)/0.5)+1)),"OUTSIDE GRID"))</f>
        <v>EGY</v>
      </c>
      <c r="Q20" t="str">
        <f>IF(countries!$D20="","",countries!$D20)</f>
        <v>ETH</v>
      </c>
      <c r="R20" t="str">
        <f>IF($Q20="","",countries!$B20)</f>
        <v>Ethiopia</v>
      </c>
      <c r="S20">
        <f>IF($Q20="","",IF(OR($Q20='Feasibility IQ'!$AA$9,$Q20='Feasibility IQ'!$AA$10),0,COUNTIF($O$2:$O$152,$Q20)))</f>
        <v>0</v>
      </c>
      <c r="T20" t="str">
        <f t="shared" si="9"/>
        <v/>
      </c>
      <c r="U20" t="str" cm="1">
        <f t="array" ref="U20">IF($S20=0,"",SUMPRODUCT(($S$2:$S$143&gt;0)*($T$2:$T$143&lt;$T20))+1)</f>
        <v/>
      </c>
    </row>
    <row r="21" spans="1:21" x14ac:dyDescent="0.3">
      <c r="A21">
        <f t="shared" si="0"/>
        <v>19</v>
      </c>
      <c r="B21">
        <f t="shared" si="1"/>
        <v>0.12666666666666668</v>
      </c>
      <c r="C21">
        <f>'Feasibility IQ'!$AA$4</f>
        <v>30.111529999999998</v>
      </c>
      <c r="D21">
        <f>'Feasibility IQ'!$AA$5</f>
        <v>31.39669</v>
      </c>
      <c r="E21">
        <f>'Feasibility IQ'!$AA$6</f>
        <v>-25.938960000000002</v>
      </c>
      <c r="F21">
        <f>'Feasibility IQ'!$AA$7</f>
        <v>27.926639999999999</v>
      </c>
      <c r="G21">
        <f>'Feasibility IQ'!$AA$8</f>
        <v>0.97998393122619054</v>
      </c>
      <c r="H21">
        <f t="shared" si="2"/>
        <v>0.9092603070607701</v>
      </c>
      <c r="I21">
        <f t="shared" si="3"/>
        <v>0.14908427302494795</v>
      </c>
      <c r="J21">
        <f t="shared" si="4"/>
        <v>0.78984262420780571</v>
      </c>
      <c r="K21">
        <f t="shared" si="5"/>
        <v>0.47255287701350657</v>
      </c>
      <c r="L21">
        <f t="shared" si="6"/>
        <v>0.39095064574800825</v>
      </c>
      <c r="M21">
        <f t="shared" si="7"/>
        <v>23.013664294301588</v>
      </c>
      <c r="N21">
        <f t="shared" si="8"/>
        <v>30.891550765941385</v>
      </c>
      <c r="O21" t="str" cm="1">
        <f t="array" ref="O21">IF($M21="","",IFERROR(IF(INDEX(geo_grid!$B$2:$JU$231,INT(($M21+40)/0.5)+1,INT(($N21+30)/0.5)+1)="","",INDEX(geo_grid!$B$2:$JU$231,INT(($M21+40)/0.5)+1,INT(($N21+30)/0.5)+1)),"OUTSIDE GRID"))</f>
        <v>EGY</v>
      </c>
      <c r="Q21" t="str">
        <f>IF(countries!$D21="","",countries!$D21)</f>
        <v>GAB</v>
      </c>
      <c r="R21" t="str">
        <f>IF($Q21="","",countries!$B21)</f>
        <v>Gabon</v>
      </c>
      <c r="S21">
        <f>IF($Q21="","",IF(OR($Q21='Feasibility IQ'!$AA$9,$Q21='Feasibility IQ'!$AA$10),0,COUNTIF($O$2:$O$152,$Q21)))</f>
        <v>0</v>
      </c>
      <c r="T21" t="str">
        <f t="shared" si="9"/>
        <v/>
      </c>
      <c r="U21" t="str" cm="1">
        <f t="array" ref="U21">IF($S21=0,"",SUMPRODUCT(($S$2:$S$143&gt;0)*($T$2:$T$143&lt;$T21))+1)</f>
        <v/>
      </c>
    </row>
    <row r="22" spans="1:21" x14ac:dyDescent="0.3">
      <c r="A22">
        <f t="shared" si="0"/>
        <v>20</v>
      </c>
      <c r="B22">
        <f t="shared" si="1"/>
        <v>0.13333333333333333</v>
      </c>
      <c r="C22">
        <f>'Feasibility IQ'!$AA$4</f>
        <v>30.111529999999998</v>
      </c>
      <c r="D22">
        <f>'Feasibility IQ'!$AA$5</f>
        <v>31.39669</v>
      </c>
      <c r="E22">
        <f>'Feasibility IQ'!$AA$6</f>
        <v>-25.938960000000002</v>
      </c>
      <c r="F22">
        <f>'Feasibility IQ'!$AA$7</f>
        <v>27.926639999999999</v>
      </c>
      <c r="G22">
        <f>'Feasibility IQ'!$AA$8</f>
        <v>0.97998393122619054</v>
      </c>
      <c r="H22">
        <f t="shared" si="2"/>
        <v>0.90408370963840623</v>
      </c>
      <c r="I22">
        <f t="shared" si="3"/>
        <v>0.15688723369687912</v>
      </c>
      <c r="J22">
        <f t="shared" si="4"/>
        <v>0.79222003660900064</v>
      </c>
      <c r="K22">
        <f t="shared" si="5"/>
        <v>0.47350630449503661</v>
      </c>
      <c r="L22">
        <f t="shared" si="6"/>
        <v>0.38494050605085384</v>
      </c>
      <c r="M22">
        <f t="shared" si="7"/>
        <v>22.640046856064988</v>
      </c>
      <c r="N22">
        <f t="shared" si="8"/>
        <v>30.866568489374494</v>
      </c>
      <c r="O22" t="str" cm="1">
        <f t="array" ref="O22">IF($M22="","",IFERROR(IF(INDEX(geo_grid!$B$2:$JU$231,INT(($M22+40)/0.5)+1,INT(($N22+30)/0.5)+1)="","",INDEX(geo_grid!$B$2:$JU$231,INT(($M22+40)/0.5)+1,INT(($N22+30)/0.5)+1)),"OUTSIDE GRID"))</f>
        <v>EGY</v>
      </c>
      <c r="Q22" t="str">
        <f>IF(countries!$D22="","",countries!$D22)</f>
        <v>GMB</v>
      </c>
      <c r="R22" t="str">
        <f>IF($Q22="","",countries!$B22)</f>
        <v>Gambia</v>
      </c>
      <c r="S22">
        <f>IF($Q22="","",IF(OR($Q22='Feasibility IQ'!$AA$9,$Q22='Feasibility IQ'!$AA$10),0,COUNTIF($O$2:$O$152,$Q22)))</f>
        <v>0</v>
      </c>
      <c r="T22" t="str">
        <f t="shared" si="9"/>
        <v/>
      </c>
      <c r="U22" t="str" cm="1">
        <f t="array" ref="U22">IF($S22=0,"",SUMPRODUCT(($S$2:$S$143&gt;0)*($T$2:$T$143&lt;$T22))+1)</f>
        <v/>
      </c>
    </row>
    <row r="23" spans="1:21" x14ac:dyDescent="0.3">
      <c r="A23">
        <f t="shared" si="0"/>
        <v>21</v>
      </c>
      <c r="B23">
        <f t="shared" si="1"/>
        <v>0.14000000000000001</v>
      </c>
      <c r="C23">
        <f>'Feasibility IQ'!$AA$4</f>
        <v>30.111529999999998</v>
      </c>
      <c r="D23">
        <f>'Feasibility IQ'!$AA$5</f>
        <v>31.39669</v>
      </c>
      <c r="E23">
        <f>'Feasibility IQ'!$AA$6</f>
        <v>-25.938960000000002</v>
      </c>
      <c r="F23">
        <f>'Feasibility IQ'!$AA$7</f>
        <v>27.926639999999999</v>
      </c>
      <c r="G23">
        <f>'Feasibility IQ'!$AA$8</f>
        <v>0.97998393122619054</v>
      </c>
      <c r="H23">
        <f t="shared" si="2"/>
        <v>0.89886852330792077</v>
      </c>
      <c r="I23">
        <f t="shared" si="3"/>
        <v>0.16468349796782222</v>
      </c>
      <c r="J23">
        <f t="shared" si="4"/>
        <v>0.79456363476724556</v>
      </c>
      <c r="K23">
        <f t="shared" si="5"/>
        <v>0.4744395213576999</v>
      </c>
      <c r="L23">
        <f t="shared" si="6"/>
        <v>0.37891393597931933</v>
      </c>
      <c r="M23">
        <f t="shared" si="7"/>
        <v>22.266425568838621</v>
      </c>
      <c r="N23">
        <f t="shared" si="8"/>
        <v>30.84172173636879</v>
      </c>
      <c r="O23" t="str" cm="1">
        <f t="array" ref="O23">IF($M23="","",IFERROR(IF(INDEX(geo_grid!$B$2:$JU$231,INT(($M23+40)/0.5)+1,INT(($N23+30)/0.5)+1)="","",INDEX(geo_grid!$B$2:$JU$231,INT(($M23+40)/0.5)+1,INT(($N23+30)/0.5)+1)),"OUTSIDE GRID"))</f>
        <v>EGY</v>
      </c>
      <c r="Q23" t="str">
        <f>IF(countries!$D23="","",countries!$D23)</f>
        <v>GHA</v>
      </c>
      <c r="R23" t="str">
        <f>IF($Q23="","",countries!$B23)</f>
        <v>Ghana</v>
      </c>
      <c r="S23">
        <f>IF($Q23="","",IF(OR($Q23='Feasibility IQ'!$AA$9,$Q23='Feasibility IQ'!$AA$10),0,COUNTIF($O$2:$O$152,$Q23)))</f>
        <v>0</v>
      </c>
      <c r="T23" t="str">
        <f t="shared" si="9"/>
        <v/>
      </c>
      <c r="U23" t="str" cm="1">
        <f t="array" ref="U23">IF($S23=0,"",SUMPRODUCT(($S$2:$S$143&gt;0)*($T$2:$T$143&lt;$T23))+1)</f>
        <v/>
      </c>
    </row>
    <row r="24" spans="1:21" x14ac:dyDescent="0.3">
      <c r="A24">
        <f t="shared" si="0"/>
        <v>22</v>
      </c>
      <c r="B24">
        <f t="shared" si="1"/>
        <v>0.14666666666666667</v>
      </c>
      <c r="C24">
        <f>'Feasibility IQ'!$AA$4</f>
        <v>30.111529999999998</v>
      </c>
      <c r="D24">
        <f>'Feasibility IQ'!$AA$5</f>
        <v>31.39669</v>
      </c>
      <c r="E24">
        <f>'Feasibility IQ'!$AA$6</f>
        <v>-25.938960000000002</v>
      </c>
      <c r="F24">
        <f>'Feasibility IQ'!$AA$7</f>
        <v>27.926639999999999</v>
      </c>
      <c r="G24">
        <f>'Feasibility IQ'!$AA$8</f>
        <v>0.97998393122619054</v>
      </c>
      <c r="H24">
        <f t="shared" si="2"/>
        <v>0.89361497066855322</v>
      </c>
      <c r="I24">
        <f t="shared" si="3"/>
        <v>0.17247273307066452</v>
      </c>
      <c r="J24">
        <f t="shared" si="4"/>
        <v>0.79687331865099165</v>
      </c>
      <c r="K24">
        <f t="shared" si="5"/>
        <v>0.47535248776910111</v>
      </c>
      <c r="L24">
        <f t="shared" si="6"/>
        <v>0.37287119276484954</v>
      </c>
      <c r="M24">
        <f t="shared" si="7"/>
        <v>21.892800523389187</v>
      </c>
      <c r="N24">
        <f t="shared" si="8"/>
        <v>30.817007312361067</v>
      </c>
      <c r="O24" t="str" cm="1">
        <f t="array" ref="O24">IF($M24="","",IFERROR(IF(INDEX(geo_grid!$B$2:$JU$231,INT(($M24+40)/0.5)+1,INT(($N24+30)/0.5)+1)="","",INDEX(geo_grid!$B$2:$JU$231,INT(($M24+40)/0.5)+1,INT(($N24+30)/0.5)+1)),"OUTSIDE GRID"))</f>
        <v>SDN</v>
      </c>
      <c r="Q24" t="str">
        <f>IF(countries!$D24="","",countries!$D24)</f>
        <v>GIN</v>
      </c>
      <c r="R24" t="str">
        <f>IF($Q24="","",countries!$B24)</f>
        <v>Guinea</v>
      </c>
      <c r="S24">
        <f>IF($Q24="","",IF(OR($Q24='Feasibility IQ'!$AA$9,$Q24='Feasibility IQ'!$AA$10),0,COUNTIF($O$2:$O$152,$Q24)))</f>
        <v>0</v>
      </c>
      <c r="T24" t="str">
        <f t="shared" si="9"/>
        <v/>
      </c>
      <c r="U24" t="str" cm="1">
        <f t="array" ref="U24">IF($S24=0,"",SUMPRODUCT(($S$2:$S$143&gt;0)*($T$2:$T$143&lt;$T24))+1)</f>
        <v/>
      </c>
    </row>
    <row r="25" spans="1:21" x14ac:dyDescent="0.3">
      <c r="A25">
        <f t="shared" si="0"/>
        <v>23</v>
      </c>
      <c r="B25">
        <f t="shared" si="1"/>
        <v>0.15333333333333332</v>
      </c>
      <c r="C25">
        <f>'Feasibility IQ'!$AA$4</f>
        <v>30.111529999999998</v>
      </c>
      <c r="D25">
        <f>'Feasibility IQ'!$AA$5</f>
        <v>31.39669</v>
      </c>
      <c r="E25">
        <f>'Feasibility IQ'!$AA$6</f>
        <v>-25.938960000000002</v>
      </c>
      <c r="F25">
        <f>'Feasibility IQ'!$AA$7</f>
        <v>27.926639999999999</v>
      </c>
      <c r="G25">
        <f>'Feasibility IQ'!$AA$8</f>
        <v>0.97998393122619054</v>
      </c>
      <c r="H25">
        <f t="shared" si="2"/>
        <v>0.88832327595712823</v>
      </c>
      <c r="I25">
        <f t="shared" si="3"/>
        <v>0.18025460653831865</v>
      </c>
      <c r="J25">
        <f t="shared" si="4"/>
        <v>0.79914898967624892</v>
      </c>
      <c r="K25">
        <f t="shared" si="5"/>
        <v>0.47624516476119277</v>
      </c>
      <c r="L25">
        <f t="shared" si="6"/>
        <v>0.3668125343292058</v>
      </c>
      <c r="M25">
        <f t="shared" si="7"/>
        <v>21.519171808884114</v>
      </c>
      <c r="N25">
        <f t="shared" si="8"/>
        <v>30.792422079003842</v>
      </c>
      <c r="O25" t="str" cm="1">
        <f t="array" ref="O25">IF($M25="","",IFERROR(IF(INDEX(geo_grid!$B$2:$JU$231,INT(($M25+40)/0.5)+1,INT(($N25+30)/0.5)+1)="","",INDEX(geo_grid!$B$2:$JU$231,INT(($M25+40)/0.5)+1,INT(($N25+30)/0.5)+1)),"OUTSIDE GRID"))</f>
        <v>SDN</v>
      </c>
      <c r="Q25" t="str">
        <f>IF(countries!$D25="","",countries!$D25)</f>
        <v>GNB</v>
      </c>
      <c r="R25" t="str">
        <f>IF($Q25="","",countries!$B25)</f>
        <v>Guinea-Bissau</v>
      </c>
      <c r="S25">
        <f>IF($Q25="","",IF(OR($Q25='Feasibility IQ'!$AA$9,$Q25='Feasibility IQ'!$AA$10),0,COUNTIF($O$2:$O$152,$Q25)))</f>
        <v>0</v>
      </c>
      <c r="T25" t="str">
        <f t="shared" si="9"/>
        <v/>
      </c>
      <c r="U25" t="str" cm="1">
        <f t="array" ref="U25">IF($S25=0,"",SUMPRODUCT(($S$2:$S$143&gt;0)*($T$2:$T$143&lt;$T25))+1)</f>
        <v/>
      </c>
    </row>
    <row r="26" spans="1:21" x14ac:dyDescent="0.3">
      <c r="A26">
        <f t="shared" si="0"/>
        <v>24</v>
      </c>
      <c r="B26">
        <f t="shared" si="1"/>
        <v>0.16</v>
      </c>
      <c r="C26">
        <f>'Feasibility IQ'!$AA$4</f>
        <v>30.111529999999998</v>
      </c>
      <c r="D26">
        <f>'Feasibility IQ'!$AA$5</f>
        <v>31.39669</v>
      </c>
      <c r="E26">
        <f>'Feasibility IQ'!$AA$6</f>
        <v>-25.938960000000002</v>
      </c>
      <c r="F26">
        <f>'Feasibility IQ'!$AA$7</f>
        <v>27.926639999999999</v>
      </c>
      <c r="G26">
        <f>'Feasibility IQ'!$AA$8</f>
        <v>0.97998393122619054</v>
      </c>
      <c r="H26">
        <f t="shared" si="2"/>
        <v>0.88299366503848409</v>
      </c>
      <c r="I26">
        <f t="shared" si="3"/>
        <v>0.18802878621791311</v>
      </c>
      <c r="J26">
        <f t="shared" si="4"/>
        <v>0.80139055071079501</v>
      </c>
      <c r="K26">
        <f t="shared" si="5"/>
        <v>0.47711751423193827</v>
      </c>
      <c r="L26">
        <f t="shared" si="6"/>
        <v>0.36073821927345684</v>
      </c>
      <c r="M26">
        <f t="shared" si="7"/>
        <v>21.145539512940978</v>
      </c>
      <c r="N26">
        <f t="shared" si="8"/>
        <v>30.767962952429091</v>
      </c>
      <c r="O26" t="str" cm="1">
        <f t="array" ref="O26">IF($M26="","",IFERROR(IF(INDEX(geo_grid!$B$2:$JU$231,INT(($M26+40)/0.5)+1,INT(($N26+30)/0.5)+1)="","",INDEX(geo_grid!$B$2:$JU$231,INT(($M26+40)/0.5)+1,INT(($N26+30)/0.5)+1)),"OUTSIDE GRID"))</f>
        <v>SDN</v>
      </c>
      <c r="Q26" t="str">
        <f>IF(countries!$D26="","",countries!$D26)</f>
        <v>KEN</v>
      </c>
      <c r="R26" t="str">
        <f>IF($Q26="","",countries!$B26)</f>
        <v>Kenya</v>
      </c>
      <c r="S26">
        <f>IF($Q26="","",IF(OR($Q26='Feasibility IQ'!$AA$9,$Q26='Feasibility IQ'!$AA$10),0,COUNTIF($O$2:$O$152,$Q26)))</f>
        <v>0</v>
      </c>
      <c r="T26" t="str">
        <f t="shared" si="9"/>
        <v/>
      </c>
      <c r="U26" t="str" cm="1">
        <f t="array" ref="U26">IF($S26=0,"",SUMPRODUCT(($S$2:$S$143&gt;0)*($T$2:$T$143&lt;$T26))+1)</f>
        <v/>
      </c>
    </row>
    <row r="27" spans="1:21" x14ac:dyDescent="0.3">
      <c r="A27">
        <f t="shared" si="0"/>
        <v>25</v>
      </c>
      <c r="B27">
        <f t="shared" si="1"/>
        <v>0.16666666666666666</v>
      </c>
      <c r="C27">
        <f>'Feasibility IQ'!$AA$4</f>
        <v>30.111529999999998</v>
      </c>
      <c r="D27">
        <f>'Feasibility IQ'!$AA$5</f>
        <v>31.39669</v>
      </c>
      <c r="E27">
        <f>'Feasibility IQ'!$AA$6</f>
        <v>-25.938960000000002</v>
      </c>
      <c r="F27">
        <f>'Feasibility IQ'!$AA$7</f>
        <v>27.926639999999999</v>
      </c>
      <c r="G27">
        <f>'Feasibility IQ'!$AA$8</f>
        <v>0.97998393122619054</v>
      </c>
      <c r="H27">
        <f t="shared" si="2"/>
        <v>0.87762636539583272</v>
      </c>
      <c r="I27">
        <f t="shared" si="3"/>
        <v>0.19579494028496947</v>
      </c>
      <c r="J27">
        <f t="shared" si="4"/>
        <v>0.80359790607832049</v>
      </c>
      <c r="K27">
        <f t="shared" si="5"/>
        <v>0.47796949894693891</v>
      </c>
      <c r="L27">
        <f t="shared" si="6"/>
        <v>0.35464850686694155</v>
      </c>
      <c r="M27">
        <f t="shared" si="7"/>
        <v>20.771903721675493</v>
      </c>
      <c r="N27">
        <f t="shared" si="8"/>
        <v>30.743626901563779</v>
      </c>
      <c r="O27" t="str" cm="1">
        <f t="array" ref="O27">IF($M27="","",IFERROR(IF(INDEX(geo_grid!$B$2:$JU$231,INT(($M27+40)/0.5)+1,INT(($N27+30)/0.5)+1)="","",INDEX(geo_grid!$B$2:$JU$231,INT(($M27+40)/0.5)+1,INT(($N27+30)/0.5)+1)),"OUTSIDE GRID"))</f>
        <v>SDN</v>
      </c>
      <c r="Q27" t="str">
        <f>IF(countries!$D27="","",countries!$D27)</f>
        <v>LSO</v>
      </c>
      <c r="R27" t="str">
        <f>IF($Q27="","",countries!$B27)</f>
        <v>Lesotho</v>
      </c>
      <c r="S27">
        <f>IF($Q27="","",IF(OR($Q27='Feasibility IQ'!$AA$9,$Q27='Feasibility IQ'!$AA$10),0,COUNTIF($O$2:$O$152,$Q27)))</f>
        <v>0</v>
      </c>
      <c r="T27" t="str">
        <f t="shared" si="9"/>
        <v/>
      </c>
      <c r="U27" t="str" cm="1">
        <f t="array" ref="U27">IF($S27=0,"",SUMPRODUCT(($S$2:$S$143&gt;0)*($T$2:$T$143&lt;$T27))+1)</f>
        <v/>
      </c>
    </row>
    <row r="28" spans="1:21" x14ac:dyDescent="0.3">
      <c r="A28">
        <f t="shared" si="0"/>
        <v>26</v>
      </c>
      <c r="B28">
        <f t="shared" si="1"/>
        <v>0.17333333333333334</v>
      </c>
      <c r="C28">
        <f>'Feasibility IQ'!$AA$4</f>
        <v>30.111529999999998</v>
      </c>
      <c r="D28">
        <f>'Feasibility IQ'!$AA$5</f>
        <v>31.39669</v>
      </c>
      <c r="E28">
        <f>'Feasibility IQ'!$AA$6</f>
        <v>-25.938960000000002</v>
      </c>
      <c r="F28">
        <f>'Feasibility IQ'!$AA$7</f>
        <v>27.926639999999999</v>
      </c>
      <c r="G28">
        <f>'Feasibility IQ'!$AA$8</f>
        <v>0.97998393122619054</v>
      </c>
      <c r="H28">
        <f t="shared" si="2"/>
        <v>0.8722216061210496</v>
      </c>
      <c r="I28">
        <f t="shared" si="3"/>
        <v>0.20355273725756573</v>
      </c>
      <c r="J28">
        <f t="shared" si="4"/>
        <v>0.80577096156251216</v>
      </c>
      <c r="K28">
        <f t="shared" si="5"/>
        <v>0.4788010825410221</v>
      </c>
      <c r="L28">
        <f t="shared" si="6"/>
        <v>0.3485436570362021</v>
      </c>
      <c r="M28">
        <f t="shared" si="7"/>
        <v>20.398264519748039</v>
      </c>
      <c r="N28">
        <f t="shared" si="8"/>
        <v>30.719410946495</v>
      </c>
      <c r="O28" t="str" cm="1">
        <f t="array" ref="O28">IF($M28="","",IFERROR(IF(INDEX(geo_grid!$B$2:$JU$231,INT(($M28+40)/0.5)+1,INT(($N28+30)/0.5)+1)="","",INDEX(geo_grid!$B$2:$JU$231,INT(($M28+40)/0.5)+1,INT(($N28+30)/0.5)+1)),"OUTSIDE GRID"))</f>
        <v>SDN</v>
      </c>
      <c r="Q28" t="str">
        <f>IF(countries!$D28="","",countries!$D28)</f>
        <v>LBR</v>
      </c>
      <c r="R28" t="str">
        <f>IF($Q28="","",countries!$B28)</f>
        <v>Liberia</v>
      </c>
      <c r="S28">
        <f>IF($Q28="","",IF(OR($Q28='Feasibility IQ'!$AA$9,$Q28='Feasibility IQ'!$AA$10),0,COUNTIF($O$2:$O$152,$Q28)))</f>
        <v>0</v>
      </c>
      <c r="T28" t="str">
        <f t="shared" si="9"/>
        <v/>
      </c>
      <c r="U28" t="str" cm="1">
        <f t="array" ref="U28">IF($S28=0,"",SUMPRODUCT(($S$2:$S$143&gt;0)*($T$2:$T$143&lt;$T28))+1)</f>
        <v/>
      </c>
    </row>
    <row r="29" spans="1:21" x14ac:dyDescent="0.3">
      <c r="A29">
        <f t="shared" si="0"/>
        <v>27</v>
      </c>
      <c r="B29">
        <f t="shared" si="1"/>
        <v>0.18</v>
      </c>
      <c r="C29">
        <f>'Feasibility IQ'!$AA$4</f>
        <v>30.111529999999998</v>
      </c>
      <c r="D29">
        <f>'Feasibility IQ'!$AA$5</f>
        <v>31.39669</v>
      </c>
      <c r="E29">
        <f>'Feasibility IQ'!$AA$6</f>
        <v>-25.938960000000002</v>
      </c>
      <c r="F29">
        <f>'Feasibility IQ'!$AA$7</f>
        <v>27.926639999999999</v>
      </c>
      <c r="G29">
        <f>'Feasibility IQ'!$AA$8</f>
        <v>0.97998393122619054</v>
      </c>
      <c r="H29">
        <f t="shared" si="2"/>
        <v>0.8667796179048961</v>
      </c>
      <c r="I29">
        <f t="shared" si="3"/>
        <v>0.21130184601048477</v>
      </c>
      <c r="J29">
        <f t="shared" si="4"/>
        <v>0.80790962441107617</v>
      </c>
      <c r="K29">
        <f t="shared" si="5"/>
        <v>0.47961222951979454</v>
      </c>
      <c r="L29">
        <f t="shared" si="6"/>
        <v>0.3424239303538899</v>
      </c>
      <c r="M29">
        <f t="shared" si="7"/>
        <v>20.024621990408836</v>
      </c>
      <c r="N29">
        <f t="shared" si="8"/>
        <v>30.695312156882842</v>
      </c>
      <c r="O29" t="str" cm="1">
        <f t="array" ref="O29">IF($M29="","",IFERROR(IF(INDEX(geo_grid!$B$2:$JU$231,INT(($M29+40)/0.5)+1,INT(($N29+30)/0.5)+1)="","",INDEX(geo_grid!$B$2:$JU$231,INT(($M29+40)/0.5)+1,INT(($N29+30)/0.5)+1)),"OUTSIDE GRID"))</f>
        <v>SDN</v>
      </c>
      <c r="Q29" t="str">
        <f>IF(countries!$D29="","",countries!$D29)</f>
        <v>LBY</v>
      </c>
      <c r="R29" t="str">
        <f>IF($Q29="","",countries!$B29)</f>
        <v>Libya</v>
      </c>
      <c r="S29">
        <f>IF($Q29="","",IF(OR($Q29='Feasibility IQ'!$AA$9,$Q29='Feasibility IQ'!$AA$10),0,COUNTIF($O$2:$O$152,$Q29)))</f>
        <v>0</v>
      </c>
      <c r="T29" t="str">
        <f t="shared" si="9"/>
        <v/>
      </c>
      <c r="U29" t="str" cm="1">
        <f t="array" ref="U29">IF($S29=0,"",SUMPRODUCT(($S$2:$S$143&gt;0)*($T$2:$T$143&lt;$T29))+1)</f>
        <v/>
      </c>
    </row>
    <row r="30" spans="1:21" x14ac:dyDescent="0.3">
      <c r="A30">
        <f t="shared" si="0"/>
        <v>28</v>
      </c>
      <c r="B30">
        <f t="shared" si="1"/>
        <v>0.18666666666666668</v>
      </c>
      <c r="C30">
        <f>'Feasibility IQ'!$AA$4</f>
        <v>30.111529999999998</v>
      </c>
      <c r="D30">
        <f>'Feasibility IQ'!$AA$5</f>
        <v>31.39669</v>
      </c>
      <c r="E30">
        <f>'Feasibility IQ'!$AA$6</f>
        <v>-25.938960000000002</v>
      </c>
      <c r="F30">
        <f>'Feasibility IQ'!$AA$7</f>
        <v>27.926639999999999</v>
      </c>
      <c r="G30">
        <f>'Feasibility IQ'!$AA$8</f>
        <v>0.97998393122619054</v>
      </c>
      <c r="H30">
        <f t="shared" si="2"/>
        <v>0.86130063302717197</v>
      </c>
      <c r="I30">
        <f t="shared" si="3"/>
        <v>0.21904193578934794</v>
      </c>
      <c r="J30">
        <f t="shared" si="4"/>
        <v>0.81001380333969497</v>
      </c>
      <c r="K30">
        <f t="shared" si="5"/>
        <v>0.48040290526115653</v>
      </c>
      <c r="L30">
        <f t="shared" si="6"/>
        <v>0.33628958802764319</v>
      </c>
      <c r="M30">
        <f t="shared" si="7"/>
        <v>19.650976215541835</v>
      </c>
      <c r="N30">
        <f t="shared" si="8"/>
        <v>30.671327650419165</v>
      </c>
      <c r="O30" t="str" cm="1">
        <f t="array" ref="O30">IF($M30="","",IFERROR(IF(INDEX(geo_grid!$B$2:$JU$231,INT(($M30+40)/0.5)+1,INT(($N30+30)/0.5)+1)="","",INDEX(geo_grid!$B$2:$JU$231,INT(($M30+40)/0.5)+1,INT(($N30+30)/0.5)+1)),"OUTSIDE GRID"))</f>
        <v>SDN</v>
      </c>
      <c r="Q30" t="str">
        <f>IF(countries!$D30="","",countries!$D30)</f>
        <v>MDG</v>
      </c>
      <c r="R30" t="str">
        <f>IF($Q30="","",countries!$B30)</f>
        <v>Madagascar</v>
      </c>
      <c r="S30">
        <f>IF($Q30="","",IF(OR($Q30='Feasibility IQ'!$AA$9,$Q30='Feasibility IQ'!$AA$10),0,COUNTIF($O$2:$O$152,$Q30)))</f>
        <v>0</v>
      </c>
      <c r="T30" t="str">
        <f t="shared" si="9"/>
        <v/>
      </c>
      <c r="U30" t="str" cm="1">
        <f t="array" ref="U30">IF($S30=0,"",SUMPRODUCT(($S$2:$S$143&gt;0)*($T$2:$T$143&lt;$T30))+1)</f>
        <v/>
      </c>
    </row>
    <row r="31" spans="1:21" x14ac:dyDescent="0.3">
      <c r="A31">
        <f t="shared" si="0"/>
        <v>29</v>
      </c>
      <c r="B31">
        <f t="shared" si="1"/>
        <v>0.19333333333333333</v>
      </c>
      <c r="C31">
        <f>'Feasibility IQ'!$AA$4</f>
        <v>30.111529999999998</v>
      </c>
      <c r="D31">
        <f>'Feasibility IQ'!$AA$5</f>
        <v>31.39669</v>
      </c>
      <c r="E31">
        <f>'Feasibility IQ'!$AA$6</f>
        <v>-25.938960000000002</v>
      </c>
      <c r="F31">
        <f>'Feasibility IQ'!$AA$7</f>
        <v>27.926639999999999</v>
      </c>
      <c r="G31">
        <f>'Feasibility IQ'!$AA$8</f>
        <v>0.97998393122619054</v>
      </c>
      <c r="H31">
        <f t="shared" si="2"/>
        <v>0.85578488534680197</v>
      </c>
      <c r="I31">
        <f t="shared" si="3"/>
        <v>0.22677267622473235</v>
      </c>
      <c r="J31">
        <f t="shared" si="4"/>
        <v>0.81208340853592498</v>
      </c>
      <c r="K31">
        <f t="shared" si="5"/>
        <v>0.48117307601678028</v>
      </c>
      <c r="L31">
        <f t="shared" si="6"/>
        <v>0.33014089188893836</v>
      </c>
      <c r="M31">
        <f t="shared" si="7"/>
        <v>19.277327275707346</v>
      </c>
      <c r="N31">
        <f t="shared" si="8"/>
        <v>30.647454591330341</v>
      </c>
      <c r="O31" t="str" cm="1">
        <f t="array" ref="O31">IF($M31="","",IFERROR(IF(INDEX(geo_grid!$B$2:$JU$231,INT(($M31+40)/0.5)+1,INT(($N31+30)/0.5)+1)="","",INDEX(geo_grid!$B$2:$JU$231,INT(($M31+40)/0.5)+1,INT(($N31+30)/0.5)+1)),"OUTSIDE GRID"))</f>
        <v>SDN</v>
      </c>
      <c r="Q31" t="str">
        <f>IF(countries!$D31="","",countries!$D31)</f>
        <v>MWI</v>
      </c>
      <c r="R31" t="str">
        <f>IF($Q31="","",countries!$B31)</f>
        <v>Malawi</v>
      </c>
      <c r="S31">
        <f>IF($Q31="","",IF(OR($Q31='Feasibility IQ'!$AA$9,$Q31='Feasibility IQ'!$AA$10),0,COUNTIF($O$2:$O$152,$Q31)))</f>
        <v>0</v>
      </c>
      <c r="T31" t="str">
        <f t="shared" si="9"/>
        <v/>
      </c>
      <c r="U31" t="str" cm="1">
        <f t="array" ref="U31">IF($S31=0,"",SUMPRODUCT(($S$2:$S$143&gt;0)*($T$2:$T$143&lt;$T31))+1)</f>
        <v/>
      </c>
    </row>
    <row r="32" spans="1:21" x14ac:dyDescent="0.3">
      <c r="A32">
        <f t="shared" si="0"/>
        <v>30</v>
      </c>
      <c r="B32">
        <f t="shared" si="1"/>
        <v>0.2</v>
      </c>
      <c r="C32">
        <f>'Feasibility IQ'!$AA$4</f>
        <v>30.111529999999998</v>
      </c>
      <c r="D32">
        <f>'Feasibility IQ'!$AA$5</f>
        <v>31.39669</v>
      </c>
      <c r="E32">
        <f>'Feasibility IQ'!$AA$6</f>
        <v>-25.938960000000002</v>
      </c>
      <c r="F32">
        <f>'Feasibility IQ'!$AA$7</f>
        <v>27.926639999999999</v>
      </c>
      <c r="G32">
        <f>'Feasibility IQ'!$AA$8</f>
        <v>0.97998393122619054</v>
      </c>
      <c r="H32">
        <f t="shared" si="2"/>
        <v>0.85023261029185337</v>
      </c>
      <c r="I32">
        <f t="shared" si="3"/>
        <v>0.2344937373462723</v>
      </c>
      <c r="J32">
        <f t="shared" si="4"/>
        <v>0.81411835166302926</v>
      </c>
      <c r="K32">
        <f t="shared" si="5"/>
        <v>0.48192270891354977</v>
      </c>
      <c r="L32">
        <f t="shared" si="6"/>
        <v>0.32397810438191399</v>
      </c>
      <c r="M32">
        <f t="shared" si="7"/>
        <v>18.903675250183426</v>
      </c>
      <c r="N32">
        <f t="shared" si="8"/>
        <v>30.623690188922374</v>
      </c>
      <c r="O32" t="str" cm="1">
        <f t="array" ref="O32">IF($M32="","",IFERROR(IF(INDEX(geo_grid!$B$2:$JU$231,INT(($M32+40)/0.5)+1,INT(($N32+30)/0.5)+1)="","",INDEX(geo_grid!$B$2:$JU$231,INT(($M32+40)/0.5)+1,INT(($N32+30)/0.5)+1)),"OUTSIDE GRID"))</f>
        <v>SDN</v>
      </c>
      <c r="Q32" t="str">
        <f>IF(countries!$D32="","",countries!$D32)</f>
        <v>MLI</v>
      </c>
      <c r="R32" t="str">
        <f>IF($Q32="","",countries!$B32)</f>
        <v>Mali</v>
      </c>
      <c r="S32">
        <f>IF($Q32="","",IF(OR($Q32='Feasibility IQ'!$AA$9,$Q32='Feasibility IQ'!$AA$10),0,COUNTIF($O$2:$O$152,$Q32)))</f>
        <v>0</v>
      </c>
      <c r="T32" t="str">
        <f t="shared" si="9"/>
        <v/>
      </c>
      <c r="U32" t="str" cm="1">
        <f t="array" ref="U32">IF($S32=0,"",SUMPRODUCT(($S$2:$S$143&gt;0)*($T$2:$T$143&lt;$T32))+1)</f>
        <v/>
      </c>
    </row>
    <row r="33" spans="1:21" x14ac:dyDescent="0.3">
      <c r="A33">
        <f t="shared" si="0"/>
        <v>31</v>
      </c>
      <c r="B33">
        <f t="shared" si="1"/>
        <v>0.20666666666666667</v>
      </c>
      <c r="C33">
        <f>'Feasibility IQ'!$AA$4</f>
        <v>30.111529999999998</v>
      </c>
      <c r="D33">
        <f>'Feasibility IQ'!$AA$5</f>
        <v>31.39669</v>
      </c>
      <c r="E33">
        <f>'Feasibility IQ'!$AA$6</f>
        <v>-25.938960000000002</v>
      </c>
      <c r="F33">
        <f>'Feasibility IQ'!$AA$7</f>
        <v>27.926639999999999</v>
      </c>
      <c r="G33">
        <f>'Feasibility IQ'!$AA$8</f>
        <v>0.97998393122619054</v>
      </c>
      <c r="H33">
        <f t="shared" si="2"/>
        <v>0.84464404484948741</v>
      </c>
      <c r="I33">
        <f t="shared" si="3"/>
        <v>0.24220478959674299</v>
      </c>
      <c r="J33">
        <f t="shared" si="4"/>
        <v>0.8161185458637481</v>
      </c>
      <c r="K33">
        <f t="shared" si="5"/>
        <v>0.48265177195496439</v>
      </c>
      <c r="L33">
        <f t="shared" si="6"/>
        <v>0.31780148855216894</v>
      </c>
      <c r="M33">
        <f t="shared" si="7"/>
        <v>18.530020217006168</v>
      </c>
      <c r="N33">
        <f t="shared" si="8"/>
        <v>30.600031696166706</v>
      </c>
      <c r="O33" t="str" cm="1">
        <f t="array" ref="O33">IF($M33="","",IFERROR(IF(INDEX(geo_grid!$B$2:$JU$231,INT(($M33+40)/0.5)+1,INT(($N33+30)/0.5)+1)="","",INDEX(geo_grid!$B$2:$JU$231,INT(($M33+40)/0.5)+1,INT(($N33+30)/0.5)+1)),"OUTSIDE GRID"))</f>
        <v>SDN</v>
      </c>
      <c r="Q33" t="str">
        <f>IF(countries!$D33="","",countries!$D33)</f>
        <v>MRT</v>
      </c>
      <c r="R33" t="str">
        <f>IF($Q33="","",countries!$B33)</f>
        <v>Mauritania</v>
      </c>
      <c r="S33">
        <f>IF($Q33="","",IF(OR($Q33='Feasibility IQ'!$AA$9,$Q33='Feasibility IQ'!$AA$10),0,COUNTIF($O$2:$O$152,$Q33)))</f>
        <v>0</v>
      </c>
      <c r="T33" t="str">
        <f t="shared" si="9"/>
        <v/>
      </c>
      <c r="U33" t="str" cm="1">
        <f t="array" ref="U33">IF($S33=0,"",SUMPRODUCT(($S$2:$S$143&gt;0)*($T$2:$T$143&lt;$T33))+1)</f>
        <v/>
      </c>
    </row>
    <row r="34" spans="1:21" x14ac:dyDescent="0.3">
      <c r="A34">
        <f t="shared" si="0"/>
        <v>32</v>
      </c>
      <c r="B34">
        <f t="shared" si="1"/>
        <v>0.21333333333333335</v>
      </c>
      <c r="C34">
        <f>'Feasibility IQ'!$AA$4</f>
        <v>30.111529999999998</v>
      </c>
      <c r="D34">
        <f>'Feasibility IQ'!$AA$5</f>
        <v>31.39669</v>
      </c>
      <c r="E34">
        <f>'Feasibility IQ'!$AA$6</f>
        <v>-25.938960000000002</v>
      </c>
      <c r="F34">
        <f>'Feasibility IQ'!$AA$7</f>
        <v>27.926639999999999</v>
      </c>
      <c r="G34">
        <f>'Feasibility IQ'!$AA$8</f>
        <v>0.97998393122619054</v>
      </c>
      <c r="H34">
        <f t="shared" si="2"/>
        <v>0.83901942755584413</v>
      </c>
      <c r="I34">
        <f t="shared" si="3"/>
        <v>0.24990550384612747</v>
      </c>
      <c r="J34">
        <f t="shared" si="4"/>
        <v>0.81808390576400702</v>
      </c>
      <c r="K34">
        <f t="shared" si="5"/>
        <v>0.4833602340225045</v>
      </c>
      <c r="L34">
        <f t="shared" si="6"/>
        <v>0.31161130803553494</v>
      </c>
      <c r="M34">
        <f t="shared" si="7"/>
        <v>18.156362253008805</v>
      </c>
      <c r="N34">
        <f t="shared" si="8"/>
        <v>30.576476408324993</v>
      </c>
      <c r="O34" t="str" cm="1">
        <f t="array" ref="O34">IF($M34="","",IFERROR(IF(INDEX(geo_grid!$B$2:$JU$231,INT(($M34+40)/0.5)+1,INT(($N34+30)/0.5)+1)="","",INDEX(geo_grid!$B$2:$JU$231,INT(($M34+40)/0.5)+1,INT(($N34+30)/0.5)+1)),"OUTSIDE GRID"))</f>
        <v>SDN</v>
      </c>
      <c r="Q34" t="str">
        <f>IF(countries!$D34="","",countries!$D34)</f>
        <v>MUS</v>
      </c>
      <c r="R34" t="str">
        <f>IF($Q34="","",countries!$B34)</f>
        <v>Mauritius</v>
      </c>
      <c r="S34">
        <f>IF($Q34="","",IF(OR($Q34='Feasibility IQ'!$AA$9,$Q34='Feasibility IQ'!$AA$10),0,COUNTIF($O$2:$O$152,$Q34)))</f>
        <v>0</v>
      </c>
      <c r="T34" t="str">
        <f t="shared" si="9"/>
        <v/>
      </c>
      <c r="U34" t="str" cm="1">
        <f t="array" ref="U34">IF($S34=0,"",SUMPRODUCT(($S$2:$S$143&gt;0)*($T$2:$T$143&lt;$T34))+1)</f>
        <v/>
      </c>
    </row>
    <row r="35" spans="1:21" x14ac:dyDescent="0.3">
      <c r="A35">
        <f t="shared" si="0"/>
        <v>33</v>
      </c>
      <c r="B35">
        <f t="shared" si="1"/>
        <v>0.22</v>
      </c>
      <c r="C35">
        <f>'Feasibility IQ'!$AA$4</f>
        <v>30.111529999999998</v>
      </c>
      <c r="D35">
        <f>'Feasibility IQ'!$AA$5</f>
        <v>31.39669</v>
      </c>
      <c r="E35">
        <f>'Feasibility IQ'!$AA$6</f>
        <v>-25.938960000000002</v>
      </c>
      <c r="F35">
        <f>'Feasibility IQ'!$AA$7</f>
        <v>27.926639999999999</v>
      </c>
      <c r="G35">
        <f>'Feasibility IQ'!$AA$8</f>
        <v>0.97998393122619054</v>
      </c>
      <c r="H35">
        <f t="shared" si="2"/>
        <v>0.83335899848586115</v>
      </c>
      <c r="I35">
        <f t="shared" si="3"/>
        <v>0.25759555140566431</v>
      </c>
      <c r="J35">
        <f t="shared" si="4"/>
        <v>0.82001434747655966</v>
      </c>
      <c r="K35">
        <f t="shared" si="5"/>
        <v>0.48404806487695951</v>
      </c>
      <c r="L35">
        <f t="shared" si="6"/>
        <v>0.3054078270468239</v>
      </c>
      <c r="M35">
        <f t="shared" si="7"/>
        <v>17.78270143385982</v>
      </c>
      <c r="N35">
        <f t="shared" si="8"/>
        <v>30.553021661611563</v>
      </c>
      <c r="O35" t="str" cm="1">
        <f t="array" ref="O35">IF($M35="","",IFERROR(IF(INDEX(geo_grid!$B$2:$JU$231,INT(($M35+40)/0.5)+1,INT(($N35+30)/0.5)+1)="","",INDEX(geo_grid!$B$2:$JU$231,INT(($M35+40)/0.5)+1,INT(($N35+30)/0.5)+1)),"OUTSIDE GRID"))</f>
        <v>SDN</v>
      </c>
      <c r="Q35" t="str">
        <f>IF(countries!$D35="","",countries!$D35)</f>
        <v>MYT</v>
      </c>
      <c r="R35" t="str">
        <f>IF($Q35="","",countries!$B35)</f>
        <v>Mayotte</v>
      </c>
      <c r="S35">
        <f>IF($Q35="","",IF(OR($Q35='Feasibility IQ'!$AA$9,$Q35='Feasibility IQ'!$AA$10),0,COUNTIF($O$2:$O$152,$Q35)))</f>
        <v>0</v>
      </c>
      <c r="T35" t="str">
        <f t="shared" si="9"/>
        <v/>
      </c>
      <c r="U35" t="str" cm="1">
        <f t="array" ref="U35">IF($S35=0,"",SUMPRODUCT(($S$2:$S$143&gt;0)*($T$2:$T$143&lt;$T35))+1)</f>
        <v/>
      </c>
    </row>
    <row r="36" spans="1:21" x14ac:dyDescent="0.3">
      <c r="A36">
        <f t="shared" si="0"/>
        <v>34</v>
      </c>
      <c r="B36">
        <f t="shared" si="1"/>
        <v>0.22666666666666666</v>
      </c>
      <c r="C36">
        <f>'Feasibility IQ'!$AA$4</f>
        <v>30.111529999999998</v>
      </c>
      <c r="D36">
        <f>'Feasibility IQ'!$AA$5</f>
        <v>31.39669</v>
      </c>
      <c r="E36">
        <f>'Feasibility IQ'!$AA$6</f>
        <v>-25.938960000000002</v>
      </c>
      <c r="F36">
        <f>'Feasibility IQ'!$AA$7</f>
        <v>27.926639999999999</v>
      </c>
      <c r="G36">
        <f>'Feasibility IQ'!$AA$8</f>
        <v>0.97998393122619054</v>
      </c>
      <c r="H36">
        <f t="shared" si="2"/>
        <v>0.82766299924302578</v>
      </c>
      <c r="I36">
        <f t="shared" si="3"/>
        <v>0.26527460404187742</v>
      </c>
      <c r="J36">
        <f t="shared" si="4"/>
        <v>0.82190978860456942</v>
      </c>
      <c r="K36">
        <f t="shared" si="5"/>
        <v>0.48471523515971882</v>
      </c>
      <c r="L36">
        <f t="shared" si="6"/>
        <v>0.29919131036855018</v>
      </c>
      <c r="M36">
        <f t="shared" si="7"/>
        <v>17.409037834099944</v>
      </c>
      <c r="N36">
        <f t="shared" si="8"/>
        <v>30.529664831891854</v>
      </c>
      <c r="O36" t="str" cm="1">
        <f t="array" ref="O36">IF($M36="","",IFERROR(IF(INDEX(geo_grid!$B$2:$JU$231,INT(($M36+40)/0.5)+1,INT(($N36+30)/0.5)+1)="","",INDEX(geo_grid!$B$2:$JU$231,INT(($M36+40)/0.5)+1,INT(($N36+30)/0.5)+1)),"OUTSIDE GRID"))</f>
        <v>SDN</v>
      </c>
      <c r="Q36" t="str">
        <f>IF(countries!$D36="","",countries!$D36)</f>
        <v>MAR</v>
      </c>
      <c r="R36" t="str">
        <f>IF($Q36="","",countries!$B36)</f>
        <v>Morocco</v>
      </c>
      <c r="S36">
        <f>IF($Q36="","",IF(OR($Q36='Feasibility IQ'!$AA$9,$Q36='Feasibility IQ'!$AA$10),0,COUNTIF($O$2:$O$152,$Q36)))</f>
        <v>0</v>
      </c>
      <c r="T36" t="str">
        <f t="shared" si="9"/>
        <v/>
      </c>
      <c r="U36" t="str" cm="1">
        <f t="array" ref="U36">IF($S36=0,"",SUMPRODUCT(($S$2:$S$143&gt;0)*($T$2:$T$143&lt;$T36))+1)</f>
        <v/>
      </c>
    </row>
    <row r="37" spans="1:21" x14ac:dyDescent="0.3">
      <c r="A37">
        <f t="shared" si="0"/>
        <v>35</v>
      </c>
      <c r="B37">
        <f t="shared" si="1"/>
        <v>0.23333333333333334</v>
      </c>
      <c r="C37">
        <f>'Feasibility IQ'!$AA$4</f>
        <v>30.111529999999998</v>
      </c>
      <c r="D37">
        <f>'Feasibility IQ'!$AA$5</f>
        <v>31.39669</v>
      </c>
      <c r="E37">
        <f>'Feasibility IQ'!$AA$6</f>
        <v>-25.938960000000002</v>
      </c>
      <c r="F37">
        <f>'Feasibility IQ'!$AA$7</f>
        <v>27.926639999999999</v>
      </c>
      <c r="G37">
        <f>'Feasibility IQ'!$AA$8</f>
        <v>0.97998393122619054</v>
      </c>
      <c r="H37">
        <f t="shared" si="2"/>
        <v>0.82193167294906355</v>
      </c>
      <c r="I37">
        <f t="shared" si="3"/>
        <v>0.27294233399058593</v>
      </c>
      <c r="J37">
        <f t="shared" si="4"/>
        <v>0.82377014824512584</v>
      </c>
      <c r="K37">
        <f t="shared" si="5"/>
        <v>0.48536171639402481</v>
      </c>
      <c r="L37">
        <f t="shared" si="6"/>
        <v>0.29296202333962917</v>
      </c>
      <c r="M37">
        <f t="shared" si="7"/>
        <v>17.035371527178246</v>
      </c>
      <c r="N37">
        <f t="shared" si="8"/>
        <v>30.506403333415555</v>
      </c>
      <c r="O37" t="str" cm="1">
        <f t="array" ref="O37">IF($M37="","",IFERROR(IF(INDEX(geo_grid!$B$2:$JU$231,INT(($M37+40)/0.5)+1,INT(($N37+30)/0.5)+1)="","",INDEX(geo_grid!$B$2:$JU$231,INT(($M37+40)/0.5)+1,INT(($N37+30)/0.5)+1)),"OUTSIDE GRID"))</f>
        <v>SDN</v>
      </c>
      <c r="Q37" t="str">
        <f>IF(countries!$D37="","",countries!$D37)</f>
        <v>MOZ</v>
      </c>
      <c r="R37" t="str">
        <f>IF($Q37="","",countries!$B37)</f>
        <v>Mozambique</v>
      </c>
      <c r="S37">
        <f>IF($Q37="","",IF(OR($Q37='Feasibility IQ'!$AA$9,$Q37='Feasibility IQ'!$AA$10),0,COUNTIF($O$2:$O$152,$Q37)))</f>
        <v>0</v>
      </c>
      <c r="T37" t="str">
        <f t="shared" si="9"/>
        <v/>
      </c>
      <c r="U37" t="str" cm="1">
        <f t="array" ref="U37">IF($S37=0,"",SUMPRODUCT(($S$2:$S$143&gt;0)*($T$2:$T$143&lt;$T37))+1)</f>
        <v/>
      </c>
    </row>
    <row r="38" spans="1:21" x14ac:dyDescent="0.3">
      <c r="A38">
        <f t="shared" si="0"/>
        <v>36</v>
      </c>
      <c r="B38">
        <f t="shared" si="1"/>
        <v>0.24</v>
      </c>
      <c r="C38">
        <f>'Feasibility IQ'!$AA$4</f>
        <v>30.111529999999998</v>
      </c>
      <c r="D38">
        <f>'Feasibility IQ'!$AA$5</f>
        <v>31.39669</v>
      </c>
      <c r="E38">
        <f>'Feasibility IQ'!$AA$6</f>
        <v>-25.938960000000002</v>
      </c>
      <c r="F38">
        <f>'Feasibility IQ'!$AA$7</f>
        <v>27.926639999999999</v>
      </c>
      <c r="G38">
        <f>'Feasibility IQ'!$AA$8</f>
        <v>0.97998393122619054</v>
      </c>
      <c r="H38">
        <f t="shared" si="2"/>
        <v>0.81616526423356073</v>
      </c>
      <c r="I38">
        <f t="shared" si="3"/>
        <v>0.28059841397089363</v>
      </c>
      <c r="J38">
        <f t="shared" si="4"/>
        <v>0.82559534699269732</v>
      </c>
      <c r="K38">
        <f t="shared" si="5"/>
        <v>0.48598748098618799</v>
      </c>
      <c r="L38">
        <f t="shared" si="6"/>
        <v>0.28672023184405188</v>
      </c>
      <c r="M38">
        <f t="shared" si="7"/>
        <v>16.661702585487244</v>
      </c>
      <c r="N38">
        <f t="shared" si="8"/>
        <v>30.483234617583062</v>
      </c>
      <c r="O38" t="str" cm="1">
        <f t="array" ref="O38">IF($M38="","",IFERROR(IF(INDEX(geo_grid!$B$2:$JU$231,INT(($M38+40)/0.5)+1,INT(($N38+30)/0.5)+1)="","",INDEX(geo_grid!$B$2:$JU$231,INT(($M38+40)/0.5)+1,INT(($N38+30)/0.5)+1)),"OUTSIDE GRID"))</f>
        <v>SDN</v>
      </c>
      <c r="Q38" t="str">
        <f>IF(countries!$D38="","",countries!$D38)</f>
        <v>NAM</v>
      </c>
      <c r="R38" t="str">
        <f>IF($Q38="","",countries!$B38)</f>
        <v>Namibia</v>
      </c>
      <c r="S38">
        <f>IF($Q38="","",IF(OR($Q38='Feasibility IQ'!$AA$9,$Q38='Feasibility IQ'!$AA$10),0,COUNTIF($O$2:$O$152,$Q38)))</f>
        <v>0</v>
      </c>
      <c r="T38" t="str">
        <f t="shared" si="9"/>
        <v/>
      </c>
      <c r="U38" t="str" cm="1">
        <f t="array" ref="U38">IF($S38=0,"",SUMPRODUCT(($S$2:$S$143&gt;0)*($T$2:$T$143&lt;$T38))+1)</f>
        <v/>
      </c>
    </row>
    <row r="39" spans="1:21" x14ac:dyDescent="0.3">
      <c r="A39">
        <f t="shared" si="0"/>
        <v>37</v>
      </c>
      <c r="B39">
        <f t="shared" si="1"/>
        <v>0.24666666666666667</v>
      </c>
      <c r="C39">
        <f>'Feasibility IQ'!$AA$4</f>
        <v>30.111529999999998</v>
      </c>
      <c r="D39">
        <f>'Feasibility IQ'!$AA$5</f>
        <v>31.39669</v>
      </c>
      <c r="E39">
        <f>'Feasibility IQ'!$AA$6</f>
        <v>-25.938960000000002</v>
      </c>
      <c r="F39">
        <f>'Feasibility IQ'!$AA$7</f>
        <v>27.926639999999999</v>
      </c>
      <c r="G39">
        <f>'Feasibility IQ'!$AA$8</f>
        <v>0.97998393122619054</v>
      </c>
      <c r="H39">
        <f t="shared" si="2"/>
        <v>0.81036401922352275</v>
      </c>
      <c r="I39">
        <f t="shared" si="3"/>
        <v>0.28824251719915922</v>
      </c>
      <c r="J39">
        <f t="shared" si="4"/>
        <v>0.82738530694252166</v>
      </c>
      <c r="K39">
        <f t="shared" si="5"/>
        <v>0.48659250222676559</v>
      </c>
      <c r="L39">
        <f t="shared" si="6"/>
        <v>0.28046620229953595</v>
      </c>
      <c r="M39">
        <f t="shared" si="7"/>
        <v>16.288031080397044</v>
      </c>
      <c r="N39">
        <f t="shared" si="8"/>
        <v>30.460156171743886</v>
      </c>
      <c r="O39" t="str" cm="1">
        <f t="array" ref="O39">IF($M39="","",IFERROR(IF(INDEX(geo_grid!$B$2:$JU$231,INT(($M39+40)/0.5)+1,INT(($N39+30)/0.5)+1)="","",INDEX(geo_grid!$B$2:$JU$231,INT(($M39+40)/0.5)+1,INT(($N39+30)/0.5)+1)),"OUTSIDE GRID"))</f>
        <v>SDN</v>
      </c>
      <c r="Q39" t="str">
        <f>IF(countries!$D39="","",countries!$D39)</f>
        <v>NER</v>
      </c>
      <c r="R39" t="str">
        <f>IF($Q39="","",countries!$B39)</f>
        <v>Niger</v>
      </c>
      <c r="S39">
        <f>IF($Q39="","",IF(OR($Q39='Feasibility IQ'!$AA$9,$Q39='Feasibility IQ'!$AA$10),0,COUNTIF($O$2:$O$152,$Q39)))</f>
        <v>0</v>
      </c>
      <c r="T39" t="str">
        <f t="shared" si="9"/>
        <v/>
      </c>
      <c r="U39" t="str" cm="1">
        <f t="array" ref="U39">IF($S39=0,"",SUMPRODUCT(($S$2:$S$143&gt;0)*($T$2:$T$143&lt;$T39))+1)</f>
        <v/>
      </c>
    </row>
    <row r="40" spans="1:21" x14ac:dyDescent="0.3">
      <c r="A40">
        <f t="shared" si="0"/>
        <v>38</v>
      </c>
      <c r="B40">
        <f t="shared" si="1"/>
        <v>0.25333333333333335</v>
      </c>
      <c r="C40">
        <f>'Feasibility IQ'!$AA$4</f>
        <v>30.111529999999998</v>
      </c>
      <c r="D40">
        <f>'Feasibility IQ'!$AA$5</f>
        <v>31.39669</v>
      </c>
      <c r="E40">
        <f>'Feasibility IQ'!$AA$6</f>
        <v>-25.938960000000002</v>
      </c>
      <c r="F40">
        <f>'Feasibility IQ'!$AA$7</f>
        <v>27.926639999999999</v>
      </c>
      <c r="G40">
        <f>'Feasibility IQ'!$AA$8</f>
        <v>0.97998393122619054</v>
      </c>
      <c r="H40">
        <f t="shared" si="2"/>
        <v>0.80452818553286864</v>
      </c>
      <c r="I40">
        <f t="shared" si="3"/>
        <v>0.29587431740294345</v>
      </c>
      <c r="J40">
        <f t="shared" si="4"/>
        <v>0.82913995169392973</v>
      </c>
      <c r="K40">
        <f t="shared" si="5"/>
        <v>0.48717675429170049</v>
      </c>
      <c r="L40">
        <f t="shared" si="6"/>
        <v>0.27420020164615422</v>
      </c>
      <c r="M40">
        <f t="shared" si="7"/>
        <v>15.914357082288705</v>
      </c>
      <c r="N40">
        <f t="shared" si="8"/>
        <v>30.437165518025846</v>
      </c>
      <c r="O40" t="str" cm="1">
        <f t="array" ref="O40">IF($M40="","",IFERROR(IF(INDEX(geo_grid!$B$2:$JU$231,INT(($M40+40)/0.5)+1,INT(($N40+30)/0.5)+1)="","",INDEX(geo_grid!$B$2:$JU$231,INT(($M40+40)/0.5)+1,INT(($N40+30)/0.5)+1)),"OUTSIDE GRID"))</f>
        <v>SDN</v>
      </c>
      <c r="Q40" t="str">
        <f>IF(countries!$D40="","",countries!$D40)</f>
        <v>NGA</v>
      </c>
      <c r="R40" t="str">
        <f>IF($Q40="","",countries!$B40)</f>
        <v>Nigeria</v>
      </c>
      <c r="S40">
        <f>IF($Q40="","",IF(OR($Q40='Feasibility IQ'!$AA$9,$Q40='Feasibility IQ'!$AA$10),0,COUNTIF($O$2:$O$152,$Q40)))</f>
        <v>0</v>
      </c>
      <c r="T40" t="str">
        <f t="shared" si="9"/>
        <v/>
      </c>
      <c r="U40" t="str" cm="1">
        <f t="array" ref="U40">IF($S40=0,"",SUMPRODUCT(($S$2:$S$143&gt;0)*($T$2:$T$143&lt;$T40))+1)</f>
        <v/>
      </c>
    </row>
    <row r="41" spans="1:21" x14ac:dyDescent="0.3">
      <c r="A41">
        <f t="shared" si="0"/>
        <v>39</v>
      </c>
      <c r="B41">
        <f t="shared" si="1"/>
        <v>0.26</v>
      </c>
      <c r="C41">
        <f>'Feasibility IQ'!$AA$4</f>
        <v>30.111529999999998</v>
      </c>
      <c r="D41">
        <f>'Feasibility IQ'!$AA$5</f>
        <v>31.39669</v>
      </c>
      <c r="E41">
        <f>'Feasibility IQ'!$AA$6</f>
        <v>-25.938960000000002</v>
      </c>
      <c r="F41">
        <f>'Feasibility IQ'!$AA$7</f>
        <v>27.926639999999999</v>
      </c>
      <c r="G41">
        <f>'Feasibility IQ'!$AA$8</f>
        <v>0.97998393122619054</v>
      </c>
      <c r="H41">
        <f t="shared" si="2"/>
        <v>0.79865801225186295</v>
      </c>
      <c r="I41">
        <f t="shared" si="3"/>
        <v>0.30349348883493571</v>
      </c>
      <c r="J41">
        <f t="shared" si="4"/>
        <v>0.83085920635360766</v>
      </c>
      <c r="K41">
        <f t="shared" si="5"/>
        <v>0.48774021224342462</v>
      </c>
      <c r="L41">
        <f t="shared" si="6"/>
        <v>0.26792249733494167</v>
      </c>
      <c r="M41">
        <f t="shared" si="7"/>
        <v>15.540680660586728</v>
      </c>
      <c r="N41">
        <f t="shared" si="8"/>
        <v>30.414260212193788</v>
      </c>
      <c r="O41" t="str" cm="1">
        <f t="array" ref="O41">IF($M41="","",IFERROR(IF(INDEX(geo_grid!$B$2:$JU$231,INT(($M41+40)/0.5)+1,INT(($N41+30)/0.5)+1)="","",INDEX(geo_grid!$B$2:$JU$231,INT(($M41+40)/0.5)+1,INT(($N41+30)/0.5)+1)),"OUTSIDE GRID"))</f>
        <v>SDN</v>
      </c>
      <c r="Q41" t="str">
        <f>IF(countries!$D41="","",countries!$D41)</f>
        <v>COG</v>
      </c>
      <c r="R41" t="str">
        <f>IF($Q41="","",countries!$B41)</f>
        <v>Republic of the Congo</v>
      </c>
      <c r="S41">
        <f>IF($Q41="","",IF(OR($Q41='Feasibility IQ'!$AA$9,$Q41='Feasibility IQ'!$AA$10),0,COUNTIF($O$2:$O$152,$Q41)))</f>
        <v>0</v>
      </c>
      <c r="T41" t="str">
        <f t="shared" si="9"/>
        <v/>
      </c>
      <c r="U41" t="str" cm="1">
        <f t="array" ref="U41">IF($S41=0,"",SUMPRODUCT(($S$2:$S$143&gt;0)*($T$2:$T$143&lt;$T41))+1)</f>
        <v/>
      </c>
    </row>
    <row r="42" spans="1:21" x14ac:dyDescent="0.3">
      <c r="A42">
        <f t="shared" si="0"/>
        <v>40</v>
      </c>
      <c r="B42">
        <f t="shared" si="1"/>
        <v>0.26666666666666666</v>
      </c>
      <c r="C42">
        <f>'Feasibility IQ'!$AA$4</f>
        <v>30.111529999999998</v>
      </c>
      <c r="D42">
        <f>'Feasibility IQ'!$AA$5</f>
        <v>31.39669</v>
      </c>
      <c r="E42">
        <f>'Feasibility IQ'!$AA$6</f>
        <v>-25.938960000000002</v>
      </c>
      <c r="F42">
        <f>'Feasibility IQ'!$AA$7</f>
        <v>27.926639999999999</v>
      </c>
      <c r="G42">
        <f>'Feasibility IQ'!$AA$8</f>
        <v>0.97998393122619054</v>
      </c>
      <c r="H42">
        <f t="shared" si="2"/>
        <v>0.79275374993648284</v>
      </c>
      <c r="I42">
        <f t="shared" si="3"/>
        <v>0.31109970628685818</v>
      </c>
      <c r="J42">
        <f t="shared" si="4"/>
        <v>0.83254299753879324</v>
      </c>
      <c r="K42">
        <f t="shared" si="5"/>
        <v>0.48828285203192262</v>
      </c>
      <c r="L42">
        <f t="shared" si="6"/>
        <v>0.26163335731647858</v>
      </c>
      <c r="M42">
        <f t="shared" si="7"/>
        <v>15.167001883790665</v>
      </c>
      <c r="N42">
        <f t="shared" si="8"/>
        <v>30.391437842536607</v>
      </c>
      <c r="O42" t="str" cm="1">
        <f t="array" ref="O42">IF($M42="","",IFERROR(IF(INDEX(geo_grid!$B$2:$JU$231,INT(($M42+40)/0.5)+1,INT(($N42+30)/0.5)+1)="","",INDEX(geo_grid!$B$2:$JU$231,INT(($M42+40)/0.5)+1,INT(($N42+30)/0.5)+1)),"OUTSIDE GRID"))</f>
        <v>SDN</v>
      </c>
      <c r="Q42" t="str">
        <f>IF(countries!$D42="","",countries!$D42)</f>
        <v>RWA</v>
      </c>
      <c r="R42" t="str">
        <f>IF($Q42="","",countries!$B42)</f>
        <v>Rwanda</v>
      </c>
      <c r="S42">
        <f>IF($Q42="","",IF(OR($Q42='Feasibility IQ'!$AA$9,$Q42='Feasibility IQ'!$AA$10),0,COUNTIF($O$2:$O$152,$Q42)))</f>
        <v>3</v>
      </c>
      <c r="T42">
        <f t="shared" si="9"/>
        <v>86</v>
      </c>
      <c r="U42" cm="1">
        <f t="array" ref="U42">IF($S42=0,"",SUMPRODUCT(($S$2:$S$143&gt;0)*($T$2:$T$143&lt;$T42))+1)</f>
        <v>4</v>
      </c>
    </row>
    <row r="43" spans="1:21" x14ac:dyDescent="0.3">
      <c r="A43">
        <f t="shared" si="0"/>
        <v>41</v>
      </c>
      <c r="B43">
        <f t="shared" si="1"/>
        <v>0.27333333333333332</v>
      </c>
      <c r="C43">
        <f>'Feasibility IQ'!$AA$4</f>
        <v>30.111529999999998</v>
      </c>
      <c r="D43">
        <f>'Feasibility IQ'!$AA$5</f>
        <v>31.39669</v>
      </c>
      <c r="E43">
        <f>'Feasibility IQ'!$AA$6</f>
        <v>-25.938960000000002</v>
      </c>
      <c r="F43">
        <f>'Feasibility IQ'!$AA$7</f>
        <v>27.926639999999999</v>
      </c>
      <c r="G43">
        <f>'Feasibility IQ'!$AA$8</f>
        <v>0.97998393122619054</v>
      </c>
      <c r="H43">
        <f t="shared" si="2"/>
        <v>0.78681565059772396</v>
      </c>
      <c r="I43">
        <f t="shared" si="3"/>
        <v>0.31869264510334616</v>
      </c>
      <c r="J43">
        <f t="shared" si="4"/>
        <v>0.83419125338040756</v>
      </c>
      <c r="K43">
        <f t="shared" si="5"/>
        <v>0.48880465049575839</v>
      </c>
      <c r="L43">
        <f t="shared" si="6"/>
        <v>0.25533305002945472</v>
      </c>
      <c r="M43">
        <f t="shared" si="7"/>
        <v>14.793320819506061</v>
      </c>
      <c r="N43">
        <f t="shared" si="8"/>
        <v>30.368696028781567</v>
      </c>
      <c r="O43" t="str" cm="1">
        <f t="array" ref="O43">IF($M43="","",IFERROR(IF(INDEX(geo_grid!$B$2:$JU$231,INT(($M43+40)/0.5)+1,INT(($N43+30)/0.5)+1)="","",INDEX(geo_grid!$B$2:$JU$231,INT(($M43+40)/0.5)+1,INT(($N43+30)/0.5)+1)),"OUTSIDE GRID"))</f>
        <v>SDN</v>
      </c>
      <c r="Q43" t="str">
        <f>IF(countries!$D43="","",countries!$D43)</f>
        <v>REU</v>
      </c>
      <c r="R43" t="str">
        <f>IF($Q43="","",countries!$B43)</f>
        <v>Réunion</v>
      </c>
      <c r="S43">
        <f>IF($Q43="","",IF(OR($Q43='Feasibility IQ'!$AA$9,$Q43='Feasibility IQ'!$AA$10),0,COUNTIF($O$2:$O$152,$Q43)))</f>
        <v>0</v>
      </c>
      <c r="T43" t="str">
        <f t="shared" si="9"/>
        <v/>
      </c>
      <c r="U43" t="str" cm="1">
        <f t="array" ref="U43">IF($S43=0,"",SUMPRODUCT(($S$2:$S$143&gt;0)*($T$2:$T$143&lt;$T43))+1)</f>
        <v/>
      </c>
    </row>
    <row r="44" spans="1:21" x14ac:dyDescent="0.3">
      <c r="A44">
        <f t="shared" si="0"/>
        <v>42</v>
      </c>
      <c r="B44">
        <f t="shared" si="1"/>
        <v>0.28000000000000003</v>
      </c>
      <c r="C44">
        <f>'Feasibility IQ'!$AA$4</f>
        <v>30.111529999999998</v>
      </c>
      <c r="D44">
        <f>'Feasibility IQ'!$AA$5</f>
        <v>31.39669</v>
      </c>
      <c r="E44">
        <f>'Feasibility IQ'!$AA$6</f>
        <v>-25.938960000000002</v>
      </c>
      <c r="F44">
        <f>'Feasibility IQ'!$AA$7</f>
        <v>27.926639999999999</v>
      </c>
      <c r="G44">
        <f>'Feasibility IQ'!$AA$8</f>
        <v>0.97998393122619054</v>
      </c>
      <c r="H44">
        <f t="shared" si="2"/>
        <v>0.78084396769084441</v>
      </c>
      <c r="I44">
        <f t="shared" si="3"/>
        <v>0.32627198119580575</v>
      </c>
      <c r="J44">
        <f t="shared" si="4"/>
        <v>0.8358039035261231</v>
      </c>
      <c r="K44">
        <f t="shared" si="5"/>
        <v>0.48930558536306407</v>
      </c>
      <c r="L44">
        <f t="shared" si="6"/>
        <v>0.24902184438921082</v>
      </c>
      <c r="M44">
        <f t="shared" si="7"/>
        <v>14.419637534474555</v>
      </c>
      <c r="N44">
        <f t="shared" si="8"/>
        <v>30.346032421034753</v>
      </c>
      <c r="O44" t="str" cm="1">
        <f t="array" ref="O44">IF($M44="","",IFERROR(IF(INDEX(geo_grid!$B$2:$JU$231,INT(($M44+40)/0.5)+1,INT(($N44+30)/0.5)+1)="","",INDEX(geo_grid!$B$2:$JU$231,INT(($M44+40)/0.5)+1,INT(($N44+30)/0.5)+1)),"OUTSIDE GRID"))</f>
        <v>SDN</v>
      </c>
      <c r="Q44" t="str">
        <f>IF(countries!$D44="","",countries!$D44)</f>
        <v>SHN</v>
      </c>
      <c r="R44" t="str">
        <f>IF($Q44="","",countries!$B44)</f>
        <v>Saint Helena, Ascension and Tristan da Cunha</v>
      </c>
      <c r="S44">
        <f>IF($Q44="","",IF(OR($Q44='Feasibility IQ'!$AA$9,$Q44='Feasibility IQ'!$AA$10),0,COUNTIF($O$2:$O$152,$Q44)))</f>
        <v>0</v>
      </c>
      <c r="T44" t="str">
        <f t="shared" si="9"/>
        <v/>
      </c>
      <c r="U44" t="str" cm="1">
        <f t="array" ref="U44">IF($S44=0,"",SUMPRODUCT(($S$2:$S$143&gt;0)*($T$2:$T$143&lt;$T44))+1)</f>
        <v/>
      </c>
    </row>
    <row r="45" spans="1:21" x14ac:dyDescent="0.3">
      <c r="A45">
        <f t="shared" si="0"/>
        <v>43</v>
      </c>
      <c r="B45">
        <f t="shared" si="1"/>
        <v>0.28666666666666668</v>
      </c>
      <c r="C45">
        <f>'Feasibility IQ'!$AA$4</f>
        <v>30.111529999999998</v>
      </c>
      <c r="D45">
        <f>'Feasibility IQ'!$AA$5</f>
        <v>31.39669</v>
      </c>
      <c r="E45">
        <f>'Feasibility IQ'!$AA$6</f>
        <v>-25.938960000000002</v>
      </c>
      <c r="F45">
        <f>'Feasibility IQ'!$AA$7</f>
        <v>27.926639999999999</v>
      </c>
      <c r="G45">
        <f>'Feasibility IQ'!$AA$8</f>
        <v>0.97998393122619054</v>
      </c>
      <c r="H45">
        <f t="shared" si="2"/>
        <v>0.7748389561045459</v>
      </c>
      <c r="I45">
        <f t="shared" si="3"/>
        <v>0.33383739105624627</v>
      </c>
      <c r="J45">
        <f t="shared" si="4"/>
        <v>0.83738087914336612</v>
      </c>
      <c r="K45">
        <f t="shared" si="5"/>
        <v>0.48978563525249025</v>
      </c>
      <c r="L45">
        <f t="shared" si="6"/>
        <v>0.24270000977626141</v>
      </c>
      <c r="M45">
        <f t="shared" si="7"/>
        <v>14.04595209460339</v>
      </c>
      <c r="N45">
        <f t="shared" si="8"/>
        <v>30.323444698746595</v>
      </c>
      <c r="O45" t="str" cm="1">
        <f t="array" ref="O45">IF($M45="","",IFERROR(IF(INDEX(geo_grid!$B$2:$JU$231,INT(($M45+40)/0.5)+1,INT(($N45+30)/0.5)+1)="","",INDEX(geo_grid!$B$2:$JU$231,INT(($M45+40)/0.5)+1,INT(($N45+30)/0.5)+1)),"OUTSIDE GRID"))</f>
        <v>SDN</v>
      </c>
      <c r="Q45" t="str">
        <f>IF(countries!$D45="","",countries!$D45)</f>
        <v>STP</v>
      </c>
      <c r="R45" t="str">
        <f>IF($Q45="","",countries!$B45)</f>
        <v>São Tomé and Príncipe</v>
      </c>
      <c r="S45">
        <f>IF($Q45="","",IF(OR($Q45='Feasibility IQ'!$AA$9,$Q45='Feasibility IQ'!$AA$10),0,COUNTIF($O$2:$O$152,$Q45)))</f>
        <v>0</v>
      </c>
      <c r="T45" t="str">
        <f t="shared" si="9"/>
        <v/>
      </c>
      <c r="U45" t="str" cm="1">
        <f t="array" ref="U45">IF($S45=0,"",SUMPRODUCT(($S$2:$S$143&gt;0)*($T$2:$T$143&lt;$T45))+1)</f>
        <v/>
      </c>
    </row>
    <row r="46" spans="1:21" x14ac:dyDescent="0.3">
      <c r="A46">
        <f t="shared" si="0"/>
        <v>44</v>
      </c>
      <c r="B46">
        <f t="shared" si="1"/>
        <v>0.29333333333333333</v>
      </c>
      <c r="C46">
        <f>'Feasibility IQ'!$AA$4</f>
        <v>30.111529999999998</v>
      </c>
      <c r="D46">
        <f>'Feasibility IQ'!$AA$5</f>
        <v>31.39669</v>
      </c>
      <c r="E46">
        <f>'Feasibility IQ'!$AA$6</f>
        <v>-25.938960000000002</v>
      </c>
      <c r="F46">
        <f>'Feasibility IQ'!$AA$7</f>
        <v>27.926639999999999</v>
      </c>
      <c r="G46">
        <f>'Feasibility IQ'!$AA$8</f>
        <v>0.97998393122619054</v>
      </c>
      <c r="H46">
        <f t="shared" si="2"/>
        <v>0.76880087215009463</v>
      </c>
      <c r="I46">
        <f t="shared" si="3"/>
        <v>0.34138855177108929</v>
      </c>
      <c r="J46">
        <f t="shared" si="4"/>
        <v>0.83892211292225594</v>
      </c>
      <c r="K46">
        <f t="shared" si="5"/>
        <v>0.49024477967411917</v>
      </c>
      <c r="L46">
        <f t="shared" si="6"/>
        <v>0.23636781602479578</v>
      </c>
      <c r="M46">
        <f t="shared" si="7"/>
        <v>13.67226456499405</v>
      </c>
      <c r="N46">
        <f t="shared" si="8"/>
        <v>30.300930569701499</v>
      </c>
      <c r="O46" t="str" cm="1">
        <f t="array" ref="O46">IF($M46="","",IFERROR(IF(INDEX(geo_grid!$B$2:$JU$231,INT(($M46+40)/0.5)+1,INT(($N46+30)/0.5)+1)="","",INDEX(geo_grid!$B$2:$JU$231,INT(($M46+40)/0.5)+1,INT(($N46+30)/0.5)+1)),"OUTSIDE GRID"))</f>
        <v>SDN</v>
      </c>
      <c r="Q46" t="str">
        <f>IF(countries!$D46="","",countries!$D46)</f>
        <v>SEN</v>
      </c>
      <c r="R46" t="str">
        <f>IF($Q46="","",countries!$B46)</f>
        <v>Senegal</v>
      </c>
      <c r="S46">
        <f>IF($Q46="","",IF(OR($Q46='Feasibility IQ'!$AA$9,$Q46='Feasibility IQ'!$AA$10),0,COUNTIF($O$2:$O$152,$Q46)))</f>
        <v>0</v>
      </c>
      <c r="T46" t="str">
        <f t="shared" si="9"/>
        <v/>
      </c>
      <c r="U46" t="str" cm="1">
        <f t="array" ref="U46">IF($S46=0,"",SUMPRODUCT(($S$2:$S$143&gt;0)*($T$2:$T$143&lt;$T46))+1)</f>
        <v/>
      </c>
    </row>
    <row r="47" spans="1:21" x14ac:dyDescent="0.3">
      <c r="A47">
        <f t="shared" si="0"/>
        <v>45</v>
      </c>
      <c r="B47">
        <f t="shared" si="1"/>
        <v>0.3</v>
      </c>
      <c r="C47">
        <f>'Feasibility IQ'!$AA$4</f>
        <v>30.111529999999998</v>
      </c>
      <c r="D47">
        <f>'Feasibility IQ'!$AA$5</f>
        <v>31.39669</v>
      </c>
      <c r="E47">
        <f>'Feasibility IQ'!$AA$6</f>
        <v>-25.938960000000002</v>
      </c>
      <c r="F47">
        <f>'Feasibility IQ'!$AA$7</f>
        <v>27.926639999999999</v>
      </c>
      <c r="G47">
        <f>'Feasibility IQ'!$AA$8</f>
        <v>0.97998393122619054</v>
      </c>
      <c r="H47">
        <f t="shared" si="2"/>
        <v>0.76272997355038119</v>
      </c>
      <c r="I47">
        <f t="shared" si="3"/>
        <v>0.34892514103495098</v>
      </c>
      <c r="J47">
        <f t="shared" si="4"/>
        <v>0.84042753907847589</v>
      </c>
      <c r="K47">
        <f t="shared" si="5"/>
        <v>0.49068299903033852</v>
      </c>
      <c r="L47">
        <f t="shared" si="6"/>
        <v>0.23002553341116155</v>
      </c>
      <c r="M47">
        <f t="shared" si="7"/>
        <v>13.298575009970433</v>
      </c>
      <c r="N47">
        <f t="shared" si="8"/>
        <v>30.278487769030633</v>
      </c>
      <c r="O47" t="str" cm="1">
        <f t="array" ref="O47">IF($M47="","",IFERROR(IF(INDEX(geo_grid!$B$2:$JU$231,INT(($M47+40)/0.5)+1,INT(($N47+30)/0.5)+1)="","",INDEX(geo_grid!$B$2:$JU$231,INT(($M47+40)/0.5)+1,INT(($N47+30)/0.5)+1)),"OUTSIDE GRID"))</f>
        <v>SDN</v>
      </c>
      <c r="Q47" t="str">
        <f>IF(countries!$D47="","",countries!$D47)</f>
        <v>SYC</v>
      </c>
      <c r="R47" t="str">
        <f>IF($Q47="","",countries!$B47)</f>
        <v>Seychelles</v>
      </c>
      <c r="S47">
        <f>IF($Q47="","",IF(OR($Q47='Feasibility IQ'!$AA$9,$Q47='Feasibility IQ'!$AA$10),0,COUNTIF($O$2:$O$152,$Q47)))</f>
        <v>0</v>
      </c>
      <c r="T47" t="str">
        <f t="shared" si="9"/>
        <v/>
      </c>
      <c r="U47" t="str" cm="1">
        <f t="array" ref="U47">IF($S47=0,"",SUMPRODUCT(($S$2:$S$143&gt;0)*($T$2:$T$143&lt;$T47))+1)</f>
        <v/>
      </c>
    </row>
    <row r="48" spans="1:21" x14ac:dyDescent="0.3">
      <c r="A48">
        <f t="shared" si="0"/>
        <v>46</v>
      </c>
      <c r="B48">
        <f t="shared" si="1"/>
        <v>0.30666666666666664</v>
      </c>
      <c r="C48">
        <f>'Feasibility IQ'!$AA$4</f>
        <v>30.111529999999998</v>
      </c>
      <c r="D48">
        <f>'Feasibility IQ'!$AA$5</f>
        <v>31.39669</v>
      </c>
      <c r="E48">
        <f>'Feasibility IQ'!$AA$6</f>
        <v>-25.938960000000002</v>
      </c>
      <c r="F48">
        <f>'Feasibility IQ'!$AA$7</f>
        <v>27.926639999999999</v>
      </c>
      <c r="G48">
        <f>'Feasibility IQ'!$AA$8</f>
        <v>0.97998393122619054</v>
      </c>
      <c r="H48">
        <f t="shared" si="2"/>
        <v>0.75662651942892023</v>
      </c>
      <c r="I48">
        <f t="shared" si="3"/>
        <v>0.35644683716439918</v>
      </c>
      <c r="J48">
        <f t="shared" si="4"/>
        <v>0.84189709335608276</v>
      </c>
      <c r="K48">
        <f t="shared" si="5"/>
        <v>0.4911002746166786</v>
      </c>
      <c r="L48">
        <f t="shared" si="6"/>
        <v>0.22367343264232808</v>
      </c>
      <c r="M48">
        <f t="shared" si="7"/>
        <v>12.924883493106266</v>
      </c>
      <c r="N48">
        <f t="shared" si="8"/>
        <v>30.256114058246819</v>
      </c>
      <c r="O48" t="str" cm="1">
        <f t="array" ref="O48">IF($M48="","",IFERROR(IF(INDEX(geo_grid!$B$2:$JU$231,INT(($M48+40)/0.5)+1,INT(($N48+30)/0.5)+1)="","",INDEX(geo_grid!$B$2:$JU$231,INT(($M48+40)/0.5)+1,INT(($N48+30)/0.5)+1)),"OUTSIDE GRID"))</f>
        <v>SDN</v>
      </c>
      <c r="Q48" t="str">
        <f>IF(countries!$D48="","",countries!$D48)</f>
        <v>SLE</v>
      </c>
      <c r="R48" t="str">
        <f>IF($Q48="","",countries!$B48)</f>
        <v>Sierra Leone</v>
      </c>
      <c r="S48">
        <f>IF($Q48="","",IF(OR($Q48='Feasibility IQ'!$AA$9,$Q48='Feasibility IQ'!$AA$10),0,COUNTIF($O$2:$O$152,$Q48)))</f>
        <v>0</v>
      </c>
      <c r="T48" t="str">
        <f t="shared" si="9"/>
        <v/>
      </c>
      <c r="U48" t="str" cm="1">
        <f t="array" ref="U48">IF($S48=0,"",SUMPRODUCT(($S$2:$S$143&gt;0)*($T$2:$T$143&lt;$T48))+1)</f>
        <v/>
      </c>
    </row>
    <row r="49" spans="1:21" x14ac:dyDescent="0.3">
      <c r="A49">
        <f t="shared" si="0"/>
        <v>47</v>
      </c>
      <c r="B49">
        <f t="shared" si="1"/>
        <v>0.31333333333333335</v>
      </c>
      <c r="C49">
        <f>'Feasibility IQ'!$AA$4</f>
        <v>30.111529999999998</v>
      </c>
      <c r="D49">
        <f>'Feasibility IQ'!$AA$5</f>
        <v>31.39669</v>
      </c>
      <c r="E49">
        <f>'Feasibility IQ'!$AA$6</f>
        <v>-25.938960000000002</v>
      </c>
      <c r="F49">
        <f>'Feasibility IQ'!$AA$7</f>
        <v>27.926639999999999</v>
      </c>
      <c r="G49">
        <f>'Feasibility IQ'!$AA$8</f>
        <v>0.97998393122619054</v>
      </c>
      <c r="H49">
        <f t="shared" si="2"/>
        <v>0.75049077029878986</v>
      </c>
      <c r="I49">
        <f t="shared" si="3"/>
        <v>0.36395331911168394</v>
      </c>
      <c r="J49">
        <f t="shared" si="4"/>
        <v>0.84333071303024854</v>
      </c>
      <c r="K49">
        <f t="shared" si="5"/>
        <v>0.49149658862261009</v>
      </c>
      <c r="L49">
        <f t="shared" si="6"/>
        <v>0.21731178484433178</v>
      </c>
      <c r="M49">
        <f t="shared" si="7"/>
        <v>12.551190077251952</v>
      </c>
      <c r="N49">
        <f t="shared" si="8"/>
        <v>30.233807224300755</v>
      </c>
      <c r="O49" t="str" cm="1">
        <f t="array" ref="O49">IF($M49="","",IFERROR(IF(INDEX(geo_grid!$B$2:$JU$231,INT(($M49+40)/0.5)+1,INT(($N49+30)/0.5)+1)="","",INDEX(geo_grid!$B$2:$JU$231,INT(($M49+40)/0.5)+1,INT(($N49+30)/0.5)+1)),"OUTSIDE GRID"))</f>
        <v>SDN</v>
      </c>
      <c r="Q49" t="str">
        <f>IF(countries!$D49="","",countries!$D49)</f>
        <v>SOM</v>
      </c>
      <c r="R49" t="str">
        <f>IF($Q49="","",countries!$B49)</f>
        <v>Somalia</v>
      </c>
      <c r="S49">
        <f>IF($Q49="","",IF(OR($Q49='Feasibility IQ'!$AA$9,$Q49='Feasibility IQ'!$AA$10),0,COUNTIF($O$2:$O$152,$Q49)))</f>
        <v>0</v>
      </c>
      <c r="T49" t="str">
        <f t="shared" si="9"/>
        <v/>
      </c>
      <c r="U49" t="str" cm="1">
        <f t="array" ref="U49">IF($S49=0,"",SUMPRODUCT(($S$2:$S$143&gt;0)*($T$2:$T$143&lt;$T49))+1)</f>
        <v/>
      </c>
    </row>
    <row r="50" spans="1:21" x14ac:dyDescent="0.3">
      <c r="A50">
        <f t="shared" si="0"/>
        <v>48</v>
      </c>
      <c r="B50">
        <f t="shared" si="1"/>
        <v>0.32</v>
      </c>
      <c r="C50">
        <f>'Feasibility IQ'!$AA$4</f>
        <v>30.111529999999998</v>
      </c>
      <c r="D50">
        <f>'Feasibility IQ'!$AA$5</f>
        <v>31.39669</v>
      </c>
      <c r="E50">
        <f>'Feasibility IQ'!$AA$6</f>
        <v>-25.938960000000002</v>
      </c>
      <c r="F50">
        <f>'Feasibility IQ'!$AA$7</f>
        <v>27.926639999999999</v>
      </c>
      <c r="G50">
        <f>'Feasibility IQ'!$AA$8</f>
        <v>0.97998393122619054</v>
      </c>
      <c r="H50">
        <f t="shared" si="2"/>
        <v>0.74432298805151298</v>
      </c>
      <c r="I50">
        <f t="shared" si="3"/>
        <v>0.37144426647844031</v>
      </c>
      <c r="J50">
        <f t="shared" si="4"/>
        <v>0.84472833690993854</v>
      </c>
      <c r="K50">
        <f t="shared" si="5"/>
        <v>0.49187192413230474</v>
      </c>
      <c r="L50">
        <f t="shared" si="6"/>
        <v>0.21094086155070421</v>
      </c>
      <c r="M50">
        <f t="shared" si="7"/>
        <v>12.177494824560855</v>
      </c>
      <c r="N50">
        <f t="shared" si="8"/>
        <v>30.211565078657536</v>
      </c>
      <c r="O50" t="str" cm="1">
        <f t="array" ref="O50">IF($M50="","",IFERROR(IF(INDEX(geo_grid!$B$2:$JU$231,INT(($M50+40)/0.5)+1,INT(($N50+30)/0.5)+1)="","",INDEX(geo_grid!$B$2:$JU$231,INT(($M50+40)/0.5)+1,INT(($N50+30)/0.5)+1)),"OUTSIDE GRID"))</f>
        <v>SDN</v>
      </c>
      <c r="Q50" t="str">
        <f>IF(countries!$D50="","",countries!$D50)</f>
        <v>ZAF</v>
      </c>
      <c r="R50" t="str">
        <f>IF($Q50="","",countries!$B50)</f>
        <v>South Africa</v>
      </c>
      <c r="S50">
        <f>IF($Q50="","",IF(OR($Q50='Feasibility IQ'!$AA$9,$Q50='Feasibility IQ'!$AA$10),0,COUNTIF($O$2:$O$152,$Q50)))</f>
        <v>0</v>
      </c>
      <c r="T50" t="str">
        <f t="shared" si="9"/>
        <v/>
      </c>
      <c r="U50" t="str" cm="1">
        <f t="array" ref="U50">IF($S50=0,"",SUMPRODUCT(($S$2:$S$143&gt;0)*($T$2:$T$143&lt;$T50))+1)</f>
        <v/>
      </c>
    </row>
    <row r="51" spans="1:21" x14ac:dyDescent="0.3">
      <c r="A51">
        <f t="shared" si="0"/>
        <v>49</v>
      </c>
      <c r="B51">
        <f t="shared" si="1"/>
        <v>0.32666666666666666</v>
      </c>
      <c r="C51">
        <f>'Feasibility IQ'!$AA$4</f>
        <v>30.111529999999998</v>
      </c>
      <c r="D51">
        <f>'Feasibility IQ'!$AA$5</f>
        <v>31.39669</v>
      </c>
      <c r="E51">
        <f>'Feasibility IQ'!$AA$6</f>
        <v>-25.938960000000002</v>
      </c>
      <c r="F51">
        <f>'Feasibility IQ'!$AA$7</f>
        <v>27.926639999999999</v>
      </c>
      <c r="G51">
        <f>'Feasibility IQ'!$AA$8</f>
        <v>0.97998393122619054</v>
      </c>
      <c r="H51">
        <f t="shared" si="2"/>
        <v>0.73812343594587848</v>
      </c>
      <c r="I51">
        <f t="shared" si="3"/>
        <v>0.3789193595293644</v>
      </c>
      <c r="J51">
        <f t="shared" si="4"/>
        <v>0.8460899053405222</v>
      </c>
      <c r="K51">
        <f t="shared" si="5"/>
        <v>0.49222626512535728</v>
      </c>
      <c r="L51">
        <f t="shared" si="6"/>
        <v>0.20456093469088177</v>
      </c>
      <c r="M51">
        <f t="shared" si="7"/>
        <v>11.803797796514999</v>
      </c>
      <c r="N51">
        <f t="shared" si="8"/>
        <v>30.189385456392831</v>
      </c>
      <c r="O51" t="str" cm="1">
        <f t="array" ref="O51">IF($M51="","",IFERROR(IF(INDEX(geo_grid!$B$2:$JU$231,INT(($M51+40)/0.5)+1,INT(($N51+30)/0.5)+1)="","",INDEX(geo_grid!$B$2:$JU$231,INT(($M51+40)/0.5)+1,INT(($N51+30)/0.5)+1)),"OUTSIDE GRID"))</f>
        <v>SDN</v>
      </c>
      <c r="Q51" t="str">
        <f>IF(countries!$D51="","",countries!$D51)</f>
        <v>SSD</v>
      </c>
      <c r="R51" t="str">
        <f>IF($Q51="","",countries!$B51)</f>
        <v>South Sudan</v>
      </c>
      <c r="S51">
        <f>IF($Q51="","",IF(OR($Q51='Feasibility IQ'!$AA$9,$Q51='Feasibility IQ'!$AA$10),0,COUNTIF($O$2:$O$152,$Q51)))</f>
        <v>15</v>
      </c>
      <c r="T51">
        <f t="shared" si="9"/>
        <v>54</v>
      </c>
      <c r="U51" cm="1">
        <f t="array" ref="U51">IF($S51=0,"",SUMPRODUCT(($S$2:$S$143&gt;0)*($T$2:$T$143&lt;$T51))+1)</f>
        <v>2</v>
      </c>
    </row>
    <row r="52" spans="1:21" x14ac:dyDescent="0.3">
      <c r="A52">
        <f t="shared" si="0"/>
        <v>50</v>
      </c>
      <c r="B52">
        <f t="shared" si="1"/>
        <v>0.33333333333333331</v>
      </c>
      <c r="C52">
        <f>'Feasibility IQ'!$AA$4</f>
        <v>30.111529999999998</v>
      </c>
      <c r="D52">
        <f>'Feasibility IQ'!$AA$5</f>
        <v>31.39669</v>
      </c>
      <c r="E52">
        <f>'Feasibility IQ'!$AA$6</f>
        <v>-25.938960000000002</v>
      </c>
      <c r="F52">
        <f>'Feasibility IQ'!$AA$7</f>
        <v>27.926639999999999</v>
      </c>
      <c r="G52">
        <f>'Feasibility IQ'!$AA$8</f>
        <v>0.97998393122619054</v>
      </c>
      <c r="H52">
        <f t="shared" si="2"/>
        <v>0.73189237859670486</v>
      </c>
      <c r="I52">
        <f t="shared" si="3"/>
        <v>0.38637827920586049</v>
      </c>
      <c r="J52">
        <f t="shared" si="4"/>
        <v>0.84741536020632036</v>
      </c>
      <c r="K52">
        <f t="shared" si="5"/>
        <v>0.49255959647746916</v>
      </c>
      <c r="L52">
        <f t="shared" si="6"/>
        <v>0.19817227657859912</v>
      </c>
      <c r="M52">
        <f t="shared" si="7"/>
        <v>11.430099053950247</v>
      </c>
      <c r="N52">
        <f t="shared" si="8"/>
        <v>30.167266215307652</v>
      </c>
      <c r="O52" t="str" cm="1">
        <f t="array" ref="O52">IF($M52="","",IFERROR(IF(INDEX(geo_grid!$B$2:$JU$231,INT(($M52+40)/0.5)+1,INT(($N52+30)/0.5)+1)="","",INDEX(geo_grid!$B$2:$JU$231,INT(($M52+40)/0.5)+1,INT(($N52+30)/0.5)+1)),"OUTSIDE GRID"))</f>
        <v>SDN</v>
      </c>
      <c r="Q52" t="str">
        <f>IF(countries!$D52="","",countries!$D52)</f>
        <v>SDN</v>
      </c>
      <c r="R52" t="str">
        <f>IF($Q52="","",countries!$B52)</f>
        <v>Sudan</v>
      </c>
      <c r="S52">
        <f>IF($Q52="","",IF(OR($Q52='Feasibility IQ'!$AA$9,$Q52='Feasibility IQ'!$AA$10),0,COUNTIF($O$2:$O$152,$Q52)))</f>
        <v>32</v>
      </c>
      <c r="T52">
        <f t="shared" si="9"/>
        <v>22</v>
      </c>
      <c r="U52" cm="1">
        <f t="array" ref="U52">IF($S52=0,"",SUMPRODUCT(($S$2:$S$143&gt;0)*($T$2:$T$143&lt;$T52))+1)</f>
        <v>1</v>
      </c>
    </row>
    <row r="53" spans="1:21" x14ac:dyDescent="0.3">
      <c r="A53">
        <f t="shared" si="0"/>
        <v>51</v>
      </c>
      <c r="B53">
        <f t="shared" si="1"/>
        <v>0.34</v>
      </c>
      <c r="C53">
        <f>'Feasibility IQ'!$AA$4</f>
        <v>30.111529999999998</v>
      </c>
      <c r="D53">
        <f>'Feasibility IQ'!$AA$5</f>
        <v>31.39669</v>
      </c>
      <c r="E53">
        <f>'Feasibility IQ'!$AA$6</f>
        <v>-25.938960000000002</v>
      </c>
      <c r="F53">
        <f>'Feasibility IQ'!$AA$7</f>
        <v>27.926639999999999</v>
      </c>
      <c r="G53">
        <f>'Feasibility IQ'!$AA$8</f>
        <v>0.97998393122619054</v>
      </c>
      <c r="H53">
        <f t="shared" si="2"/>
        <v>0.72563008196354517</v>
      </c>
      <c r="I53">
        <f t="shared" si="3"/>
        <v>0.393820707139659</v>
      </c>
      <c r="J53">
        <f t="shared" si="4"/>
        <v>0.84870464493308484</v>
      </c>
      <c r="K53">
        <f t="shared" si="5"/>
        <v>0.49287190396109382</v>
      </c>
      <c r="L53">
        <f t="shared" si="6"/>
        <v>0.19177515990026597</v>
      </c>
      <c r="M53">
        <f t="shared" si="7"/>
        <v>11.056398657080971</v>
      </c>
      <c r="N53">
        <f t="shared" si="8"/>
        <v>30.145205235061056</v>
      </c>
      <c r="O53" t="str" cm="1">
        <f t="array" ref="O53">IF($M53="","",IFERROR(IF(INDEX(geo_grid!$B$2:$JU$231,INT(($M53+40)/0.5)+1,INT(($N53+30)/0.5)+1)="","",INDEX(geo_grid!$B$2:$JU$231,INT(($M53+40)/0.5)+1,INT(($N53+30)/0.5)+1)),"OUTSIDE GRID"))</f>
        <v>SDN</v>
      </c>
      <c r="Q53" t="str">
        <f>IF(countries!$D53="","",countries!$D53)</f>
        <v>TZA</v>
      </c>
      <c r="R53" t="str">
        <f>IF($Q53="","",countries!$B53)</f>
        <v>Tanzania</v>
      </c>
      <c r="S53">
        <f>IF($Q53="","",IF(OR($Q53='Feasibility IQ'!$AA$9,$Q53='Feasibility IQ'!$AA$10),0,COUNTIF($O$2:$O$152,$Q53)))</f>
        <v>0</v>
      </c>
      <c r="T53" t="str">
        <f t="shared" si="9"/>
        <v/>
      </c>
      <c r="U53" t="str" cm="1">
        <f t="array" ref="U53">IF($S53=0,"",SUMPRODUCT(($S$2:$S$143&gt;0)*($T$2:$T$143&lt;$T53))+1)</f>
        <v/>
      </c>
    </row>
    <row r="54" spans="1:21" x14ac:dyDescent="0.3">
      <c r="A54">
        <f t="shared" si="0"/>
        <v>52</v>
      </c>
      <c r="B54">
        <f t="shared" si="1"/>
        <v>0.34666666666666668</v>
      </c>
      <c r="C54">
        <f>'Feasibility IQ'!$AA$4</f>
        <v>30.111529999999998</v>
      </c>
      <c r="D54">
        <f>'Feasibility IQ'!$AA$5</f>
        <v>31.39669</v>
      </c>
      <c r="E54">
        <f>'Feasibility IQ'!$AA$6</f>
        <v>-25.938960000000002</v>
      </c>
      <c r="F54">
        <f>'Feasibility IQ'!$AA$7</f>
        <v>27.926639999999999</v>
      </c>
      <c r="G54">
        <f>'Feasibility IQ'!$AA$8</f>
        <v>0.97998393122619054</v>
      </c>
      <c r="H54">
        <f t="shared" si="2"/>
        <v>0.71933681333933586</v>
      </c>
      <c r="I54">
        <f t="shared" si="3"/>
        <v>0.40124632566640578</v>
      </c>
      <c r="J54">
        <f t="shared" si="4"/>
        <v>0.84995770449041363</v>
      </c>
      <c r="K54">
        <f t="shared" si="5"/>
        <v>0.4931631742460445</v>
      </c>
      <c r="L54">
        <f t="shared" si="6"/>
        <v>0.18536985770332823</v>
      </c>
      <c r="M54">
        <f t="shared" si="7"/>
        <v>10.682696665524231</v>
      </c>
      <c r="N54">
        <f t="shared" si="8"/>
        <v>30.123200416320056</v>
      </c>
      <c r="O54" t="str" cm="1">
        <f t="array" ref="O54">IF($M54="","",IFERROR(IF(INDEX(geo_grid!$B$2:$JU$231,INT(($M54+40)/0.5)+1,INT(($N54+30)/0.5)+1)="","",INDEX(geo_grid!$B$2:$JU$231,INT(($M54+40)/0.5)+1,INT(($N54+30)/0.5)+1)),"OUTSIDE GRID"))</f>
        <v>SDN</v>
      </c>
      <c r="Q54" t="str">
        <f>IF(countries!$D54="","",countries!$D54)</f>
        <v>TGO</v>
      </c>
      <c r="R54" t="str">
        <f>IF($Q54="","",countries!$B54)</f>
        <v>Togo</v>
      </c>
      <c r="S54">
        <f>IF($Q54="","",IF(OR($Q54='Feasibility IQ'!$AA$9,$Q54='Feasibility IQ'!$AA$10),0,COUNTIF($O$2:$O$152,$Q54)))</f>
        <v>0</v>
      </c>
      <c r="T54" t="str">
        <f t="shared" si="9"/>
        <v/>
      </c>
      <c r="U54" t="str" cm="1">
        <f t="array" ref="U54">IF($S54=0,"",SUMPRODUCT(($S$2:$S$143&gt;0)*($T$2:$T$143&lt;$T54))+1)</f>
        <v/>
      </c>
    </row>
    <row r="55" spans="1:21" x14ac:dyDescent="0.3">
      <c r="A55">
        <f t="shared" si="0"/>
        <v>53</v>
      </c>
      <c r="B55">
        <f t="shared" si="1"/>
        <v>0.35333333333333333</v>
      </c>
      <c r="C55">
        <f>'Feasibility IQ'!$AA$4</f>
        <v>30.111529999999998</v>
      </c>
      <c r="D55">
        <f>'Feasibility IQ'!$AA$5</f>
        <v>31.39669</v>
      </c>
      <c r="E55">
        <f>'Feasibility IQ'!$AA$6</f>
        <v>-25.938960000000002</v>
      </c>
      <c r="F55">
        <f>'Feasibility IQ'!$AA$7</f>
        <v>27.926639999999999</v>
      </c>
      <c r="G55">
        <f>'Feasibility IQ'!$AA$8</f>
        <v>0.97998393122619054</v>
      </c>
      <c r="H55">
        <f t="shared" si="2"/>
        <v>0.71301284133898735</v>
      </c>
      <c r="I55">
        <f t="shared" si="3"/>
        <v>0.4086548178392207</v>
      </c>
      <c r="J55">
        <f t="shared" si="4"/>
        <v>0.8511744853940999</v>
      </c>
      <c r="K55">
        <f t="shared" si="5"/>
        <v>0.49343339490006266</v>
      </c>
      <c r="L55">
        <f t="shared" si="6"/>
        <v>0.17895664338461342</v>
      </c>
      <c r="M55">
        <f t="shared" si="7"/>
        <v>10.308993138323499</v>
      </c>
      <c r="N55">
        <f t="shared" si="8"/>
        <v>30.101249679925832</v>
      </c>
      <c r="O55" t="str" cm="1">
        <f t="array" ref="O55">IF($M55="","",IFERROR(IF(INDEX(geo_grid!$B$2:$JU$231,INT(($M55+40)/0.5)+1,INT(($N55+30)/0.5)+1)="","",INDEX(geo_grid!$B$2:$JU$231,INT(($M55+40)/0.5)+1,INT(($N55+30)/0.5)+1)),"OUTSIDE GRID"))</f>
        <v>SDN</v>
      </c>
      <c r="Q55" t="str">
        <f>IF(countries!$D55="","",countries!$D55)</f>
        <v>TUN</v>
      </c>
      <c r="R55" t="str">
        <f>IF($Q55="","",countries!$B55)</f>
        <v>Tunisia</v>
      </c>
      <c r="S55">
        <f>IF($Q55="","",IF(OR($Q55='Feasibility IQ'!$AA$9,$Q55='Feasibility IQ'!$AA$10),0,COUNTIF($O$2:$O$152,$Q55)))</f>
        <v>0</v>
      </c>
      <c r="T55" t="str">
        <f t="shared" si="9"/>
        <v/>
      </c>
      <c r="U55" t="str" cm="1">
        <f t="array" ref="U55">IF($S55=0,"",SUMPRODUCT(($S$2:$S$143&gt;0)*($T$2:$T$143&lt;$T55))+1)</f>
        <v/>
      </c>
    </row>
    <row r="56" spans="1:21" x14ac:dyDescent="0.3">
      <c r="A56">
        <f t="shared" si="0"/>
        <v>54</v>
      </c>
      <c r="B56">
        <f t="shared" si="1"/>
        <v>0.36</v>
      </c>
      <c r="C56">
        <f>'Feasibility IQ'!$AA$4</f>
        <v>30.111529999999998</v>
      </c>
      <c r="D56">
        <f>'Feasibility IQ'!$AA$5</f>
        <v>31.39669</v>
      </c>
      <c r="E56">
        <f>'Feasibility IQ'!$AA$6</f>
        <v>-25.938960000000002</v>
      </c>
      <c r="F56">
        <f>'Feasibility IQ'!$AA$7</f>
        <v>27.926639999999999</v>
      </c>
      <c r="G56">
        <f>'Feasibility IQ'!$AA$8</f>
        <v>0.97998393122619054</v>
      </c>
      <c r="H56">
        <f t="shared" si="2"/>
        <v>0.7066584358879191</v>
      </c>
      <c r="I56">
        <f t="shared" si="3"/>
        <v>0.41604586744222621</v>
      </c>
      <c r="J56">
        <f t="shared" si="4"/>
        <v>0.85235493570841503</v>
      </c>
      <c r="K56">
        <f t="shared" si="5"/>
        <v>0.49368255438934938</v>
      </c>
      <c r="L56">
        <f t="shared" si="6"/>
        <v>0.17253579067866107</v>
      </c>
      <c r="M56">
        <f t="shared" si="7"/>
        <v>9.9352881339718895</v>
      </c>
      <c r="N56">
        <f t="shared" si="8"/>
        <v>30.079350966075609</v>
      </c>
      <c r="O56" t="str" cm="1">
        <f t="array" ref="O56">IF($M56="","",IFERROR(IF(INDEX(geo_grid!$B$2:$JU$231,INT(($M56+40)/0.5)+1,INT(($N56+30)/0.5)+1)="","",INDEX(geo_grid!$B$2:$JU$231,INT(($M56+40)/0.5)+1,INT(($N56+30)/0.5)+1)),"OUTSIDE GRID"))</f>
        <v>SSD</v>
      </c>
      <c r="Q56" t="str">
        <f>IF(countries!$D56="","",countries!$D56)</f>
        <v>UGA</v>
      </c>
      <c r="R56" t="str">
        <f>IF($Q56="","",countries!$B56)</f>
        <v>Uganda</v>
      </c>
      <c r="S56">
        <f>IF($Q56="","",IF(OR($Q56='Feasibility IQ'!$AA$9,$Q56='Feasibility IQ'!$AA$10),0,COUNTIF($O$2:$O$152,$Q56)))</f>
        <v>0</v>
      </c>
      <c r="T56" t="str">
        <f t="shared" si="9"/>
        <v/>
      </c>
      <c r="U56" t="str" cm="1">
        <f t="array" ref="U56">IF($S56=0,"",SUMPRODUCT(($S$2:$S$143&gt;0)*($T$2:$T$143&lt;$T56))+1)</f>
        <v/>
      </c>
    </row>
    <row r="57" spans="1:21" x14ac:dyDescent="0.3">
      <c r="A57">
        <f t="shared" si="0"/>
        <v>55</v>
      </c>
      <c r="B57">
        <f t="shared" si="1"/>
        <v>0.36666666666666664</v>
      </c>
      <c r="C57">
        <f>'Feasibility IQ'!$AA$4</f>
        <v>30.111529999999998</v>
      </c>
      <c r="D57">
        <f>'Feasibility IQ'!$AA$5</f>
        <v>31.39669</v>
      </c>
      <c r="E57">
        <f>'Feasibility IQ'!$AA$6</f>
        <v>-25.938960000000002</v>
      </c>
      <c r="F57">
        <f>'Feasibility IQ'!$AA$7</f>
        <v>27.926639999999999</v>
      </c>
      <c r="G57">
        <f>'Feasibility IQ'!$AA$8</f>
        <v>0.97998393122619054</v>
      </c>
      <c r="H57">
        <f t="shared" si="2"/>
        <v>0.70027386821053783</v>
      </c>
      <c r="I57">
        <f t="shared" si="3"/>
        <v>0.42341915900404375</v>
      </c>
      <c r="J57">
        <f t="shared" si="4"/>
        <v>0.8534990050483241</v>
      </c>
      <c r="K57">
        <f t="shared" si="5"/>
        <v>0.49391064207905644</v>
      </c>
      <c r="L57">
        <f t="shared" si="6"/>
        <v>0.16610757364603934</v>
      </c>
      <c r="M57">
        <f t="shared" si="7"/>
        <v>9.5615817104350533</v>
      </c>
      <c r="N57">
        <f t="shared" si="8"/>
        <v>30.057502233519532</v>
      </c>
      <c r="O57" t="str" cm="1">
        <f t="array" ref="O57">IF($M57="","",IFERROR(IF(INDEX(geo_grid!$B$2:$JU$231,INT(($M57+40)/0.5)+1,INT(($N57+30)/0.5)+1)="","",INDEX(geo_grid!$B$2:$JU$231,INT(($M57+40)/0.5)+1,INT(($N57+30)/0.5)+1)),"OUTSIDE GRID"))</f>
        <v>SSD</v>
      </c>
      <c r="Q57" t="str">
        <f>IF(countries!$D57="","",countries!$D57)</f>
        <v>ESH</v>
      </c>
      <c r="R57" t="str">
        <f>IF($Q57="","",countries!$B57)</f>
        <v>Western Sahara</v>
      </c>
      <c r="S57">
        <f>IF($Q57="","",IF(OR($Q57='Feasibility IQ'!$AA$9,$Q57='Feasibility IQ'!$AA$10),0,COUNTIF($O$2:$O$152,$Q57)))</f>
        <v>0</v>
      </c>
      <c r="T57" t="str">
        <f t="shared" si="9"/>
        <v/>
      </c>
      <c r="U57" t="str" cm="1">
        <f t="array" ref="U57">IF($S57=0,"",SUMPRODUCT(($S$2:$S$143&gt;0)*($T$2:$T$143&lt;$T57))+1)</f>
        <v/>
      </c>
    </row>
    <row r="58" spans="1:21" x14ac:dyDescent="0.3">
      <c r="A58">
        <f t="shared" si="0"/>
        <v>56</v>
      </c>
      <c r="B58">
        <f t="shared" si="1"/>
        <v>0.37333333333333335</v>
      </c>
      <c r="C58">
        <f>'Feasibility IQ'!$AA$4</f>
        <v>30.111529999999998</v>
      </c>
      <c r="D58">
        <f>'Feasibility IQ'!$AA$5</f>
        <v>31.39669</v>
      </c>
      <c r="E58">
        <f>'Feasibility IQ'!$AA$6</f>
        <v>-25.938960000000002</v>
      </c>
      <c r="F58">
        <f>'Feasibility IQ'!$AA$7</f>
        <v>27.926639999999999</v>
      </c>
      <c r="G58">
        <f>'Feasibility IQ'!$AA$8</f>
        <v>0.97998393122619054</v>
      </c>
      <c r="H58">
        <f t="shared" si="2"/>
        <v>0.69385941081866243</v>
      </c>
      <c r="I58">
        <f t="shared" si="3"/>
        <v>0.43077437781125971</v>
      </c>
      <c r="J58">
        <f t="shared" si="4"/>
        <v>0.85460664458163871</v>
      </c>
      <c r="K58">
        <f t="shared" si="5"/>
        <v>0.49411764823374182</v>
      </c>
      <c r="L58">
        <f t="shared" si="6"/>
        <v>0.15967226666164744</v>
      </c>
      <c r="M58">
        <f t="shared" si="7"/>
        <v>9.1878739251735801</v>
      </c>
      <c r="N58">
        <f t="shared" si="8"/>
        <v>30.035701458771783</v>
      </c>
      <c r="O58" t="str" cm="1">
        <f t="array" ref="O58">IF($M58="","",IFERROR(IF(INDEX(geo_grid!$B$2:$JU$231,INT(($M58+40)/0.5)+1,INT(($N58+30)/0.5)+1)="","",INDEX(geo_grid!$B$2:$JU$231,INT(($M58+40)/0.5)+1,INT(($N58+30)/0.5)+1)),"OUTSIDE GRID"))</f>
        <v>SSD</v>
      </c>
      <c r="Q58" t="str">
        <f>IF(countries!$D58="","",countries!$D58)</f>
        <v>ZMB</v>
      </c>
      <c r="R58" t="str">
        <f>IF($Q58="","",countries!$B58)</f>
        <v>Zambia</v>
      </c>
      <c r="S58">
        <f>IF($Q58="","",IF(OR($Q58='Feasibility IQ'!$AA$9,$Q58='Feasibility IQ'!$AA$10),0,COUNTIF($O$2:$O$152,$Q58)))</f>
        <v>18</v>
      </c>
      <c r="T58">
        <f t="shared" si="9"/>
        <v>104</v>
      </c>
      <c r="U58" cm="1">
        <f t="array" ref="U58">IF($S58=0,"",SUMPRODUCT(($S$2:$S$143&gt;0)*($T$2:$T$143&lt;$T58))+1)</f>
        <v>5</v>
      </c>
    </row>
    <row r="59" spans="1:21" x14ac:dyDescent="0.3">
      <c r="A59">
        <f t="shared" si="0"/>
        <v>57</v>
      </c>
      <c r="B59">
        <f t="shared" si="1"/>
        <v>0.38</v>
      </c>
      <c r="C59">
        <f>'Feasibility IQ'!$AA$4</f>
        <v>30.111529999999998</v>
      </c>
      <c r="D59">
        <f>'Feasibility IQ'!$AA$5</f>
        <v>31.39669</v>
      </c>
      <c r="E59">
        <f>'Feasibility IQ'!$AA$6</f>
        <v>-25.938960000000002</v>
      </c>
      <c r="F59">
        <f>'Feasibility IQ'!$AA$7</f>
        <v>27.926639999999999</v>
      </c>
      <c r="G59">
        <f>'Feasibility IQ'!$AA$8</f>
        <v>0.97998393122619054</v>
      </c>
      <c r="H59">
        <f t="shared" si="2"/>
        <v>0.68741533749988992</v>
      </c>
      <c r="I59">
        <f t="shared" si="3"/>
        <v>0.43811120992185759</v>
      </c>
      <c r="J59">
        <f t="shared" si="4"/>
        <v>0.85567780703109908</v>
      </c>
      <c r="K59">
        <f t="shared" si="5"/>
        <v>0.49430356401778386</v>
      </c>
      <c r="L59">
        <f t="shared" si="6"/>
        <v>0.15323014440300359</v>
      </c>
      <c r="M59">
        <f t="shared" si="7"/>
        <v>8.8141648351650339</v>
      </c>
      <c r="N59">
        <f t="shared" si="8"/>
        <v>30.013946635335241</v>
      </c>
      <c r="O59" t="str" cm="1">
        <f t="array" ref="O59">IF($M59="","",IFERROR(IF(INDEX(geo_grid!$B$2:$JU$231,INT(($M59+40)/0.5)+1,INT(($N59+30)/0.5)+1)="","",INDEX(geo_grid!$B$2:$JU$231,INT(($M59+40)/0.5)+1,INT(($N59+30)/0.5)+1)),"OUTSIDE GRID"))</f>
        <v>SSD</v>
      </c>
      <c r="Q59" t="str">
        <f>IF(countries!$D59="","",countries!$D59)</f>
        <v>SAU</v>
      </c>
      <c r="R59" t="str">
        <f>IF($Q59="","",countries!$B59)</f>
        <v>Saudi Arabia</v>
      </c>
      <c r="S59">
        <f>IF($Q59="","",IF(OR($Q59='Feasibility IQ'!$AA$9,$Q59='Feasibility IQ'!$AA$10),0,COUNTIF($O$2:$O$152,$Q59)))</f>
        <v>0</v>
      </c>
      <c r="T59" t="str">
        <f t="shared" si="9"/>
        <v/>
      </c>
      <c r="U59" t="str" cm="1">
        <f t="array" ref="U59">IF($S59=0,"",SUMPRODUCT(($S$2:$S$143&gt;0)*($T$2:$T$143&lt;$T59))+1)</f>
        <v/>
      </c>
    </row>
    <row r="60" spans="1:21" x14ac:dyDescent="0.3">
      <c r="A60">
        <f t="shared" si="0"/>
        <v>58</v>
      </c>
      <c r="B60">
        <f t="shared" si="1"/>
        <v>0.38666666666666666</v>
      </c>
      <c r="C60">
        <f>'Feasibility IQ'!$AA$4</f>
        <v>30.111529999999998</v>
      </c>
      <c r="D60">
        <f>'Feasibility IQ'!$AA$5</f>
        <v>31.39669</v>
      </c>
      <c r="E60">
        <f>'Feasibility IQ'!$AA$6</f>
        <v>-25.938960000000002</v>
      </c>
      <c r="F60">
        <f>'Feasibility IQ'!$AA$7</f>
        <v>27.926639999999999</v>
      </c>
      <c r="G60">
        <f>'Feasibility IQ'!$AA$8</f>
        <v>0.97998393122619054</v>
      </c>
      <c r="H60">
        <f t="shared" si="2"/>
        <v>0.68094192330591163</v>
      </c>
      <c r="I60">
        <f t="shared" si="3"/>
        <v>0.4454293421786184</v>
      </c>
      <c r="J60">
        <f t="shared" si="4"/>
        <v>0.85671244667639312</v>
      </c>
      <c r="K60">
        <f t="shared" si="5"/>
        <v>0.49446838149575911</v>
      </c>
      <c r="L60">
        <f t="shared" si="6"/>
        <v>0.14678148183852222</v>
      </c>
      <c r="M60">
        <f t="shared" si="7"/>
        <v>8.4404544969256765</v>
      </c>
      <c r="N60">
        <f t="shared" si="8"/>
        <v>29.992235772939182</v>
      </c>
      <c r="O60" t="str" cm="1">
        <f t="array" ref="O60">IF($M60="","",IFERROR(IF(INDEX(geo_grid!$B$2:$JU$231,INT(($M60+40)/0.5)+1,INT(($N60+30)/0.5)+1)="","",INDEX(geo_grid!$B$2:$JU$231,INT(($M60+40)/0.5)+1,INT(($N60+30)/0.5)+1)),"OUTSIDE GRID"))</f>
        <v>SSD</v>
      </c>
      <c r="Q60" t="str">
        <f>IF(countries!$D60="","",countries!$D60)</f>
        <v>ARE</v>
      </c>
      <c r="R60" t="str">
        <f>IF($Q60="","",countries!$B60)</f>
        <v>United Arab Emirates</v>
      </c>
      <c r="S60">
        <f>IF($Q60="","",IF(OR($Q60='Feasibility IQ'!$AA$9,$Q60='Feasibility IQ'!$AA$10),0,COUNTIF($O$2:$O$152,$Q60)))</f>
        <v>0</v>
      </c>
      <c r="T60" t="str">
        <f t="shared" si="9"/>
        <v/>
      </c>
      <c r="U60" t="str" cm="1">
        <f t="array" ref="U60">IF($S60=0,"",SUMPRODUCT(($S$2:$S$143&gt;0)*($T$2:$T$143&lt;$T60))+1)</f>
        <v/>
      </c>
    </row>
    <row r="61" spans="1:21" x14ac:dyDescent="0.3">
      <c r="A61">
        <f t="shared" si="0"/>
        <v>59</v>
      </c>
      <c r="B61">
        <f t="shared" si="1"/>
        <v>0.39333333333333331</v>
      </c>
      <c r="C61">
        <f>'Feasibility IQ'!$AA$4</f>
        <v>30.111529999999998</v>
      </c>
      <c r="D61">
        <f>'Feasibility IQ'!$AA$5</f>
        <v>31.39669</v>
      </c>
      <c r="E61">
        <f>'Feasibility IQ'!$AA$6</f>
        <v>-25.938960000000002</v>
      </c>
      <c r="F61">
        <f>'Feasibility IQ'!$AA$7</f>
        <v>27.926639999999999</v>
      </c>
      <c r="G61">
        <f>'Feasibility IQ'!$AA$8</f>
        <v>0.97998393122619054</v>
      </c>
      <c r="H61">
        <f t="shared" si="2"/>
        <v>0.6744394445407722</v>
      </c>
      <c r="I61">
        <f t="shared" si="3"/>
        <v>0.45272846222248708</v>
      </c>
      <c r="J61">
        <f t="shared" si="4"/>
        <v>0.85771051935610765</v>
      </c>
      <c r="K61">
        <f t="shared" si="5"/>
        <v>0.49461209363278058</v>
      </c>
      <c r="L61">
        <f t="shared" si="6"/>
        <v>0.14032655421577667</v>
      </c>
      <c r="M61">
        <f t="shared" si="7"/>
        <v>8.0667429665317609</v>
      </c>
      <c r="N61">
        <f t="shared" si="8"/>
        <v>29.97056689678919</v>
      </c>
      <c r="O61" t="str" cm="1">
        <f t="array" ref="O61">IF($M61="","",IFERROR(IF(INDEX(geo_grid!$B$2:$JU$231,INT(($M61+40)/0.5)+1,INT(($N61+30)/0.5)+1)="","",INDEX(geo_grid!$B$2:$JU$231,INT(($M61+40)/0.5)+1,INT(($N61+30)/0.5)+1)),"OUTSIDE GRID"))</f>
        <v>SSD</v>
      </c>
      <c r="Q61" t="str">
        <f>IF(countries!$D61="","",countries!$D61)</f>
        <v>OMN</v>
      </c>
      <c r="R61" t="str">
        <f>IF($Q61="","",countries!$B61)</f>
        <v>Oman</v>
      </c>
      <c r="S61">
        <f>IF($Q61="","",IF(OR($Q61='Feasibility IQ'!$AA$9,$Q61='Feasibility IQ'!$AA$10),0,COUNTIF($O$2:$O$152,$Q61)))</f>
        <v>0</v>
      </c>
      <c r="T61" t="str">
        <f t="shared" si="9"/>
        <v/>
      </c>
      <c r="U61" t="str" cm="1">
        <f t="array" ref="U61">IF($S61=0,"",SUMPRODUCT(($S$2:$S$143&gt;0)*($T$2:$T$143&lt;$T61))+1)</f>
        <v/>
      </c>
    </row>
    <row r="62" spans="1:21" x14ac:dyDescent="0.3">
      <c r="A62">
        <f t="shared" si="0"/>
        <v>60</v>
      </c>
      <c r="B62">
        <f t="shared" si="1"/>
        <v>0.4</v>
      </c>
      <c r="C62">
        <f>'Feasibility IQ'!$AA$4</f>
        <v>30.111529999999998</v>
      </c>
      <c r="D62">
        <f>'Feasibility IQ'!$AA$5</f>
        <v>31.39669</v>
      </c>
      <c r="E62">
        <f>'Feasibility IQ'!$AA$6</f>
        <v>-25.938960000000002</v>
      </c>
      <c r="F62">
        <f>'Feasibility IQ'!$AA$7</f>
        <v>27.926639999999999</v>
      </c>
      <c r="G62">
        <f>'Feasibility IQ'!$AA$8</f>
        <v>0.97998393122619054</v>
      </c>
      <c r="H62">
        <f t="shared" si="2"/>
        <v>0.66790817874907593</v>
      </c>
      <c r="I62">
        <f t="shared" si="3"/>
        <v>0.46000825850590493</v>
      </c>
      <c r="J62">
        <f t="shared" si="4"/>
        <v>0.8586719824696134</v>
      </c>
      <c r="K62">
        <f t="shared" si="5"/>
        <v>0.49473469429479888</v>
      </c>
      <c r="L62">
        <f t="shared" si="6"/>
        <v>0.13386563704975102</v>
      </c>
      <c r="M62">
        <f t="shared" si="7"/>
        <v>7.6930302996405242</v>
      </c>
      <c r="N62">
        <f t="shared" si="8"/>
        <v>29.948938046828896</v>
      </c>
      <c r="O62" t="str" cm="1">
        <f t="array" ref="O62">IF($M62="","",IFERROR(IF(INDEX(geo_grid!$B$2:$JU$231,INT(($M62+40)/0.5)+1,INT(($N62+30)/0.5)+1)="","",INDEX(geo_grid!$B$2:$JU$231,INT(($M62+40)/0.5)+1,INT(($N62+30)/0.5)+1)),"OUTSIDE GRID"))</f>
        <v>SSD</v>
      </c>
      <c r="Q62" t="str">
        <f>IF(countries!$D62="","",countries!$D62)</f>
        <v>ISR</v>
      </c>
      <c r="R62" t="str">
        <f>IF($Q62="","",countries!$B62)</f>
        <v>Israel</v>
      </c>
      <c r="S62">
        <f>IF($Q62="","",IF(OR($Q62='Feasibility IQ'!$AA$9,$Q62='Feasibility IQ'!$AA$10),0,COUNTIF($O$2:$O$152,$Q62)))</f>
        <v>0</v>
      </c>
      <c r="T62" t="str">
        <f t="shared" si="9"/>
        <v/>
      </c>
      <c r="U62" t="str" cm="1">
        <f t="array" ref="U62">IF($S62=0,"",SUMPRODUCT(($S$2:$S$143&gt;0)*($T$2:$T$143&lt;$T62))+1)</f>
        <v/>
      </c>
    </row>
    <row r="63" spans="1:21" x14ac:dyDescent="0.3">
      <c r="A63">
        <f t="shared" si="0"/>
        <v>61</v>
      </c>
      <c r="B63">
        <f t="shared" si="1"/>
        <v>0.40666666666666668</v>
      </c>
      <c r="C63">
        <f>'Feasibility IQ'!$AA$4</f>
        <v>30.111529999999998</v>
      </c>
      <c r="D63">
        <f>'Feasibility IQ'!$AA$5</f>
        <v>31.39669</v>
      </c>
      <c r="E63">
        <f>'Feasibility IQ'!$AA$6</f>
        <v>-25.938960000000002</v>
      </c>
      <c r="F63">
        <f>'Feasibility IQ'!$AA$7</f>
        <v>27.926639999999999</v>
      </c>
      <c r="G63">
        <f>'Feasibility IQ'!$AA$8</f>
        <v>0.97998393122619054</v>
      </c>
      <c r="H63">
        <f t="shared" si="2"/>
        <v>0.66134840470414102</v>
      </c>
      <c r="I63">
        <f t="shared" si="3"/>
        <v>0.46726842030610682</v>
      </c>
      <c r="J63">
        <f t="shared" si="4"/>
        <v>0.85959679497888319</v>
      </c>
      <c r="K63">
        <f t="shared" si="5"/>
        <v>0.49483617824886283</v>
      </c>
      <c r="L63">
        <f t="shared" si="6"/>
        <v>0.12739900611108065</v>
      </c>
      <c r="M63">
        <f t="shared" si="7"/>
        <v>7.3193165515108998</v>
      </c>
      <c r="N63">
        <f t="shared" si="8"/>
        <v>29.927347277012618</v>
      </c>
      <c r="O63" t="str" cm="1">
        <f t="array" ref="O63">IF($M63="","",IFERROR(IF(INDEX(geo_grid!$B$2:$JU$231,INT(($M63+40)/0.5)+1,INT(($N63+30)/0.5)+1)="","",INDEX(geo_grid!$B$2:$JU$231,INT(($M63+40)/0.5)+1,INT(($N63+30)/0.5)+1)),"OUTSIDE GRID"))</f>
        <v>SSD</v>
      </c>
      <c r="Q63" t="str">
        <f>IF(countries!$D63="","",countries!$D63)</f>
        <v>QAT</v>
      </c>
      <c r="R63" t="str">
        <f>IF($Q63="","",countries!$B63)</f>
        <v>Qatar</v>
      </c>
      <c r="S63">
        <f>IF($Q63="","",IF(OR($Q63='Feasibility IQ'!$AA$9,$Q63='Feasibility IQ'!$AA$10),0,COUNTIF($O$2:$O$152,$Q63)))</f>
        <v>0</v>
      </c>
      <c r="T63" t="str">
        <f t="shared" si="9"/>
        <v/>
      </c>
      <c r="U63" t="str" cm="1">
        <f t="array" ref="U63">IF($S63=0,"",SUMPRODUCT(($S$2:$S$143&gt;0)*($T$2:$T$143&lt;$T63))+1)</f>
        <v/>
      </c>
    </row>
    <row r="64" spans="1:21" x14ac:dyDescent="0.3">
      <c r="A64">
        <f t="shared" si="0"/>
        <v>62</v>
      </c>
      <c r="B64">
        <f t="shared" si="1"/>
        <v>0.41333333333333333</v>
      </c>
      <c r="C64">
        <f>'Feasibility IQ'!$AA$4</f>
        <v>30.111529999999998</v>
      </c>
      <c r="D64">
        <f>'Feasibility IQ'!$AA$5</f>
        <v>31.39669</v>
      </c>
      <c r="E64">
        <f>'Feasibility IQ'!$AA$6</f>
        <v>-25.938960000000002</v>
      </c>
      <c r="F64">
        <f>'Feasibility IQ'!$AA$7</f>
        <v>27.926639999999999</v>
      </c>
      <c r="G64">
        <f>'Feasibility IQ'!$AA$8</f>
        <v>0.97998393122619054</v>
      </c>
      <c r="H64">
        <f t="shared" si="2"/>
        <v>0.65476040239610023</v>
      </c>
      <c r="I64">
        <f t="shared" si="3"/>
        <v>0.47450863773838453</v>
      </c>
      <c r="J64">
        <f t="shared" si="4"/>
        <v>0.86048491741024402</v>
      </c>
      <c r="K64">
        <f t="shared" si="5"/>
        <v>0.49491654116334377</v>
      </c>
      <c r="L64">
        <f t="shared" si="6"/>
        <v>0.12092693741428104</v>
      </c>
      <c r="M64">
        <f t="shared" si="7"/>
        <v>6.945601777023855</v>
      </c>
      <c r="N64">
        <f t="shared" si="8"/>
        <v>29.905792654588744</v>
      </c>
      <c r="O64" t="str" cm="1">
        <f t="array" ref="O64">IF($M64="","",IFERROR(IF(INDEX(geo_grid!$B$2:$JU$231,INT(($M64+40)/0.5)+1,INT(($N64+30)/0.5)+1)="","",INDEX(geo_grid!$B$2:$JU$231,INT(($M64+40)/0.5)+1,INT(($N64+30)/0.5)+1)),"OUTSIDE GRID"))</f>
        <v>SSD</v>
      </c>
      <c r="Q64" t="str">
        <f>IF(countries!$D64="","",countries!$D64)</f>
        <v>JOR</v>
      </c>
      <c r="R64" t="str">
        <f>IF($Q64="","",countries!$B64)</f>
        <v>Jordan</v>
      </c>
      <c r="S64">
        <f>IF($Q64="","",IF(OR($Q64='Feasibility IQ'!$AA$9,$Q64='Feasibility IQ'!$AA$10),0,COUNTIF($O$2:$O$152,$Q64)))</f>
        <v>0</v>
      </c>
      <c r="T64" t="str">
        <f t="shared" si="9"/>
        <v/>
      </c>
      <c r="U64" t="str" cm="1">
        <f t="array" ref="U64">IF($S64=0,"",SUMPRODUCT(($S$2:$S$143&gt;0)*($T$2:$T$143&lt;$T64))+1)</f>
        <v/>
      </c>
    </row>
    <row r="65" spans="1:21" x14ac:dyDescent="0.3">
      <c r="A65">
        <f t="shared" si="0"/>
        <v>63</v>
      </c>
      <c r="B65">
        <f t="shared" si="1"/>
        <v>0.42</v>
      </c>
      <c r="C65">
        <f>'Feasibility IQ'!$AA$4</f>
        <v>30.111529999999998</v>
      </c>
      <c r="D65">
        <f>'Feasibility IQ'!$AA$5</f>
        <v>31.39669</v>
      </c>
      <c r="E65">
        <f>'Feasibility IQ'!$AA$6</f>
        <v>-25.938960000000002</v>
      </c>
      <c r="F65">
        <f>'Feasibility IQ'!$AA$7</f>
        <v>27.926639999999999</v>
      </c>
      <c r="G65">
        <f>'Feasibility IQ'!$AA$8</f>
        <v>0.97998393122619054</v>
      </c>
      <c r="H65">
        <f t="shared" si="2"/>
        <v>0.64814445301995038</v>
      </c>
      <c r="I65">
        <f t="shared" si="3"/>
        <v>0.48172860176931315</v>
      </c>
      <c r="J65">
        <f t="shared" si="4"/>
        <v>0.8613363118560613</v>
      </c>
      <c r="K65">
        <f t="shared" si="5"/>
        <v>0.49497577960812</v>
      </c>
      <c r="L65">
        <f t="shared" si="6"/>
        <v>0.11444970720596706</v>
      </c>
      <c r="M65">
        <f t="shared" si="7"/>
        <v>6.5718860307025242</v>
      </c>
      <c r="N65">
        <f t="shared" si="8"/>
        <v>29.884272259392809</v>
      </c>
      <c r="O65" t="str" cm="1">
        <f t="array" ref="O65">IF($M65="","",IFERROR(IF(INDEX(geo_grid!$B$2:$JU$231,INT(($M65+40)/0.5)+1,INT(($N65+30)/0.5)+1)="","",INDEX(geo_grid!$B$2:$JU$231,INT(($M65+40)/0.5)+1,INT(($N65+30)/0.5)+1)),"OUTSIDE GRID"))</f>
        <v>SSD</v>
      </c>
      <c r="Q65" t="str">
        <f>IF(countries!$D65="","",countries!$D65)</f>
        <v>KWT</v>
      </c>
      <c r="R65" t="str">
        <f>IF($Q65="","",countries!$B65)</f>
        <v>Kuwait</v>
      </c>
      <c r="S65">
        <f>IF($Q65="","",IF(OR($Q65='Feasibility IQ'!$AA$9,$Q65='Feasibility IQ'!$AA$10),0,COUNTIF($O$2:$O$152,$Q65)))</f>
        <v>0</v>
      </c>
      <c r="T65" t="str">
        <f t="shared" si="9"/>
        <v/>
      </c>
      <c r="U65" t="str" cm="1">
        <f t="array" ref="U65">IF($S65=0,"",SUMPRODUCT(($S$2:$S$143&gt;0)*($T$2:$T$143&lt;$T65))+1)</f>
        <v/>
      </c>
    </row>
    <row r="66" spans="1:21" x14ac:dyDescent="0.3">
      <c r="A66">
        <f t="shared" si="0"/>
        <v>64</v>
      </c>
      <c r="B66">
        <f t="shared" si="1"/>
        <v>0.42666666666666669</v>
      </c>
      <c r="C66">
        <f>'Feasibility IQ'!$AA$4</f>
        <v>30.111529999999998</v>
      </c>
      <c r="D66">
        <f>'Feasibility IQ'!$AA$5</f>
        <v>31.39669</v>
      </c>
      <c r="E66">
        <f>'Feasibility IQ'!$AA$6</f>
        <v>-25.938960000000002</v>
      </c>
      <c r="F66">
        <f>'Feasibility IQ'!$AA$7</f>
        <v>27.926639999999999</v>
      </c>
      <c r="G66">
        <f>'Feasibility IQ'!$AA$8</f>
        <v>0.97998393122619054</v>
      </c>
      <c r="H66">
        <f t="shared" si="2"/>
        <v>0.64150083896354959</v>
      </c>
      <c r="I66">
        <f t="shared" si="3"/>
        <v>0.48892800422994137</v>
      </c>
      <c r="J66">
        <f t="shared" si="4"/>
        <v>0.86215094197635678</v>
      </c>
      <c r="K66">
        <f t="shared" si="5"/>
        <v>0.49501389105472338</v>
      </c>
      <c r="L66">
        <f t="shared" si="6"/>
        <v>0.10796759195306163</v>
      </c>
      <c r="M66">
        <f t="shared" si="7"/>
        <v>6.1981693667320101</v>
      </c>
      <c r="N66">
        <f t="shared" si="8"/>
        <v>29.862784183150222</v>
      </c>
      <c r="O66" t="str" cm="1">
        <f t="array" ref="O66">IF($M66="","",IFERROR(IF(INDEX(geo_grid!$B$2:$JU$231,INT(($M66+40)/0.5)+1,INT(($N66+30)/0.5)+1)="","",INDEX(geo_grid!$B$2:$JU$231,INT(($M66+40)/0.5)+1,INT(($N66+30)/0.5)+1)),"OUTSIDE GRID"))</f>
        <v>SSD</v>
      </c>
      <c r="Q66" t="str">
        <f>IF(countries!$D66="","",countries!$D66)</f>
        <v>BHR</v>
      </c>
      <c r="R66" t="str">
        <f>IF($Q66="","",countries!$B66)</f>
        <v>Bahrain</v>
      </c>
      <c r="S66">
        <f>IF($Q66="","",IF(OR($Q66='Feasibility IQ'!$AA$9,$Q66='Feasibility IQ'!$AA$10),0,COUNTIF($O$2:$O$152,$Q66)))</f>
        <v>0</v>
      </c>
      <c r="T66" t="str">
        <f t="shared" si="9"/>
        <v/>
      </c>
      <c r="U66" t="str" cm="1">
        <f t="array" ref="U66">IF($S66=0,"",SUMPRODUCT(($S$2:$S$143&gt;0)*($T$2:$T$143&lt;$T66))+1)</f>
        <v/>
      </c>
    </row>
    <row r="67" spans="1:21" x14ac:dyDescent="0.3">
      <c r="A67">
        <f t="shared" ref="A67:A130" si="10">ROW()-2</f>
        <v>65</v>
      </c>
      <c r="B67">
        <f t="shared" ref="B67:B130" si="11">$A67/150</f>
        <v>0.43333333333333335</v>
      </c>
      <c r="C67">
        <f>'Feasibility IQ'!$AA$4</f>
        <v>30.111529999999998</v>
      </c>
      <c r="D67">
        <f>'Feasibility IQ'!$AA$5</f>
        <v>31.39669</v>
      </c>
      <c r="E67">
        <f>'Feasibility IQ'!$AA$6</f>
        <v>-25.938960000000002</v>
      </c>
      <c r="F67">
        <f>'Feasibility IQ'!$AA$7</f>
        <v>27.926639999999999</v>
      </c>
      <c r="G67">
        <f>'Feasibility IQ'!$AA$8</f>
        <v>0.97998393122619054</v>
      </c>
      <c r="H67">
        <f t="shared" ref="H67:H130" si="12">IF(OR($G67="",$G67=0),"",SIN((1-$B67)*$G67)/SIN($G67))</f>
        <v>0.63482984379556517</v>
      </c>
      <c r="I67">
        <f t="shared" ref="I67:I130" si="13">IF($H67="","",SIN($B67*$G67)/SIN($G67))</f>
        <v>0.49610653782894526</v>
      </c>
      <c r="J67">
        <f t="shared" ref="J67:J130" si="14">IF($H67="","",$H67*COS(RADIANS($C67))*COS(RADIANS($D67))+$I67*COS(RADIANS($E67))*COS(RADIANS($F67)))</f>
        <v>0.86292877300036053</v>
      </c>
      <c r="K67">
        <f t="shared" ref="K67:K130" si="15">IF($H67="","",$H67*COS(RADIANS($C67))*SIN(RADIANS($D67))+$I67*COS(RADIANS($E67))*SIN(RADIANS($F67)))</f>
        <v>0.49503087387644695</v>
      </c>
      <c r="L67">
        <f t="shared" ref="L67:L130" si="16">IF($H67="","",$H67*SIN(RADIANS($C67))+$I67*SIN(RADIANS($E67)))</f>
        <v>0.10148086833099579</v>
      </c>
      <c r="M67">
        <f t="shared" ref="M67:M130" si="17">IF($L67="","",DEGREES(ATAN2(SQRT($J67^2+$K67^2),$L67)))</f>
        <v>5.824451838978991</v>
      </c>
      <c r="N67">
        <f t="shared" ref="N67:N130" si="18">IF($L67="","",DEGREES(ATAN2($J67,$K67)))</f>
        <v>29.841326528787505</v>
      </c>
      <c r="O67" t="str" cm="1">
        <f t="array" ref="O67">IF($M67="","",IFERROR(IF(INDEX(geo_grid!$B$2:$JU$231,INT(($M67+40)/0.5)+1,INT(($N67+30)/0.5)+1)="","",INDEX(geo_grid!$B$2:$JU$231,INT(($M67+40)/0.5)+1,INT(($N67+30)/0.5)+1)),"OUTSIDE GRID"))</f>
        <v>SSD</v>
      </c>
      <c r="Q67" t="str">
        <f>IF(countries!$D67="","",countries!$D67)</f>
        <v>LBN</v>
      </c>
      <c r="R67" t="str">
        <f>IF($Q67="","",countries!$B67)</f>
        <v>Lebanon</v>
      </c>
      <c r="S67">
        <f>IF($Q67="","",IF(OR($Q67='Feasibility IQ'!$AA$9,$Q67='Feasibility IQ'!$AA$10),0,COUNTIF($O$2:$O$152,$Q67)))</f>
        <v>0</v>
      </c>
      <c r="T67" t="str">
        <f t="shared" ref="T67:T130" si="19">IF($S67=0,"",_xlfn.MINIFS($A$2:$A$152,$O$2:$O$152,$Q67))</f>
        <v/>
      </c>
      <c r="U67" t="str" cm="1">
        <f t="array" ref="U67">IF($S67=0,"",SUMPRODUCT(($S$2:$S$143&gt;0)*($T$2:$T$143&lt;$T67))+1)</f>
        <v/>
      </c>
    </row>
    <row r="68" spans="1:21" x14ac:dyDescent="0.3">
      <c r="A68">
        <f t="shared" si="10"/>
        <v>66</v>
      </c>
      <c r="B68">
        <f t="shared" si="11"/>
        <v>0.44</v>
      </c>
      <c r="C68">
        <f>'Feasibility IQ'!$AA$4</f>
        <v>30.111529999999998</v>
      </c>
      <c r="D68">
        <f>'Feasibility IQ'!$AA$5</f>
        <v>31.39669</v>
      </c>
      <c r="E68">
        <f>'Feasibility IQ'!$AA$6</f>
        <v>-25.938960000000002</v>
      </c>
      <c r="F68">
        <f>'Feasibility IQ'!$AA$7</f>
        <v>27.926639999999999</v>
      </c>
      <c r="G68">
        <f>'Feasibility IQ'!$AA$8</f>
        <v>0.97998393122619054</v>
      </c>
      <c r="H68">
        <f t="shared" si="12"/>
        <v>0.62813175225336926</v>
      </c>
      <c r="I68">
        <f t="shared" si="13"/>
        <v>0.5032638961657443</v>
      </c>
      <c r="J68">
        <f t="shared" si="14"/>
        <v>0.86366977172799442</v>
      </c>
      <c r="K68">
        <f t="shared" si="15"/>
        <v>0.49502672734841513</v>
      </c>
      <c r="L68">
        <f t="shared" si="16"/>
        <v>9.4989813211898921E-2</v>
      </c>
      <c r="M68">
        <f t="shared" si="17"/>
        <v>5.4507335010110376</v>
      </c>
      <c r="N68">
        <f t="shared" si="18"/>
        <v>29.819897409752127</v>
      </c>
      <c r="O68" t="str" cm="1">
        <f t="array" ref="O68">IF($M68="","",IFERROR(IF(INDEX(geo_grid!$B$2:$JU$231,INT(($M68+40)/0.5)+1,INT(($N68+30)/0.5)+1)="","",INDEX(geo_grid!$B$2:$JU$231,INT(($M68+40)/0.5)+1,INT(($N68+30)/0.5)+1)),"OUTSIDE GRID"))</f>
        <v>SSD</v>
      </c>
      <c r="Q68" t="str">
        <f>IF(countries!$D68="","",countries!$D68)</f>
        <v>IRQ</v>
      </c>
      <c r="R68" t="str">
        <f>IF($Q68="","",countries!$B68)</f>
        <v>Iraq</v>
      </c>
      <c r="S68">
        <f>IF($Q68="","",IF(OR($Q68='Feasibility IQ'!$AA$9,$Q68='Feasibility IQ'!$AA$10),0,COUNTIF($O$2:$O$152,$Q68)))</f>
        <v>0</v>
      </c>
      <c r="T68" t="str">
        <f t="shared" si="19"/>
        <v/>
      </c>
      <c r="U68" t="str" cm="1">
        <f t="array" ref="U68">IF($S68=0,"",SUMPRODUCT(($S$2:$S$143&gt;0)*($T$2:$T$143&lt;$T68))+1)</f>
        <v/>
      </c>
    </row>
    <row r="69" spans="1:21" x14ac:dyDescent="0.3">
      <c r="A69">
        <f t="shared" si="10"/>
        <v>67</v>
      </c>
      <c r="B69">
        <f t="shared" si="11"/>
        <v>0.44666666666666666</v>
      </c>
      <c r="C69">
        <f>'Feasibility IQ'!$AA$4</f>
        <v>30.111529999999998</v>
      </c>
      <c r="D69">
        <f>'Feasibility IQ'!$AA$5</f>
        <v>31.39669</v>
      </c>
      <c r="E69">
        <f>'Feasibility IQ'!$AA$6</f>
        <v>-25.938960000000002</v>
      </c>
      <c r="F69">
        <f>'Feasibility IQ'!$AA$7</f>
        <v>27.926639999999999</v>
      </c>
      <c r="G69">
        <f>'Feasibility IQ'!$AA$8</f>
        <v>0.97998393122619054</v>
      </c>
      <c r="H69">
        <f t="shared" si="12"/>
        <v>0.62140685023088527</v>
      </c>
      <c r="I69">
        <f t="shared" si="13"/>
        <v>0.51039977374357937</v>
      </c>
      <c r="J69">
        <f t="shared" si="14"/>
        <v>0.86437390653128909</v>
      </c>
      <c r="K69">
        <f t="shared" si="15"/>
        <v>0.49500145164761344</v>
      </c>
      <c r="L69">
        <f t="shared" si="16"/>
        <v>8.8494703652781254E-2</v>
      </c>
      <c r="M69">
        <f t="shared" si="17"/>
        <v>5.0770144061157501</v>
      </c>
      <c r="N69">
        <f t="shared" si="18"/>
        <v>29.798494949339872</v>
      </c>
      <c r="O69" t="str" cm="1">
        <f t="array" ref="O69">IF($M69="","",IFERROR(IF(INDEX(geo_grid!$B$2:$JU$231,INT(($M69+40)/0.5)+1,INT(($N69+30)/0.5)+1)="","",INDEX(geo_grid!$B$2:$JU$231,INT(($M69+40)/0.5)+1,INT(($N69+30)/0.5)+1)),"OUTSIDE GRID"))</f>
        <v>SSD</v>
      </c>
      <c r="Q69" t="str">
        <f>IF(countries!$D69="","",countries!$D69)</f>
        <v>YEM</v>
      </c>
      <c r="R69" t="str">
        <f>IF($Q69="","",countries!$B69)</f>
        <v>Yemen</v>
      </c>
      <c r="S69">
        <f>IF($Q69="","",IF(OR($Q69='Feasibility IQ'!$AA$9,$Q69='Feasibility IQ'!$AA$10),0,COUNTIF($O$2:$O$152,$Q69)))</f>
        <v>0</v>
      </c>
      <c r="T69" t="str">
        <f t="shared" si="19"/>
        <v/>
      </c>
      <c r="U69" t="str" cm="1">
        <f t="array" ref="U69">IF($S69=0,"",SUMPRODUCT(($S$2:$S$143&gt;0)*($T$2:$T$143&lt;$T69))+1)</f>
        <v/>
      </c>
    </row>
    <row r="70" spans="1:21" x14ac:dyDescent="0.3">
      <c r="A70">
        <f t="shared" si="10"/>
        <v>68</v>
      </c>
      <c r="B70">
        <f t="shared" si="11"/>
        <v>0.45333333333333331</v>
      </c>
      <c r="C70">
        <f>'Feasibility IQ'!$AA$4</f>
        <v>30.111529999999998</v>
      </c>
      <c r="D70">
        <f>'Feasibility IQ'!$AA$5</f>
        <v>31.39669</v>
      </c>
      <c r="E70">
        <f>'Feasibility IQ'!$AA$6</f>
        <v>-25.938960000000002</v>
      </c>
      <c r="F70">
        <f>'Feasibility IQ'!$AA$7</f>
        <v>27.926639999999999</v>
      </c>
      <c r="G70">
        <f>'Feasibility IQ'!$AA$8</f>
        <v>0.97998393122619054</v>
      </c>
      <c r="H70">
        <f t="shared" si="12"/>
        <v>0.61465542476638602</v>
      </c>
      <c r="I70">
        <f t="shared" si="13"/>
        <v>0.51751386598255222</v>
      </c>
      <c r="J70">
        <f t="shared" si="14"/>
        <v>0.86504114735573379</v>
      </c>
      <c r="K70">
        <f t="shared" si="15"/>
        <v>0.49495504785288191</v>
      </c>
      <c r="L70">
        <f t="shared" si="16"/>
        <v>8.1995816883708245E-2</v>
      </c>
      <c r="M70">
        <f t="shared" si="17"/>
        <v>4.7032946073196635</v>
      </c>
      <c r="N70">
        <f t="shared" si="18"/>
        <v>29.777117280029614</v>
      </c>
      <c r="O70" t="str" cm="1">
        <f t="array" ref="O70">IF($M70="","",IFERROR(IF(INDEX(geo_grid!$B$2:$JU$231,INT(($M70+40)/0.5)+1,INT(($N70+30)/0.5)+1)="","",INDEX(geo_grid!$B$2:$JU$231,INT(($M70+40)/0.5)+1,INT(($N70+30)/0.5)+1)),"OUTSIDE GRID"))</f>
        <v>SSD</v>
      </c>
      <c r="Q70" t="str">
        <f>IF(countries!$D70="","",countries!$D70)</f>
        <v>AFG</v>
      </c>
      <c r="R70" t="str">
        <f>IF($Q70="","",countries!$B70)</f>
        <v>Afghanistan</v>
      </c>
      <c r="S70">
        <f>IF($Q70="","",IF(OR($Q70='Feasibility IQ'!$AA$9,$Q70='Feasibility IQ'!$AA$10),0,COUNTIF($O$2:$O$152,$Q70)))</f>
        <v>0</v>
      </c>
      <c r="T70" t="str">
        <f t="shared" si="19"/>
        <v/>
      </c>
      <c r="U70" t="str" cm="1">
        <f t="array" ref="U70">IF($S70=0,"",SUMPRODUCT(($S$2:$S$143&gt;0)*($T$2:$T$143&lt;$T70))+1)</f>
        <v/>
      </c>
    </row>
    <row r="71" spans="1:21" x14ac:dyDescent="0.3">
      <c r="A71">
        <f t="shared" si="10"/>
        <v>69</v>
      </c>
      <c r="B71">
        <f t="shared" si="11"/>
        <v>0.46</v>
      </c>
      <c r="C71">
        <f>'Feasibility IQ'!$AA$4</f>
        <v>30.111529999999998</v>
      </c>
      <c r="D71">
        <f>'Feasibility IQ'!$AA$5</f>
        <v>31.39669</v>
      </c>
      <c r="E71">
        <f>'Feasibility IQ'!$AA$6</f>
        <v>-25.938960000000002</v>
      </c>
      <c r="F71">
        <f>'Feasibility IQ'!$AA$7</f>
        <v>27.926639999999999</v>
      </c>
      <c r="G71">
        <f>'Feasibility IQ'!$AA$8</f>
        <v>0.97998393122619054</v>
      </c>
      <c r="H71">
        <f t="shared" si="12"/>
        <v>0.60787776403024119</v>
      </c>
      <c r="I71">
        <f t="shared" si="13"/>
        <v>0.5246058692326262</v>
      </c>
      <c r="J71">
        <f t="shared" si="14"/>
        <v>0.8656714657215604</v>
      </c>
      <c r="K71">
        <f t="shared" si="15"/>
        <v>0.49488751794486879</v>
      </c>
      <c r="L71">
        <f t="shared" si="16"/>
        <v>7.5493430295967584E-2</v>
      </c>
      <c r="M71">
        <f t="shared" si="17"/>
        <v>4.3295741574069755</v>
      </c>
      <c r="N71">
        <f t="shared" si="18"/>
        <v>29.755762542824698</v>
      </c>
      <c r="O71" t="str" cm="1">
        <f t="array" ref="O71">IF($M71="","",IFERROR(IF(INDEX(geo_grid!$B$2:$JU$231,INT(($M71+40)/0.5)+1,INT(($N71+30)/0.5)+1)="","",INDEX(geo_grid!$B$2:$JU$231,INT(($M71+40)/0.5)+1,INT(($N71+30)/0.5)+1)),"OUTSIDE GRID"))</f>
        <v>COD</v>
      </c>
      <c r="Q71" t="str">
        <f>IF(countries!$D71="","",countries!$D71)</f>
        <v>ZWE</v>
      </c>
      <c r="R71" t="str">
        <f>IF($Q71="","",countries!$B71)</f>
        <v>Zimbabwe</v>
      </c>
      <c r="S71">
        <f>IF($Q71="","",IF(OR($Q71='Feasibility IQ'!$AA$9,$Q71='Feasibility IQ'!$AA$10),0,COUNTIF($O$2:$O$152,$Q71)))</f>
        <v>14</v>
      </c>
      <c r="T71">
        <f t="shared" si="19"/>
        <v>125</v>
      </c>
      <c r="U71" cm="1">
        <f t="array" ref="U71">IF($S71=0,"",SUMPRODUCT(($S$2:$S$143&gt;0)*($T$2:$T$143&lt;$T71))+1)</f>
        <v>6</v>
      </c>
    </row>
    <row r="72" spans="1:21" x14ac:dyDescent="0.3">
      <c r="A72">
        <f t="shared" si="10"/>
        <v>70</v>
      </c>
      <c r="B72">
        <f t="shared" si="11"/>
        <v>0.46666666666666667</v>
      </c>
      <c r="C72">
        <f>'Feasibility IQ'!$AA$4</f>
        <v>30.111529999999998</v>
      </c>
      <c r="D72">
        <f>'Feasibility IQ'!$AA$5</f>
        <v>31.39669</v>
      </c>
      <c r="E72">
        <f>'Feasibility IQ'!$AA$6</f>
        <v>-25.938960000000002</v>
      </c>
      <c r="F72">
        <f>'Feasibility IQ'!$AA$7</f>
        <v>27.926639999999999</v>
      </c>
      <c r="G72">
        <f>'Feasibility IQ'!$AA$8</f>
        <v>0.97998393122619054</v>
      </c>
      <c r="H72">
        <f t="shared" si="12"/>
        <v>0.60107415731261793</v>
      </c>
      <c r="I72">
        <f t="shared" si="13"/>
        <v>0.53167548078658611</v>
      </c>
      <c r="J72">
        <f t="shared" si="14"/>
        <v>0.86626483472495741</v>
      </c>
      <c r="K72">
        <f t="shared" si="15"/>
        <v>0.49479886480594598</v>
      </c>
      <c r="L72">
        <f t="shared" si="16"/>
        <v>6.8987821430229523E-2</v>
      </c>
      <c r="M72">
        <f t="shared" si="17"/>
        <v>3.9558531089381028</v>
      </c>
      <c r="N72">
        <f t="shared" si="18"/>
        <v>29.734428886600735</v>
      </c>
      <c r="O72" t="str" cm="1">
        <f t="array" ref="O72">IF($M72="","",IFERROR(IF(INDEX(geo_grid!$B$2:$JU$231,INT(($M72+40)/0.5)+1,INT(($N72+30)/0.5)+1)="","",INDEX(geo_grid!$B$2:$JU$231,INT(($M72+40)/0.5)+1,INT(($N72+30)/0.5)+1)),"OUTSIDE GRID"))</f>
        <v>COD</v>
      </c>
      <c r="Q72" t="str">
        <f>IF(countries!$D72="","",countries!$D72)</f>
        <v>XKX</v>
      </c>
      <c r="R72" t="str">
        <f>IF($Q72="","",countries!$B72)</f>
        <v>Kosovo</v>
      </c>
      <c r="S72">
        <f>IF($Q72="","",IF(OR($Q72='Feasibility IQ'!$AA$9,$Q72='Feasibility IQ'!$AA$10),0,COUNTIF($O$2:$O$152,$Q72)))</f>
        <v>0</v>
      </c>
      <c r="T72" t="str">
        <f t="shared" si="19"/>
        <v/>
      </c>
      <c r="U72" t="str" cm="1">
        <f t="array" ref="U72">IF($S72=0,"",SUMPRODUCT(($S$2:$S$143&gt;0)*($T$2:$T$143&lt;$T72))+1)</f>
        <v/>
      </c>
    </row>
    <row r="73" spans="1:21" x14ac:dyDescent="0.3">
      <c r="A73">
        <f t="shared" si="10"/>
        <v>71</v>
      </c>
      <c r="B73">
        <f t="shared" si="11"/>
        <v>0.47333333333333333</v>
      </c>
      <c r="C73">
        <f>'Feasibility IQ'!$AA$4</f>
        <v>30.111529999999998</v>
      </c>
      <c r="D73">
        <f>'Feasibility IQ'!$AA$5</f>
        <v>31.39669</v>
      </c>
      <c r="E73">
        <f>'Feasibility IQ'!$AA$6</f>
        <v>-25.938960000000002</v>
      </c>
      <c r="F73">
        <f>'Feasibility IQ'!$AA$7</f>
        <v>27.926639999999999</v>
      </c>
      <c r="G73">
        <f>'Feasibility IQ'!$AA$8</f>
        <v>0.97998393122619054</v>
      </c>
      <c r="H73">
        <f t="shared" si="12"/>
        <v>0.59424489501113276</v>
      </c>
      <c r="I73">
        <f t="shared" si="13"/>
        <v>0.53872239889295948</v>
      </c>
      <c r="J73">
        <f t="shared" si="14"/>
        <v>0.86682122903921921</v>
      </c>
      <c r="K73">
        <f t="shared" si="15"/>
        <v>0.49468909222008572</v>
      </c>
      <c r="L73">
        <f t="shared" si="16"/>
        <v>6.2479267964700103E-2</v>
      </c>
      <c r="M73">
        <f t="shared" si="17"/>
        <v>3.582131514268025</v>
      </c>
      <c r="N73">
        <f t="shared" si="18"/>
        <v>29.713114467458947</v>
      </c>
      <c r="O73" t="str" cm="1">
        <f t="array" ref="O73">IF($M73="","",IFERROR(IF(INDEX(geo_grid!$B$2:$JU$231,INT(($M73+40)/0.5)+1,INT(($N73+30)/0.5)+1)="","",INDEX(geo_grid!$B$2:$JU$231,INT(($M73+40)/0.5)+1,INT(($N73+30)/0.5)+1)),"OUTSIDE GRID"))</f>
        <v>COD</v>
      </c>
      <c r="Q73" t="str">
        <f>IF(countries!$D73="","",countries!$D73)</f>
        <v>ALB</v>
      </c>
      <c r="R73" t="str">
        <f>IF($Q73="","",countries!$B73)</f>
        <v>Albania</v>
      </c>
      <c r="S73">
        <f>IF($Q73="","",IF(OR($Q73='Feasibility IQ'!$AA$9,$Q73='Feasibility IQ'!$AA$10),0,COUNTIF($O$2:$O$152,$Q73)))</f>
        <v>0</v>
      </c>
      <c r="T73" t="str">
        <f t="shared" si="19"/>
        <v/>
      </c>
      <c r="U73" t="str" cm="1">
        <f t="array" ref="U73">IF($S73=0,"",SUMPRODUCT(($S$2:$S$143&gt;0)*($T$2:$T$143&lt;$T73))+1)</f>
        <v/>
      </c>
    </row>
    <row r="74" spans="1:21" x14ac:dyDescent="0.3">
      <c r="A74">
        <f t="shared" si="10"/>
        <v>72</v>
      </c>
      <c r="B74">
        <f t="shared" si="11"/>
        <v>0.48</v>
      </c>
      <c r="C74">
        <f>'Feasibility IQ'!$AA$4</f>
        <v>30.111529999999998</v>
      </c>
      <c r="D74">
        <f>'Feasibility IQ'!$AA$5</f>
        <v>31.39669</v>
      </c>
      <c r="E74">
        <f>'Feasibility IQ'!$AA$6</f>
        <v>-25.938960000000002</v>
      </c>
      <c r="F74">
        <f>'Feasibility IQ'!$AA$7</f>
        <v>27.926639999999999</v>
      </c>
      <c r="G74">
        <f>'Feasibility IQ'!$AA$8</f>
        <v>0.97998393122619054</v>
      </c>
      <c r="H74">
        <f t="shared" si="12"/>
        <v>0.58739026861845711</v>
      </c>
      <c r="I74">
        <f t="shared" si="13"/>
        <v>0.54574632276889568</v>
      </c>
      <c r="J74">
        <f t="shared" si="14"/>
        <v>0.86734062491582686</v>
      </c>
      <c r="K74">
        <f t="shared" si="15"/>
        <v>0.49455820487269975</v>
      </c>
      <c r="L74">
        <f t="shared" si="16"/>
        <v>5.596804770326988E-2</v>
      </c>
      <c r="M74">
        <f t="shared" si="17"/>
        <v>3.2084094255645752</v>
      </c>
      <c r="N74">
        <f t="shared" si="18"/>
        <v>29.691817448084979</v>
      </c>
      <c r="O74" t="str" cm="1">
        <f t="array" ref="O74">IF($M74="","",IFERROR(IF(INDEX(geo_grid!$B$2:$JU$231,INT(($M74+40)/0.5)+1,INT(($N74+30)/0.5)+1)="","",INDEX(geo_grid!$B$2:$JU$231,INT(($M74+40)/0.5)+1,INT(($N74+30)/0.5)+1)),"OUTSIDE GRID"))</f>
        <v>COD</v>
      </c>
      <c r="Q74" t="str">
        <f>IF(countries!$D74="","",countries!$D74)</f>
        <v>ARM</v>
      </c>
      <c r="R74" t="str">
        <f>IF($Q74="","",countries!$B74)</f>
        <v>Armenia</v>
      </c>
      <c r="S74">
        <f>IF($Q74="","",IF(OR($Q74='Feasibility IQ'!$AA$9,$Q74='Feasibility IQ'!$AA$10),0,COUNTIF($O$2:$O$152,$Q74)))</f>
        <v>0</v>
      </c>
      <c r="T74" t="str">
        <f t="shared" si="19"/>
        <v/>
      </c>
      <c r="U74" t="str" cm="1">
        <f t="array" ref="U74">IF($S74=0,"",SUMPRODUCT(($S$2:$S$143&gt;0)*($T$2:$T$143&lt;$T74))+1)</f>
        <v/>
      </c>
    </row>
    <row r="75" spans="1:21" x14ac:dyDescent="0.3">
      <c r="A75">
        <f t="shared" si="10"/>
        <v>73</v>
      </c>
      <c r="B75">
        <f t="shared" si="11"/>
        <v>0.48666666666666669</v>
      </c>
      <c r="C75">
        <f>'Feasibility IQ'!$AA$4</f>
        <v>30.111529999999998</v>
      </c>
      <c r="D75">
        <f>'Feasibility IQ'!$AA$5</f>
        <v>31.39669</v>
      </c>
      <c r="E75">
        <f>'Feasibility IQ'!$AA$6</f>
        <v>-25.938960000000002</v>
      </c>
      <c r="F75">
        <f>'Feasibility IQ'!$AA$7</f>
        <v>27.926639999999999</v>
      </c>
      <c r="G75">
        <f>'Feasibility IQ'!$AA$8</f>
        <v>0.97998393122619054</v>
      </c>
      <c r="H75">
        <f t="shared" si="12"/>
        <v>0.58051057070987466</v>
      </c>
      <c r="I75">
        <f t="shared" si="13"/>
        <v>0.55274695261300466</v>
      </c>
      <c r="J75">
        <f t="shared" si="14"/>
        <v>0.86782300018546188</v>
      </c>
      <c r="K75">
        <f t="shared" si="15"/>
        <v>0.49440620835043864</v>
      </c>
      <c r="L75">
        <f t="shared" si="16"/>
        <v>4.9454438563655362E-2</v>
      </c>
      <c r="M75">
        <f t="shared" si="17"/>
        <v>2.8346868948264619</v>
      </c>
      <c r="N75">
        <f t="shared" si="18"/>
        <v>29.670535997112342</v>
      </c>
      <c r="O75" t="str" cm="1">
        <f t="array" ref="O75">IF($M75="","",IFERROR(IF(INDEX(geo_grid!$B$2:$JU$231,INT(($M75+40)/0.5)+1,INT(($N75+30)/0.5)+1)="","",INDEX(geo_grid!$B$2:$JU$231,INT(($M75+40)/0.5)+1,INT(($N75+30)/0.5)+1)),"OUTSIDE GRID"))</f>
        <v>COD</v>
      </c>
      <c r="Q75" t="str">
        <f>IF(countries!$D75="","",countries!$D75)</f>
        <v>AUT</v>
      </c>
      <c r="R75" t="str">
        <f>IF($Q75="","",countries!$B75)</f>
        <v>Austria</v>
      </c>
      <c r="S75">
        <f>IF($Q75="","",IF(OR($Q75='Feasibility IQ'!$AA$9,$Q75='Feasibility IQ'!$AA$10),0,COUNTIF($O$2:$O$152,$Q75)))</f>
        <v>0</v>
      </c>
      <c r="T75" t="str">
        <f t="shared" si="19"/>
        <v/>
      </c>
      <c r="U75" t="str" cm="1">
        <f t="array" ref="U75">IF($S75=0,"",SUMPRODUCT(($S$2:$S$143&gt;0)*($T$2:$T$143&lt;$T75))+1)</f>
        <v/>
      </c>
    </row>
    <row r="76" spans="1:21" x14ac:dyDescent="0.3">
      <c r="A76">
        <f t="shared" si="10"/>
        <v>74</v>
      </c>
      <c r="B76">
        <f t="shared" si="11"/>
        <v>0.49333333333333335</v>
      </c>
      <c r="C76">
        <f>'Feasibility IQ'!$AA$4</f>
        <v>30.111529999999998</v>
      </c>
      <c r="D76">
        <f>'Feasibility IQ'!$AA$5</f>
        <v>31.39669</v>
      </c>
      <c r="E76">
        <f>'Feasibility IQ'!$AA$6</f>
        <v>-25.938960000000002</v>
      </c>
      <c r="F76">
        <f>'Feasibility IQ'!$AA$7</f>
        <v>27.926639999999999</v>
      </c>
      <c r="G76">
        <f>'Feasibility IQ'!$AA$8</f>
        <v>0.97998393122619054</v>
      </c>
      <c r="H76">
        <f t="shared" si="12"/>
        <v>0.57360609493079429</v>
      </c>
      <c r="I76">
        <f t="shared" si="13"/>
        <v>0.5597239896181524</v>
      </c>
      <c r="J76">
        <f t="shared" si="14"/>
        <v>0.86826833425895211</v>
      </c>
      <c r="K76">
        <f t="shared" si="15"/>
        <v>0.49423310914095353</v>
      </c>
      <c r="L76">
        <f t="shared" si="16"/>
        <v>4.2938718565537937E-2</v>
      </c>
      <c r="M76">
        <f t="shared" si="17"/>
        <v>2.4609639739013165</v>
      </c>
      <c r="N76">
        <f t="shared" si="18"/>
        <v>29.649268288490287</v>
      </c>
      <c r="O76" t="str" cm="1">
        <f t="array" ref="O76">IF($M76="","",IFERROR(IF(INDEX(geo_grid!$B$2:$JU$231,INT(($M76+40)/0.5)+1,INT(($N76+30)/0.5)+1)="","",INDEX(geo_grid!$B$2:$JU$231,INT(($M76+40)/0.5)+1,INT(($N76+30)/0.5)+1)),"OUTSIDE GRID"))</f>
        <v>COD</v>
      </c>
      <c r="Q76" t="str">
        <f>IF(countries!$D76="","",countries!$D76)</f>
        <v>AZE</v>
      </c>
      <c r="R76" t="str">
        <f>IF($Q76="","",countries!$B76)</f>
        <v>Azerbaijan</v>
      </c>
      <c r="S76">
        <f>IF($Q76="","",IF(OR($Q76='Feasibility IQ'!$AA$9,$Q76='Feasibility IQ'!$AA$10),0,COUNTIF($O$2:$O$152,$Q76)))</f>
        <v>0</v>
      </c>
      <c r="T76" t="str">
        <f t="shared" si="19"/>
        <v/>
      </c>
      <c r="U76" t="str" cm="1">
        <f t="array" ref="U76">IF($S76=0,"",SUMPRODUCT(($S$2:$S$143&gt;0)*($T$2:$T$143&lt;$T76))+1)</f>
        <v/>
      </c>
    </row>
    <row r="77" spans="1:21" x14ac:dyDescent="0.3">
      <c r="A77">
        <f t="shared" si="10"/>
        <v>75</v>
      </c>
      <c r="B77">
        <f t="shared" si="11"/>
        <v>0.5</v>
      </c>
      <c r="C77">
        <f>'Feasibility IQ'!$AA$4</f>
        <v>30.111529999999998</v>
      </c>
      <c r="D77">
        <f>'Feasibility IQ'!$AA$5</f>
        <v>31.39669</v>
      </c>
      <c r="E77">
        <f>'Feasibility IQ'!$AA$6</f>
        <v>-25.938960000000002</v>
      </c>
      <c r="F77">
        <f>'Feasibility IQ'!$AA$7</f>
        <v>27.926639999999999</v>
      </c>
      <c r="G77">
        <f>'Feasibility IQ'!$AA$8</f>
        <v>0.97998393122619054</v>
      </c>
      <c r="H77">
        <f t="shared" si="12"/>
        <v>0.5666771359842161</v>
      </c>
      <c r="I77">
        <f t="shared" si="13"/>
        <v>0.5666771359842161</v>
      </c>
      <c r="J77">
        <f t="shared" si="14"/>
        <v>0.8686766081281514</v>
      </c>
      <c r="K77">
        <f t="shared" si="15"/>
        <v>0.49403891463261951</v>
      </c>
      <c r="L77">
        <f t="shared" si="16"/>
        <v>3.6421165818696116E-2</v>
      </c>
      <c r="M77">
        <f t="shared" si="17"/>
        <v>2.0872407145034941</v>
      </c>
      <c r="N77">
        <f t="shared" si="18"/>
        <v>29.628012500855473</v>
      </c>
      <c r="O77" t="str" cm="1">
        <f t="array" ref="O77">IF($M77="","",IFERROR(IF(INDEX(geo_grid!$B$2:$JU$231,INT(($M77+40)/0.5)+1,INT(($N77+30)/0.5)+1)="","",INDEX(geo_grid!$B$2:$JU$231,INT(($M77+40)/0.5)+1,INT(($N77+30)/0.5)+1)),"OUTSIDE GRID"))</f>
        <v>COD</v>
      </c>
      <c r="Q77" t="str">
        <f>IF(countries!$D77="","",countries!$D77)</f>
        <v>BEL</v>
      </c>
      <c r="R77" t="str">
        <f>IF($Q77="","",countries!$B77)</f>
        <v>Belgium</v>
      </c>
      <c r="S77">
        <f>IF($Q77="","",IF(OR($Q77='Feasibility IQ'!$AA$9,$Q77='Feasibility IQ'!$AA$10),0,COUNTIF($O$2:$O$152,$Q77)))</f>
        <v>0</v>
      </c>
      <c r="T77" t="str">
        <f t="shared" si="19"/>
        <v/>
      </c>
      <c r="U77" t="str" cm="1">
        <f t="array" ref="U77">IF($S77=0,"",SUMPRODUCT(($S$2:$S$143&gt;0)*($T$2:$T$143&lt;$T77))+1)</f>
        <v/>
      </c>
    </row>
    <row r="78" spans="1:21" x14ac:dyDescent="0.3">
      <c r="A78">
        <f t="shared" si="10"/>
        <v>76</v>
      </c>
      <c r="B78">
        <f t="shared" si="11"/>
        <v>0.50666666666666671</v>
      </c>
      <c r="C78">
        <f>'Feasibility IQ'!$AA$4</f>
        <v>30.111529999999998</v>
      </c>
      <c r="D78">
        <f>'Feasibility IQ'!$AA$5</f>
        <v>31.39669</v>
      </c>
      <c r="E78">
        <f>'Feasibility IQ'!$AA$6</f>
        <v>-25.938960000000002</v>
      </c>
      <c r="F78">
        <f>'Feasibility IQ'!$AA$7</f>
        <v>27.926639999999999</v>
      </c>
      <c r="G78">
        <f>'Feasibility IQ'!$AA$8</f>
        <v>0.97998393122619054</v>
      </c>
      <c r="H78">
        <f t="shared" si="12"/>
        <v>0.5597239896181524</v>
      </c>
      <c r="I78">
        <f t="shared" si="13"/>
        <v>0.5736060949307944</v>
      </c>
      <c r="J78">
        <f t="shared" si="14"/>
        <v>0.86904780436674978</v>
      </c>
      <c r="K78">
        <f t="shared" si="15"/>
        <v>0.49382363311422012</v>
      </c>
      <c r="L78">
        <f t="shared" si="16"/>
        <v>2.9902058511135532E-2</v>
      </c>
      <c r="M78">
        <f t="shared" si="17"/>
        <v>1.7135171682318693</v>
      </c>
      <c r="N78">
        <f t="shared" si="18"/>
        <v>29.606766816907083</v>
      </c>
      <c r="O78" t="str" cm="1">
        <f t="array" ref="O78">IF($M78="","",IFERROR(IF(INDEX(geo_grid!$B$2:$JU$231,INT(($M78+40)/0.5)+1,INT(($N78+30)/0.5)+1)="","",INDEX(geo_grid!$B$2:$JU$231,INT(($M78+40)/0.5)+1,INT(($N78+30)/0.5)+1)),"OUTSIDE GRID"))</f>
        <v>COD</v>
      </c>
      <c r="Q78" t="str">
        <f>IF(countries!$D78="","",countries!$D78)</f>
        <v>BGD</v>
      </c>
      <c r="R78" t="str">
        <f>IF($Q78="","",countries!$B78)</f>
        <v>Bangladesh</v>
      </c>
      <c r="S78">
        <f>IF($Q78="","",IF(OR($Q78='Feasibility IQ'!$AA$9,$Q78='Feasibility IQ'!$AA$10),0,COUNTIF($O$2:$O$152,$Q78)))</f>
        <v>0</v>
      </c>
      <c r="T78" t="str">
        <f t="shared" si="19"/>
        <v/>
      </c>
      <c r="U78" t="str" cm="1">
        <f t="array" ref="U78">IF($S78=0,"",SUMPRODUCT(($S$2:$S$143&gt;0)*($T$2:$T$143&lt;$T78))+1)</f>
        <v/>
      </c>
    </row>
    <row r="79" spans="1:21" x14ac:dyDescent="0.3">
      <c r="A79">
        <f t="shared" si="10"/>
        <v>77</v>
      </c>
      <c r="B79">
        <f t="shared" si="11"/>
        <v>0.51333333333333331</v>
      </c>
      <c r="C79">
        <f>'Feasibility IQ'!$AA$4</f>
        <v>30.111529999999998</v>
      </c>
      <c r="D79">
        <f>'Feasibility IQ'!$AA$5</f>
        <v>31.39669</v>
      </c>
      <c r="E79">
        <f>'Feasibility IQ'!$AA$6</f>
        <v>-25.938960000000002</v>
      </c>
      <c r="F79">
        <f>'Feasibility IQ'!$AA$7</f>
        <v>27.926639999999999</v>
      </c>
      <c r="G79">
        <f>'Feasibility IQ'!$AA$8</f>
        <v>0.97998393122619054</v>
      </c>
      <c r="H79">
        <f t="shared" si="12"/>
        <v>0.55274695261300466</v>
      </c>
      <c r="I79">
        <f t="shared" si="13"/>
        <v>0.58051057070987466</v>
      </c>
      <c r="J79">
        <f t="shared" si="14"/>
        <v>0.86938190713101782</v>
      </c>
      <c r="K79">
        <f t="shared" si="15"/>
        <v>0.49358727377459322</v>
      </c>
      <c r="L79">
        <f t="shared" si="16"/>
        <v>2.3381674897215043E-2</v>
      </c>
      <c r="M79">
        <f t="shared" si="17"/>
        <v>1.3397933865875153</v>
      </c>
      <c r="N79">
        <f t="shared" si="18"/>
        <v>29.585529422784845</v>
      </c>
      <c r="O79" t="str" cm="1">
        <f t="array" ref="O79">IF($M79="","",IFERROR(IF(INDEX(geo_grid!$B$2:$JU$231,INT(($M79+40)/0.5)+1,INT(($N79+30)/0.5)+1)="","",INDEX(geo_grid!$B$2:$JU$231,INT(($M79+40)/0.5)+1,INT(($N79+30)/0.5)+1)),"OUTSIDE GRID"))</f>
        <v>COD</v>
      </c>
      <c r="Q79" t="str">
        <f>IF(countries!$D79="","",countries!$D79)</f>
        <v>BGR</v>
      </c>
      <c r="R79" t="str">
        <f>IF($Q79="","",countries!$B79)</f>
        <v>Bulgaria</v>
      </c>
      <c r="S79">
        <f>IF($Q79="","",IF(OR($Q79='Feasibility IQ'!$AA$9,$Q79='Feasibility IQ'!$AA$10),0,COUNTIF($O$2:$O$152,$Q79)))</f>
        <v>0</v>
      </c>
      <c r="T79" t="str">
        <f t="shared" si="19"/>
        <v/>
      </c>
      <c r="U79" t="str" cm="1">
        <f t="array" ref="U79">IF($S79=0,"",SUMPRODUCT(($S$2:$S$143&gt;0)*($T$2:$T$143&lt;$T79))+1)</f>
        <v/>
      </c>
    </row>
    <row r="80" spans="1:21" x14ac:dyDescent="0.3">
      <c r="A80">
        <f t="shared" si="10"/>
        <v>78</v>
      </c>
      <c r="B80">
        <f t="shared" si="11"/>
        <v>0.52</v>
      </c>
      <c r="C80">
        <f>'Feasibility IQ'!$AA$4</f>
        <v>30.111529999999998</v>
      </c>
      <c r="D80">
        <f>'Feasibility IQ'!$AA$5</f>
        <v>31.39669</v>
      </c>
      <c r="E80">
        <f>'Feasibility IQ'!$AA$6</f>
        <v>-25.938960000000002</v>
      </c>
      <c r="F80">
        <f>'Feasibility IQ'!$AA$7</f>
        <v>27.926639999999999</v>
      </c>
      <c r="G80">
        <f>'Feasibility IQ'!$AA$8</f>
        <v>0.97998393122619054</v>
      </c>
      <c r="H80">
        <f t="shared" si="12"/>
        <v>0.54574632276889568</v>
      </c>
      <c r="I80">
        <f t="shared" si="13"/>
        <v>0.58739026861845711</v>
      </c>
      <c r="J80">
        <f t="shared" si="14"/>
        <v>0.86967890216048294</v>
      </c>
      <c r="K80">
        <f t="shared" si="15"/>
        <v>0.49332984670223901</v>
      </c>
      <c r="L80">
        <f t="shared" si="16"/>
        <v>1.6860293285769823E-2</v>
      </c>
      <c r="M80">
        <f t="shared" si="17"/>
        <v>0.96606942099130133</v>
      </c>
      <c r="N80">
        <f t="shared" si="18"/>
        <v>29.564298507449539</v>
      </c>
      <c r="O80" t="str" cm="1">
        <f t="array" ref="O80">IF($M80="","",IFERROR(IF(INDEX(geo_grid!$B$2:$JU$231,INT(($M80+40)/0.5)+1,INT(($N80+30)/0.5)+1)="","",INDEX(geo_grid!$B$2:$JU$231,INT(($M80+40)/0.5)+1,INT(($N80+30)/0.5)+1)),"OUTSIDE GRID"))</f>
        <v>COD</v>
      </c>
      <c r="Q80" t="str">
        <f>IF(countries!$D80="","",countries!$D80)</f>
        <v>BIH</v>
      </c>
      <c r="R80" t="str">
        <f>IF($Q80="","",countries!$B80)</f>
        <v>Bosnia and Herzegovina</v>
      </c>
      <c r="S80">
        <f>IF($Q80="","",IF(OR($Q80='Feasibility IQ'!$AA$9,$Q80='Feasibility IQ'!$AA$10),0,COUNTIF($O$2:$O$152,$Q80)))</f>
        <v>0</v>
      </c>
      <c r="T80" t="str">
        <f t="shared" si="19"/>
        <v/>
      </c>
      <c r="U80" t="str" cm="1">
        <f t="array" ref="U80">IF($S80=0,"",SUMPRODUCT(($S$2:$S$143&gt;0)*($T$2:$T$143&lt;$T80))+1)</f>
        <v/>
      </c>
    </row>
    <row r="81" spans="1:21" x14ac:dyDescent="0.3">
      <c r="A81">
        <f t="shared" si="10"/>
        <v>79</v>
      </c>
      <c r="B81">
        <f t="shared" si="11"/>
        <v>0.52666666666666662</v>
      </c>
      <c r="C81">
        <f>'Feasibility IQ'!$AA$4</f>
        <v>30.111529999999998</v>
      </c>
      <c r="D81">
        <f>'Feasibility IQ'!$AA$5</f>
        <v>31.39669</v>
      </c>
      <c r="E81">
        <f>'Feasibility IQ'!$AA$6</f>
        <v>-25.938960000000002</v>
      </c>
      <c r="F81">
        <f>'Feasibility IQ'!$AA$7</f>
        <v>27.926639999999999</v>
      </c>
      <c r="G81">
        <f>'Feasibility IQ'!$AA$8</f>
        <v>0.97998393122619054</v>
      </c>
      <c r="H81">
        <f t="shared" si="12"/>
        <v>0.53872239889295948</v>
      </c>
      <c r="I81">
        <f t="shared" si="13"/>
        <v>0.59424489501113276</v>
      </c>
      <c r="J81">
        <f t="shared" si="14"/>
        <v>0.86993877677853848</v>
      </c>
      <c r="K81">
        <f t="shared" si="15"/>
        <v>0.49305136288488999</v>
      </c>
      <c r="L81">
        <f t="shared" si="16"/>
        <v>1.0338192028232607E-2</v>
      </c>
      <c r="M81">
        <f t="shared" si="17"/>
        <v>0.59234532280146235</v>
      </c>
      <c r="N81">
        <f t="shared" si="18"/>
        <v>29.543072262065529</v>
      </c>
      <c r="O81" t="str" cm="1">
        <f t="array" ref="O81">IF($M81="","",IFERROR(IF(INDEX(geo_grid!$B$2:$JU$231,INT(($M81+40)/0.5)+1,INT(($N81+30)/0.5)+1)="","",INDEX(geo_grid!$B$2:$JU$231,INT(($M81+40)/0.5)+1,INT(($N81+30)/0.5)+1)),"OUTSIDE GRID"))</f>
        <v>COD</v>
      </c>
      <c r="Q81" t="str">
        <f>IF(countries!$D81="","",countries!$D81)</f>
        <v>BLR</v>
      </c>
      <c r="R81" t="str">
        <f>IF($Q81="","",countries!$B81)</f>
        <v>Belarus</v>
      </c>
      <c r="S81">
        <f>IF($Q81="","",IF(OR($Q81='Feasibility IQ'!$AA$9,$Q81='Feasibility IQ'!$AA$10),0,COUNTIF($O$2:$O$152,$Q81)))</f>
        <v>0</v>
      </c>
      <c r="T81" t="str">
        <f t="shared" si="19"/>
        <v/>
      </c>
      <c r="U81" t="str" cm="1">
        <f t="array" ref="U81">IF($S81=0,"",SUMPRODUCT(($S$2:$S$143&gt;0)*($T$2:$T$143&lt;$T81))+1)</f>
        <v/>
      </c>
    </row>
    <row r="82" spans="1:21" x14ac:dyDescent="0.3">
      <c r="A82">
        <f t="shared" si="10"/>
        <v>80</v>
      </c>
      <c r="B82">
        <f t="shared" si="11"/>
        <v>0.53333333333333333</v>
      </c>
      <c r="C82">
        <f>'Feasibility IQ'!$AA$4</f>
        <v>30.111529999999998</v>
      </c>
      <c r="D82">
        <f>'Feasibility IQ'!$AA$5</f>
        <v>31.39669</v>
      </c>
      <c r="E82">
        <f>'Feasibility IQ'!$AA$6</f>
        <v>-25.938960000000002</v>
      </c>
      <c r="F82">
        <f>'Feasibility IQ'!$AA$7</f>
        <v>27.926639999999999</v>
      </c>
      <c r="G82">
        <f>'Feasibility IQ'!$AA$8</f>
        <v>0.97998393122619054</v>
      </c>
      <c r="H82">
        <f t="shared" si="12"/>
        <v>0.53167548078658611</v>
      </c>
      <c r="I82">
        <f t="shared" si="13"/>
        <v>0.60107415731261793</v>
      </c>
      <c r="J82">
        <f t="shared" si="14"/>
        <v>0.87016151989298363</v>
      </c>
      <c r="K82">
        <f t="shared" si="15"/>
        <v>0.4927518342090409</v>
      </c>
      <c r="L82">
        <f t="shared" si="16"/>
        <v>3.8156495067526164E-3</v>
      </c>
      <c r="M82">
        <f t="shared" si="17"/>
        <v>0.21862114333109273</v>
      </c>
      <c r="N82">
        <f t="shared" si="18"/>
        <v>29.521848879384969</v>
      </c>
      <c r="O82" t="str" cm="1">
        <f t="array" ref="O82">IF($M82="","",IFERROR(IF(INDEX(geo_grid!$B$2:$JU$231,INT(($M82+40)/0.5)+1,INT(($N82+30)/0.5)+1)="","",INDEX(geo_grid!$B$2:$JU$231,INT(($M82+40)/0.5)+1,INT(($N82+30)/0.5)+1)),"OUTSIDE GRID"))</f>
        <v>COD</v>
      </c>
      <c r="Q82" t="str">
        <f>IF(countries!$D82="","",countries!$D82)</f>
        <v>BTN</v>
      </c>
      <c r="R82" t="str">
        <f>IF($Q82="","",countries!$B82)</f>
        <v>Bhutan</v>
      </c>
      <c r="S82">
        <f>IF($Q82="","",IF(OR($Q82='Feasibility IQ'!$AA$9,$Q82='Feasibility IQ'!$AA$10),0,COUNTIF($O$2:$O$152,$Q82)))</f>
        <v>0</v>
      </c>
      <c r="T82" t="str">
        <f t="shared" si="19"/>
        <v/>
      </c>
      <c r="U82" t="str" cm="1">
        <f t="array" ref="U82">IF($S82=0,"",SUMPRODUCT(($S$2:$S$143&gt;0)*($T$2:$T$143&lt;$T82))+1)</f>
        <v/>
      </c>
    </row>
    <row r="83" spans="1:21" x14ac:dyDescent="0.3">
      <c r="A83">
        <f t="shared" si="10"/>
        <v>81</v>
      </c>
      <c r="B83">
        <f t="shared" si="11"/>
        <v>0.54</v>
      </c>
      <c r="C83">
        <f>'Feasibility IQ'!$AA$4</f>
        <v>30.111529999999998</v>
      </c>
      <c r="D83">
        <f>'Feasibility IQ'!$AA$5</f>
        <v>31.39669</v>
      </c>
      <c r="E83">
        <f>'Feasibility IQ'!$AA$6</f>
        <v>-25.938960000000002</v>
      </c>
      <c r="F83">
        <f>'Feasibility IQ'!$AA$7</f>
        <v>27.926639999999999</v>
      </c>
      <c r="G83">
        <f>'Feasibility IQ'!$AA$8</f>
        <v>0.97998393122619054</v>
      </c>
      <c r="H83">
        <f t="shared" si="12"/>
        <v>0.52460586923262609</v>
      </c>
      <c r="I83">
        <f t="shared" si="13"/>
        <v>0.60787776403024119</v>
      </c>
      <c r="J83">
        <f t="shared" si="14"/>
        <v>0.870347121996498</v>
      </c>
      <c r="K83">
        <f t="shared" si="15"/>
        <v>0.49243127345944204</v>
      </c>
      <c r="L83">
        <f t="shared" si="16"/>
        <v>-2.7070558776865483E-3</v>
      </c>
      <c r="M83">
        <f t="shared" si="17"/>
        <v>-0.15510306613437713</v>
      </c>
      <c r="N83">
        <f t="shared" si="18"/>
        <v>29.500626553133028</v>
      </c>
      <c r="O83" t="str" cm="1">
        <f t="array" ref="O83">IF($M83="","",IFERROR(IF(INDEX(geo_grid!$B$2:$JU$231,INT(($M83+40)/0.5)+1,INT(($N83+30)/0.5)+1)="","",INDEX(geo_grid!$B$2:$JU$231,INT(($M83+40)/0.5)+1,INT(($N83+30)/0.5)+1)),"OUTSIDE GRID"))</f>
        <v>COD</v>
      </c>
      <c r="Q83" t="str">
        <f>IF(countries!$D83="","",countries!$D83)</f>
        <v>CHE</v>
      </c>
      <c r="R83" t="str">
        <f>IF($Q83="","",countries!$B83)</f>
        <v>Switzerland</v>
      </c>
      <c r="S83">
        <f>IF($Q83="","",IF(OR($Q83='Feasibility IQ'!$AA$9,$Q83='Feasibility IQ'!$AA$10),0,COUNTIF($O$2:$O$152,$Q83)))</f>
        <v>0</v>
      </c>
      <c r="T83" t="str">
        <f t="shared" si="19"/>
        <v/>
      </c>
      <c r="U83" t="str" cm="1">
        <f t="array" ref="U83">IF($S83=0,"",SUMPRODUCT(($S$2:$S$143&gt;0)*($T$2:$T$143&lt;$T83))+1)</f>
        <v/>
      </c>
    </row>
    <row r="84" spans="1:21" x14ac:dyDescent="0.3">
      <c r="A84">
        <f t="shared" si="10"/>
        <v>82</v>
      </c>
      <c r="B84">
        <f t="shared" si="11"/>
        <v>0.54666666666666663</v>
      </c>
      <c r="C84">
        <f>'Feasibility IQ'!$AA$4</f>
        <v>30.111529999999998</v>
      </c>
      <c r="D84">
        <f>'Feasibility IQ'!$AA$5</f>
        <v>31.39669</v>
      </c>
      <c r="E84">
        <f>'Feasibility IQ'!$AA$6</f>
        <v>-25.938960000000002</v>
      </c>
      <c r="F84">
        <f>'Feasibility IQ'!$AA$7</f>
        <v>27.926639999999999</v>
      </c>
      <c r="G84">
        <f>'Feasibility IQ'!$AA$8</f>
        <v>0.97998393122619054</v>
      </c>
      <c r="H84">
        <f t="shared" si="12"/>
        <v>0.51751386598255233</v>
      </c>
      <c r="I84">
        <f t="shared" si="13"/>
        <v>0.61465542476638602</v>
      </c>
      <c r="J84">
        <f t="shared" si="14"/>
        <v>0.87049557516704712</v>
      </c>
      <c r="K84">
        <f t="shared" si="15"/>
        <v>0.49208969431855376</v>
      </c>
      <c r="L84">
        <f t="shared" si="16"/>
        <v>-9.229645717149626E-3</v>
      </c>
      <c r="M84">
        <f t="shared" si="17"/>
        <v>-0.52882725431971145</v>
      </c>
      <c r="N84">
        <f t="shared" si="18"/>
        <v>29.47940347739392</v>
      </c>
      <c r="O84" t="str" cm="1">
        <f t="array" ref="O84">IF($M84="","",IFERROR(IF(INDEX(geo_grid!$B$2:$JU$231,INT(($M84+40)/0.5)+1,INT(($N84+30)/0.5)+1)="","",INDEX(geo_grid!$B$2:$JU$231,INT(($M84+40)/0.5)+1,INT(($N84+30)/0.5)+1)),"OUTSIDE GRID"))</f>
        <v>COD</v>
      </c>
      <c r="Q84" t="str">
        <f>IF(countries!$D84="","",countries!$D84)</f>
        <v>CHN</v>
      </c>
      <c r="R84" t="str">
        <f>IF($Q84="","",countries!$B84)</f>
        <v>China</v>
      </c>
      <c r="S84">
        <f>IF($Q84="","",IF(OR($Q84='Feasibility IQ'!$AA$9,$Q84='Feasibility IQ'!$AA$10),0,COUNTIF($O$2:$O$152,$Q84)))</f>
        <v>0</v>
      </c>
      <c r="T84" t="str">
        <f t="shared" si="19"/>
        <v/>
      </c>
      <c r="U84" t="str" cm="1">
        <f t="array" ref="U84">IF($S84=0,"",SUMPRODUCT(($S$2:$S$143&gt;0)*($T$2:$T$143&lt;$T84))+1)</f>
        <v/>
      </c>
    </row>
    <row r="85" spans="1:21" x14ac:dyDescent="0.3">
      <c r="A85">
        <f t="shared" si="10"/>
        <v>83</v>
      </c>
      <c r="B85">
        <f t="shared" si="11"/>
        <v>0.55333333333333334</v>
      </c>
      <c r="C85">
        <f>'Feasibility IQ'!$AA$4</f>
        <v>30.111529999999998</v>
      </c>
      <c r="D85">
        <f>'Feasibility IQ'!$AA$5</f>
        <v>31.39669</v>
      </c>
      <c r="E85">
        <f>'Feasibility IQ'!$AA$6</f>
        <v>-25.938960000000002</v>
      </c>
      <c r="F85">
        <f>'Feasibility IQ'!$AA$7</f>
        <v>27.926639999999999</v>
      </c>
      <c r="G85">
        <f>'Feasibility IQ'!$AA$8</f>
        <v>0.97998393122619054</v>
      </c>
      <c r="H85">
        <f t="shared" si="12"/>
        <v>0.51039977374357937</v>
      </c>
      <c r="I85">
        <f t="shared" si="13"/>
        <v>0.62140685023088527</v>
      </c>
      <c r="J85">
        <f t="shared" si="14"/>
        <v>0.87060687306821971</v>
      </c>
      <c r="K85">
        <f t="shared" si="15"/>
        <v>0.4917271113659617</v>
      </c>
      <c r="L85">
        <f t="shared" si="16"/>
        <v>-1.575184160863341E-2</v>
      </c>
      <c r="M85">
        <f t="shared" si="17"/>
        <v>-0.90255136994244878</v>
      </c>
      <c r="N85">
        <f t="shared" si="18"/>
        <v>29.458177845997156</v>
      </c>
      <c r="O85" t="str" cm="1">
        <f t="array" ref="O85">IF($M85="","",IFERROR(IF(INDEX(geo_grid!$B$2:$JU$231,INT(($M85+40)/0.5)+1,INT(($N85+30)/0.5)+1)="","",INDEX(geo_grid!$B$2:$JU$231,INT(($M85+40)/0.5)+1,INT(($N85+30)/0.5)+1)),"OUTSIDE GRID"))</f>
        <v>COD</v>
      </c>
      <c r="Q85" t="str">
        <f>IF(countries!$D85="","",countries!$D85)</f>
        <v>CYN</v>
      </c>
      <c r="R85" t="str">
        <f>IF($Q85="","",countries!$B85)</f>
        <v>Northern Cyprus</v>
      </c>
      <c r="S85">
        <f>IF($Q85="","",IF(OR($Q85='Feasibility IQ'!$AA$9,$Q85='Feasibility IQ'!$AA$10),0,COUNTIF($O$2:$O$152,$Q85)))</f>
        <v>0</v>
      </c>
      <c r="T85" t="str">
        <f t="shared" si="19"/>
        <v/>
      </c>
      <c r="U85" t="str" cm="1">
        <f t="array" ref="U85">IF($S85=0,"",SUMPRODUCT(($S$2:$S$143&gt;0)*($T$2:$T$143&lt;$T85))+1)</f>
        <v/>
      </c>
    </row>
    <row r="86" spans="1:21" x14ac:dyDescent="0.3">
      <c r="A86">
        <f t="shared" si="10"/>
        <v>84</v>
      </c>
      <c r="B86">
        <f t="shared" si="11"/>
        <v>0.56000000000000005</v>
      </c>
      <c r="C86">
        <f>'Feasibility IQ'!$AA$4</f>
        <v>30.111529999999998</v>
      </c>
      <c r="D86">
        <f>'Feasibility IQ'!$AA$5</f>
        <v>31.39669</v>
      </c>
      <c r="E86">
        <f>'Feasibility IQ'!$AA$6</f>
        <v>-25.938960000000002</v>
      </c>
      <c r="F86">
        <f>'Feasibility IQ'!$AA$7</f>
        <v>27.926639999999999</v>
      </c>
      <c r="G86">
        <f>'Feasibility IQ'!$AA$8</f>
        <v>0.97998393122619054</v>
      </c>
      <c r="H86">
        <f t="shared" si="12"/>
        <v>0.5032638961657443</v>
      </c>
      <c r="I86">
        <f t="shared" si="13"/>
        <v>0.62813175225336926</v>
      </c>
      <c r="J86">
        <f t="shared" si="14"/>
        <v>0.8706810109494999</v>
      </c>
      <c r="K86">
        <f t="shared" si="15"/>
        <v>0.49134354007775544</v>
      </c>
      <c r="L86">
        <f t="shared" si="16"/>
        <v>-2.2273365165949355E-2</v>
      </c>
      <c r="M86">
        <f t="shared" si="17"/>
        <v>-1.2762753616954239</v>
      </c>
      <c r="N86">
        <f t="shared" si="18"/>
        <v>29.436947851903572</v>
      </c>
      <c r="O86" t="str" cm="1">
        <f t="array" ref="O86">IF($M86="","",IFERROR(IF(INDEX(geo_grid!$B$2:$JU$231,INT(($M86+40)/0.5)+1,INT(($N86+30)/0.5)+1)="","",INDEX(geo_grid!$B$2:$JU$231,INT(($M86+40)/0.5)+1,INT(($N86+30)/0.5)+1)),"OUTSIDE GRID"))</f>
        <v>COD</v>
      </c>
      <c r="Q86" t="str">
        <f>IF(countries!$D86="","",countries!$D86)</f>
        <v>CYP</v>
      </c>
      <c r="R86" t="str">
        <f>IF($Q86="","",countries!$B86)</f>
        <v>Cyprus</v>
      </c>
      <c r="S86">
        <f>IF($Q86="","",IF(OR($Q86='Feasibility IQ'!$AA$9,$Q86='Feasibility IQ'!$AA$10),0,COUNTIF($O$2:$O$152,$Q86)))</f>
        <v>0</v>
      </c>
      <c r="T86" t="str">
        <f t="shared" si="19"/>
        <v/>
      </c>
      <c r="U86" t="str" cm="1">
        <f t="array" ref="U86">IF($S86=0,"",SUMPRODUCT(($S$2:$S$143&gt;0)*($T$2:$T$143&lt;$T86))+1)</f>
        <v/>
      </c>
    </row>
    <row r="87" spans="1:21" x14ac:dyDescent="0.3">
      <c r="A87">
        <f t="shared" si="10"/>
        <v>85</v>
      </c>
      <c r="B87">
        <f t="shared" si="11"/>
        <v>0.56666666666666665</v>
      </c>
      <c r="C87">
        <f>'Feasibility IQ'!$AA$4</f>
        <v>30.111529999999998</v>
      </c>
      <c r="D87">
        <f>'Feasibility IQ'!$AA$5</f>
        <v>31.39669</v>
      </c>
      <c r="E87">
        <f>'Feasibility IQ'!$AA$6</f>
        <v>-25.938960000000002</v>
      </c>
      <c r="F87">
        <f>'Feasibility IQ'!$AA$7</f>
        <v>27.926639999999999</v>
      </c>
      <c r="G87">
        <f>'Feasibility IQ'!$AA$8</f>
        <v>0.97998393122619054</v>
      </c>
      <c r="H87">
        <f t="shared" si="12"/>
        <v>0.49610653782894526</v>
      </c>
      <c r="I87">
        <f t="shared" si="13"/>
        <v>0.63482984379556517</v>
      </c>
      <c r="J87">
        <f t="shared" si="14"/>
        <v>0.87071798564646796</v>
      </c>
      <c r="K87">
        <f t="shared" si="15"/>
        <v>0.49093899682586695</v>
      </c>
      <c r="L87">
        <f t="shared" si="16"/>
        <v>-2.879393803160607E-2</v>
      </c>
      <c r="M87">
        <f t="shared" si="17"/>
        <v>-1.6499991782293073</v>
      </c>
      <c r="N87">
        <f t="shared" si="18"/>
        <v>29.415711686590818</v>
      </c>
      <c r="O87" t="str" cm="1">
        <f t="array" ref="O87">IF($M87="","",IFERROR(IF(INDEX(geo_grid!$B$2:$JU$231,INT(($M87+40)/0.5)+1,INT(($N87+30)/0.5)+1)="","",INDEX(geo_grid!$B$2:$JU$231,INT(($M87+40)/0.5)+1,INT(($N87+30)/0.5)+1)),"OUTSIDE GRID"))</f>
        <v>COD</v>
      </c>
      <c r="Q87" t="str">
        <f>IF(countries!$D87="","",countries!$D87)</f>
        <v>CZE</v>
      </c>
      <c r="R87" t="str">
        <f>IF($Q87="","",countries!$B87)</f>
        <v>Czechia</v>
      </c>
      <c r="S87">
        <f>IF($Q87="","",IF(OR($Q87='Feasibility IQ'!$AA$9,$Q87='Feasibility IQ'!$AA$10),0,COUNTIF($O$2:$O$152,$Q87)))</f>
        <v>0</v>
      </c>
      <c r="T87" t="str">
        <f t="shared" si="19"/>
        <v/>
      </c>
      <c r="U87" t="str" cm="1">
        <f t="array" ref="U87">IF($S87=0,"",SUMPRODUCT(($S$2:$S$143&gt;0)*($T$2:$T$143&lt;$T87))+1)</f>
        <v/>
      </c>
    </row>
    <row r="88" spans="1:21" x14ac:dyDescent="0.3">
      <c r="A88">
        <f t="shared" si="10"/>
        <v>86</v>
      </c>
      <c r="B88">
        <f t="shared" si="11"/>
        <v>0.57333333333333336</v>
      </c>
      <c r="C88">
        <f>'Feasibility IQ'!$AA$4</f>
        <v>30.111529999999998</v>
      </c>
      <c r="D88">
        <f>'Feasibility IQ'!$AA$5</f>
        <v>31.39669</v>
      </c>
      <c r="E88">
        <f>'Feasibility IQ'!$AA$6</f>
        <v>-25.938960000000002</v>
      </c>
      <c r="F88">
        <f>'Feasibility IQ'!$AA$7</f>
        <v>27.926639999999999</v>
      </c>
      <c r="G88">
        <f>'Feasibility IQ'!$AA$8</f>
        <v>0.97998393122619054</v>
      </c>
      <c r="H88">
        <f t="shared" si="12"/>
        <v>0.48892800422994132</v>
      </c>
      <c r="I88">
        <f t="shared" si="13"/>
        <v>0.64150083896354959</v>
      </c>
      <c r="J88">
        <f t="shared" si="14"/>
        <v>0.87071779558093743</v>
      </c>
      <c r="K88">
        <f t="shared" si="15"/>
        <v>0.49051349887737272</v>
      </c>
      <c r="L88">
        <f t="shared" si="16"/>
        <v>-3.5313281888690679E-2</v>
      </c>
      <c r="M88">
        <f t="shared" si="17"/>
        <v>-2.0237227681351184</v>
      </c>
      <c r="N88">
        <f t="shared" si="18"/>
        <v>29.394467539437684</v>
      </c>
      <c r="O88" t="str" cm="1">
        <f t="array" ref="O88">IF($M88="","",IFERROR(IF(INDEX(geo_grid!$B$2:$JU$231,INT(($M88+40)/0.5)+1,INT(($N88+30)/0.5)+1)="","",INDEX(geo_grid!$B$2:$JU$231,INT(($M88+40)/0.5)+1,INT(($N88+30)/0.5)+1)),"OUTSIDE GRID"))</f>
        <v>RWA</v>
      </c>
      <c r="Q88" t="str">
        <f>IF(countries!$D88="","",countries!$D88)</f>
        <v>DEU</v>
      </c>
      <c r="R88" t="str">
        <f>IF($Q88="","",countries!$B88)</f>
        <v>Germany</v>
      </c>
      <c r="S88">
        <f>IF($Q88="","",IF(OR($Q88='Feasibility IQ'!$AA$9,$Q88='Feasibility IQ'!$AA$10),0,COUNTIF($O$2:$O$152,$Q88)))</f>
        <v>0</v>
      </c>
      <c r="T88" t="str">
        <f t="shared" si="19"/>
        <v/>
      </c>
      <c r="U88" t="str" cm="1">
        <f t="array" ref="U88">IF($S88=0,"",SUMPRODUCT(($S$2:$S$143&gt;0)*($T$2:$T$143&lt;$T88))+1)</f>
        <v/>
      </c>
    </row>
    <row r="89" spans="1:21" x14ac:dyDescent="0.3">
      <c r="A89">
        <f t="shared" si="10"/>
        <v>87</v>
      </c>
      <c r="B89">
        <f t="shared" si="11"/>
        <v>0.57999999999999996</v>
      </c>
      <c r="C89">
        <f>'Feasibility IQ'!$AA$4</f>
        <v>30.111529999999998</v>
      </c>
      <c r="D89">
        <f>'Feasibility IQ'!$AA$5</f>
        <v>31.39669</v>
      </c>
      <c r="E89">
        <f>'Feasibility IQ'!$AA$6</f>
        <v>-25.938960000000002</v>
      </c>
      <c r="F89">
        <f>'Feasibility IQ'!$AA$7</f>
        <v>27.926639999999999</v>
      </c>
      <c r="G89">
        <f>'Feasibility IQ'!$AA$8</f>
        <v>0.97998393122619054</v>
      </c>
      <c r="H89">
        <f t="shared" si="12"/>
        <v>0.4817286017693132</v>
      </c>
      <c r="I89">
        <f t="shared" si="13"/>
        <v>0.64814445301995027</v>
      </c>
      <c r="J89">
        <f t="shared" si="14"/>
        <v>0.87068044076102058</v>
      </c>
      <c r="K89">
        <f t="shared" si="15"/>
        <v>0.49006706439375591</v>
      </c>
      <c r="L89">
        <f t="shared" si="16"/>
        <v>-4.1831118472747508E-2</v>
      </c>
      <c r="M89">
        <f t="shared" si="17"/>
        <v>-2.3974460799266439</v>
      </c>
      <c r="N89">
        <f t="shared" si="18"/>
        <v>29.373213597107</v>
      </c>
      <c r="O89" t="str" cm="1">
        <f t="array" ref="O89">IF($M89="","",IFERROR(IF(INDEX(geo_grid!$B$2:$JU$231,INT(($M89+40)/0.5)+1,INT(($N89+30)/0.5)+1)="","",INDEX(geo_grid!$B$2:$JU$231,INT(($M89+40)/0.5)+1,INT(($N89+30)/0.5)+1)),"OUTSIDE GRID"))</f>
        <v>RWA</v>
      </c>
      <c r="Q89" t="str">
        <f>IF(countries!$D89="","",countries!$D89)</f>
        <v>DNK</v>
      </c>
      <c r="R89" t="str">
        <f>IF($Q89="","",countries!$B89)</f>
        <v>Denmark</v>
      </c>
      <c r="S89">
        <f>IF($Q89="","",IF(OR($Q89='Feasibility IQ'!$AA$9,$Q89='Feasibility IQ'!$AA$10),0,COUNTIF($O$2:$O$152,$Q89)))</f>
        <v>0</v>
      </c>
      <c r="T89" t="str">
        <f t="shared" si="19"/>
        <v/>
      </c>
      <c r="U89" t="str" cm="1">
        <f t="array" ref="U89">IF($S89=0,"",SUMPRODUCT(($S$2:$S$143&gt;0)*($T$2:$T$143&lt;$T89))+1)</f>
        <v/>
      </c>
    </row>
    <row r="90" spans="1:21" x14ac:dyDescent="0.3">
      <c r="A90">
        <f t="shared" si="10"/>
        <v>88</v>
      </c>
      <c r="B90">
        <f t="shared" si="11"/>
        <v>0.58666666666666667</v>
      </c>
      <c r="C90">
        <f>'Feasibility IQ'!$AA$4</f>
        <v>30.111529999999998</v>
      </c>
      <c r="D90">
        <f>'Feasibility IQ'!$AA$5</f>
        <v>31.39669</v>
      </c>
      <c r="E90">
        <f>'Feasibility IQ'!$AA$6</f>
        <v>-25.938960000000002</v>
      </c>
      <c r="F90">
        <f>'Feasibility IQ'!$AA$7</f>
        <v>27.926639999999999</v>
      </c>
      <c r="G90">
        <f>'Feasibility IQ'!$AA$8</f>
        <v>0.97998393122619054</v>
      </c>
      <c r="H90">
        <f t="shared" si="12"/>
        <v>0.47450863773838453</v>
      </c>
      <c r="I90">
        <f t="shared" si="13"/>
        <v>0.65476040239610023</v>
      </c>
      <c r="J90">
        <f t="shared" si="14"/>
        <v>0.87060592278112892</v>
      </c>
      <c r="K90">
        <f t="shared" si="15"/>
        <v>0.48959971243013184</v>
      </c>
      <c r="L90">
        <f t="shared" si="16"/>
        <v>-4.8347169583656119E-2</v>
      </c>
      <c r="M90">
        <f t="shared" si="17"/>
        <v>-2.771169062022889</v>
      </c>
      <c r="N90">
        <f t="shared" si="18"/>
        <v>29.351948042926495</v>
      </c>
      <c r="O90" t="str" cm="1">
        <f t="array" ref="O90">IF($M90="","",IFERROR(IF(INDEX(geo_grid!$B$2:$JU$231,INT(($M90+40)/0.5)+1,INT(($N90+30)/0.5)+1)="","",INDEX(geo_grid!$B$2:$JU$231,INT(($M90+40)/0.5)+1,INT(($N90+30)/0.5)+1)),"OUTSIDE GRID"))</f>
        <v>RWA</v>
      </c>
      <c r="Q90" t="str">
        <f>IF(countries!$D90="","",countries!$D90)</f>
        <v>ESP</v>
      </c>
      <c r="R90" t="str">
        <f>IF($Q90="","",countries!$B90)</f>
        <v>Spain</v>
      </c>
      <c r="S90">
        <f>IF($Q90="","",IF(OR($Q90='Feasibility IQ'!$AA$9,$Q90='Feasibility IQ'!$AA$10),0,COUNTIF($O$2:$O$152,$Q90)))</f>
        <v>0</v>
      </c>
      <c r="T90" t="str">
        <f t="shared" si="19"/>
        <v/>
      </c>
      <c r="U90" t="str" cm="1">
        <f t="array" ref="U90">IF($S90=0,"",SUMPRODUCT(($S$2:$S$143&gt;0)*($T$2:$T$143&lt;$T90))+1)</f>
        <v/>
      </c>
    </row>
    <row r="91" spans="1:21" x14ac:dyDescent="0.3">
      <c r="A91">
        <f t="shared" si="10"/>
        <v>89</v>
      </c>
      <c r="B91">
        <f t="shared" si="11"/>
        <v>0.59333333333333338</v>
      </c>
      <c r="C91">
        <f>'Feasibility IQ'!$AA$4</f>
        <v>30.111529999999998</v>
      </c>
      <c r="D91">
        <f>'Feasibility IQ'!$AA$5</f>
        <v>31.39669</v>
      </c>
      <c r="E91">
        <f>'Feasibility IQ'!$AA$6</f>
        <v>-25.938960000000002</v>
      </c>
      <c r="F91">
        <f>'Feasibility IQ'!$AA$7</f>
        <v>27.926639999999999</v>
      </c>
      <c r="G91">
        <f>'Feasibility IQ'!$AA$8</f>
        <v>0.97998393122619054</v>
      </c>
      <c r="H91">
        <f t="shared" si="12"/>
        <v>0.46726842030610677</v>
      </c>
      <c r="I91">
        <f t="shared" si="13"/>
        <v>0.66134840470414114</v>
      </c>
      <c r="J91">
        <f t="shared" si="14"/>
        <v>0.87049424482190574</v>
      </c>
      <c r="K91">
        <f t="shared" si="15"/>
        <v>0.4891114629344343</v>
      </c>
      <c r="L91">
        <f t="shared" si="16"/>
        <v>-5.4861157097504998E-2</v>
      </c>
      <c r="M91">
        <f t="shared" si="17"/>
        <v>-3.1448916627303682</v>
      </c>
      <c r="N91">
        <f t="shared" si="18"/>
        <v>29.3306690562673</v>
      </c>
      <c r="O91" t="str" cm="1">
        <f t="array" ref="O91">IF($M91="","",IFERROR(IF(INDEX(geo_grid!$B$2:$JU$231,INT(($M91+40)/0.5)+1,INT(($N91+30)/0.5)+1)="","",INDEX(geo_grid!$B$2:$JU$231,INT(($M91+40)/0.5)+1,INT(($N91+30)/0.5)+1)),"OUTSIDE GRID"))</f>
        <v>COD</v>
      </c>
      <c r="Q91" t="str">
        <f>IF(countries!$D91="","",countries!$D91)</f>
        <v>EST</v>
      </c>
      <c r="R91" t="str">
        <f>IF($Q91="","",countries!$B91)</f>
        <v>Estonia</v>
      </c>
      <c r="S91">
        <f>IF($Q91="","",IF(OR($Q91='Feasibility IQ'!$AA$9,$Q91='Feasibility IQ'!$AA$10),0,COUNTIF($O$2:$O$152,$Q91)))</f>
        <v>0</v>
      </c>
      <c r="T91" t="str">
        <f t="shared" si="19"/>
        <v/>
      </c>
      <c r="U91" t="str" cm="1">
        <f t="array" ref="U91">IF($S91=0,"",SUMPRODUCT(($S$2:$S$143&gt;0)*($T$2:$T$143&lt;$T91))+1)</f>
        <v/>
      </c>
    </row>
    <row r="92" spans="1:21" x14ac:dyDescent="0.3">
      <c r="A92">
        <f t="shared" si="10"/>
        <v>90</v>
      </c>
      <c r="B92">
        <f t="shared" si="11"/>
        <v>0.6</v>
      </c>
      <c r="C92">
        <f>'Feasibility IQ'!$AA$4</f>
        <v>30.111529999999998</v>
      </c>
      <c r="D92">
        <f>'Feasibility IQ'!$AA$5</f>
        <v>31.39669</v>
      </c>
      <c r="E92">
        <f>'Feasibility IQ'!$AA$6</f>
        <v>-25.938960000000002</v>
      </c>
      <c r="F92">
        <f>'Feasibility IQ'!$AA$7</f>
        <v>27.926639999999999</v>
      </c>
      <c r="G92">
        <f>'Feasibility IQ'!$AA$8</f>
        <v>0.97998393122619054</v>
      </c>
      <c r="H92">
        <f t="shared" si="12"/>
        <v>0.46000825850590493</v>
      </c>
      <c r="I92">
        <f t="shared" si="13"/>
        <v>0.66790817874907593</v>
      </c>
      <c r="J92">
        <f t="shared" si="14"/>
        <v>0.87034541165008938</v>
      </c>
      <c r="K92">
        <f t="shared" si="15"/>
        <v>0.48860233674656428</v>
      </c>
      <c r="L92">
        <f t="shared" si="16"/>
        <v>-6.1372802978462759E-2</v>
      </c>
      <c r="M92">
        <f t="shared" si="17"/>
        <v>-3.5186138302253598</v>
      </c>
      <c r="N92">
        <f t="shared" si="18"/>
        <v>29.309374811919554</v>
      </c>
      <c r="O92" t="str" cm="1">
        <f t="array" ref="O92">IF($M92="","",IFERROR(IF(INDEX(geo_grid!$B$2:$JU$231,INT(($M92+40)/0.5)+1,INT(($N92+30)/0.5)+1)="","",INDEX(geo_grid!$B$2:$JU$231,INT(($M92+40)/0.5)+1,INT(($N92+30)/0.5)+1)),"OUTSIDE GRID"))</f>
        <v>COD</v>
      </c>
      <c r="Q92" t="str">
        <f>IF(countries!$D92="","",countries!$D92)</f>
        <v>FIN</v>
      </c>
      <c r="R92" t="str">
        <f>IF($Q92="","",countries!$B92)</f>
        <v>Finland</v>
      </c>
      <c r="S92">
        <f>IF($Q92="","",IF(OR($Q92='Feasibility IQ'!$AA$9,$Q92='Feasibility IQ'!$AA$10),0,COUNTIF($O$2:$O$152,$Q92)))</f>
        <v>0</v>
      </c>
      <c r="T92" t="str">
        <f t="shared" si="19"/>
        <v/>
      </c>
      <c r="U92" t="str" cm="1">
        <f t="array" ref="U92">IF($S92=0,"",SUMPRODUCT(($S$2:$S$143&gt;0)*($T$2:$T$143&lt;$T92))+1)</f>
        <v/>
      </c>
    </row>
    <row r="93" spans="1:21" x14ac:dyDescent="0.3">
      <c r="A93">
        <f t="shared" si="10"/>
        <v>91</v>
      </c>
      <c r="B93">
        <f t="shared" si="11"/>
        <v>0.60666666666666669</v>
      </c>
      <c r="C93">
        <f>'Feasibility IQ'!$AA$4</f>
        <v>30.111529999999998</v>
      </c>
      <c r="D93">
        <f>'Feasibility IQ'!$AA$5</f>
        <v>31.39669</v>
      </c>
      <c r="E93">
        <f>'Feasibility IQ'!$AA$6</f>
        <v>-25.938960000000002</v>
      </c>
      <c r="F93">
        <f>'Feasibility IQ'!$AA$7</f>
        <v>27.926639999999999</v>
      </c>
      <c r="G93">
        <f>'Feasibility IQ'!$AA$8</f>
        <v>0.97998393122619054</v>
      </c>
      <c r="H93">
        <f t="shared" si="12"/>
        <v>0.45272846222248708</v>
      </c>
      <c r="I93">
        <f t="shared" si="13"/>
        <v>0.6744394445407722</v>
      </c>
      <c r="J93">
        <f t="shared" si="14"/>
        <v>0.87015942961830994</v>
      </c>
      <c r="K93">
        <f t="shared" si="15"/>
        <v>0.48807235559750017</v>
      </c>
      <c r="L93">
        <f t="shared" si="16"/>
        <v>-6.7881829290646234E-2</v>
      </c>
      <c r="M93">
        <f t="shared" si="17"/>
        <v>-3.8923355125361034</v>
      </c>
      <c r="N93">
        <f t="shared" si="18"/>
        <v>29.288063479464704</v>
      </c>
      <c r="O93" t="str" cm="1">
        <f t="array" ref="O93">IF($M93="","",IFERROR(IF(INDEX(geo_grid!$B$2:$JU$231,INT(($M93+40)/0.5)+1,INT(($N93+30)/0.5)+1)="","",INDEX(geo_grid!$B$2:$JU$231,INT(($M93+40)/0.5)+1,INT(($N93+30)/0.5)+1)),"OUTSIDE GRID"))</f>
        <v>COD</v>
      </c>
      <c r="Q93" t="str">
        <f>IF(countries!$D93="","",countries!$D93)</f>
        <v>FRA</v>
      </c>
      <c r="R93" t="str">
        <f>IF($Q93="","",countries!$B93)</f>
        <v>France</v>
      </c>
      <c r="S93">
        <f>IF($Q93="","",IF(OR($Q93='Feasibility IQ'!$AA$9,$Q93='Feasibility IQ'!$AA$10),0,COUNTIF($O$2:$O$152,$Q93)))</f>
        <v>0</v>
      </c>
      <c r="T93" t="str">
        <f t="shared" si="19"/>
        <v/>
      </c>
      <c r="U93" t="str" cm="1">
        <f t="array" ref="U93">IF($S93=0,"",SUMPRODUCT(($S$2:$S$143&gt;0)*($T$2:$T$143&lt;$T93))+1)</f>
        <v/>
      </c>
    </row>
    <row r="94" spans="1:21" x14ac:dyDescent="0.3">
      <c r="A94">
        <f t="shared" si="10"/>
        <v>92</v>
      </c>
      <c r="B94">
        <f t="shared" si="11"/>
        <v>0.61333333333333329</v>
      </c>
      <c r="C94">
        <f>'Feasibility IQ'!$AA$4</f>
        <v>30.111529999999998</v>
      </c>
      <c r="D94">
        <f>'Feasibility IQ'!$AA$5</f>
        <v>31.39669</v>
      </c>
      <c r="E94">
        <f>'Feasibility IQ'!$AA$6</f>
        <v>-25.938960000000002</v>
      </c>
      <c r="F94">
        <f>'Feasibility IQ'!$AA$7</f>
        <v>27.926639999999999</v>
      </c>
      <c r="G94">
        <f>'Feasibility IQ'!$AA$8</f>
        <v>0.97998393122619054</v>
      </c>
      <c r="H94">
        <f t="shared" si="12"/>
        <v>0.44542934217861851</v>
      </c>
      <c r="I94">
        <f t="shared" si="13"/>
        <v>0.68094192330591163</v>
      </c>
      <c r="J94">
        <f t="shared" si="14"/>
        <v>0.86993630666481891</v>
      </c>
      <c r="K94">
        <f t="shared" si="15"/>
        <v>0.48752154210837068</v>
      </c>
      <c r="L94">
        <f t="shared" si="16"/>
        <v>-7.4387958209982286E-2</v>
      </c>
      <c r="M94">
        <f t="shared" si="17"/>
        <v>-4.2660566575247731</v>
      </c>
      <c r="N94">
        <f t="shared" si="18"/>
        <v>29.266733222644064</v>
      </c>
      <c r="O94" t="str" cm="1">
        <f t="array" ref="O94">IF($M94="","",IFERROR(IF(INDEX(geo_grid!$B$2:$JU$231,INT(($M94+40)/0.5)+1,INT(($N94+30)/0.5)+1)="","",INDEX(geo_grid!$B$2:$JU$231,INT(($M94+40)/0.5)+1,INT(($N94+30)/0.5)+1)),"OUTSIDE GRID"))</f>
        <v>COD</v>
      </c>
      <c r="Q94" t="str">
        <f>IF(countries!$D94="","",countries!$D94)</f>
        <v>GBR</v>
      </c>
      <c r="R94" t="str">
        <f>IF($Q94="","",countries!$B94)</f>
        <v>United Kingdom</v>
      </c>
      <c r="S94">
        <f>IF($Q94="","",IF(OR($Q94='Feasibility IQ'!$AA$9,$Q94='Feasibility IQ'!$AA$10),0,COUNTIF($O$2:$O$152,$Q94)))</f>
        <v>0</v>
      </c>
      <c r="T94" t="str">
        <f t="shared" si="19"/>
        <v/>
      </c>
      <c r="U94" t="str" cm="1">
        <f t="array" ref="U94">IF($S94=0,"",SUMPRODUCT(($S$2:$S$143&gt;0)*($T$2:$T$143&lt;$T94))+1)</f>
        <v/>
      </c>
    </row>
    <row r="95" spans="1:21" x14ac:dyDescent="0.3">
      <c r="A95">
        <f t="shared" si="10"/>
        <v>93</v>
      </c>
      <c r="B95">
        <f t="shared" si="11"/>
        <v>0.62</v>
      </c>
      <c r="C95">
        <f>'Feasibility IQ'!$AA$4</f>
        <v>30.111529999999998</v>
      </c>
      <c r="D95">
        <f>'Feasibility IQ'!$AA$5</f>
        <v>31.39669</v>
      </c>
      <c r="E95">
        <f>'Feasibility IQ'!$AA$6</f>
        <v>-25.938960000000002</v>
      </c>
      <c r="F95">
        <f>'Feasibility IQ'!$AA$7</f>
        <v>27.926639999999999</v>
      </c>
      <c r="G95">
        <f>'Feasibility IQ'!$AA$8</f>
        <v>0.97998393122619054</v>
      </c>
      <c r="H95">
        <f t="shared" si="12"/>
        <v>0.43811120992185759</v>
      </c>
      <c r="I95">
        <f t="shared" si="13"/>
        <v>0.68741533749988992</v>
      </c>
      <c r="J95">
        <f t="shared" si="14"/>
        <v>0.86967605231314904</v>
      </c>
      <c r="K95">
        <f t="shared" si="15"/>
        <v>0.48694991978948893</v>
      </c>
      <c r="L95">
        <f t="shared" si="16"/>
        <v>-8.0890912036067519E-2</v>
      </c>
      <c r="M95">
        <f t="shared" si="17"/>
        <v>-4.6397772128694834</v>
      </c>
      <c r="N95">
        <f t="shared" si="18"/>
        <v>29.245382198723043</v>
      </c>
      <c r="O95" t="str" cm="1">
        <f t="array" ref="O95">IF($M95="","",IFERROR(IF(INDEX(geo_grid!$B$2:$JU$231,INT(($M95+40)/0.5)+1,INT(($N95+30)/0.5)+1)="","",INDEX(geo_grid!$B$2:$JU$231,INT(($M95+40)/0.5)+1,INT(($N95+30)/0.5)+1)),"OUTSIDE GRID"))</f>
        <v>COD</v>
      </c>
      <c r="Q95" t="str">
        <f>IF(countries!$D95="","",countries!$D95)</f>
        <v>GEO</v>
      </c>
      <c r="R95" t="str">
        <f>IF($Q95="","",countries!$B95)</f>
        <v>Georgia</v>
      </c>
      <c r="S95">
        <f>IF($Q95="","",IF(OR($Q95='Feasibility IQ'!$AA$9,$Q95='Feasibility IQ'!$AA$10),0,COUNTIF($O$2:$O$152,$Q95)))</f>
        <v>0</v>
      </c>
      <c r="T95" t="str">
        <f t="shared" si="19"/>
        <v/>
      </c>
      <c r="U95" t="str" cm="1">
        <f t="array" ref="U95">IF($S95=0,"",SUMPRODUCT(($S$2:$S$143&gt;0)*($T$2:$T$143&lt;$T95))+1)</f>
        <v/>
      </c>
    </row>
    <row r="96" spans="1:21" x14ac:dyDescent="0.3">
      <c r="A96">
        <f t="shared" si="10"/>
        <v>94</v>
      </c>
      <c r="B96">
        <f t="shared" si="11"/>
        <v>0.62666666666666671</v>
      </c>
      <c r="C96">
        <f>'Feasibility IQ'!$AA$4</f>
        <v>30.111529999999998</v>
      </c>
      <c r="D96">
        <f>'Feasibility IQ'!$AA$5</f>
        <v>31.39669</v>
      </c>
      <c r="E96">
        <f>'Feasibility IQ'!$AA$6</f>
        <v>-25.938960000000002</v>
      </c>
      <c r="F96">
        <f>'Feasibility IQ'!$AA$7</f>
        <v>27.926639999999999</v>
      </c>
      <c r="G96">
        <f>'Feasibility IQ'!$AA$8</f>
        <v>0.97998393122619054</v>
      </c>
      <c r="H96">
        <f t="shared" si="12"/>
        <v>0.43077437781125966</v>
      </c>
      <c r="I96">
        <f t="shared" si="13"/>
        <v>0.69385941081866243</v>
      </c>
      <c r="J96">
        <f t="shared" si="14"/>
        <v>0.86937867767170918</v>
      </c>
      <c r="K96">
        <f t="shared" si="15"/>
        <v>0.48635751303934904</v>
      </c>
      <c r="L96">
        <f t="shared" si="16"/>
        <v>-8.7390413204020495E-2</v>
      </c>
      <c r="M96">
        <f t="shared" si="17"/>
        <v>-5.0134971260460341</v>
      </c>
      <c r="N96">
        <f t="shared" si="18"/>
        <v>29.224008557850752</v>
      </c>
      <c r="O96" t="str" cm="1">
        <f t="array" ref="O96">IF($M96="","",IFERROR(IF(INDEX(geo_grid!$B$2:$JU$231,INT(($M96+40)/0.5)+1,INT(($N96+30)/0.5)+1)="","",INDEX(geo_grid!$B$2:$JU$231,INT(($M96+40)/0.5)+1,INT(($N96+30)/0.5)+1)),"OUTSIDE GRID"))</f>
        <v>COD</v>
      </c>
      <c r="Q96" t="str">
        <f>IF(countries!$D96="","",countries!$D96)</f>
        <v>GRC</v>
      </c>
      <c r="R96" t="str">
        <f>IF($Q96="","",countries!$B96)</f>
        <v>Greece</v>
      </c>
      <c r="S96">
        <f>IF($Q96="","",IF(OR($Q96='Feasibility IQ'!$AA$9,$Q96='Feasibility IQ'!$AA$10),0,COUNTIF($O$2:$O$152,$Q96)))</f>
        <v>0</v>
      </c>
      <c r="T96" t="str">
        <f t="shared" si="19"/>
        <v/>
      </c>
      <c r="U96" t="str" cm="1">
        <f t="array" ref="U96">IF($S96=0,"",SUMPRODUCT(($S$2:$S$143&gt;0)*($T$2:$T$143&lt;$T96))+1)</f>
        <v/>
      </c>
    </row>
    <row r="97" spans="1:21" x14ac:dyDescent="0.3">
      <c r="A97">
        <f t="shared" si="10"/>
        <v>95</v>
      </c>
      <c r="B97">
        <f t="shared" si="11"/>
        <v>0.6333333333333333</v>
      </c>
      <c r="C97">
        <f>'Feasibility IQ'!$AA$4</f>
        <v>30.111529999999998</v>
      </c>
      <c r="D97">
        <f>'Feasibility IQ'!$AA$5</f>
        <v>31.39669</v>
      </c>
      <c r="E97">
        <f>'Feasibility IQ'!$AA$6</f>
        <v>-25.938960000000002</v>
      </c>
      <c r="F97">
        <f>'Feasibility IQ'!$AA$7</f>
        <v>27.926639999999999</v>
      </c>
      <c r="G97">
        <f>'Feasibility IQ'!$AA$8</f>
        <v>0.97998393122619054</v>
      </c>
      <c r="H97">
        <f t="shared" si="12"/>
        <v>0.42341915900404381</v>
      </c>
      <c r="I97">
        <f t="shared" si="13"/>
        <v>0.70027386821053783</v>
      </c>
      <c r="J97">
        <f t="shared" si="14"/>
        <v>0.86904419543330913</v>
      </c>
      <c r="K97">
        <f t="shared" si="15"/>
        <v>0.48574434714358494</v>
      </c>
      <c r="L97">
        <f t="shared" si="16"/>
        <v>-9.3886184296328834E-2</v>
      </c>
      <c r="M97">
        <f t="shared" si="17"/>
        <v>-5.3872163443095458</v>
      </c>
      <c r="N97">
        <f t="shared" si="18"/>
        <v>29.202610442414379</v>
      </c>
      <c r="O97" t="str" cm="1">
        <f t="array" ref="O97">IF($M97="","",IFERROR(IF(INDEX(geo_grid!$B$2:$JU$231,INT(($M97+40)/0.5)+1,INT(($N97+30)/0.5)+1)="","",INDEX(geo_grid!$B$2:$JU$231,INT(($M97+40)/0.5)+1,INT(($N97+30)/0.5)+1)),"OUTSIDE GRID"))</f>
        <v>COD</v>
      </c>
      <c r="Q97" t="str">
        <f>IF(countries!$D97="","",countries!$D97)</f>
        <v>GRL</v>
      </c>
      <c r="R97" t="str">
        <f>IF($Q97="","",countries!$B97)</f>
        <v>Greenland</v>
      </c>
      <c r="S97">
        <f>IF($Q97="","",IF(OR($Q97='Feasibility IQ'!$AA$9,$Q97='Feasibility IQ'!$AA$10),0,COUNTIF($O$2:$O$152,$Q97)))</f>
        <v>0</v>
      </c>
      <c r="T97" t="str">
        <f t="shared" si="19"/>
        <v/>
      </c>
      <c r="U97" t="str" cm="1">
        <f t="array" ref="U97">IF($S97=0,"",SUMPRODUCT(($S$2:$S$143&gt;0)*($T$2:$T$143&lt;$T97))+1)</f>
        <v/>
      </c>
    </row>
    <row r="98" spans="1:21" x14ac:dyDescent="0.3">
      <c r="A98">
        <f t="shared" si="10"/>
        <v>96</v>
      </c>
      <c r="B98">
        <f t="shared" si="11"/>
        <v>0.64</v>
      </c>
      <c r="C98">
        <f>'Feasibility IQ'!$AA$4</f>
        <v>30.111529999999998</v>
      </c>
      <c r="D98">
        <f>'Feasibility IQ'!$AA$5</f>
        <v>31.39669</v>
      </c>
      <c r="E98">
        <f>'Feasibility IQ'!$AA$6</f>
        <v>-25.938960000000002</v>
      </c>
      <c r="F98">
        <f>'Feasibility IQ'!$AA$7</f>
        <v>27.926639999999999</v>
      </c>
      <c r="G98">
        <f>'Feasibility IQ'!$AA$8</f>
        <v>0.97998393122619054</v>
      </c>
      <c r="H98">
        <f t="shared" si="12"/>
        <v>0.41604586744222621</v>
      </c>
      <c r="I98">
        <f t="shared" si="13"/>
        <v>0.7066584358879191</v>
      </c>
      <c r="J98">
        <f t="shared" si="14"/>
        <v>0.86867261987461886</v>
      </c>
      <c r="K98">
        <f t="shared" si="15"/>
        <v>0.48511044827389105</v>
      </c>
      <c r="L98">
        <f t="shared" si="16"/>
        <v>-0.10037794805469141</v>
      </c>
      <c r="M98">
        <f t="shared" si="17"/>
        <v>-5.76093481467601</v>
      </c>
      <c r="N98">
        <f t="shared" si="18"/>
        <v>29.181185986387867</v>
      </c>
      <c r="O98" t="str" cm="1">
        <f t="array" ref="O98">IF($M98="","",IFERROR(IF(INDEX(geo_grid!$B$2:$JU$231,INT(($M98+40)/0.5)+1,INT(($N98+30)/0.5)+1)="","",INDEX(geo_grid!$B$2:$JU$231,INT(($M98+40)/0.5)+1,INT(($N98+30)/0.5)+1)),"OUTSIDE GRID"))</f>
        <v>COD</v>
      </c>
      <c r="Q98" t="str">
        <f>IF(countries!$D98="","",countries!$D98)</f>
        <v>HRV</v>
      </c>
      <c r="R98" t="str">
        <f>IF($Q98="","",countries!$B98)</f>
        <v>Croatia</v>
      </c>
      <c r="S98">
        <f>IF($Q98="","",IF(OR($Q98='Feasibility IQ'!$AA$9,$Q98='Feasibility IQ'!$AA$10),0,COUNTIF($O$2:$O$152,$Q98)))</f>
        <v>0</v>
      </c>
      <c r="T98" t="str">
        <f t="shared" si="19"/>
        <v/>
      </c>
      <c r="U98" t="str" cm="1">
        <f t="array" ref="U98">IF($S98=0,"",SUMPRODUCT(($S$2:$S$143&gt;0)*($T$2:$T$143&lt;$T98))+1)</f>
        <v/>
      </c>
    </row>
    <row r="99" spans="1:21" x14ac:dyDescent="0.3">
      <c r="A99">
        <f t="shared" si="10"/>
        <v>97</v>
      </c>
      <c r="B99">
        <f t="shared" si="11"/>
        <v>0.64666666666666661</v>
      </c>
      <c r="C99">
        <f>'Feasibility IQ'!$AA$4</f>
        <v>30.111529999999998</v>
      </c>
      <c r="D99">
        <f>'Feasibility IQ'!$AA$5</f>
        <v>31.39669</v>
      </c>
      <c r="E99">
        <f>'Feasibility IQ'!$AA$6</f>
        <v>-25.938960000000002</v>
      </c>
      <c r="F99">
        <f>'Feasibility IQ'!$AA$7</f>
        <v>27.926639999999999</v>
      </c>
      <c r="G99">
        <f>'Feasibility IQ'!$AA$8</f>
        <v>0.97998393122619054</v>
      </c>
      <c r="H99">
        <f t="shared" si="12"/>
        <v>0.40865481783922075</v>
      </c>
      <c r="I99">
        <f t="shared" si="13"/>
        <v>0.71301284133898724</v>
      </c>
      <c r="J99">
        <f t="shared" si="14"/>
        <v>0.86826396685555751</v>
      </c>
      <c r="K99">
        <f t="shared" si="15"/>
        <v>0.48445584348690451</v>
      </c>
      <c r="L99">
        <f t="shared" si="16"/>
        <v>-0.1068654273918507</v>
      </c>
      <c r="M99">
        <f t="shared" si="17"/>
        <v>-6.1346524839035013</v>
      </c>
      <c r="N99">
        <f t="shared" si="18"/>
        <v>29.159733314674504</v>
      </c>
      <c r="O99" t="str" cm="1">
        <f t="array" ref="O99">IF($M99="","",IFERROR(IF(INDEX(geo_grid!$B$2:$JU$231,INT(($M99+40)/0.5)+1,INT(($N99+30)/0.5)+1)="","",INDEX(geo_grid!$B$2:$JU$231,INT(($M99+40)/0.5)+1,INT(($N99+30)/0.5)+1)),"OUTSIDE GRID"))</f>
        <v>COD</v>
      </c>
      <c r="Q99" t="str">
        <f>IF(countries!$D99="","",countries!$D99)</f>
        <v>HUN</v>
      </c>
      <c r="R99" t="str">
        <f>IF($Q99="","",countries!$B99)</f>
        <v>Hungary</v>
      </c>
      <c r="S99">
        <f>IF($Q99="","",IF(OR($Q99='Feasibility IQ'!$AA$9,$Q99='Feasibility IQ'!$AA$10),0,COUNTIF($O$2:$O$152,$Q99)))</f>
        <v>0</v>
      </c>
      <c r="T99" t="str">
        <f t="shared" si="19"/>
        <v/>
      </c>
      <c r="U99" t="str" cm="1">
        <f t="array" ref="U99">IF($S99=0,"",SUMPRODUCT(($S$2:$S$143&gt;0)*($T$2:$T$143&lt;$T99))+1)</f>
        <v/>
      </c>
    </row>
    <row r="100" spans="1:21" x14ac:dyDescent="0.3">
      <c r="A100">
        <f t="shared" si="10"/>
        <v>98</v>
      </c>
      <c r="B100">
        <f t="shared" si="11"/>
        <v>0.65333333333333332</v>
      </c>
      <c r="C100">
        <f>'Feasibility IQ'!$AA$4</f>
        <v>30.111529999999998</v>
      </c>
      <c r="D100">
        <f>'Feasibility IQ'!$AA$5</f>
        <v>31.39669</v>
      </c>
      <c r="E100">
        <f>'Feasibility IQ'!$AA$6</f>
        <v>-25.938960000000002</v>
      </c>
      <c r="F100">
        <f>'Feasibility IQ'!$AA$7</f>
        <v>27.926639999999999</v>
      </c>
      <c r="G100">
        <f>'Feasibility IQ'!$AA$8</f>
        <v>0.97998393122619054</v>
      </c>
      <c r="H100">
        <f t="shared" si="12"/>
        <v>0.40124632566640578</v>
      </c>
      <c r="I100">
        <f t="shared" si="13"/>
        <v>0.71933681333933586</v>
      </c>
      <c r="J100">
        <f t="shared" si="14"/>
        <v>0.86781825381861843</v>
      </c>
      <c r="K100">
        <f t="shared" si="15"/>
        <v>0.48378056072305159</v>
      </c>
      <c r="L100">
        <f t="shared" si="16"/>
        <v>-0.11334834540342156</v>
      </c>
      <c r="M100">
        <f t="shared" si="17"/>
        <v>-6.5083692984733954</v>
      </c>
      <c r="N100">
        <f t="shared" si="18"/>
        <v>29.138250542442808</v>
      </c>
      <c r="O100" t="str" cm="1">
        <f t="array" ref="O100">IF($M100="","",IFERROR(IF(INDEX(geo_grid!$B$2:$JU$231,INT(($M100+40)/0.5)+1,INT(($N100+30)/0.5)+1)="","",INDEX(geo_grid!$B$2:$JU$231,INT(($M100+40)/0.5)+1,INT(($N100+30)/0.5)+1)),"OUTSIDE GRID"))</f>
        <v>COD</v>
      </c>
      <c r="Q100" t="str">
        <f>IF(countries!$D100="","",countries!$D100)</f>
        <v>IDN</v>
      </c>
      <c r="R100" t="str">
        <f>IF($Q100="","",countries!$B100)</f>
        <v>Indonesia</v>
      </c>
      <c r="S100">
        <f>IF($Q100="","",IF(OR($Q100='Feasibility IQ'!$AA$9,$Q100='Feasibility IQ'!$AA$10),0,COUNTIF($O$2:$O$152,$Q100)))</f>
        <v>0</v>
      </c>
      <c r="T100" t="str">
        <f t="shared" si="19"/>
        <v/>
      </c>
      <c r="U100" t="str" cm="1">
        <f t="array" ref="U100">IF($S100=0,"",SUMPRODUCT(($S$2:$S$143&gt;0)*($T$2:$T$143&lt;$T100))+1)</f>
        <v/>
      </c>
    </row>
    <row r="101" spans="1:21" x14ac:dyDescent="0.3">
      <c r="A101">
        <f t="shared" si="10"/>
        <v>99</v>
      </c>
      <c r="B101">
        <f t="shared" si="11"/>
        <v>0.66</v>
      </c>
      <c r="C101">
        <f>'Feasibility IQ'!$AA$4</f>
        <v>30.111529999999998</v>
      </c>
      <c r="D101">
        <f>'Feasibility IQ'!$AA$5</f>
        <v>31.39669</v>
      </c>
      <c r="E101">
        <f>'Feasibility IQ'!$AA$6</f>
        <v>-25.938960000000002</v>
      </c>
      <c r="F101">
        <f>'Feasibility IQ'!$AA$7</f>
        <v>27.926639999999999</v>
      </c>
      <c r="G101">
        <f>'Feasibility IQ'!$AA$8</f>
        <v>0.97998393122619054</v>
      </c>
      <c r="H101">
        <f t="shared" si="12"/>
        <v>0.39382070713965894</v>
      </c>
      <c r="I101">
        <f t="shared" si="13"/>
        <v>0.72563008196354517</v>
      </c>
      <c r="J101">
        <f t="shared" si="14"/>
        <v>0.86733549978812352</v>
      </c>
      <c r="K101">
        <f t="shared" si="15"/>
        <v>0.48308462880535413</v>
      </c>
      <c r="L101">
        <f t="shared" si="16"/>
        <v>-0.11982642537970889</v>
      </c>
      <c r="M101">
        <f t="shared" si="17"/>
        <v>-6.8820852045712018</v>
      </c>
      <c r="N101">
        <f t="shared" si="18"/>
        <v>29.116735774455211</v>
      </c>
      <c r="O101" t="str" cm="1">
        <f t="array" ref="O101">IF($M101="","",IFERROR(IF(INDEX(geo_grid!$B$2:$JU$231,INT(($M101+40)/0.5)+1,INT(($N101+30)/0.5)+1)="","",INDEX(geo_grid!$B$2:$JU$231,INT(($M101+40)/0.5)+1,INT(($N101+30)/0.5)+1)),"OUTSIDE GRID"))</f>
        <v>COD</v>
      </c>
      <c r="Q101" t="str">
        <f>IF(countries!$D101="","",countries!$D101)</f>
        <v>IND</v>
      </c>
      <c r="R101" t="str">
        <f>IF($Q101="","",countries!$B101)</f>
        <v>India</v>
      </c>
      <c r="S101">
        <f>IF($Q101="","",IF(OR($Q101='Feasibility IQ'!$AA$9,$Q101='Feasibility IQ'!$AA$10),0,COUNTIF($O$2:$O$152,$Q101)))</f>
        <v>0</v>
      </c>
      <c r="T101" t="str">
        <f t="shared" si="19"/>
        <v/>
      </c>
      <c r="U101" t="str" cm="1">
        <f t="array" ref="U101">IF($S101=0,"",SUMPRODUCT(($S$2:$S$143&gt;0)*($T$2:$T$143&lt;$T101))+1)</f>
        <v/>
      </c>
    </row>
    <row r="102" spans="1:21" x14ac:dyDescent="0.3">
      <c r="A102">
        <f t="shared" si="10"/>
        <v>100</v>
      </c>
      <c r="B102">
        <f t="shared" si="11"/>
        <v>0.66666666666666663</v>
      </c>
      <c r="C102">
        <f>'Feasibility IQ'!$AA$4</f>
        <v>30.111529999999998</v>
      </c>
      <c r="D102">
        <f>'Feasibility IQ'!$AA$5</f>
        <v>31.39669</v>
      </c>
      <c r="E102">
        <f>'Feasibility IQ'!$AA$6</f>
        <v>-25.938960000000002</v>
      </c>
      <c r="F102">
        <f>'Feasibility IQ'!$AA$7</f>
        <v>27.926639999999999</v>
      </c>
      <c r="G102">
        <f>'Feasibility IQ'!$AA$8</f>
        <v>0.97998393122619054</v>
      </c>
      <c r="H102">
        <f t="shared" si="12"/>
        <v>0.38637827920586054</v>
      </c>
      <c r="I102">
        <f t="shared" si="13"/>
        <v>0.73189237859670475</v>
      </c>
      <c r="J102">
        <f t="shared" si="14"/>
        <v>0.86681572536941109</v>
      </c>
      <c r="K102">
        <f t="shared" si="15"/>
        <v>0.48236807743819954</v>
      </c>
      <c r="L102">
        <f t="shared" si="16"/>
        <v>-0.12629939081751893</v>
      </c>
      <c r="M102">
        <f t="shared" si="17"/>
        <v>-7.2558001480673013</v>
      </c>
      <c r="N102">
        <f t="shared" si="18"/>
        <v>29.095187104389169</v>
      </c>
      <c r="O102" t="str" cm="1">
        <f t="array" ref="O102">IF($M102="","",IFERROR(IF(INDEX(geo_grid!$B$2:$JU$231,INT(($M102+40)/0.5)+1,INT(($N102+30)/0.5)+1)="","",INDEX(geo_grid!$B$2:$JU$231,INT(($M102+40)/0.5)+1,INT(($N102+30)/0.5)+1)),"OUTSIDE GRID"))</f>
        <v>COD</v>
      </c>
      <c r="Q102" t="str">
        <f>IF(countries!$D102="","",countries!$D102)</f>
        <v>IRL</v>
      </c>
      <c r="R102" t="str">
        <f>IF($Q102="","",countries!$B102)</f>
        <v>Ireland</v>
      </c>
      <c r="S102">
        <f>IF($Q102="","",IF(OR($Q102='Feasibility IQ'!$AA$9,$Q102='Feasibility IQ'!$AA$10),0,COUNTIF($O$2:$O$152,$Q102)))</f>
        <v>0</v>
      </c>
      <c r="T102" t="str">
        <f t="shared" si="19"/>
        <v/>
      </c>
      <c r="U102" t="str" cm="1">
        <f t="array" ref="U102">IF($S102=0,"",SUMPRODUCT(($S$2:$S$143&gt;0)*($T$2:$T$143&lt;$T102))+1)</f>
        <v/>
      </c>
    </row>
    <row r="103" spans="1:21" x14ac:dyDescent="0.3">
      <c r="A103">
        <f t="shared" si="10"/>
        <v>101</v>
      </c>
      <c r="B103">
        <f t="shared" si="11"/>
        <v>0.67333333333333334</v>
      </c>
      <c r="C103">
        <f>'Feasibility IQ'!$AA$4</f>
        <v>30.111529999999998</v>
      </c>
      <c r="D103">
        <f>'Feasibility IQ'!$AA$5</f>
        <v>31.39669</v>
      </c>
      <c r="E103">
        <f>'Feasibility IQ'!$AA$6</f>
        <v>-25.938960000000002</v>
      </c>
      <c r="F103">
        <f>'Feasibility IQ'!$AA$7</f>
        <v>27.926639999999999</v>
      </c>
      <c r="G103">
        <f>'Feasibility IQ'!$AA$8</f>
        <v>0.97998393122619054</v>
      </c>
      <c r="H103">
        <f t="shared" si="12"/>
        <v>0.3789193595293644</v>
      </c>
      <c r="I103">
        <f t="shared" si="13"/>
        <v>0.73812343594587848</v>
      </c>
      <c r="J103">
        <f t="shared" si="14"/>
        <v>0.86625895274795717</v>
      </c>
      <c r="K103">
        <f t="shared" si="15"/>
        <v>0.48163093720607303</v>
      </c>
      <c r="L103">
        <f t="shared" si="16"/>
        <v>-0.1327669654319617</v>
      </c>
      <c r="M103">
        <f t="shared" si="17"/>
        <v>-7.6295140744974264</v>
      </c>
      <c r="N103">
        <f t="shared" si="18"/>
        <v>29.07360261414998</v>
      </c>
      <c r="O103" t="str" cm="1">
        <f t="array" ref="O103">IF($M103="","",IFERROR(IF(INDEX(geo_grid!$B$2:$JU$231,INT(($M103+40)/0.5)+1,INT(($N103+30)/0.5)+1)="","",INDEX(geo_grid!$B$2:$JU$231,INT(($M103+40)/0.5)+1,INT(($N103+30)/0.5)+1)),"OUTSIDE GRID"))</f>
        <v>COD</v>
      </c>
      <c r="Q103" t="str">
        <f>IF(countries!$D103="","",countries!$D103)</f>
        <v>IRN</v>
      </c>
      <c r="R103" t="str">
        <f>IF($Q103="","",countries!$B103)</f>
        <v>Iran</v>
      </c>
      <c r="S103">
        <f>IF($Q103="","",IF(OR($Q103='Feasibility IQ'!$AA$9,$Q103='Feasibility IQ'!$AA$10),0,COUNTIF($O$2:$O$152,$Q103)))</f>
        <v>0</v>
      </c>
      <c r="T103" t="str">
        <f t="shared" si="19"/>
        <v/>
      </c>
      <c r="U103" t="str" cm="1">
        <f t="array" ref="U103">IF($S103=0,"",SUMPRODUCT(($S$2:$S$143&gt;0)*($T$2:$T$143&lt;$T103))+1)</f>
        <v/>
      </c>
    </row>
    <row r="104" spans="1:21" x14ac:dyDescent="0.3">
      <c r="A104">
        <f t="shared" si="10"/>
        <v>102</v>
      </c>
      <c r="B104">
        <f t="shared" si="11"/>
        <v>0.68</v>
      </c>
      <c r="C104">
        <f>'Feasibility IQ'!$AA$4</f>
        <v>30.111529999999998</v>
      </c>
      <c r="D104">
        <f>'Feasibility IQ'!$AA$5</f>
        <v>31.39669</v>
      </c>
      <c r="E104">
        <f>'Feasibility IQ'!$AA$6</f>
        <v>-25.938960000000002</v>
      </c>
      <c r="F104">
        <f>'Feasibility IQ'!$AA$7</f>
        <v>27.926639999999999</v>
      </c>
      <c r="G104">
        <f>'Feasibility IQ'!$AA$8</f>
        <v>0.97998393122619054</v>
      </c>
      <c r="H104">
        <f t="shared" si="12"/>
        <v>0.37144426647844025</v>
      </c>
      <c r="I104">
        <f t="shared" si="13"/>
        <v>0.74432298805151298</v>
      </c>
      <c r="J104">
        <f t="shared" si="14"/>
        <v>0.86566520568842786</v>
      </c>
      <c r="K104">
        <f t="shared" si="15"/>
        <v>0.48087323957225231</v>
      </c>
      <c r="L104">
        <f t="shared" si="16"/>
        <v>-0.13922887316824259</v>
      </c>
      <c r="M104">
        <f t="shared" si="17"/>
        <v>-8.003226929042814</v>
      </c>
      <c r="N104">
        <f t="shared" si="18"/>
        <v>29.051980373174938</v>
      </c>
      <c r="O104" t="str" cm="1">
        <f t="array" ref="O104">IF($M104="","",IFERROR(IF(INDEX(geo_grid!$B$2:$JU$231,INT(($M104+40)/0.5)+1,INT(($N104+30)/0.5)+1)="","",INDEX(geo_grid!$B$2:$JU$231,INT(($M104+40)/0.5)+1,INT(($N104+30)/0.5)+1)),"OUTSIDE GRID"))</f>
        <v>COD</v>
      </c>
      <c r="Q104" t="str">
        <f>IF(countries!$D104="","",countries!$D104)</f>
        <v>ISL</v>
      </c>
      <c r="R104" t="str">
        <f>IF($Q104="","",countries!$B104)</f>
        <v>Iceland</v>
      </c>
      <c r="S104">
        <f>IF($Q104="","",IF(OR($Q104='Feasibility IQ'!$AA$9,$Q104='Feasibility IQ'!$AA$10),0,COUNTIF($O$2:$O$152,$Q104)))</f>
        <v>0</v>
      </c>
      <c r="T104" t="str">
        <f t="shared" si="19"/>
        <v/>
      </c>
      <c r="U104" t="str" cm="1">
        <f t="array" ref="U104">IF($S104=0,"",SUMPRODUCT(($S$2:$S$143&gt;0)*($T$2:$T$143&lt;$T104))+1)</f>
        <v/>
      </c>
    </row>
    <row r="105" spans="1:21" x14ac:dyDescent="0.3">
      <c r="A105">
        <f t="shared" si="10"/>
        <v>103</v>
      </c>
      <c r="B105">
        <f t="shared" si="11"/>
        <v>0.68666666666666665</v>
      </c>
      <c r="C105">
        <f>'Feasibility IQ'!$AA$4</f>
        <v>30.111529999999998</v>
      </c>
      <c r="D105">
        <f>'Feasibility IQ'!$AA$5</f>
        <v>31.39669</v>
      </c>
      <c r="E105">
        <f>'Feasibility IQ'!$AA$6</f>
        <v>-25.938960000000002</v>
      </c>
      <c r="F105">
        <f>'Feasibility IQ'!$AA$7</f>
        <v>27.926639999999999</v>
      </c>
      <c r="G105">
        <f>'Feasibility IQ'!$AA$8</f>
        <v>0.97998393122619054</v>
      </c>
      <c r="H105">
        <f t="shared" si="12"/>
        <v>0.36395331911168394</v>
      </c>
      <c r="I105">
        <f t="shared" si="13"/>
        <v>0.75049077029878986</v>
      </c>
      <c r="J105">
        <f t="shared" si="14"/>
        <v>0.86503450953366545</v>
      </c>
      <c r="K105">
        <f t="shared" si="15"/>
        <v>0.48009501687746425</v>
      </c>
      <c r="L105">
        <f t="shared" si="16"/>
        <v>-0.14568483821344594</v>
      </c>
      <c r="M105">
        <f t="shared" si="17"/>
        <v>-8.3769386565102035</v>
      </c>
      <c r="N105">
        <f t="shared" si="18"/>
        <v>29.030318437728091</v>
      </c>
      <c r="O105" t="str" cm="1">
        <f t="array" ref="O105">IF($M105="","",IFERROR(IF(INDEX(geo_grid!$B$2:$JU$231,INT(($M105+40)/0.5)+1,INT(($N105+30)/0.5)+1)="","",INDEX(geo_grid!$B$2:$JU$231,INT(($M105+40)/0.5)+1,INT(($N105+30)/0.5)+1)),"OUTSIDE GRID"))</f>
        <v>COD</v>
      </c>
      <c r="Q105" t="str">
        <f>IF(countries!$D105="","",countries!$D105)</f>
        <v>ITA</v>
      </c>
      <c r="R105" t="str">
        <f>IF($Q105="","",countries!$B105)</f>
        <v>Italy</v>
      </c>
      <c r="S105">
        <f>IF($Q105="","",IF(OR($Q105='Feasibility IQ'!$AA$9,$Q105='Feasibility IQ'!$AA$10),0,COUNTIF($O$2:$O$152,$Q105)))</f>
        <v>0</v>
      </c>
      <c r="T105" t="str">
        <f t="shared" si="19"/>
        <v/>
      </c>
      <c r="U105" t="str" cm="1">
        <f t="array" ref="U105">IF($S105=0,"",SUMPRODUCT(($S$2:$S$143&gt;0)*($T$2:$T$143&lt;$T105))+1)</f>
        <v/>
      </c>
    </row>
    <row r="106" spans="1:21" x14ac:dyDescent="0.3">
      <c r="A106">
        <f t="shared" si="10"/>
        <v>104</v>
      </c>
      <c r="B106">
        <f t="shared" si="11"/>
        <v>0.69333333333333336</v>
      </c>
      <c r="C106">
        <f>'Feasibility IQ'!$AA$4</f>
        <v>30.111529999999998</v>
      </c>
      <c r="D106">
        <f>'Feasibility IQ'!$AA$5</f>
        <v>31.39669</v>
      </c>
      <c r="E106">
        <f>'Feasibility IQ'!$AA$6</f>
        <v>-25.938960000000002</v>
      </c>
      <c r="F106">
        <f>'Feasibility IQ'!$AA$7</f>
        <v>27.926639999999999</v>
      </c>
      <c r="G106">
        <f>'Feasibility IQ'!$AA$8</f>
        <v>0.97998393122619054</v>
      </c>
      <c r="H106">
        <f t="shared" si="12"/>
        <v>0.35644683716439918</v>
      </c>
      <c r="I106">
        <f t="shared" si="13"/>
        <v>0.75662651942892023</v>
      </c>
      <c r="J106">
        <f t="shared" si="14"/>
        <v>0.86436689120360599</v>
      </c>
      <c r="K106">
        <f t="shared" si="15"/>
        <v>0.47929630233850468</v>
      </c>
      <c r="L106">
        <f t="shared" si="16"/>
        <v>-0.15213458500830757</v>
      </c>
      <c r="M106">
        <f t="shared" si="17"/>
        <v>-8.7506492013115178</v>
      </c>
      <c r="N106">
        <f t="shared" si="18"/>
        <v>29.008614850185317</v>
      </c>
      <c r="O106" t="str" cm="1">
        <f t="array" ref="O106">IF($M106="","",IFERROR(IF(INDEX(geo_grid!$B$2:$JU$231,INT(($M106+40)/0.5)+1,INT(($N106+30)/0.5)+1)="","",INDEX(geo_grid!$B$2:$JU$231,INT(($M106+40)/0.5)+1,INT(($N106+30)/0.5)+1)),"OUTSIDE GRID"))</f>
        <v>ZMB</v>
      </c>
      <c r="Q106" t="str">
        <f>IF(countries!$D106="","",countries!$D106)</f>
        <v>KAZ</v>
      </c>
      <c r="R106" t="str">
        <f>IF($Q106="","",countries!$B106)</f>
        <v>Kazakhstan</v>
      </c>
      <c r="S106">
        <f>IF($Q106="","",IF(OR($Q106='Feasibility IQ'!$AA$9,$Q106='Feasibility IQ'!$AA$10),0,COUNTIF($O$2:$O$152,$Q106)))</f>
        <v>0</v>
      </c>
      <c r="T106" t="str">
        <f t="shared" si="19"/>
        <v/>
      </c>
      <c r="U106" t="str" cm="1">
        <f t="array" ref="U106">IF($S106=0,"",SUMPRODUCT(($S$2:$S$143&gt;0)*($T$2:$T$143&lt;$T106))+1)</f>
        <v/>
      </c>
    </row>
    <row r="107" spans="1:21" x14ac:dyDescent="0.3">
      <c r="A107">
        <f t="shared" si="10"/>
        <v>105</v>
      </c>
      <c r="B107">
        <f t="shared" si="11"/>
        <v>0.7</v>
      </c>
      <c r="C107">
        <f>'Feasibility IQ'!$AA$4</f>
        <v>30.111529999999998</v>
      </c>
      <c r="D107">
        <f>'Feasibility IQ'!$AA$5</f>
        <v>31.39669</v>
      </c>
      <c r="E107">
        <f>'Feasibility IQ'!$AA$6</f>
        <v>-25.938960000000002</v>
      </c>
      <c r="F107">
        <f>'Feasibility IQ'!$AA$7</f>
        <v>27.926639999999999</v>
      </c>
      <c r="G107">
        <f>'Feasibility IQ'!$AA$8</f>
        <v>0.97998393122619054</v>
      </c>
      <c r="H107">
        <f t="shared" si="12"/>
        <v>0.34892514103495104</v>
      </c>
      <c r="I107">
        <f t="shared" si="13"/>
        <v>0.76272997355038119</v>
      </c>
      <c r="J107">
        <f t="shared" si="14"/>
        <v>0.86366237919413136</v>
      </c>
      <c r="K107">
        <f t="shared" si="15"/>
        <v>0.4784771300468208</v>
      </c>
      <c r="L107">
        <f t="shared" si="16"/>
        <v>-0.1585778382589757</v>
      </c>
      <c r="M107">
        <f t="shared" si="17"/>
        <v>-9.1243585074431657</v>
      </c>
      <c r="N107">
        <f t="shared" si="18"/>
        <v>28.986867638308848</v>
      </c>
      <c r="O107" t="str" cm="1">
        <f t="array" ref="O107">IF($M107="","",IFERROR(IF(INDEX(geo_grid!$B$2:$JU$231,INT(($M107+40)/0.5)+1,INT(($N107+30)/0.5)+1)="","",INDEX(geo_grid!$B$2:$JU$231,INT(($M107+40)/0.5)+1,INT(($N107+30)/0.5)+1)),"OUTSIDE GRID"))</f>
        <v>ZMB</v>
      </c>
      <c r="Q107" t="str">
        <f>IF(countries!$D107="","",countries!$D107)</f>
        <v>KGZ</v>
      </c>
      <c r="R107" t="str">
        <f>IF($Q107="","",countries!$B107)</f>
        <v>Kyrgyzstan</v>
      </c>
      <c r="S107">
        <f>IF($Q107="","",IF(OR($Q107='Feasibility IQ'!$AA$9,$Q107='Feasibility IQ'!$AA$10),0,COUNTIF($O$2:$O$152,$Q107)))</f>
        <v>0</v>
      </c>
      <c r="T107" t="str">
        <f t="shared" si="19"/>
        <v/>
      </c>
      <c r="U107" t="str" cm="1">
        <f t="array" ref="U107">IF($S107=0,"",SUMPRODUCT(($S$2:$S$143&gt;0)*($T$2:$T$143&lt;$T107))+1)</f>
        <v/>
      </c>
    </row>
    <row r="108" spans="1:21" x14ac:dyDescent="0.3">
      <c r="A108">
        <f t="shared" si="10"/>
        <v>106</v>
      </c>
      <c r="B108">
        <f t="shared" si="11"/>
        <v>0.70666666666666667</v>
      </c>
      <c r="C108">
        <f>'Feasibility IQ'!$AA$4</f>
        <v>30.111529999999998</v>
      </c>
      <c r="D108">
        <f>'Feasibility IQ'!$AA$5</f>
        <v>31.39669</v>
      </c>
      <c r="E108">
        <f>'Feasibility IQ'!$AA$6</f>
        <v>-25.938960000000002</v>
      </c>
      <c r="F108">
        <f>'Feasibility IQ'!$AA$7</f>
        <v>27.926639999999999</v>
      </c>
      <c r="G108">
        <f>'Feasibility IQ'!$AA$8</f>
        <v>0.97998393122619054</v>
      </c>
      <c r="H108">
        <f t="shared" si="12"/>
        <v>0.34138855177108929</v>
      </c>
      <c r="I108">
        <f t="shared" si="13"/>
        <v>0.76880087215009463</v>
      </c>
      <c r="J108">
        <f t="shared" si="14"/>
        <v>0.86292100357585222</v>
      </c>
      <c r="K108">
        <f t="shared" si="15"/>
        <v>0.47763753496705563</v>
      </c>
      <c r="L108">
        <f t="shared" si="16"/>
        <v>-0.16501432294876242</v>
      </c>
      <c r="M108">
        <f t="shared" si="17"/>
        <v>-9.4980665184651958</v>
      </c>
      <c r="N108">
        <f t="shared" si="18"/>
        <v>28.965074814510874</v>
      </c>
      <c r="O108" t="str" cm="1">
        <f t="array" ref="O108">IF($M108="","",IFERROR(IF(INDEX(geo_grid!$B$2:$JU$231,INT(($M108+40)/0.5)+1,INT(($N108+30)/0.5)+1)="","",INDEX(geo_grid!$B$2:$JU$231,INT(($M108+40)/0.5)+1,INT(($N108+30)/0.5)+1)),"OUTSIDE GRID"))</f>
        <v>ZMB</v>
      </c>
      <c r="Q108" t="str">
        <f>IF(countries!$D108="","",countries!$D108)</f>
        <v>KHM</v>
      </c>
      <c r="R108" t="str">
        <f>IF($Q108="","",countries!$B108)</f>
        <v>Cambodia</v>
      </c>
      <c r="S108">
        <f>IF($Q108="","",IF(OR($Q108='Feasibility IQ'!$AA$9,$Q108='Feasibility IQ'!$AA$10),0,COUNTIF($O$2:$O$152,$Q108)))</f>
        <v>0</v>
      </c>
      <c r="T108" t="str">
        <f t="shared" si="19"/>
        <v/>
      </c>
      <c r="U108" t="str" cm="1">
        <f t="array" ref="U108">IF($S108=0,"",SUMPRODUCT(($S$2:$S$143&gt;0)*($T$2:$T$143&lt;$T108))+1)</f>
        <v/>
      </c>
    </row>
    <row r="109" spans="1:21" x14ac:dyDescent="0.3">
      <c r="A109">
        <f t="shared" si="10"/>
        <v>107</v>
      </c>
      <c r="B109">
        <f t="shared" si="11"/>
        <v>0.71333333333333337</v>
      </c>
      <c r="C109">
        <f>'Feasibility IQ'!$AA$4</f>
        <v>30.111529999999998</v>
      </c>
      <c r="D109">
        <f>'Feasibility IQ'!$AA$5</f>
        <v>31.39669</v>
      </c>
      <c r="E109">
        <f>'Feasibility IQ'!$AA$6</f>
        <v>-25.938960000000002</v>
      </c>
      <c r="F109">
        <f>'Feasibility IQ'!$AA$7</f>
        <v>27.926639999999999</v>
      </c>
      <c r="G109">
        <f>'Feasibility IQ'!$AA$8</f>
        <v>0.97998393122619054</v>
      </c>
      <c r="H109">
        <f t="shared" si="12"/>
        <v>0.33383739105624621</v>
      </c>
      <c r="I109">
        <f t="shared" si="13"/>
        <v>0.7748389561045459</v>
      </c>
      <c r="J109">
        <f t="shared" si="14"/>
        <v>0.8621427959928244</v>
      </c>
      <c r="K109">
        <f t="shared" si="15"/>
        <v>0.47677755293555613</v>
      </c>
      <c r="L109">
        <f t="shared" si="16"/>
        <v>-0.17144376434988123</v>
      </c>
      <c r="M109">
        <f t="shared" si="17"/>
        <v>-9.87177317747995</v>
      </c>
      <c r="N109">
        <f t="shared" si="18"/>
        <v>28.943234375105558</v>
      </c>
      <c r="O109" t="str" cm="1">
        <f t="array" ref="O109">IF($M109="","",IFERROR(IF(INDEX(geo_grid!$B$2:$JU$231,INT(($M109+40)/0.5)+1,INT(($N109+30)/0.5)+1)="","",INDEX(geo_grid!$B$2:$JU$231,INT(($M109+40)/0.5)+1,INT(($N109+30)/0.5)+1)),"OUTSIDE GRID"))</f>
        <v>ZMB</v>
      </c>
      <c r="Q109" t="str">
        <f>IF(countries!$D109="","",countries!$D109)</f>
        <v>LAO</v>
      </c>
      <c r="R109" t="str">
        <f>IF($Q109="","",countries!$B109)</f>
        <v>Laos</v>
      </c>
      <c r="S109">
        <f>IF($Q109="","",IF(OR($Q109='Feasibility IQ'!$AA$9,$Q109='Feasibility IQ'!$AA$10),0,COUNTIF($O$2:$O$152,$Q109)))</f>
        <v>0</v>
      </c>
      <c r="T109" t="str">
        <f t="shared" si="19"/>
        <v/>
      </c>
      <c r="U109" t="str" cm="1">
        <f t="array" ref="U109">IF($S109=0,"",SUMPRODUCT(($S$2:$S$143&gt;0)*($T$2:$T$143&lt;$T109))+1)</f>
        <v/>
      </c>
    </row>
    <row r="110" spans="1:21" x14ac:dyDescent="0.3">
      <c r="A110">
        <f t="shared" si="10"/>
        <v>108</v>
      </c>
      <c r="B110">
        <f t="shared" si="11"/>
        <v>0.72</v>
      </c>
      <c r="C110">
        <f>'Feasibility IQ'!$AA$4</f>
        <v>30.111529999999998</v>
      </c>
      <c r="D110">
        <f>'Feasibility IQ'!$AA$5</f>
        <v>31.39669</v>
      </c>
      <c r="E110">
        <f>'Feasibility IQ'!$AA$6</f>
        <v>-25.938960000000002</v>
      </c>
      <c r="F110">
        <f>'Feasibility IQ'!$AA$7</f>
        <v>27.926639999999999</v>
      </c>
      <c r="G110">
        <f>'Feasibility IQ'!$AA$8</f>
        <v>0.97998393122619054</v>
      </c>
      <c r="H110">
        <f t="shared" si="12"/>
        <v>0.32627198119580575</v>
      </c>
      <c r="I110">
        <f t="shared" si="13"/>
        <v>0.78084396769084441</v>
      </c>
      <c r="J110">
        <f t="shared" si="14"/>
        <v>0.86132778966119927</v>
      </c>
      <c r="K110">
        <f t="shared" si="15"/>
        <v>0.47589722065884332</v>
      </c>
      <c r="L110">
        <f t="shared" si="16"/>
        <v>-0.17786588803517345</v>
      </c>
      <c r="M110">
        <f t="shared" si="17"/>
        <v>-10.245478427110472</v>
      </c>
      <c r="N110">
        <f t="shared" si="18"/>
        <v>28.921344299548778</v>
      </c>
      <c r="O110" t="str" cm="1">
        <f t="array" ref="O110">IF($M110="","",IFERROR(IF(INDEX(geo_grid!$B$2:$JU$231,INT(($M110+40)/0.5)+1,INT(($N110+30)/0.5)+1)="","",INDEX(geo_grid!$B$2:$JU$231,INT(($M110+40)/0.5)+1,INT(($N110+30)/0.5)+1)),"OUTSIDE GRID"))</f>
        <v>ZMB</v>
      </c>
      <c r="Q110" t="str">
        <f>IF(countries!$D110="","",countries!$D110)</f>
        <v>LKA</v>
      </c>
      <c r="R110" t="str">
        <f>IF($Q110="","",countries!$B110)</f>
        <v>Sri Lanka</v>
      </c>
      <c r="S110">
        <f>IF($Q110="","",IF(OR($Q110='Feasibility IQ'!$AA$9,$Q110='Feasibility IQ'!$AA$10),0,COUNTIF($O$2:$O$152,$Q110)))</f>
        <v>0</v>
      </c>
      <c r="T110" t="str">
        <f t="shared" si="19"/>
        <v/>
      </c>
      <c r="U110" t="str" cm="1">
        <f t="array" ref="U110">IF($S110=0,"",SUMPRODUCT(($S$2:$S$143&gt;0)*($T$2:$T$143&lt;$T110))+1)</f>
        <v/>
      </c>
    </row>
    <row r="111" spans="1:21" x14ac:dyDescent="0.3">
      <c r="A111">
        <f t="shared" si="10"/>
        <v>109</v>
      </c>
      <c r="B111">
        <f t="shared" si="11"/>
        <v>0.72666666666666668</v>
      </c>
      <c r="C111">
        <f>'Feasibility IQ'!$AA$4</f>
        <v>30.111529999999998</v>
      </c>
      <c r="D111">
        <f>'Feasibility IQ'!$AA$5</f>
        <v>31.39669</v>
      </c>
      <c r="E111">
        <f>'Feasibility IQ'!$AA$6</f>
        <v>-25.938960000000002</v>
      </c>
      <c r="F111">
        <f>'Feasibility IQ'!$AA$7</f>
        <v>27.926639999999999</v>
      </c>
      <c r="G111">
        <f>'Feasibility IQ'!$AA$8</f>
        <v>0.97998393122619054</v>
      </c>
      <c r="H111">
        <f t="shared" si="12"/>
        <v>0.31869264510334616</v>
      </c>
      <c r="I111">
        <f t="shared" si="13"/>
        <v>0.78681565059772396</v>
      </c>
      <c r="J111">
        <f t="shared" si="14"/>
        <v>0.86047601936780427</v>
      </c>
      <c r="K111">
        <f t="shared" si="15"/>
        <v>0.47499657571204523</v>
      </c>
      <c r="L111">
        <f t="shared" si="16"/>
        <v>-0.18428041988982202</v>
      </c>
      <c r="M111">
        <f t="shared" si="17"/>
        <v>-10.619182209478545</v>
      </c>
      <c r="N111">
        <f t="shared" si="18"/>
        <v>28.899402549665119</v>
      </c>
      <c r="O111" t="str" cm="1">
        <f t="array" ref="O111">IF($M111="","",IFERROR(IF(INDEX(geo_grid!$B$2:$JU$231,INT(($M111+40)/0.5)+1,INT(($N111+30)/0.5)+1)="","",INDEX(geo_grid!$B$2:$JU$231,INT(($M111+40)/0.5)+1,INT(($N111+30)/0.5)+1)),"OUTSIDE GRID"))</f>
        <v>ZMB</v>
      </c>
      <c r="Q111" t="str">
        <f>IF(countries!$D111="","",countries!$D111)</f>
        <v>LTU</v>
      </c>
      <c r="R111" t="str">
        <f>IF($Q111="","",countries!$B111)</f>
        <v>Lithuania</v>
      </c>
      <c r="S111">
        <f>IF($Q111="","",IF(OR($Q111='Feasibility IQ'!$AA$9,$Q111='Feasibility IQ'!$AA$10),0,COUNTIF($O$2:$O$152,$Q111)))</f>
        <v>0</v>
      </c>
      <c r="T111" t="str">
        <f t="shared" si="19"/>
        <v/>
      </c>
      <c r="U111" t="str" cm="1">
        <f t="array" ref="U111">IF($S111=0,"",SUMPRODUCT(($S$2:$S$143&gt;0)*($T$2:$T$143&lt;$T111))+1)</f>
        <v/>
      </c>
    </row>
    <row r="112" spans="1:21" x14ac:dyDescent="0.3">
      <c r="A112">
        <f t="shared" si="10"/>
        <v>110</v>
      </c>
      <c r="B112">
        <f t="shared" si="11"/>
        <v>0.73333333333333328</v>
      </c>
      <c r="C112">
        <f>'Feasibility IQ'!$AA$4</f>
        <v>30.111529999999998</v>
      </c>
      <c r="D112">
        <f>'Feasibility IQ'!$AA$5</f>
        <v>31.39669</v>
      </c>
      <c r="E112">
        <f>'Feasibility IQ'!$AA$6</f>
        <v>-25.938960000000002</v>
      </c>
      <c r="F112">
        <f>'Feasibility IQ'!$AA$7</f>
        <v>27.926639999999999</v>
      </c>
      <c r="G112">
        <f>'Feasibility IQ'!$AA$8</f>
        <v>0.97998393122619054</v>
      </c>
      <c r="H112">
        <f t="shared" si="12"/>
        <v>0.31109970628685824</v>
      </c>
      <c r="I112">
        <f t="shared" si="13"/>
        <v>0.79275374993648273</v>
      </c>
      <c r="J112">
        <f t="shared" si="14"/>
        <v>0.85958752146865991</v>
      </c>
      <c r="K112">
        <f t="shared" si="15"/>
        <v>0.47407565653729372</v>
      </c>
      <c r="L112">
        <f t="shared" si="16"/>
        <v>-0.19068708612305077</v>
      </c>
      <c r="M112">
        <f t="shared" si="17"/>
        <v>-10.99288446618227</v>
      </c>
      <c r="N112">
        <f t="shared" si="18"/>
        <v>28.877407068861316</v>
      </c>
      <c r="O112" t="str" cm="1">
        <f t="array" ref="O112">IF($M112="","",IFERROR(IF(INDEX(geo_grid!$B$2:$JU$231,INT(($M112+40)/0.5)+1,INT(($N112+30)/0.5)+1)="","",INDEX(geo_grid!$B$2:$JU$231,INT(($M112+40)/0.5)+1,INT(($N112+30)/0.5)+1)),"OUTSIDE GRID"))</f>
        <v>ZMB</v>
      </c>
      <c r="Q112" t="str">
        <f>IF(countries!$D112="","",countries!$D112)</f>
        <v>LUX</v>
      </c>
      <c r="R112" t="str">
        <f>IF($Q112="","",countries!$B112)</f>
        <v>Luxembourg</v>
      </c>
      <c r="S112">
        <f>IF($Q112="","",IF(OR($Q112='Feasibility IQ'!$AA$9,$Q112='Feasibility IQ'!$AA$10),0,COUNTIF($O$2:$O$152,$Q112)))</f>
        <v>0</v>
      </c>
      <c r="T112" t="str">
        <f t="shared" si="19"/>
        <v/>
      </c>
      <c r="U112" t="str" cm="1">
        <f t="array" ref="U112">IF($S112=0,"",SUMPRODUCT(($S$2:$S$143&gt;0)*($T$2:$T$143&lt;$T112))+1)</f>
        <v/>
      </c>
    </row>
    <row r="113" spans="1:21" x14ac:dyDescent="0.3">
      <c r="A113">
        <f t="shared" si="10"/>
        <v>111</v>
      </c>
      <c r="B113">
        <f t="shared" si="11"/>
        <v>0.74</v>
      </c>
      <c r="C113">
        <f>'Feasibility IQ'!$AA$4</f>
        <v>30.111529999999998</v>
      </c>
      <c r="D113">
        <f>'Feasibility IQ'!$AA$5</f>
        <v>31.39669</v>
      </c>
      <c r="E113">
        <f>'Feasibility IQ'!$AA$6</f>
        <v>-25.938960000000002</v>
      </c>
      <c r="F113">
        <f>'Feasibility IQ'!$AA$7</f>
        <v>27.926639999999999</v>
      </c>
      <c r="G113">
        <f>'Feasibility IQ'!$AA$8</f>
        <v>0.97998393122619054</v>
      </c>
      <c r="H113">
        <f t="shared" si="12"/>
        <v>0.30349348883493571</v>
      </c>
      <c r="I113">
        <f t="shared" si="13"/>
        <v>0.79865801225186295</v>
      </c>
      <c r="J113">
        <f t="shared" si="14"/>
        <v>0.85866233388742663</v>
      </c>
      <c r="K113">
        <f t="shared" si="15"/>
        <v>0.47313450244208327</v>
      </c>
      <c r="L113">
        <f t="shared" si="16"/>
        <v>-0.1970856132798115</v>
      </c>
      <c r="M113">
        <f t="shared" si="17"/>
        <v>-11.366585138273367</v>
      </c>
      <c r="N113">
        <f t="shared" si="18"/>
        <v>28.855355781325581</v>
      </c>
      <c r="O113" t="str" cm="1">
        <f t="array" ref="O113">IF($M113="","",IFERROR(IF(INDEX(geo_grid!$B$2:$JU$231,INT(($M113+40)/0.5)+1,INT(($N113+30)/0.5)+1)="","",INDEX(geo_grid!$B$2:$JU$231,INT(($M113+40)/0.5)+1,INT(($N113+30)/0.5)+1)),"OUTSIDE GRID"))</f>
        <v>ZMB</v>
      </c>
      <c r="Q113" t="str">
        <f>IF(countries!$D113="","",countries!$D113)</f>
        <v>LVA</v>
      </c>
      <c r="R113" t="str">
        <f>IF($Q113="","",countries!$B113)</f>
        <v>Latvia</v>
      </c>
      <c r="S113">
        <f>IF($Q113="","",IF(OR($Q113='Feasibility IQ'!$AA$9,$Q113='Feasibility IQ'!$AA$10),0,COUNTIF($O$2:$O$152,$Q113)))</f>
        <v>0</v>
      </c>
      <c r="T113" t="str">
        <f t="shared" si="19"/>
        <v/>
      </c>
      <c r="U113" t="str" cm="1">
        <f t="array" ref="U113">IF($S113=0,"",SUMPRODUCT(($S$2:$S$143&gt;0)*($T$2:$T$143&lt;$T113))+1)</f>
        <v/>
      </c>
    </row>
    <row r="114" spans="1:21" x14ac:dyDescent="0.3">
      <c r="A114">
        <f t="shared" si="10"/>
        <v>112</v>
      </c>
      <c r="B114">
        <f t="shared" si="11"/>
        <v>0.7466666666666667</v>
      </c>
      <c r="C114">
        <f>'Feasibility IQ'!$AA$4</f>
        <v>30.111529999999998</v>
      </c>
      <c r="D114">
        <f>'Feasibility IQ'!$AA$5</f>
        <v>31.39669</v>
      </c>
      <c r="E114">
        <f>'Feasibility IQ'!$AA$6</f>
        <v>-25.938960000000002</v>
      </c>
      <c r="F114">
        <f>'Feasibility IQ'!$AA$7</f>
        <v>27.926639999999999</v>
      </c>
      <c r="G114">
        <f>'Feasibility IQ'!$AA$8</f>
        <v>0.97998393122619054</v>
      </c>
      <c r="H114">
        <f t="shared" si="12"/>
        <v>0.2958743174029434</v>
      </c>
      <c r="I114">
        <f t="shared" si="13"/>
        <v>0.80452818553286876</v>
      </c>
      <c r="J114">
        <f t="shared" si="14"/>
        <v>0.85770049611378707</v>
      </c>
      <c r="K114">
        <f t="shared" si="15"/>
        <v>0.47217315359759332</v>
      </c>
      <c r="L114">
        <f t="shared" si="16"/>
        <v>-0.20347572825245494</v>
      </c>
      <c r="M114">
        <f t="shared" si="17"/>
        <v>-11.740284166233916</v>
      </c>
      <c r="N114">
        <f t="shared" si="18"/>
        <v>28.833246591212074</v>
      </c>
      <c r="O114" t="str" cm="1">
        <f t="array" ref="O114">IF($M114="","",IFERROR(IF(INDEX(geo_grid!$B$2:$JU$231,INT(($M114+40)/0.5)+1,INT(($N114+30)/0.5)+1)="","",INDEX(geo_grid!$B$2:$JU$231,INT(($M114+40)/0.5)+1,INT(($N114+30)/0.5)+1)),"OUTSIDE GRID"))</f>
        <v>ZMB</v>
      </c>
      <c r="Q114" t="str">
        <f>IF(countries!$D114="","",countries!$D114)</f>
        <v>MDA</v>
      </c>
      <c r="R114" t="str">
        <f>IF($Q114="","",countries!$B114)</f>
        <v>Moldova</v>
      </c>
      <c r="S114">
        <f>IF($Q114="","",IF(OR($Q114='Feasibility IQ'!$AA$9,$Q114='Feasibility IQ'!$AA$10),0,COUNTIF($O$2:$O$152,$Q114)))</f>
        <v>0</v>
      </c>
      <c r="T114" t="str">
        <f t="shared" si="19"/>
        <v/>
      </c>
      <c r="U114" t="str" cm="1">
        <f t="array" ref="U114">IF($S114=0,"",SUMPRODUCT(($S$2:$S$143&gt;0)*($T$2:$T$143&lt;$T114))+1)</f>
        <v/>
      </c>
    </row>
    <row r="115" spans="1:21" x14ac:dyDescent="0.3">
      <c r="A115">
        <f t="shared" si="10"/>
        <v>113</v>
      </c>
      <c r="B115">
        <f t="shared" si="11"/>
        <v>0.7533333333333333</v>
      </c>
      <c r="C115">
        <f>'Feasibility IQ'!$AA$4</f>
        <v>30.111529999999998</v>
      </c>
      <c r="D115">
        <f>'Feasibility IQ'!$AA$5</f>
        <v>31.39669</v>
      </c>
      <c r="E115">
        <f>'Feasibility IQ'!$AA$6</f>
        <v>-25.938960000000002</v>
      </c>
      <c r="F115">
        <f>'Feasibility IQ'!$AA$7</f>
        <v>27.926639999999999</v>
      </c>
      <c r="G115">
        <f>'Feasibility IQ'!$AA$8</f>
        <v>0.97998393122619054</v>
      </c>
      <c r="H115">
        <f t="shared" si="12"/>
        <v>0.28824251719915928</v>
      </c>
      <c r="I115">
        <f t="shared" si="13"/>
        <v>0.81036401922352275</v>
      </c>
      <c r="J115">
        <f t="shared" si="14"/>
        <v>0.85670204920175963</v>
      </c>
      <c r="K115">
        <f t="shared" si="15"/>
        <v>0.47119165103697364</v>
      </c>
      <c r="L115">
        <f t="shared" si="16"/>
        <v>-0.20985715829238821</v>
      </c>
      <c r="M115">
        <f t="shared" si="17"/>
        <v>-12.113981489952749</v>
      </c>
      <c r="N115">
        <f t="shared" si="18"/>
        <v>28.811077381809909</v>
      </c>
      <c r="O115" t="str" cm="1">
        <f t="array" ref="O115">IF($M115="","",IFERROR(IF(INDEX(geo_grid!$B$2:$JU$231,INT(($M115+40)/0.5)+1,INT(($N115+30)/0.5)+1)="","",INDEX(geo_grid!$B$2:$JU$231,INT(($M115+40)/0.5)+1,INT(($N115+30)/0.5)+1)),"OUTSIDE GRID"))</f>
        <v>COD</v>
      </c>
      <c r="Q115" t="str">
        <f>IF(countries!$D115="","",countries!$D115)</f>
        <v>MDV</v>
      </c>
      <c r="R115" t="str">
        <f>IF($Q115="","",countries!$B115)</f>
        <v>Maldives</v>
      </c>
      <c r="S115">
        <f>IF($Q115="","",IF(OR($Q115='Feasibility IQ'!$AA$9,$Q115='Feasibility IQ'!$AA$10),0,COUNTIF($O$2:$O$152,$Q115)))</f>
        <v>0</v>
      </c>
      <c r="T115" t="str">
        <f t="shared" si="19"/>
        <v/>
      </c>
      <c r="U115" t="str" cm="1">
        <f t="array" ref="U115">IF($S115=0,"",SUMPRODUCT(($S$2:$S$143&gt;0)*($T$2:$T$143&lt;$T115))+1)</f>
        <v/>
      </c>
    </row>
    <row r="116" spans="1:21" x14ac:dyDescent="0.3">
      <c r="A116">
        <f t="shared" si="10"/>
        <v>114</v>
      </c>
      <c r="B116">
        <f t="shared" si="11"/>
        <v>0.76</v>
      </c>
      <c r="C116">
        <f>'Feasibility IQ'!$AA$4</f>
        <v>30.111529999999998</v>
      </c>
      <c r="D116">
        <f>'Feasibility IQ'!$AA$5</f>
        <v>31.39669</v>
      </c>
      <c r="E116">
        <f>'Feasibility IQ'!$AA$6</f>
        <v>-25.938960000000002</v>
      </c>
      <c r="F116">
        <f>'Feasibility IQ'!$AA$7</f>
        <v>27.926639999999999</v>
      </c>
      <c r="G116">
        <f>'Feasibility IQ'!$AA$8</f>
        <v>0.97998393122619054</v>
      </c>
      <c r="H116">
        <f t="shared" si="12"/>
        <v>0.28059841397089363</v>
      </c>
      <c r="I116">
        <f t="shared" si="13"/>
        <v>0.81616526423356073</v>
      </c>
      <c r="J116">
        <f t="shared" si="14"/>
        <v>0.855667035767947</v>
      </c>
      <c r="K116">
        <f t="shared" si="15"/>
        <v>0.47019003665359282</v>
      </c>
      <c r="L116">
        <f t="shared" si="16"/>
        <v>-0.21622963102171677</v>
      </c>
      <c r="M116">
        <f t="shared" si="17"/>
        <v>-12.487677048701373</v>
      </c>
      <c r="N116">
        <f t="shared" si="18"/>
        <v>28.788846014695743</v>
      </c>
      <c r="O116" t="str" cm="1">
        <f t="array" ref="O116">IF($M116="","",IFERROR(IF(INDEX(geo_grid!$B$2:$JU$231,INT(($M116+40)/0.5)+1,INT(($N116+30)/0.5)+1)="","",INDEX(geo_grid!$B$2:$JU$231,INT(($M116+40)/0.5)+1,INT(($N116+30)/0.5)+1)),"OUTSIDE GRID"))</f>
        <v>COD</v>
      </c>
      <c r="Q116" t="str">
        <f>IF(countries!$D116="","",countries!$D116)</f>
        <v>MKD</v>
      </c>
      <c r="R116" t="str">
        <f>IF($Q116="","",countries!$B116)</f>
        <v>North Macedonia</v>
      </c>
      <c r="S116">
        <f>IF($Q116="","",IF(OR($Q116='Feasibility IQ'!$AA$9,$Q116='Feasibility IQ'!$AA$10),0,COUNTIF($O$2:$O$152,$Q116)))</f>
        <v>0</v>
      </c>
      <c r="T116" t="str">
        <f t="shared" si="19"/>
        <v/>
      </c>
      <c r="U116" t="str" cm="1">
        <f t="array" ref="U116">IF($S116=0,"",SUMPRODUCT(($S$2:$S$143&gt;0)*($T$2:$T$143&lt;$T116))+1)</f>
        <v/>
      </c>
    </row>
    <row r="117" spans="1:21" x14ac:dyDescent="0.3">
      <c r="A117">
        <f t="shared" si="10"/>
        <v>115</v>
      </c>
      <c r="B117">
        <f t="shared" si="11"/>
        <v>0.76666666666666672</v>
      </c>
      <c r="C117">
        <f>'Feasibility IQ'!$AA$4</f>
        <v>30.111529999999998</v>
      </c>
      <c r="D117">
        <f>'Feasibility IQ'!$AA$5</f>
        <v>31.39669</v>
      </c>
      <c r="E117">
        <f>'Feasibility IQ'!$AA$6</f>
        <v>-25.938960000000002</v>
      </c>
      <c r="F117">
        <f>'Feasibility IQ'!$AA$7</f>
        <v>27.926639999999999</v>
      </c>
      <c r="G117">
        <f>'Feasibility IQ'!$AA$8</f>
        <v>0.97998393122619054</v>
      </c>
      <c r="H117">
        <f t="shared" si="12"/>
        <v>0.27294233399058582</v>
      </c>
      <c r="I117">
        <f t="shared" si="13"/>
        <v>0.82193167294906366</v>
      </c>
      <c r="J117">
        <f t="shared" si="14"/>
        <v>0.85459549998971662</v>
      </c>
      <c r="K117">
        <f t="shared" si="15"/>
        <v>0.46916835319925021</v>
      </c>
      <c r="L117">
        <f t="shared" si="16"/>
        <v>-0.22259287444486972</v>
      </c>
      <c r="M117">
        <f t="shared" si="17"/>
        <v>-12.86137078110934</v>
      </c>
      <c r="N117">
        <f t="shared" si="18"/>
        <v>28.766550328869577</v>
      </c>
      <c r="O117" t="str" cm="1">
        <f t="array" ref="O117">IF($M117="","",IFERROR(IF(INDEX(geo_grid!$B$2:$JU$231,INT(($M117+40)/0.5)+1,INT(($N117+30)/0.5)+1)="","",INDEX(geo_grid!$B$2:$JU$231,INT(($M117+40)/0.5)+1,INT(($N117+30)/0.5)+1)),"OUTSIDE GRID"))</f>
        <v>COD</v>
      </c>
      <c r="Q117" t="str">
        <f>IF(countries!$D117="","",countries!$D117)</f>
        <v>MLT</v>
      </c>
      <c r="R117" t="str">
        <f>IF($Q117="","",countries!$B117)</f>
        <v>Malta</v>
      </c>
      <c r="S117">
        <f>IF($Q117="","",IF(OR($Q117='Feasibility IQ'!$AA$9,$Q117='Feasibility IQ'!$AA$10),0,COUNTIF($O$2:$O$152,$Q117)))</f>
        <v>0</v>
      </c>
      <c r="T117" t="str">
        <f t="shared" si="19"/>
        <v/>
      </c>
      <c r="U117" t="str" cm="1">
        <f t="array" ref="U117">IF($S117=0,"",SUMPRODUCT(($S$2:$S$143&gt;0)*($T$2:$T$143&lt;$T117))+1)</f>
        <v/>
      </c>
    </row>
    <row r="118" spans="1:21" x14ac:dyDescent="0.3">
      <c r="A118">
        <f t="shared" si="10"/>
        <v>116</v>
      </c>
      <c r="B118">
        <f t="shared" si="11"/>
        <v>0.77333333333333332</v>
      </c>
      <c r="C118">
        <f>'Feasibility IQ'!$AA$4</f>
        <v>30.111529999999998</v>
      </c>
      <c r="D118">
        <f>'Feasibility IQ'!$AA$5</f>
        <v>31.39669</v>
      </c>
      <c r="E118">
        <f>'Feasibility IQ'!$AA$6</f>
        <v>-25.938960000000002</v>
      </c>
      <c r="F118">
        <f>'Feasibility IQ'!$AA$7</f>
        <v>27.926639999999999</v>
      </c>
      <c r="G118">
        <f>'Feasibility IQ'!$AA$8</f>
        <v>0.97998393122619054</v>
      </c>
      <c r="H118">
        <f t="shared" si="12"/>
        <v>0.26527460404187747</v>
      </c>
      <c r="I118">
        <f t="shared" si="13"/>
        <v>0.82766299924302578</v>
      </c>
      <c r="J118">
        <f t="shared" si="14"/>
        <v>0.85348748760331561</v>
      </c>
      <c r="K118">
        <f t="shared" si="15"/>
        <v>0.4681266442823514</v>
      </c>
      <c r="L118">
        <f t="shared" si="16"/>
        <v>-0.22894661696020957</v>
      </c>
      <c r="M118">
        <f t="shared" si="17"/>
        <v>-13.235062625139177</v>
      </c>
      <c r="N118">
        <f t="shared" si="18"/>
        <v>28.744188139872609</v>
      </c>
      <c r="O118" t="str" cm="1">
        <f t="array" ref="O118">IF($M118="","",IFERROR(IF(INDEX(geo_grid!$B$2:$JU$231,INT(($M118+40)/0.5)+1,INT(($N118+30)/0.5)+1)="","",INDEX(geo_grid!$B$2:$JU$231,INT(($M118+40)/0.5)+1,INT(($N118+30)/0.5)+1)),"OUTSIDE GRID"))</f>
        <v>ZMB</v>
      </c>
      <c r="Q118" t="str">
        <f>IF(countries!$D118="","",countries!$D118)</f>
        <v>MMR</v>
      </c>
      <c r="R118" t="str">
        <f>IF($Q118="","",countries!$B118)</f>
        <v>Myanmar</v>
      </c>
      <c r="S118">
        <f>IF($Q118="","",IF(OR($Q118='Feasibility IQ'!$AA$9,$Q118='Feasibility IQ'!$AA$10),0,COUNTIF($O$2:$O$152,$Q118)))</f>
        <v>0</v>
      </c>
      <c r="T118" t="str">
        <f t="shared" si="19"/>
        <v/>
      </c>
      <c r="U118" t="str" cm="1">
        <f t="array" ref="U118">IF($S118=0,"",SUMPRODUCT(($S$2:$S$143&gt;0)*($T$2:$T$143&lt;$T118))+1)</f>
        <v/>
      </c>
    </row>
    <row r="119" spans="1:21" x14ac:dyDescent="0.3">
      <c r="A119">
        <f t="shared" si="10"/>
        <v>117</v>
      </c>
      <c r="B119">
        <f t="shared" si="11"/>
        <v>0.78</v>
      </c>
      <c r="C119">
        <f>'Feasibility IQ'!$AA$4</f>
        <v>30.111529999999998</v>
      </c>
      <c r="D119">
        <f>'Feasibility IQ'!$AA$5</f>
        <v>31.39669</v>
      </c>
      <c r="E119">
        <f>'Feasibility IQ'!$AA$6</f>
        <v>-25.938960000000002</v>
      </c>
      <c r="F119">
        <f>'Feasibility IQ'!$AA$7</f>
        <v>27.926639999999999</v>
      </c>
      <c r="G119">
        <f>'Feasibility IQ'!$AA$8</f>
        <v>0.97998393122619054</v>
      </c>
      <c r="H119">
        <f t="shared" si="12"/>
        <v>0.25759555140566426</v>
      </c>
      <c r="I119">
        <f t="shared" si="13"/>
        <v>0.83335899848586115</v>
      </c>
      <c r="J119">
        <f t="shared" si="14"/>
        <v>0.85234304590191745</v>
      </c>
      <c r="K119">
        <f t="shared" si="15"/>
        <v>0.46706495436604634</v>
      </c>
      <c r="L119">
        <f t="shared" si="16"/>
        <v>-0.23529058737162559</v>
      </c>
      <c r="M119">
        <f t="shared" si="17"/>
        <v>-13.608752518060802</v>
      </c>
      <c r="N119">
        <f t="shared" si="18"/>
        <v>28.721757238886571</v>
      </c>
      <c r="O119" t="str" cm="1">
        <f t="array" ref="O119">IF($M119="","",IFERROR(IF(INDEX(geo_grid!$B$2:$JU$231,INT(($M119+40)/0.5)+1,INT(($N119+30)/0.5)+1)="","",INDEX(geo_grid!$B$2:$JU$231,INT(($M119+40)/0.5)+1,INT(($N119+30)/0.5)+1)),"OUTSIDE GRID"))</f>
        <v>ZMB</v>
      </c>
      <c r="Q119" t="str">
        <f>IF(countries!$D119="","",countries!$D119)</f>
        <v>MNE</v>
      </c>
      <c r="R119" t="str">
        <f>IF($Q119="","",countries!$B119)</f>
        <v>Montenegro</v>
      </c>
      <c r="S119">
        <f>IF($Q119="","",IF(OR($Q119='Feasibility IQ'!$AA$9,$Q119='Feasibility IQ'!$AA$10),0,COUNTIF($O$2:$O$152,$Q119)))</f>
        <v>0</v>
      </c>
      <c r="T119" t="str">
        <f t="shared" si="19"/>
        <v/>
      </c>
      <c r="U119" t="str" cm="1">
        <f t="array" ref="U119">IF($S119=0,"",SUMPRODUCT(($S$2:$S$143&gt;0)*($T$2:$T$143&lt;$T119))+1)</f>
        <v/>
      </c>
    </row>
    <row r="120" spans="1:21" x14ac:dyDescent="0.3">
      <c r="A120">
        <f t="shared" si="10"/>
        <v>118</v>
      </c>
      <c r="B120">
        <f t="shared" si="11"/>
        <v>0.78666666666666663</v>
      </c>
      <c r="C120">
        <f>'Feasibility IQ'!$AA$4</f>
        <v>30.111529999999998</v>
      </c>
      <c r="D120">
        <f>'Feasibility IQ'!$AA$5</f>
        <v>31.39669</v>
      </c>
      <c r="E120">
        <f>'Feasibility IQ'!$AA$6</f>
        <v>-25.938960000000002</v>
      </c>
      <c r="F120">
        <f>'Feasibility IQ'!$AA$7</f>
        <v>27.926639999999999</v>
      </c>
      <c r="G120">
        <f>'Feasibility IQ'!$AA$8</f>
        <v>0.97998393122619054</v>
      </c>
      <c r="H120">
        <f t="shared" si="12"/>
        <v>0.2499055038461275</v>
      </c>
      <c r="I120">
        <f t="shared" si="13"/>
        <v>0.83901942755584413</v>
      </c>
      <c r="J120">
        <f t="shared" si="14"/>
        <v>0.85116222373360517</v>
      </c>
      <c r="K120">
        <f t="shared" si="15"/>
        <v>0.46598332876633219</v>
      </c>
      <c r="L120">
        <f t="shared" si="16"/>
        <v>-0.241624514900108</v>
      </c>
      <c r="M120">
        <f t="shared" si="17"/>
        <v>-13.982440396425282</v>
      </c>
      <c r="N120">
        <f t="shared" si="18"/>
        <v>28.699255391813704</v>
      </c>
      <c r="O120" t="str" cm="1">
        <f t="array" ref="O120">IF($M120="","",IFERROR(IF(INDEX(geo_grid!$B$2:$JU$231,INT(($M120+40)/0.5)+1,INT(($N120+30)/0.5)+1)="","",INDEX(geo_grid!$B$2:$JU$231,INT(($M120+40)/0.5)+1,INT(($N120+30)/0.5)+1)),"OUTSIDE GRID"))</f>
        <v>ZMB</v>
      </c>
      <c r="Q120" t="str">
        <f>IF(countries!$D120="","",countries!$D120)</f>
        <v>MNG</v>
      </c>
      <c r="R120" t="str">
        <f>IF($Q120="","",countries!$B120)</f>
        <v>Mongolia</v>
      </c>
      <c r="S120">
        <f>IF($Q120="","",IF(OR($Q120='Feasibility IQ'!$AA$9,$Q120='Feasibility IQ'!$AA$10),0,COUNTIF($O$2:$O$152,$Q120)))</f>
        <v>0</v>
      </c>
      <c r="T120" t="str">
        <f t="shared" si="19"/>
        <v/>
      </c>
      <c r="U120" t="str" cm="1">
        <f t="array" ref="U120">IF($S120=0,"",SUMPRODUCT(($S$2:$S$143&gt;0)*($T$2:$T$143&lt;$T120))+1)</f>
        <v/>
      </c>
    </row>
    <row r="121" spans="1:21" x14ac:dyDescent="0.3">
      <c r="A121">
        <f t="shared" si="10"/>
        <v>119</v>
      </c>
      <c r="B121">
        <f t="shared" si="11"/>
        <v>0.79333333333333333</v>
      </c>
      <c r="C121">
        <f>'Feasibility IQ'!$AA$4</f>
        <v>30.111529999999998</v>
      </c>
      <c r="D121">
        <f>'Feasibility IQ'!$AA$5</f>
        <v>31.39669</v>
      </c>
      <c r="E121">
        <f>'Feasibility IQ'!$AA$6</f>
        <v>-25.938960000000002</v>
      </c>
      <c r="F121">
        <f>'Feasibility IQ'!$AA$7</f>
        <v>27.926639999999999</v>
      </c>
      <c r="G121">
        <f>'Feasibility IQ'!$AA$8</f>
        <v>0.97998393122619054</v>
      </c>
      <c r="H121">
        <f t="shared" si="12"/>
        <v>0.24220478959674299</v>
      </c>
      <c r="I121">
        <f t="shared" si="13"/>
        <v>0.84464404484948741</v>
      </c>
      <c r="J121">
        <f t="shared" si="14"/>
        <v>0.84994507149928467</v>
      </c>
      <c r="K121">
        <f t="shared" si="15"/>
        <v>0.46488181365011827</v>
      </c>
      <c r="L121">
        <f t="shared" si="16"/>
        <v>-0.24794812919530701</v>
      </c>
      <c r="M121">
        <f t="shared" si="17"/>
        <v>-14.356126196038167</v>
      </c>
      <c r="N121">
        <f t="shared" si="18"/>
        <v>28.67668033833646</v>
      </c>
      <c r="O121" t="str" cm="1">
        <f t="array" ref="O121">IF($M121="","",IFERROR(IF(INDEX(geo_grid!$B$2:$JU$231,INT(($M121+40)/0.5)+1,INT(($N121+30)/0.5)+1)="","",INDEX(geo_grid!$B$2:$JU$231,INT(($M121+40)/0.5)+1,INT(($N121+30)/0.5)+1)),"OUTSIDE GRID"))</f>
        <v>ZMB</v>
      </c>
      <c r="Q121" t="str">
        <f>IF(countries!$D121="","",countries!$D121)</f>
        <v>MYS</v>
      </c>
      <c r="R121" t="str">
        <f>IF($Q121="","",countries!$B121)</f>
        <v>Malaysia</v>
      </c>
      <c r="S121">
        <f>IF($Q121="","",IF(OR($Q121='Feasibility IQ'!$AA$9,$Q121='Feasibility IQ'!$AA$10),0,COUNTIF($O$2:$O$152,$Q121)))</f>
        <v>0</v>
      </c>
      <c r="T121" t="str">
        <f t="shared" si="19"/>
        <v/>
      </c>
      <c r="U121" t="str" cm="1">
        <f t="array" ref="U121">IF($S121=0,"",SUMPRODUCT(($S$2:$S$143&gt;0)*($T$2:$T$143&lt;$T121))+1)</f>
        <v/>
      </c>
    </row>
    <row r="122" spans="1:21" x14ac:dyDescent="0.3">
      <c r="A122">
        <f t="shared" si="10"/>
        <v>120</v>
      </c>
      <c r="B122">
        <f t="shared" si="11"/>
        <v>0.8</v>
      </c>
      <c r="C122">
        <f>'Feasibility IQ'!$AA$4</f>
        <v>30.111529999999998</v>
      </c>
      <c r="D122">
        <f>'Feasibility IQ'!$AA$5</f>
        <v>31.39669</v>
      </c>
      <c r="E122">
        <f>'Feasibility IQ'!$AA$6</f>
        <v>-25.938960000000002</v>
      </c>
      <c r="F122">
        <f>'Feasibility IQ'!$AA$7</f>
        <v>27.926639999999999</v>
      </c>
      <c r="G122">
        <f>'Feasibility IQ'!$AA$8</f>
        <v>0.97998393122619054</v>
      </c>
      <c r="H122">
        <f t="shared" si="12"/>
        <v>0.23449373734627221</v>
      </c>
      <c r="I122">
        <f t="shared" si="13"/>
        <v>0.85023261029185337</v>
      </c>
      <c r="J122">
        <f t="shared" si="14"/>
        <v>0.84869164115053408</v>
      </c>
      <c r="K122">
        <f t="shared" si="15"/>
        <v>0.46376045603325633</v>
      </c>
      <c r="L122">
        <f t="shared" si="16"/>
        <v>-0.25426116034707091</v>
      </c>
      <c r="M122">
        <f t="shared" si="17"/>
        <v>-14.729809851932062</v>
      </c>
      <c r="N122">
        <f t="shared" si="18"/>
        <v>28.654029790956127</v>
      </c>
      <c r="O122" t="str" cm="1">
        <f t="array" ref="O122">IF($M122="","",IFERROR(IF(INDEX(geo_grid!$B$2:$JU$231,INT(($M122+40)/0.5)+1,INT(($N122+30)/0.5)+1)="","",INDEX(geo_grid!$B$2:$JU$231,INT(($M122+40)/0.5)+1,INT(($N122+30)/0.5)+1)),"OUTSIDE GRID"))</f>
        <v>ZMB</v>
      </c>
      <c r="Q122" t="str">
        <f>IF(countries!$D122="","",countries!$D122)</f>
        <v>NLD</v>
      </c>
      <c r="R122" t="str">
        <f>IF($Q122="","",countries!$B122)</f>
        <v>Netherlands</v>
      </c>
      <c r="S122">
        <f>IF($Q122="","",IF(OR($Q122='Feasibility IQ'!$AA$9,$Q122='Feasibility IQ'!$AA$10),0,COUNTIF($O$2:$O$152,$Q122)))</f>
        <v>0</v>
      </c>
      <c r="T122" t="str">
        <f t="shared" si="19"/>
        <v/>
      </c>
      <c r="U122" t="str" cm="1">
        <f t="array" ref="U122">IF($S122=0,"",SUMPRODUCT(($S$2:$S$143&gt;0)*($T$2:$T$143&lt;$T122))+1)</f>
        <v/>
      </c>
    </row>
    <row r="123" spans="1:21" x14ac:dyDescent="0.3">
      <c r="A123">
        <f t="shared" si="10"/>
        <v>121</v>
      </c>
      <c r="B123">
        <f t="shared" si="11"/>
        <v>0.80666666666666664</v>
      </c>
      <c r="C123">
        <f>'Feasibility IQ'!$AA$4</f>
        <v>30.111529999999998</v>
      </c>
      <c r="D123">
        <f>'Feasibility IQ'!$AA$5</f>
        <v>31.39669</v>
      </c>
      <c r="E123">
        <f>'Feasibility IQ'!$AA$6</f>
        <v>-25.938960000000002</v>
      </c>
      <c r="F123">
        <f>'Feasibility IQ'!$AA$7</f>
        <v>27.926639999999999</v>
      </c>
      <c r="G123">
        <f>'Feasibility IQ'!$AA$8</f>
        <v>0.97998393122619054</v>
      </c>
      <c r="H123">
        <f t="shared" si="12"/>
        <v>0.22677267622473238</v>
      </c>
      <c r="I123">
        <f t="shared" si="13"/>
        <v>0.85578488534680197</v>
      </c>
      <c r="J123">
        <f t="shared" si="14"/>
        <v>0.84740198618738716</v>
      </c>
      <c r="K123">
        <f t="shared" si="15"/>
        <v>0.46261930377853361</v>
      </c>
      <c r="L123">
        <f t="shared" si="16"/>
        <v>-0.26056333889696731</v>
      </c>
      <c r="M123">
        <f t="shared" si="17"/>
        <v>-15.103491298338696</v>
      </c>
      <c r="N123">
        <f t="shared" si="18"/>
        <v>28.631301434009394</v>
      </c>
      <c r="O123" t="str" cm="1">
        <f t="array" ref="O123">IF($M123="","",IFERROR(IF(INDEX(geo_grid!$B$2:$JU$231,INT(($M123+40)/0.5)+1,INT(($N123+30)/0.5)+1)="","",INDEX(geo_grid!$B$2:$JU$231,INT(($M123+40)/0.5)+1,INT(($N123+30)/0.5)+1)),"OUTSIDE GRID"))</f>
        <v>ZMB</v>
      </c>
      <c r="Q123" t="str">
        <f>IF(countries!$D123="","",countries!$D123)</f>
        <v>NOR</v>
      </c>
      <c r="R123" t="str">
        <f>IF($Q123="","",countries!$B123)</f>
        <v>Norway</v>
      </c>
      <c r="S123">
        <f>IF($Q123="","",IF(OR($Q123='Feasibility IQ'!$AA$9,$Q123='Feasibility IQ'!$AA$10),0,COUNTIF($O$2:$O$152,$Q123)))</f>
        <v>0</v>
      </c>
      <c r="T123" t="str">
        <f t="shared" si="19"/>
        <v/>
      </c>
      <c r="U123" t="str" cm="1">
        <f t="array" ref="U123">IF($S123=0,"",SUMPRODUCT(($S$2:$S$143&gt;0)*($T$2:$T$143&lt;$T123))+1)</f>
        <v/>
      </c>
    </row>
    <row r="124" spans="1:21" x14ac:dyDescent="0.3">
      <c r="A124">
        <f t="shared" si="10"/>
        <v>122</v>
      </c>
      <c r="B124">
        <f t="shared" si="11"/>
        <v>0.81333333333333335</v>
      </c>
      <c r="C124">
        <f>'Feasibility IQ'!$AA$4</f>
        <v>30.111529999999998</v>
      </c>
      <c r="D124">
        <f>'Feasibility IQ'!$AA$5</f>
        <v>31.39669</v>
      </c>
      <c r="E124">
        <f>'Feasibility IQ'!$AA$6</f>
        <v>-25.938960000000002</v>
      </c>
      <c r="F124">
        <f>'Feasibility IQ'!$AA$7</f>
        <v>27.926639999999999</v>
      </c>
      <c r="G124">
        <f>'Feasibility IQ'!$AA$8</f>
        <v>0.97998393122619054</v>
      </c>
      <c r="H124">
        <f t="shared" si="12"/>
        <v>0.21904193578934789</v>
      </c>
      <c r="I124">
        <f t="shared" si="13"/>
        <v>0.86130063302717197</v>
      </c>
      <c r="J124">
        <f t="shared" si="14"/>
        <v>0.84607616165604838</v>
      </c>
      <c r="K124">
        <f t="shared" si="15"/>
        <v>0.46145840559362938</v>
      </c>
      <c r="L124">
        <f t="shared" si="16"/>
        <v>-0.26685439584978454</v>
      </c>
      <c r="M124">
        <f t="shared" si="17"/>
        <v>-15.477170468660308</v>
      </c>
      <c r="N124">
        <f t="shared" si="18"/>
        <v>28.608492922661981</v>
      </c>
      <c r="O124" t="str" cm="1">
        <f t="array" ref="O124">IF($M124="","",IFERROR(IF(INDEX(geo_grid!$B$2:$JU$231,INT(($M124+40)/0.5)+1,INT(($N124+30)/0.5)+1)="","",INDEX(geo_grid!$B$2:$JU$231,INT(($M124+40)/0.5)+1,INT(($N124+30)/0.5)+1)),"OUTSIDE GRID"))</f>
        <v>ZMB</v>
      </c>
      <c r="Q124" t="str">
        <f>IF(countries!$D124="","",countries!$D124)</f>
        <v>NPL</v>
      </c>
      <c r="R124" t="str">
        <f>IF($Q124="","",countries!$B124)</f>
        <v>Nepal</v>
      </c>
      <c r="S124">
        <f>IF($Q124="","",IF(OR($Q124='Feasibility IQ'!$AA$9,$Q124='Feasibility IQ'!$AA$10),0,COUNTIF($O$2:$O$152,$Q124)))</f>
        <v>0</v>
      </c>
      <c r="T124" t="str">
        <f t="shared" si="19"/>
        <v/>
      </c>
      <c r="U124" t="str" cm="1">
        <f t="array" ref="U124">IF($S124=0,"",SUMPRODUCT(($S$2:$S$143&gt;0)*($T$2:$T$143&lt;$T124))+1)</f>
        <v/>
      </c>
    </row>
    <row r="125" spans="1:21" x14ac:dyDescent="0.3">
      <c r="A125">
        <f t="shared" si="10"/>
        <v>123</v>
      </c>
      <c r="B125">
        <f t="shared" si="11"/>
        <v>0.82</v>
      </c>
      <c r="C125">
        <f>'Feasibility IQ'!$AA$4</f>
        <v>30.111529999999998</v>
      </c>
      <c r="D125">
        <f>'Feasibility IQ'!$AA$5</f>
        <v>31.39669</v>
      </c>
      <c r="E125">
        <f>'Feasibility IQ'!$AA$6</f>
        <v>-25.938960000000002</v>
      </c>
      <c r="F125">
        <f>'Feasibility IQ'!$AA$7</f>
        <v>27.926639999999999</v>
      </c>
      <c r="G125">
        <f>'Feasibility IQ'!$AA$8</f>
        <v>0.97998393122619054</v>
      </c>
      <c r="H125">
        <f t="shared" si="12"/>
        <v>0.21130184601048485</v>
      </c>
      <c r="I125">
        <f t="shared" si="13"/>
        <v>0.8667796179048961</v>
      </c>
      <c r="J125">
        <f t="shared" si="14"/>
        <v>0.84471422414654418</v>
      </c>
      <c r="K125">
        <f t="shared" si="15"/>
        <v>0.46027781102903664</v>
      </c>
      <c r="L125">
        <f t="shared" si="16"/>
        <v>-0.2731340626850125</v>
      </c>
      <c r="M125">
        <f t="shared" si="17"/>
        <v>-15.850847295440271</v>
      </c>
      <c r="N125">
        <f t="shared" si="18"/>
        <v>28.585601881878365</v>
      </c>
      <c r="O125" t="str" cm="1">
        <f t="array" ref="O125">IF($M125="","",IFERROR(IF(INDEX(geo_grid!$B$2:$JU$231,INT(($M125+40)/0.5)+1,INT(($N125+30)/0.5)+1)="","",INDEX(geo_grid!$B$2:$JU$231,INT(($M125+40)/0.5)+1,INT(($N125+30)/0.5)+1)),"OUTSIDE GRID"))</f>
        <v>ZMB</v>
      </c>
      <c r="Q125" t="str">
        <f>IF(countries!$D125="","",countries!$D125)</f>
        <v>PAK</v>
      </c>
      <c r="R125" t="str">
        <f>IF($Q125="","",countries!$B125)</f>
        <v>Pakistan</v>
      </c>
      <c r="S125">
        <f>IF($Q125="","",IF(OR($Q125='Feasibility IQ'!$AA$9,$Q125='Feasibility IQ'!$AA$10),0,COUNTIF($O$2:$O$152,$Q125)))</f>
        <v>0</v>
      </c>
      <c r="T125" t="str">
        <f t="shared" si="19"/>
        <v/>
      </c>
      <c r="U125" t="str" cm="1">
        <f t="array" ref="U125">IF($S125=0,"",SUMPRODUCT(($S$2:$S$143&gt;0)*($T$2:$T$143&lt;$T125))+1)</f>
        <v/>
      </c>
    </row>
    <row r="126" spans="1:21" x14ac:dyDescent="0.3">
      <c r="A126">
        <f t="shared" si="10"/>
        <v>124</v>
      </c>
      <c r="B126">
        <f t="shared" si="11"/>
        <v>0.82666666666666666</v>
      </c>
      <c r="C126">
        <f>'Feasibility IQ'!$AA$4</f>
        <v>30.111529999999998</v>
      </c>
      <c r="D126">
        <f>'Feasibility IQ'!$AA$5</f>
        <v>31.39669</v>
      </c>
      <c r="E126">
        <f>'Feasibility IQ'!$AA$6</f>
        <v>-25.938960000000002</v>
      </c>
      <c r="F126">
        <f>'Feasibility IQ'!$AA$7</f>
        <v>27.926639999999999</v>
      </c>
      <c r="G126">
        <f>'Feasibility IQ'!$AA$8</f>
        <v>0.97998393122619054</v>
      </c>
      <c r="H126">
        <f t="shared" si="12"/>
        <v>0.20355273725756573</v>
      </c>
      <c r="I126">
        <f t="shared" si="13"/>
        <v>0.8722216061210496</v>
      </c>
      <c r="J126">
        <f t="shared" si="14"/>
        <v>0.84331623179030712</v>
      </c>
      <c r="K126">
        <f t="shared" si="15"/>
        <v>0.45907757047594638</v>
      </c>
      <c r="L126">
        <f t="shared" si="16"/>
        <v>-0.27940207136830453</v>
      </c>
      <c r="M126">
        <f t="shared" si="17"/>
        <v>-16.224521710333139</v>
      </c>
      <c r="N126">
        <f t="shared" si="18"/>
        <v>28.562625905366559</v>
      </c>
      <c r="O126" t="str" cm="1">
        <f t="array" ref="O126">IF($M126="","",IFERROR(IF(INDEX(geo_grid!$B$2:$JU$231,INT(($M126+40)/0.5)+1,INT(($N126+30)/0.5)+1)="","",INDEX(geo_grid!$B$2:$JU$231,INT(($M126+40)/0.5)+1,INT(($N126+30)/0.5)+1)),"OUTSIDE GRID"))</f>
        <v>ZMB</v>
      </c>
      <c r="Q126" t="str">
        <f>IF(countries!$D126="","",countries!$D126)</f>
        <v>POL</v>
      </c>
      <c r="R126" t="str">
        <f>IF($Q126="","",countries!$B126)</f>
        <v>Poland</v>
      </c>
      <c r="S126">
        <f>IF($Q126="","",IF(OR($Q126='Feasibility IQ'!$AA$9,$Q126='Feasibility IQ'!$AA$10),0,COUNTIF($O$2:$O$152,$Q126)))</f>
        <v>0</v>
      </c>
      <c r="T126" t="str">
        <f t="shared" si="19"/>
        <v/>
      </c>
      <c r="U126" t="str" cm="1">
        <f t="array" ref="U126">IF($S126=0,"",SUMPRODUCT(($S$2:$S$143&gt;0)*($T$2:$T$143&lt;$T126))+1)</f>
        <v/>
      </c>
    </row>
    <row r="127" spans="1:21" x14ac:dyDescent="0.3">
      <c r="A127">
        <f t="shared" si="10"/>
        <v>125</v>
      </c>
      <c r="B127">
        <f t="shared" si="11"/>
        <v>0.83333333333333337</v>
      </c>
      <c r="C127">
        <f>'Feasibility IQ'!$AA$4</f>
        <v>30.111529999999998</v>
      </c>
      <c r="D127">
        <f>'Feasibility IQ'!$AA$5</f>
        <v>31.39669</v>
      </c>
      <c r="E127">
        <f>'Feasibility IQ'!$AA$6</f>
        <v>-25.938960000000002</v>
      </c>
      <c r="F127">
        <f>'Feasibility IQ'!$AA$7</f>
        <v>27.926639999999999</v>
      </c>
      <c r="G127">
        <f>'Feasibility IQ'!$AA$8</f>
        <v>0.97998393122619054</v>
      </c>
      <c r="H127">
        <f t="shared" si="12"/>
        <v>0.19579494028496944</v>
      </c>
      <c r="I127">
        <f t="shared" si="13"/>
        <v>0.87762636539583272</v>
      </c>
      <c r="J127">
        <f t="shared" si="14"/>
        <v>0.84188224425769564</v>
      </c>
      <c r="K127">
        <f t="shared" si="15"/>
        <v>0.45785773516409795</v>
      </c>
      <c r="L127">
        <f t="shared" si="16"/>
        <v>-0.28565815436291758</v>
      </c>
      <c r="M127">
        <f t="shared" si="17"/>
        <v>-16.598193644073849</v>
      </c>
      <c r="N127">
        <f t="shared" si="18"/>
        <v>28.539562554496914</v>
      </c>
      <c r="O127" t="str" cm="1">
        <f t="array" ref="O127">IF($M127="","",IFERROR(IF(INDEX(geo_grid!$B$2:$JU$231,INT(($M127+40)/0.5)+1,INT(($N127+30)/0.5)+1)="","",INDEX(geo_grid!$B$2:$JU$231,INT(($M127+40)/0.5)+1,INT(($N127+30)/0.5)+1)),"OUTSIDE GRID"))</f>
        <v>ZWE</v>
      </c>
      <c r="Q127" t="str">
        <f>IF(countries!$D127="","",countries!$D127)</f>
        <v>PRT</v>
      </c>
      <c r="R127" t="str">
        <f>IF($Q127="","",countries!$B127)</f>
        <v>Portugal</v>
      </c>
      <c r="S127">
        <f>IF($Q127="","",IF(OR($Q127='Feasibility IQ'!$AA$9,$Q127='Feasibility IQ'!$AA$10),0,COUNTIF($O$2:$O$152,$Q127)))</f>
        <v>0</v>
      </c>
      <c r="T127" t="str">
        <f t="shared" si="19"/>
        <v/>
      </c>
      <c r="U127" t="str" cm="1">
        <f t="array" ref="U127">IF($S127=0,"",SUMPRODUCT(($S$2:$S$143&gt;0)*($T$2:$T$143&lt;$T127))+1)</f>
        <v/>
      </c>
    </row>
    <row r="128" spans="1:21" x14ac:dyDescent="0.3">
      <c r="A128">
        <f t="shared" si="10"/>
        <v>126</v>
      </c>
      <c r="B128">
        <f t="shared" si="11"/>
        <v>0.84</v>
      </c>
      <c r="C128">
        <f>'Feasibility IQ'!$AA$4</f>
        <v>30.111529999999998</v>
      </c>
      <c r="D128">
        <f>'Feasibility IQ'!$AA$5</f>
        <v>31.39669</v>
      </c>
      <c r="E128">
        <f>'Feasibility IQ'!$AA$6</f>
        <v>-25.938960000000002</v>
      </c>
      <c r="F128">
        <f>'Feasibility IQ'!$AA$7</f>
        <v>27.926639999999999</v>
      </c>
      <c r="G128">
        <f>'Feasibility IQ'!$AA$8</f>
        <v>0.97998393122619054</v>
      </c>
      <c r="H128">
        <f t="shared" si="12"/>
        <v>0.18802878621791314</v>
      </c>
      <c r="I128">
        <f t="shared" si="13"/>
        <v>0.88299366503848409</v>
      </c>
      <c r="J128">
        <f t="shared" si="14"/>
        <v>0.84041232275544542</v>
      </c>
      <c r="K128">
        <f t="shared" si="15"/>
        <v>0.45661835715959093</v>
      </c>
      <c r="L128">
        <f t="shared" si="16"/>
        <v>-0.29190204464113118</v>
      </c>
      <c r="M128">
        <f t="shared" si="17"/>
        <v>-16.971863026446165</v>
      </c>
      <c r="N128">
        <f t="shared" si="18"/>
        <v>28.516409357193915</v>
      </c>
      <c r="O128" t="str" cm="1">
        <f t="array" ref="O128">IF($M128="","",IFERROR(IF(INDEX(geo_grid!$B$2:$JU$231,INT(($M128+40)/0.5)+1,INT(($N128+30)/0.5)+1)="","",INDEX(geo_grid!$B$2:$JU$231,INT(($M128+40)/0.5)+1,INT(($N128+30)/0.5)+1)),"OUTSIDE GRID"))</f>
        <v>ZWE</v>
      </c>
      <c r="Q128" t="str">
        <f>IF(countries!$D128="","",countries!$D128)</f>
        <v>PSE</v>
      </c>
      <c r="R128" t="str">
        <f>IF($Q128="","",countries!$B128)</f>
        <v>Palestine</v>
      </c>
      <c r="S128">
        <f>IF($Q128="","",IF(OR($Q128='Feasibility IQ'!$AA$9,$Q128='Feasibility IQ'!$AA$10),0,COUNTIF($O$2:$O$152,$Q128)))</f>
        <v>0</v>
      </c>
      <c r="T128" t="str">
        <f t="shared" si="19"/>
        <v/>
      </c>
      <c r="U128" t="str" cm="1">
        <f t="array" ref="U128">IF($S128=0,"",SUMPRODUCT(($S$2:$S$143&gt;0)*($T$2:$T$143&lt;$T128))+1)</f>
        <v/>
      </c>
    </row>
    <row r="129" spans="1:21" x14ac:dyDescent="0.3">
      <c r="A129">
        <f t="shared" si="10"/>
        <v>127</v>
      </c>
      <c r="B129">
        <f t="shared" si="11"/>
        <v>0.84666666666666668</v>
      </c>
      <c r="C129">
        <f>'Feasibility IQ'!$AA$4</f>
        <v>30.111529999999998</v>
      </c>
      <c r="D129">
        <f>'Feasibility IQ'!$AA$5</f>
        <v>31.39669</v>
      </c>
      <c r="E129">
        <f>'Feasibility IQ'!$AA$6</f>
        <v>-25.938960000000002</v>
      </c>
      <c r="F129">
        <f>'Feasibility IQ'!$AA$7</f>
        <v>27.926639999999999</v>
      </c>
      <c r="G129">
        <f>'Feasibility IQ'!$AA$8</f>
        <v>0.97998393122619054</v>
      </c>
      <c r="H129">
        <f t="shared" si="12"/>
        <v>0.18025460653831865</v>
      </c>
      <c r="I129">
        <f t="shared" si="13"/>
        <v>0.88832327595712823</v>
      </c>
      <c r="J129">
        <f t="shared" si="14"/>
        <v>0.83890653002405902</v>
      </c>
      <c r="K129">
        <f t="shared" si="15"/>
        <v>0.45535948936266418</v>
      </c>
      <c r="L129">
        <f t="shared" si="16"/>
        <v>-0.29813347569564569</v>
      </c>
      <c r="M129">
        <f t="shared" si="17"/>
        <v>-17.34552978625041</v>
      </c>
      <c r="N129">
        <f t="shared" si="18"/>
        <v>28.493163806799732</v>
      </c>
      <c r="O129" t="str" cm="1">
        <f t="array" ref="O129">IF($M129="","",IFERROR(IF(INDEX(geo_grid!$B$2:$JU$231,INT(($M129+40)/0.5)+1,INT(($N129+30)/0.5)+1)="","",INDEX(geo_grid!$B$2:$JU$231,INT(($M129+40)/0.5)+1,INT(($N129+30)/0.5)+1)),"OUTSIDE GRID"))</f>
        <v>ZWE</v>
      </c>
      <c r="Q129" t="str">
        <f>IF(countries!$D129="","",countries!$D129)</f>
        <v>ROU</v>
      </c>
      <c r="R129" t="str">
        <f>IF($Q129="","",countries!$B129)</f>
        <v>Romania</v>
      </c>
      <c r="S129">
        <f>IF($Q129="","",IF(OR($Q129='Feasibility IQ'!$AA$9,$Q129='Feasibility IQ'!$AA$10),0,COUNTIF($O$2:$O$152,$Q129)))</f>
        <v>0</v>
      </c>
      <c r="T129" t="str">
        <f t="shared" si="19"/>
        <v/>
      </c>
      <c r="U129" t="str" cm="1">
        <f t="array" ref="U129">IF($S129=0,"",SUMPRODUCT(($S$2:$S$143&gt;0)*($T$2:$T$143&lt;$T129))+1)</f>
        <v/>
      </c>
    </row>
    <row r="130" spans="1:21" x14ac:dyDescent="0.3">
      <c r="A130">
        <f t="shared" si="10"/>
        <v>128</v>
      </c>
      <c r="B130">
        <f t="shared" si="11"/>
        <v>0.85333333333333339</v>
      </c>
      <c r="C130">
        <f>'Feasibility IQ'!$AA$4</f>
        <v>30.111529999999998</v>
      </c>
      <c r="D130">
        <f>'Feasibility IQ'!$AA$5</f>
        <v>31.39669</v>
      </c>
      <c r="E130">
        <f>'Feasibility IQ'!$AA$6</f>
        <v>-25.938960000000002</v>
      </c>
      <c r="F130">
        <f>'Feasibility IQ'!$AA$7</f>
        <v>27.926639999999999</v>
      </c>
      <c r="G130">
        <f>'Feasibility IQ'!$AA$8</f>
        <v>0.97998393122619054</v>
      </c>
      <c r="H130">
        <f t="shared" si="12"/>
        <v>0.17247273307066444</v>
      </c>
      <c r="I130">
        <f t="shared" si="13"/>
        <v>0.89361497066855333</v>
      </c>
      <c r="J130">
        <f t="shared" si="14"/>
        <v>0.83736493033512582</v>
      </c>
      <c r="K130">
        <f t="shared" si="15"/>
        <v>0.4540811855054368</v>
      </c>
      <c r="L130">
        <f t="shared" si="16"/>
        <v>-0.304352181550957</v>
      </c>
      <c r="M130">
        <f t="shared" si="17"/>
        <v>-17.719193851270219</v>
      </c>
      <c r="N130">
        <f t="shared" si="18"/>
        <v>28.46982336090856</v>
      </c>
      <c r="O130" t="str" cm="1">
        <f t="array" ref="O130">IF($M130="","",IFERROR(IF(INDEX(geo_grid!$B$2:$JU$231,INT(($M130+40)/0.5)+1,INT(($N130+30)/0.5)+1)="","",INDEX(geo_grid!$B$2:$JU$231,INT(($M130+40)/0.5)+1,INT(($N130+30)/0.5)+1)),"OUTSIDE GRID"))</f>
        <v>ZWE</v>
      </c>
      <c r="Q130" t="str">
        <f>IF(countries!$D130="","",countries!$D130)</f>
        <v>RUS</v>
      </c>
      <c r="R130" t="str">
        <f>IF($Q130="","",countries!$B130)</f>
        <v>Russia</v>
      </c>
      <c r="S130">
        <f>IF($Q130="","",IF(OR($Q130='Feasibility IQ'!$AA$9,$Q130='Feasibility IQ'!$AA$10),0,COUNTIF($O$2:$O$152,$Q130)))</f>
        <v>0</v>
      </c>
      <c r="T130" t="str">
        <f t="shared" si="19"/>
        <v/>
      </c>
      <c r="U130" t="str" cm="1">
        <f t="array" ref="U130">IF($S130=0,"",SUMPRODUCT(($S$2:$S$143&gt;0)*($T$2:$T$143&lt;$T130))+1)</f>
        <v/>
      </c>
    </row>
    <row r="131" spans="1:21" x14ac:dyDescent="0.3">
      <c r="A131">
        <f t="shared" ref="A131:A152" si="20">ROW()-2</f>
        <v>129</v>
      </c>
      <c r="B131">
        <f t="shared" ref="B131:B152" si="21">$A131/150</f>
        <v>0.86</v>
      </c>
      <c r="C131">
        <f>'Feasibility IQ'!$AA$4</f>
        <v>30.111529999999998</v>
      </c>
      <c r="D131">
        <f>'Feasibility IQ'!$AA$5</f>
        <v>31.39669</v>
      </c>
      <c r="E131">
        <f>'Feasibility IQ'!$AA$6</f>
        <v>-25.938960000000002</v>
      </c>
      <c r="F131">
        <f>'Feasibility IQ'!$AA$7</f>
        <v>27.926639999999999</v>
      </c>
      <c r="G131">
        <f>'Feasibility IQ'!$AA$8</f>
        <v>0.97998393122619054</v>
      </c>
      <c r="H131">
        <f t="shared" ref="H131:H152" si="22">IF(OR($G131="",$G131=0),"",SIN((1-$B131)*$G131)/SIN($G131))</f>
        <v>0.16468349796782222</v>
      </c>
      <c r="I131">
        <f t="shared" ref="I131:I152" si="23">IF($H131="","",SIN($B131*$G131)/SIN($G131))</f>
        <v>0.89886852330792077</v>
      </c>
      <c r="J131">
        <f t="shared" ref="J131:J152" si="24">IF($H131="","",$H131*COS(RADIANS($C131))*COS(RADIANS($D131))+$I131*COS(RADIANS($E131))*COS(RADIANS($F131)))</f>
        <v>0.83578758948858056</v>
      </c>
      <c r="K131">
        <f t="shared" ref="K131:K152" si="25">IF($H131="","",$H131*COS(RADIANS($C131))*SIN(RADIANS($D131))+$I131*COS(RADIANS($E131))*SIN(RADIANS($F131)))</f>
        <v>0.4527835001496156</v>
      </c>
      <c r="L131">
        <f t="shared" ref="L131:L152" si="26">IF($H131="","",$H131*SIN(RADIANS($C131))+$I131*SIN(RADIANS($E131)))</f>
        <v>-0.31055789677470919</v>
      </c>
      <c r="M131">
        <f t="shared" ref="M131:M152" si="27">IF($L131="","",DEGREES(ATAN2(SQRT($J131^2+$K131^2),$L131)))</f>
        <v>-18.092855148238549</v>
      </c>
      <c r="N131">
        <f t="shared" ref="N131:N152" si="28">IF($L131="","",DEGREES(ATAN2($J131,$K131)))</f>
        <v>28.446385440170332</v>
      </c>
      <c r="O131" t="str" cm="1">
        <f t="array" ref="O131">IF($M131="","",IFERROR(IF(INDEX(geo_grid!$B$2:$JU$231,INT(($M131+40)/0.5)+1,INT(($N131+30)/0.5)+1)="","",INDEX(geo_grid!$B$2:$JU$231,INT(($M131+40)/0.5)+1,INT(($N131+30)/0.5)+1)),"OUTSIDE GRID"))</f>
        <v>ZWE</v>
      </c>
      <c r="Q131" t="str">
        <f>IF(countries!$D131="","",countries!$D131)</f>
        <v>SOL</v>
      </c>
      <c r="R131" t="str">
        <f>IF($Q131="","",countries!$B131)</f>
        <v>Somaliland</v>
      </c>
      <c r="S131">
        <f>IF($Q131="","",IF(OR($Q131='Feasibility IQ'!$AA$9,$Q131='Feasibility IQ'!$AA$10),0,COUNTIF($O$2:$O$152,$Q131)))</f>
        <v>0</v>
      </c>
      <c r="T131" t="str">
        <f t="shared" ref="T131:T143" si="29">IF($S131=0,"",_xlfn.MINIFS($A$2:$A$152,$O$2:$O$152,$Q131))</f>
        <v/>
      </c>
      <c r="U131" t="str" cm="1">
        <f t="array" ref="U131">IF($S131=0,"",SUMPRODUCT(($S$2:$S$143&gt;0)*($T$2:$T$143&lt;$T131))+1)</f>
        <v/>
      </c>
    </row>
    <row r="132" spans="1:21" x14ac:dyDescent="0.3">
      <c r="A132">
        <f t="shared" si="20"/>
        <v>130</v>
      </c>
      <c r="B132">
        <f t="shared" si="21"/>
        <v>0.8666666666666667</v>
      </c>
      <c r="C132">
        <f>'Feasibility IQ'!$AA$4</f>
        <v>30.111529999999998</v>
      </c>
      <c r="D132">
        <f>'Feasibility IQ'!$AA$5</f>
        <v>31.39669</v>
      </c>
      <c r="E132">
        <f>'Feasibility IQ'!$AA$6</f>
        <v>-25.938960000000002</v>
      </c>
      <c r="F132">
        <f>'Feasibility IQ'!$AA$7</f>
        <v>27.926639999999999</v>
      </c>
      <c r="G132">
        <f>'Feasibility IQ'!$AA$8</f>
        <v>0.97998393122619054</v>
      </c>
      <c r="H132">
        <f t="shared" si="22"/>
        <v>0.15688723369687907</v>
      </c>
      <c r="I132">
        <f t="shared" si="23"/>
        <v>0.90408370963840623</v>
      </c>
      <c r="J132">
        <f t="shared" si="24"/>
        <v>0.83417457480989321</v>
      </c>
      <c r="K132">
        <f t="shared" si="25"/>
        <v>0.45146648868416539</v>
      </c>
      <c r="L132">
        <f t="shared" si="26"/>
        <v>-0.31675035648902439</v>
      </c>
      <c r="M132">
        <f t="shared" si="27"/>
        <v>-18.466513602802735</v>
      </c>
      <c r="N132">
        <f t="shared" si="28"/>
        <v>28.422847427062692</v>
      </c>
      <c r="O132" t="str" cm="1">
        <f t="array" ref="O132">IF($M132="","",IFERROR(IF(INDEX(geo_grid!$B$2:$JU$231,INT(($M132+40)/0.5)+1,INT(($N132+30)/0.5)+1)="","",INDEX(geo_grid!$B$2:$JU$231,INT(($M132+40)/0.5)+1,INT(($N132+30)/0.5)+1)),"OUTSIDE GRID"))</f>
        <v>ZWE</v>
      </c>
      <c r="Q132" t="str">
        <f>IF(countries!$D132="","",countries!$D132)</f>
        <v>SRB</v>
      </c>
      <c r="R132" t="str">
        <f>IF($Q132="","",countries!$B132)</f>
        <v>Serbia</v>
      </c>
      <c r="S132">
        <f>IF($Q132="","",IF(OR($Q132='Feasibility IQ'!$AA$9,$Q132='Feasibility IQ'!$AA$10),0,COUNTIF($O$2:$O$152,$Q132)))</f>
        <v>0</v>
      </c>
      <c r="T132" t="str">
        <f t="shared" si="29"/>
        <v/>
      </c>
      <c r="U132" t="str" cm="1">
        <f t="array" ref="U132">IF($S132=0,"",SUMPRODUCT(($S$2:$S$143&gt;0)*($T$2:$T$143&lt;$T132))+1)</f>
        <v/>
      </c>
    </row>
    <row r="133" spans="1:21" x14ac:dyDescent="0.3">
      <c r="A133">
        <f t="shared" si="20"/>
        <v>131</v>
      </c>
      <c r="B133">
        <f t="shared" si="21"/>
        <v>0.87333333333333329</v>
      </c>
      <c r="C133">
        <f>'Feasibility IQ'!$AA$4</f>
        <v>30.111529999999998</v>
      </c>
      <c r="D133">
        <f>'Feasibility IQ'!$AA$5</f>
        <v>31.39669</v>
      </c>
      <c r="E133">
        <f>'Feasibility IQ'!$AA$6</f>
        <v>-25.938960000000002</v>
      </c>
      <c r="F133">
        <f>'Feasibility IQ'!$AA$7</f>
        <v>27.926639999999999</v>
      </c>
      <c r="G133">
        <f>'Feasibility IQ'!$AA$8</f>
        <v>0.97998393122619054</v>
      </c>
      <c r="H133">
        <f t="shared" si="22"/>
        <v>0.14908427302494798</v>
      </c>
      <c r="I133">
        <f t="shared" si="23"/>
        <v>0.9092603070607701</v>
      </c>
      <c r="J133">
        <f t="shared" si="24"/>
        <v>0.83252595514719696</v>
      </c>
      <c r="K133">
        <f t="shared" si="25"/>
        <v>0.45013020732294562</v>
      </c>
      <c r="L133">
        <f t="shared" si="26"/>
        <v>-0.32292929638180778</v>
      </c>
      <c r="M133">
        <f t="shared" si="27"/>
        <v>-18.84016913948853</v>
      </c>
      <c r="N133">
        <f t="shared" si="28"/>
        <v>28.399206664629887</v>
      </c>
      <c r="O133" t="str" cm="1">
        <f t="array" ref="O133">IF($M133="","",IFERROR(IF(INDEX(geo_grid!$B$2:$JU$231,INT(($M133+40)/0.5)+1,INT(($N133+30)/0.5)+1)="","",INDEX(geo_grid!$B$2:$JU$231,INT(($M133+40)/0.5)+1,INT(($N133+30)/0.5)+1)),"OUTSIDE GRID"))</f>
        <v>ZWE</v>
      </c>
      <c r="Q133" t="str">
        <f>IF(countries!$D133="","",countries!$D133)</f>
        <v>SVK</v>
      </c>
      <c r="R133" t="str">
        <f>IF($Q133="","",countries!$B133)</f>
        <v>Slovakia</v>
      </c>
      <c r="S133">
        <f>IF($Q133="","",IF(OR($Q133='Feasibility IQ'!$AA$9,$Q133='Feasibility IQ'!$AA$10),0,COUNTIF($O$2:$O$152,$Q133)))</f>
        <v>0</v>
      </c>
      <c r="T133" t="str">
        <f t="shared" si="29"/>
        <v/>
      </c>
      <c r="U133" t="str" cm="1">
        <f t="array" ref="U133">IF($S133=0,"",SUMPRODUCT(($S$2:$S$143&gt;0)*($T$2:$T$143&lt;$T133))+1)</f>
        <v/>
      </c>
    </row>
    <row r="134" spans="1:21" x14ac:dyDescent="0.3">
      <c r="A134">
        <f t="shared" si="20"/>
        <v>132</v>
      </c>
      <c r="B134">
        <f t="shared" si="21"/>
        <v>0.88</v>
      </c>
      <c r="C134">
        <f>'Feasibility IQ'!$AA$4</f>
        <v>30.111529999999998</v>
      </c>
      <c r="D134">
        <f>'Feasibility IQ'!$AA$5</f>
        <v>31.39669</v>
      </c>
      <c r="E134">
        <f>'Feasibility IQ'!$AA$6</f>
        <v>-25.938960000000002</v>
      </c>
      <c r="F134">
        <f>'Feasibility IQ'!$AA$7</f>
        <v>27.926639999999999</v>
      </c>
      <c r="G134">
        <f>'Feasibility IQ'!$AA$8</f>
        <v>0.97998393122619054</v>
      </c>
      <c r="H134">
        <f t="shared" si="22"/>
        <v>0.14127494900496301</v>
      </c>
      <c r="I134">
        <f t="shared" si="23"/>
        <v>0.91439809462285926</v>
      </c>
      <c r="J134">
        <f t="shared" si="24"/>
        <v>0.83084180086834769</v>
      </c>
      <c r="K134">
        <f t="shared" si="25"/>
        <v>0.44877471310231026</v>
      </c>
      <c r="L134">
        <f t="shared" si="26"/>
        <v>-0.32909445271803006</v>
      </c>
      <c r="M134">
        <f t="shared" si="27"/>
        <v>-19.21382168166333</v>
      </c>
      <c r="N134">
        <f t="shared" si="28"/>
        <v>28.375460455187234</v>
      </c>
      <c r="O134" t="str" cm="1">
        <f t="array" ref="O134">IF($M134="","",IFERROR(IF(INDEX(geo_grid!$B$2:$JU$231,INT(($M134+40)/0.5)+1,INT(($N134+30)/0.5)+1)="","",INDEX(geo_grid!$B$2:$JU$231,INT(($M134+40)/0.5)+1,INT(($N134+30)/0.5)+1)),"OUTSIDE GRID"))</f>
        <v>ZWE</v>
      </c>
      <c r="Q134" t="str">
        <f>IF(countries!$D134="","",countries!$D134)</f>
        <v>SVN</v>
      </c>
      <c r="R134" t="str">
        <f>IF($Q134="","",countries!$B134)</f>
        <v>Slovenia</v>
      </c>
      <c r="S134">
        <f>IF($Q134="","",IF(OR($Q134='Feasibility IQ'!$AA$9,$Q134='Feasibility IQ'!$AA$10),0,COUNTIF($O$2:$O$152,$Q134)))</f>
        <v>0</v>
      </c>
      <c r="T134" t="str">
        <f t="shared" si="29"/>
        <v/>
      </c>
      <c r="U134" t="str" cm="1">
        <f t="array" ref="U134">IF($S134=0,"",SUMPRODUCT(($S$2:$S$143&gt;0)*($T$2:$T$143&lt;$T134))+1)</f>
        <v/>
      </c>
    </row>
    <row r="135" spans="1:21" x14ac:dyDescent="0.3">
      <c r="A135">
        <f t="shared" si="20"/>
        <v>133</v>
      </c>
      <c r="B135">
        <f t="shared" si="21"/>
        <v>0.88666666666666671</v>
      </c>
      <c r="C135">
        <f>'Feasibility IQ'!$AA$4</f>
        <v>30.111529999999998</v>
      </c>
      <c r="D135">
        <f>'Feasibility IQ'!$AA$5</f>
        <v>31.39669</v>
      </c>
      <c r="E135">
        <f>'Feasibility IQ'!$AA$6</f>
        <v>-25.938960000000002</v>
      </c>
      <c r="F135">
        <f>'Feasibility IQ'!$AA$7</f>
        <v>27.926639999999999</v>
      </c>
      <c r="G135">
        <f>'Feasibility IQ'!$AA$8</f>
        <v>0.97998393122619054</v>
      </c>
      <c r="H135">
        <f t="shared" si="22"/>
        <v>0.13345959496146487</v>
      </c>
      <c r="I135">
        <f t="shared" si="23"/>
        <v>0.91949685302903783</v>
      </c>
      <c r="J135">
        <f t="shared" si="24"/>
        <v>0.82912218385792258</v>
      </c>
      <c r="K135">
        <f t="shared" si="25"/>
        <v>0.44740006387867415</v>
      </c>
      <c r="L135">
        <f t="shared" si="26"/>
        <v>-0.33524556235098385</v>
      </c>
      <c r="M135">
        <f t="shared" si="27"/>
        <v>-19.587471151498214</v>
      </c>
      <c r="N135">
        <f t="shared" si="28"/>
        <v>28.351606058989749</v>
      </c>
      <c r="O135" t="str" cm="1">
        <f t="array" ref="O135">IF($M135="","",IFERROR(IF(INDEX(geo_grid!$B$2:$JU$231,INT(($M135+40)/0.5)+1,INT(($N135+30)/0.5)+1)="","",INDEX(geo_grid!$B$2:$JU$231,INT(($M135+40)/0.5)+1,INT(($N135+30)/0.5)+1)),"OUTSIDE GRID"))</f>
        <v>ZWE</v>
      </c>
      <c r="Q135" t="str">
        <f>IF(countries!$D135="","",countries!$D135)</f>
        <v>SWE</v>
      </c>
      <c r="R135" t="str">
        <f>IF($Q135="","",countries!$B135)</f>
        <v>Sweden</v>
      </c>
      <c r="S135">
        <f>IF($Q135="","",IF(OR($Q135='Feasibility IQ'!$AA$9,$Q135='Feasibility IQ'!$AA$10),0,COUNTIF($O$2:$O$152,$Q135)))</f>
        <v>0</v>
      </c>
      <c r="T135" t="str">
        <f t="shared" si="29"/>
        <v/>
      </c>
      <c r="U135" t="str" cm="1">
        <f t="array" ref="U135">IF($S135=0,"",SUMPRODUCT(($S$2:$S$143&gt;0)*($T$2:$T$143&lt;$T135))+1)</f>
        <v/>
      </c>
    </row>
    <row r="136" spans="1:21" x14ac:dyDescent="0.3">
      <c r="A136">
        <f t="shared" si="20"/>
        <v>134</v>
      </c>
      <c r="B136">
        <f t="shared" si="21"/>
        <v>0.89333333333333331</v>
      </c>
      <c r="C136">
        <f>'Feasibility IQ'!$AA$4</f>
        <v>30.111529999999998</v>
      </c>
      <c r="D136">
        <f>'Feasibility IQ'!$AA$5</f>
        <v>31.39669</v>
      </c>
      <c r="E136">
        <f>'Feasibility IQ'!$AA$6</f>
        <v>-25.938960000000002</v>
      </c>
      <c r="F136">
        <f>'Feasibility IQ'!$AA$7</f>
        <v>27.926639999999999</v>
      </c>
      <c r="G136">
        <f>'Feasibility IQ'!$AA$8</f>
        <v>0.97998393122619054</v>
      </c>
      <c r="H136">
        <f t="shared" si="22"/>
        <v>0.12563854447637302</v>
      </c>
      <c r="I136">
        <f t="shared" si="23"/>
        <v>0.92455636464954682</v>
      </c>
      <c r="J136">
        <f t="shared" si="24"/>
        <v>0.82736717751415001</v>
      </c>
      <c r="K136">
        <f t="shared" si="25"/>
        <v>0.44600631832604276</v>
      </c>
      <c r="L136">
        <f t="shared" si="26"/>
        <v>-0.34138236273351558</v>
      </c>
      <c r="M136">
        <f t="shared" si="27"/>
        <v>-19.961117469929007</v>
      </c>
      <c r="N136">
        <f t="shared" si="28"/>
        <v>28.327640692863458</v>
      </c>
      <c r="O136" t="str" cm="1">
        <f t="array" ref="O136">IF($M136="","",IFERROR(IF(INDEX(geo_grid!$B$2:$JU$231,INT(($M136+40)/0.5)+1,INT(($N136+30)/0.5)+1)="","",INDEX(geo_grid!$B$2:$JU$231,INT(($M136+40)/0.5)+1,INT(($N136+30)/0.5)+1)),"OUTSIDE GRID"))</f>
        <v>ZWE</v>
      </c>
      <c r="Q136" t="str">
        <f>IF(countries!$D136="","",countries!$D136)</f>
        <v>SYR</v>
      </c>
      <c r="R136" t="str">
        <f>IF($Q136="","",countries!$B136)</f>
        <v>Syria</v>
      </c>
      <c r="S136">
        <f>IF($Q136="","",IF(OR($Q136='Feasibility IQ'!$AA$9,$Q136='Feasibility IQ'!$AA$10),0,COUNTIF($O$2:$O$152,$Q136)))</f>
        <v>0</v>
      </c>
      <c r="T136" t="str">
        <f t="shared" si="29"/>
        <v/>
      </c>
      <c r="U136" t="str" cm="1">
        <f t="array" ref="U136">IF($S136=0,"",SUMPRODUCT(($S$2:$S$143&gt;0)*($T$2:$T$143&lt;$T136))+1)</f>
        <v/>
      </c>
    </row>
    <row r="137" spans="1:21" x14ac:dyDescent="0.3">
      <c r="A137">
        <f t="shared" si="20"/>
        <v>135</v>
      </c>
      <c r="B137">
        <f t="shared" si="21"/>
        <v>0.9</v>
      </c>
      <c r="C137">
        <f>'Feasibility IQ'!$AA$4</f>
        <v>30.111529999999998</v>
      </c>
      <c r="D137">
        <f>'Feasibility IQ'!$AA$5</f>
        <v>31.39669</v>
      </c>
      <c r="E137">
        <f>'Feasibility IQ'!$AA$6</f>
        <v>-25.938960000000002</v>
      </c>
      <c r="F137">
        <f>'Feasibility IQ'!$AA$7</f>
        <v>27.926639999999999</v>
      </c>
      <c r="G137">
        <f>'Feasibility IQ'!$AA$8</f>
        <v>0.97998393122619054</v>
      </c>
      <c r="H137">
        <f t="shared" si="22"/>
        <v>0.11781213137474715</v>
      </c>
      <c r="I137">
        <f t="shared" si="23"/>
        <v>0.9295764135297937</v>
      </c>
      <c r="J137">
        <f t="shared" si="24"/>
        <v>0.82557685674577763</v>
      </c>
      <c r="K137">
        <f t="shared" si="25"/>
        <v>0.44459353593350809</v>
      </c>
      <c r="L137">
        <f t="shared" si="26"/>
        <v>-0.347504591929232</v>
      </c>
      <c r="M137">
        <f t="shared" si="27"/>
        <v>-20.334760556616228</v>
      </c>
      <c r="N137">
        <f t="shared" si="28"/>
        <v>28.30356152879795</v>
      </c>
      <c r="O137" t="str" cm="1">
        <f t="array" ref="O137">IF($M137="","",IFERROR(IF(INDEX(geo_grid!$B$2:$JU$231,INT(($M137+40)/0.5)+1,INT(($N137+30)/0.5)+1)="","",INDEX(geo_grid!$B$2:$JU$231,INT(($M137+40)/0.5)+1,INT(($N137+30)/0.5)+1)),"OUTSIDE GRID"))</f>
        <v>ZWE</v>
      </c>
      <c r="Q137" t="str">
        <f>IF(countries!$D137="","",countries!$D137)</f>
        <v>THA</v>
      </c>
      <c r="R137" t="str">
        <f>IF($Q137="","",countries!$B137)</f>
        <v>Thailand</v>
      </c>
      <c r="S137">
        <f>IF($Q137="","",IF(OR($Q137='Feasibility IQ'!$AA$9,$Q137='Feasibility IQ'!$AA$10),0,COUNTIF($O$2:$O$152,$Q137)))</f>
        <v>0</v>
      </c>
      <c r="T137" t="str">
        <f t="shared" si="29"/>
        <v/>
      </c>
      <c r="U137" t="str" cm="1">
        <f t="array" ref="U137">IF($S137=0,"",SUMPRODUCT(($S$2:$S$143&gt;0)*($T$2:$T$143&lt;$T137))+1)</f>
        <v/>
      </c>
    </row>
    <row r="138" spans="1:21" x14ac:dyDescent="0.3">
      <c r="A138">
        <f t="shared" si="20"/>
        <v>136</v>
      </c>
      <c r="B138">
        <f t="shared" si="21"/>
        <v>0.90666666666666662</v>
      </c>
      <c r="C138">
        <f>'Feasibility IQ'!$AA$4</f>
        <v>30.111529999999998</v>
      </c>
      <c r="D138">
        <f>'Feasibility IQ'!$AA$5</f>
        <v>31.39669</v>
      </c>
      <c r="E138">
        <f>'Feasibility IQ'!$AA$6</f>
        <v>-25.938960000000002</v>
      </c>
      <c r="F138">
        <f>'Feasibility IQ'!$AA$7</f>
        <v>27.926639999999999</v>
      </c>
      <c r="G138">
        <f>'Feasibility IQ'!$AA$8</f>
        <v>0.97998393122619054</v>
      </c>
      <c r="H138">
        <f t="shared" si="22"/>
        <v>0.10998068971053948</v>
      </c>
      <c r="I138">
        <f t="shared" si="23"/>
        <v>0.93455678539956988</v>
      </c>
      <c r="J138">
        <f t="shared" si="24"/>
        <v>0.82375129796887514</v>
      </c>
      <c r="K138">
        <f t="shared" si="25"/>
        <v>0.44316177700270964</v>
      </c>
      <c r="L138">
        <f t="shared" si="26"/>
        <v>-0.35361198862368015</v>
      </c>
      <c r="M138">
        <f t="shared" si="27"/>
        <v>-20.708400329903863</v>
      </c>
      <c r="N138">
        <f t="shared" si="28"/>
        <v>28.279365692498491</v>
      </c>
      <c r="O138" t="str" cm="1">
        <f t="array" ref="O138">IF($M138="","",IFERROR(IF(INDEX(geo_grid!$B$2:$JU$231,INT(($M138+40)/0.5)+1,INT(($N138+30)/0.5)+1)="","",INDEX(geo_grid!$B$2:$JU$231,INT(($M138+40)/0.5)+1,INT(($N138+30)/0.5)+1)),"OUTSIDE GRID"))</f>
        <v>ZWE</v>
      </c>
      <c r="Q138" t="str">
        <f>IF(countries!$D138="","",countries!$D138)</f>
        <v>TJK</v>
      </c>
      <c r="R138" t="str">
        <f>IF($Q138="","",countries!$B138)</f>
        <v>Tajikistan</v>
      </c>
      <c r="S138">
        <f>IF($Q138="","",IF(OR($Q138='Feasibility IQ'!$AA$9,$Q138='Feasibility IQ'!$AA$10),0,COUNTIF($O$2:$O$152,$Q138)))</f>
        <v>0</v>
      </c>
      <c r="T138" t="str">
        <f t="shared" si="29"/>
        <v/>
      </c>
      <c r="U138" t="str" cm="1">
        <f t="array" ref="U138">IF($S138=0,"",SUMPRODUCT(($S$2:$S$143&gt;0)*($T$2:$T$143&lt;$T138))+1)</f>
        <v/>
      </c>
    </row>
    <row r="139" spans="1:21" x14ac:dyDescent="0.3">
      <c r="A139">
        <f t="shared" si="20"/>
        <v>137</v>
      </c>
      <c r="B139">
        <f t="shared" si="21"/>
        <v>0.91333333333333333</v>
      </c>
      <c r="C139">
        <f>'Feasibility IQ'!$AA$4</f>
        <v>30.111529999999998</v>
      </c>
      <c r="D139">
        <f>'Feasibility IQ'!$AA$5</f>
        <v>31.39669</v>
      </c>
      <c r="E139">
        <f>'Feasibility IQ'!$AA$6</f>
        <v>-25.938960000000002</v>
      </c>
      <c r="F139">
        <f>'Feasibility IQ'!$AA$7</f>
        <v>27.926639999999999</v>
      </c>
      <c r="G139">
        <f>'Feasibility IQ'!$AA$8</f>
        <v>0.97998393122619054</v>
      </c>
      <c r="H139">
        <f t="shared" si="22"/>
        <v>0.10214455375233532</v>
      </c>
      <c r="I139">
        <f t="shared" si="23"/>
        <v>0.93949726768219677</v>
      </c>
      <c r="J139">
        <f t="shared" si="24"/>
        <v>0.82189057910357233</v>
      </c>
      <c r="K139">
        <f t="shared" si="25"/>
        <v>0.4417111026452607</v>
      </c>
      <c r="L139">
        <f t="shared" si="26"/>
        <v>-0.35970429213550148</v>
      </c>
      <c r="M139">
        <f t="shared" si="27"/>
        <v>-21.082036706776961</v>
      </c>
      <c r="N139">
        <f t="shared" si="28"/>
        <v>28.255050261896141</v>
      </c>
      <c r="O139" t="str" cm="1">
        <f t="array" ref="O139">IF($M139="","",IFERROR(IF(INDEX(geo_grid!$B$2:$JU$231,INT(($M139+40)/0.5)+1,INT(($N139+30)/0.5)+1)="","",INDEX(geo_grid!$B$2:$JU$231,INT(($M139+40)/0.5)+1,INT(($N139+30)/0.5)+1)),"OUTSIDE GRID"))</f>
        <v>ZWE</v>
      </c>
      <c r="Q139" t="str">
        <f>IF(countries!$D139="","",countries!$D139)</f>
        <v>TKM</v>
      </c>
      <c r="R139" t="str">
        <f>IF($Q139="","",countries!$B139)</f>
        <v>Turkmenistan</v>
      </c>
      <c r="S139">
        <f>IF($Q139="","",IF(OR($Q139='Feasibility IQ'!$AA$9,$Q139='Feasibility IQ'!$AA$10),0,COUNTIF($O$2:$O$152,$Q139)))</f>
        <v>0</v>
      </c>
      <c r="T139" t="str">
        <f t="shared" si="29"/>
        <v/>
      </c>
      <c r="U139" t="str" cm="1">
        <f t="array" ref="U139">IF($S139=0,"",SUMPRODUCT(($S$2:$S$143&gt;0)*($T$2:$T$143&lt;$T139))+1)</f>
        <v/>
      </c>
    </row>
    <row r="140" spans="1:21" x14ac:dyDescent="0.3">
      <c r="A140">
        <f t="shared" si="20"/>
        <v>138</v>
      </c>
      <c r="B140">
        <f t="shared" si="21"/>
        <v>0.92</v>
      </c>
      <c r="C140">
        <f>'Feasibility IQ'!$AA$4</f>
        <v>30.111529999999998</v>
      </c>
      <c r="D140">
        <f>'Feasibility IQ'!$AA$5</f>
        <v>31.39669</v>
      </c>
      <c r="E140">
        <f>'Feasibility IQ'!$AA$6</f>
        <v>-25.938960000000002</v>
      </c>
      <c r="F140">
        <f>'Feasibility IQ'!$AA$7</f>
        <v>27.926639999999999</v>
      </c>
      <c r="G140">
        <f>'Feasibility IQ'!$AA$8</f>
        <v>0.97998393122619054</v>
      </c>
      <c r="H140">
        <f t="shared" si="22"/>
        <v>9.4304057969086363E-2</v>
      </c>
      <c r="I140">
        <f t="shared" si="23"/>
        <v>0.94439764950359806</v>
      </c>
      <c r="J140">
        <f t="shared" si="24"/>
        <v>0.81999477957073319</v>
      </c>
      <c r="K140">
        <f t="shared" si="25"/>
        <v>0.44024157478013926</v>
      </c>
      <c r="L140">
        <f t="shared" si="26"/>
        <v>-0.36578124242755766</v>
      </c>
      <c r="M140">
        <f t="shared" si="27"/>
        <v>-21.455669602817952</v>
      </c>
      <c r="N140">
        <f t="shared" si="28"/>
        <v>28.230612265614056</v>
      </c>
      <c r="O140" t="str" cm="1">
        <f t="array" ref="O140">IF($M140="","",IFERROR(IF(INDEX(geo_grid!$B$2:$JU$231,INT(($M140+40)/0.5)+1,INT(($N140+30)/0.5)+1)="","",INDEX(geo_grid!$B$2:$JU$231,INT(($M140+40)/0.5)+1,INT(($N140+30)/0.5)+1)),"OUTSIDE GRID"))</f>
        <v>ZWE</v>
      </c>
      <c r="Q140" t="str">
        <f>IF(countries!$D140="","",countries!$D140)</f>
        <v>TUR</v>
      </c>
      <c r="R140" t="str">
        <f>IF($Q140="","",countries!$B140)</f>
        <v>Turkey</v>
      </c>
      <c r="S140">
        <f>IF($Q140="","",IF(OR($Q140='Feasibility IQ'!$AA$9,$Q140='Feasibility IQ'!$AA$10),0,COUNTIF($O$2:$O$152,$Q140)))</f>
        <v>0</v>
      </c>
      <c r="T140" t="str">
        <f t="shared" si="29"/>
        <v/>
      </c>
      <c r="U140" t="str" cm="1">
        <f t="array" ref="U140">IF($S140=0,"",SUMPRODUCT(($S$2:$S$143&gt;0)*($T$2:$T$143&lt;$T140))+1)</f>
        <v/>
      </c>
    </row>
    <row r="141" spans="1:21" x14ac:dyDescent="0.3">
      <c r="A141">
        <f t="shared" si="20"/>
        <v>139</v>
      </c>
      <c r="B141">
        <f t="shared" si="21"/>
        <v>0.92666666666666664</v>
      </c>
      <c r="C141">
        <f>'Feasibility IQ'!$AA$4</f>
        <v>30.111529999999998</v>
      </c>
      <c r="D141">
        <f>'Feasibility IQ'!$AA$5</f>
        <v>31.39669</v>
      </c>
      <c r="E141">
        <f>'Feasibility IQ'!$AA$6</f>
        <v>-25.938960000000002</v>
      </c>
      <c r="F141">
        <f>'Feasibility IQ'!$AA$7</f>
        <v>27.926639999999999</v>
      </c>
      <c r="G141">
        <f>'Feasibility IQ'!$AA$8</f>
        <v>0.97998393122619054</v>
      </c>
      <c r="H141">
        <f t="shared" si="22"/>
        <v>8.6459537015834309E-2</v>
      </c>
      <c r="I141">
        <f t="shared" si="23"/>
        <v>0.94925772170130152</v>
      </c>
      <c r="J141">
        <f t="shared" si="24"/>
        <v>0.81806398028856575</v>
      </c>
      <c r="K141">
        <f t="shared" si="25"/>
        <v>0.43875325613104577</v>
      </c>
      <c r="L141">
        <f t="shared" si="26"/>
        <v>-0.3718425801180304</v>
      </c>
      <c r="M141">
        <f t="shared" si="27"/>
        <v>-21.829298932161738</v>
      </c>
      <c r="N141">
        <f t="shared" si="28"/>
        <v>28.206048681388346</v>
      </c>
      <c r="O141" t="str" cm="1">
        <f t="array" ref="O141">IF($M141="","",IFERROR(IF(INDEX(geo_grid!$B$2:$JU$231,INT(($M141+40)/0.5)+1,INT(($N141+30)/0.5)+1)="","",INDEX(geo_grid!$B$2:$JU$231,INT(($M141+40)/0.5)+1,INT(($N141+30)/0.5)+1)),"OUTSIDE GRID"))</f>
        <v>BWA</v>
      </c>
      <c r="Q141" t="str">
        <f>IF(countries!$D141="","",countries!$D141)</f>
        <v>UKR</v>
      </c>
      <c r="R141" t="str">
        <f>IF($Q141="","",countries!$B141)</f>
        <v>Ukraine</v>
      </c>
      <c r="S141">
        <f>IF($Q141="","",IF(OR($Q141='Feasibility IQ'!$AA$9,$Q141='Feasibility IQ'!$AA$10),0,COUNTIF($O$2:$O$152,$Q141)))</f>
        <v>0</v>
      </c>
      <c r="T141" t="str">
        <f t="shared" si="29"/>
        <v/>
      </c>
      <c r="U141" t="str" cm="1">
        <f t="array" ref="U141">IF($S141=0,"",SUMPRODUCT(($S$2:$S$143&gt;0)*($T$2:$T$143&lt;$T141))+1)</f>
        <v/>
      </c>
    </row>
    <row r="142" spans="1:21" x14ac:dyDescent="0.3">
      <c r="A142">
        <f t="shared" si="20"/>
        <v>140</v>
      </c>
      <c r="B142">
        <f t="shared" si="21"/>
        <v>0.93333333333333335</v>
      </c>
      <c r="C142">
        <f>'Feasibility IQ'!$AA$4</f>
        <v>30.111529999999998</v>
      </c>
      <c r="D142">
        <f>'Feasibility IQ'!$AA$5</f>
        <v>31.39669</v>
      </c>
      <c r="E142">
        <f>'Feasibility IQ'!$AA$6</f>
        <v>-25.938960000000002</v>
      </c>
      <c r="F142">
        <f>'Feasibility IQ'!$AA$7</f>
        <v>27.926639999999999</v>
      </c>
      <c r="G142">
        <f>'Feasibility IQ'!$AA$8</f>
        <v>0.97998393122619054</v>
      </c>
      <c r="H142">
        <f t="shared" si="22"/>
        <v>7.861132571942632E-2</v>
      </c>
      <c r="I142">
        <f t="shared" si="23"/>
        <v>0.95407727683336641</v>
      </c>
      <c r="J142">
        <f t="shared" si="24"/>
        <v>0.81609826366916927</v>
      </c>
      <c r="K142">
        <f t="shared" si="25"/>
        <v>0.43724621022372567</v>
      </c>
      <c r="L142">
        <f t="shared" si="26"/>
        <v>-0.3778880464914926</v>
      </c>
      <c r="M142">
        <f t="shared" si="27"/>
        <v>-22.202924607449333</v>
      </c>
      <c r="N142">
        <f t="shared" si="28"/>
        <v>28.18135643444144</v>
      </c>
      <c r="O142" t="str" cm="1">
        <f t="array" ref="O142">IF($M142="","",IFERROR(IF(INDEX(geo_grid!$B$2:$JU$231,INT(($M142+40)/0.5)+1,INT(($N142+30)/0.5)+1)="","",INDEX(geo_grid!$B$2:$JU$231,INT(($M142+40)/0.5)+1,INT(($N142+30)/0.5)+1)),"OUTSIDE GRID"))</f>
        <v>BWA</v>
      </c>
      <c r="Q142" t="str">
        <f>IF(countries!$D142="","",countries!$D142)</f>
        <v>UZB</v>
      </c>
      <c r="R142" t="str">
        <f>IF($Q142="","",countries!$B142)</f>
        <v>Uzbekistan</v>
      </c>
      <c r="S142">
        <f>IF($Q142="","",IF(OR($Q142='Feasibility IQ'!$AA$9,$Q142='Feasibility IQ'!$AA$10),0,COUNTIF($O$2:$O$152,$Q142)))</f>
        <v>0</v>
      </c>
      <c r="T142" t="str">
        <f t="shared" si="29"/>
        <v/>
      </c>
      <c r="U142" t="str" cm="1">
        <f t="array" ref="U142">IF($S142=0,"",SUMPRODUCT(($S$2:$S$143&gt;0)*($T$2:$T$143&lt;$T142))+1)</f>
        <v/>
      </c>
    </row>
    <row r="143" spans="1:21" x14ac:dyDescent="0.3">
      <c r="A143">
        <f t="shared" si="20"/>
        <v>141</v>
      </c>
      <c r="B143">
        <f t="shared" si="21"/>
        <v>0.94</v>
      </c>
      <c r="C143">
        <f>'Feasibility IQ'!$AA$4</f>
        <v>30.111529999999998</v>
      </c>
      <c r="D143">
        <f>'Feasibility IQ'!$AA$5</f>
        <v>31.39669</v>
      </c>
      <c r="E143">
        <f>'Feasibility IQ'!$AA$6</f>
        <v>-25.938960000000002</v>
      </c>
      <c r="F143">
        <f>'Feasibility IQ'!$AA$7</f>
        <v>27.926639999999999</v>
      </c>
      <c r="G143">
        <f>'Feasibility IQ'!$AA$8</f>
        <v>0.97998393122619054</v>
      </c>
      <c r="H143">
        <f t="shared" si="22"/>
        <v>7.0759759064224659E-2</v>
      </c>
      <c r="I143">
        <f t="shared" si="23"/>
        <v>0.95885610918723685</v>
      </c>
      <c r="J143">
        <f t="shared" si="24"/>
        <v>0.81409771361501537</v>
      </c>
      <c r="K143">
        <f t="shared" si="25"/>
        <v>0.43572050138325802</v>
      </c>
      <c r="L143">
        <f t="shared" si="26"/>
        <v>-0.38391738350995047</v>
      </c>
      <c r="M143">
        <f t="shared" si="27"/>
        <v>-22.57654653978015</v>
      </c>
      <c r="N143">
        <f t="shared" si="28"/>
        <v>28.156532395806195</v>
      </c>
      <c r="O143" t="str" cm="1">
        <f t="array" ref="O143">IF($M143="","",IFERROR(IF(INDEX(geo_grid!$B$2:$JU$231,INT(($M143+40)/0.5)+1,INT(($N143+30)/0.5)+1)="","",INDEX(geo_grid!$B$2:$JU$231,INT(($M143+40)/0.5)+1,INT(($N143+30)/0.5)+1)),"OUTSIDE GRID"))</f>
        <v>ZAF</v>
      </c>
      <c r="Q143" t="str">
        <f>IF(countries!$D143="","",countries!$D143)</f>
        <v>VNM</v>
      </c>
      <c r="R143" t="str">
        <f>IF($Q143="","",countries!$B143)</f>
        <v>Vietnam</v>
      </c>
      <c r="S143">
        <f>IF($Q143="","",IF(OR($Q143='Feasibility IQ'!$AA$9,$Q143='Feasibility IQ'!$AA$10),0,COUNTIF($O$2:$O$152,$Q143)))</f>
        <v>0</v>
      </c>
      <c r="T143" t="str">
        <f t="shared" si="29"/>
        <v/>
      </c>
      <c r="U143" t="str" cm="1">
        <f t="array" ref="U143">IF($S143=0,"",SUMPRODUCT(($S$2:$S$143&gt;0)*($T$2:$T$143&lt;$T143))+1)</f>
        <v/>
      </c>
    </row>
    <row r="144" spans="1:21" x14ac:dyDescent="0.3">
      <c r="A144">
        <f t="shared" si="20"/>
        <v>142</v>
      </c>
      <c r="B144">
        <f t="shared" si="21"/>
        <v>0.94666666666666666</v>
      </c>
      <c r="C144">
        <f>'Feasibility IQ'!$AA$4</f>
        <v>30.111529999999998</v>
      </c>
      <c r="D144">
        <f>'Feasibility IQ'!$AA$5</f>
        <v>31.39669</v>
      </c>
      <c r="E144">
        <f>'Feasibility IQ'!$AA$6</f>
        <v>-25.938960000000002</v>
      </c>
      <c r="F144">
        <f>'Feasibility IQ'!$AA$7</f>
        <v>27.926639999999999</v>
      </c>
      <c r="G144">
        <f>'Feasibility IQ'!$AA$8</f>
        <v>0.97998393122619054</v>
      </c>
      <c r="H144">
        <f t="shared" si="22"/>
        <v>6.2905172177807389E-2</v>
      </c>
      <c r="I144">
        <f t="shared" si="23"/>
        <v>0.96359401478852402</v>
      </c>
      <c r="J144">
        <f t="shared" si="24"/>
        <v>0.81206241551536795</v>
      </c>
      <c r="K144">
        <f t="shared" si="25"/>
        <v>0.43417619473130981</v>
      </c>
      <c r="L144">
        <f t="shared" si="26"/>
        <v>-0.38993033382385828</v>
      </c>
      <c r="M144">
        <f t="shared" si="27"/>
        <v>-22.95016463866288</v>
      </c>
      <c r="N144">
        <f t="shared" si="28"/>
        <v>28.131573380598564</v>
      </c>
      <c r="O144" t="str" cm="1">
        <f t="array" ref="O144">IF($M144="","",IFERROR(IF(INDEX(geo_grid!$B$2:$JU$231,INT(($M144+40)/0.5)+1,INT(($N144+30)/0.5)+1)="","",INDEX(geo_grid!$B$2:$JU$231,INT(($M144+40)/0.5)+1,INT(($N144+30)/0.5)+1)),"OUTSIDE GRID"))</f>
        <v>ZAF</v>
      </c>
    </row>
    <row r="145" spans="1:15" x14ac:dyDescent="0.3">
      <c r="A145">
        <f t="shared" si="20"/>
        <v>143</v>
      </c>
      <c r="B145">
        <f t="shared" si="21"/>
        <v>0.95333333333333337</v>
      </c>
      <c r="C145">
        <f>'Feasibility IQ'!$AA$4</f>
        <v>30.111529999999998</v>
      </c>
      <c r="D145">
        <f>'Feasibility IQ'!$AA$5</f>
        <v>31.39669</v>
      </c>
      <c r="E145">
        <f>'Feasibility IQ'!$AA$6</f>
        <v>-25.938960000000002</v>
      </c>
      <c r="F145">
        <f>'Feasibility IQ'!$AA$7</f>
        <v>27.926639999999999</v>
      </c>
      <c r="G145">
        <f>'Feasibility IQ'!$AA$8</f>
        <v>0.97998393122619054</v>
      </c>
      <c r="H145">
        <f t="shared" si="22"/>
        <v>5.5047900316665281E-2</v>
      </c>
      <c r="I145">
        <f t="shared" si="23"/>
        <v>0.96829079140971042</v>
      </c>
      <c r="J145">
        <f t="shared" si="24"/>
        <v>0.80999245624263738</v>
      </c>
      <c r="K145">
        <f t="shared" si="25"/>
        <v>0.43261335618335633</v>
      </c>
      <c r="L145">
        <f t="shared" si="26"/>
        <v>-0.3959266407831018</v>
      </c>
      <c r="M145">
        <f t="shared" si="27"/>
        <v>-23.323778811964704</v>
      </c>
      <c r="N145">
        <f t="shared" si="28"/>
        <v>28.106476146236893</v>
      </c>
      <c r="O145" t="str" cm="1">
        <f t="array" ref="O145">IF($M145="","",IFERROR(IF(INDEX(geo_grid!$B$2:$JU$231,INT(($M145+40)/0.5)+1,INT(($N145+30)/0.5)+1)="","",INDEX(geo_grid!$B$2:$JU$231,INT(($M145+40)/0.5)+1,INT(($N145+30)/0.5)+1)),"OUTSIDE GRID"))</f>
        <v>ZAF</v>
      </c>
    </row>
    <row r="146" spans="1:15" x14ac:dyDescent="0.3">
      <c r="A146">
        <f t="shared" si="20"/>
        <v>144</v>
      </c>
      <c r="B146">
        <f t="shared" si="21"/>
        <v>0.96</v>
      </c>
      <c r="C146">
        <f>'Feasibility IQ'!$AA$4</f>
        <v>30.111529999999998</v>
      </c>
      <c r="D146">
        <f>'Feasibility IQ'!$AA$5</f>
        <v>31.39669</v>
      </c>
      <c r="E146">
        <f>'Feasibility IQ'!$AA$6</f>
        <v>-25.938960000000002</v>
      </c>
      <c r="F146">
        <f>'Feasibility IQ'!$AA$7</f>
        <v>27.926639999999999</v>
      </c>
      <c r="G146">
        <f>'Feasibility IQ'!$AA$8</f>
        <v>0.97998393122619054</v>
      </c>
      <c r="H146">
        <f t="shared" si="22"/>
        <v>4.7188278851891516E-2</v>
      </c>
      <c r="I146">
        <f t="shared" si="23"/>
        <v>0.97294623857878293</v>
      </c>
      <c r="J146">
        <f t="shared" si="24"/>
        <v>0.80788792414867405</v>
      </c>
      <c r="K146">
        <f t="shared" si="25"/>
        <v>0.43103205244586806</v>
      </c>
      <c r="L146">
        <f t="shared" si="26"/>
        <v>-0.40190604844795347</v>
      </c>
      <c r="M146">
        <f t="shared" si="27"/>
        <v>-23.697388965859041</v>
      </c>
      <c r="N146">
        <f t="shared" si="28"/>
        <v>28.08123739060542</v>
      </c>
      <c r="O146" t="str" cm="1">
        <f t="array" ref="O146">IF($M146="","",IFERROR(IF(INDEX(geo_grid!$B$2:$JU$231,INT(($M146+40)/0.5)+1,INT(($N146+30)/0.5)+1)="","",INDEX(geo_grid!$B$2:$JU$231,INT(($M146+40)/0.5)+1,INT(($N146+30)/0.5)+1)),"OUTSIDE GRID"))</f>
        <v>ZAF</v>
      </c>
    </row>
    <row r="147" spans="1:15" x14ac:dyDescent="0.3">
      <c r="A147">
        <f t="shared" si="20"/>
        <v>145</v>
      </c>
      <c r="B147">
        <f t="shared" si="21"/>
        <v>0.96666666666666667</v>
      </c>
      <c r="C147">
        <f>'Feasibility IQ'!$AA$4</f>
        <v>30.111529999999998</v>
      </c>
      <c r="D147">
        <f>'Feasibility IQ'!$AA$5</f>
        <v>31.39669</v>
      </c>
      <c r="E147">
        <f>'Feasibility IQ'!$AA$6</f>
        <v>-25.938960000000002</v>
      </c>
      <c r="F147">
        <f>'Feasibility IQ'!$AA$7</f>
        <v>27.926639999999999</v>
      </c>
      <c r="G147">
        <f>'Feasibility IQ'!$AA$8</f>
        <v>0.97998393122619054</v>
      </c>
      <c r="H147">
        <f t="shared" si="22"/>
        <v>3.9326643254866796E-2</v>
      </c>
      <c r="I147">
        <f t="shared" si="23"/>
        <v>0.97756015758778847</v>
      </c>
      <c r="J147">
        <f t="shared" si="24"/>
        <v>0.8057489090609955</v>
      </c>
      <c r="K147">
        <f t="shared" si="25"/>
        <v>0.42943235101346283</v>
      </c>
      <c r="L147">
        <f t="shared" si="26"/>
        <v>-0.40786830159999649</v>
      </c>
      <c r="M147">
        <f t="shared" si="27"/>
        <v>-24.0709950047716</v>
      </c>
      <c r="N147">
        <f t="shared" si="28"/>
        <v>28.05585375015993</v>
      </c>
      <c r="O147" t="str" cm="1">
        <f t="array" ref="O147">IF($M147="","",IFERROR(IF(INDEX(geo_grid!$B$2:$JU$231,INT(($M147+40)/0.5)+1,INT(($N147+30)/0.5)+1)="","",INDEX(geo_grid!$B$2:$JU$231,INT(($M147+40)/0.5)+1,INT(($N147+30)/0.5)+1)),"OUTSIDE GRID"))</f>
        <v>ZAF</v>
      </c>
    </row>
    <row r="148" spans="1:15" x14ac:dyDescent="0.3">
      <c r="A148">
        <f t="shared" si="20"/>
        <v>146</v>
      </c>
      <c r="B148">
        <f t="shared" si="21"/>
        <v>0.97333333333333338</v>
      </c>
      <c r="C148">
        <f>'Feasibility IQ'!$AA$4</f>
        <v>30.111529999999998</v>
      </c>
      <c r="D148">
        <f>'Feasibility IQ'!$AA$5</f>
        <v>31.39669</v>
      </c>
      <c r="E148">
        <f>'Feasibility IQ'!$AA$6</f>
        <v>-25.938960000000002</v>
      </c>
      <c r="F148">
        <f>'Feasibility IQ'!$AA$7</f>
        <v>27.926639999999999</v>
      </c>
      <c r="G148">
        <f>'Feasibility IQ'!$AA$8</f>
        <v>0.97998393122619054</v>
      </c>
      <c r="H148">
        <f t="shared" si="22"/>
        <v>3.1463329082941201E-2</v>
      </c>
      <c r="I148">
        <f t="shared" si="23"/>
        <v>0.9821323515013165</v>
      </c>
      <c r="J148">
        <f t="shared" si="24"/>
        <v>0.80357550227895347</v>
      </c>
      <c r="K148">
        <f t="shared" si="25"/>
        <v>0.42781432016602561</v>
      </c>
      <c r="L148">
        <f t="shared" si="26"/>
        <v>-0.41381314575301847</v>
      </c>
      <c r="M148">
        <f t="shared" si="27"/>
        <v>-24.444596831324727</v>
      </c>
      <c r="N148">
        <f t="shared" si="28"/>
        <v>28.030321797972917</v>
      </c>
      <c r="O148" t="str" cm="1">
        <f t="array" ref="O148">IF($M148="","",IFERROR(IF(INDEX(geo_grid!$B$2:$JU$231,INT(($M148+40)/0.5)+1,INT(($N148+30)/0.5)+1)="","",INDEX(geo_grid!$B$2:$JU$231,INT(($M148+40)/0.5)+1,INT(($N148+30)/0.5)+1)),"OUTSIDE GRID"))</f>
        <v>ZAF</v>
      </c>
    </row>
    <row r="149" spans="1:15" x14ac:dyDescent="0.3">
      <c r="A149">
        <f t="shared" si="20"/>
        <v>147</v>
      </c>
      <c r="B149">
        <f t="shared" si="21"/>
        <v>0.98</v>
      </c>
      <c r="C149">
        <f>'Feasibility IQ'!$AA$4</f>
        <v>30.111529999999998</v>
      </c>
      <c r="D149">
        <f>'Feasibility IQ'!$AA$5</f>
        <v>31.39669</v>
      </c>
      <c r="E149">
        <f>'Feasibility IQ'!$AA$6</f>
        <v>-25.938960000000002</v>
      </c>
      <c r="F149">
        <f>'Feasibility IQ'!$AA$7</f>
        <v>27.926639999999999</v>
      </c>
      <c r="G149">
        <f>'Feasibility IQ'!$AA$8</f>
        <v>0.97998393122619054</v>
      </c>
      <c r="H149">
        <f t="shared" si="22"/>
        <v>2.3598671965111243E-2</v>
      </c>
      <c r="I149">
        <f t="shared" si="23"/>
        <v>0.98666262516490399</v>
      </c>
      <c r="J149">
        <f t="shared" si="24"/>
        <v>0.80136779656983703</v>
      </c>
      <c r="K149">
        <f t="shared" si="25"/>
        <v>0.42617802896579371</v>
      </c>
      <c r="L149">
        <f t="shared" si="26"/>
        <v>-0.41974032716387322</v>
      </c>
      <c r="M149">
        <f t="shared" si="27"/>
        <v>-24.818194346279888</v>
      </c>
      <c r="N149">
        <f t="shared" si="28"/>
        <v>28.004638041715967</v>
      </c>
      <c r="O149" t="str" cm="1">
        <f t="array" ref="O149">IF($M149="","",IFERROR(IF(INDEX(geo_grid!$B$2:$JU$231,INT(($M149+40)/0.5)+1,INT(($N149+30)/0.5)+1)="","",INDEX(geo_grid!$B$2:$JU$231,INT(($M149+40)/0.5)+1,INT(($N149+30)/0.5)+1)),"OUTSIDE GRID"))</f>
        <v>ZAF</v>
      </c>
    </row>
    <row r="150" spans="1:15" x14ac:dyDescent="0.3">
      <c r="A150">
        <f t="shared" si="20"/>
        <v>148</v>
      </c>
      <c r="B150">
        <f t="shared" si="21"/>
        <v>0.98666666666666669</v>
      </c>
      <c r="C150">
        <f>'Feasibility IQ'!$AA$4</f>
        <v>30.111529999999998</v>
      </c>
      <c r="D150">
        <f>'Feasibility IQ'!$AA$5</f>
        <v>31.39669</v>
      </c>
      <c r="E150">
        <f>'Feasibility IQ'!$AA$6</f>
        <v>-25.938960000000002</v>
      </c>
      <c r="F150">
        <f>'Feasibility IQ'!$AA$7</f>
        <v>27.926639999999999</v>
      </c>
      <c r="G150">
        <f>'Feasibility IQ'!$AA$8</f>
        <v>0.97998393122619054</v>
      </c>
      <c r="H150">
        <f t="shared" si="22"/>
        <v>1.5733007587693863E-2</v>
      </c>
      <c r="I150">
        <f t="shared" si="23"/>
        <v>0.99115078521336553</v>
      </c>
      <c r="J150">
        <f t="shared" si="24"/>
        <v>0.79912588616491242</v>
      </c>
      <c r="K150">
        <f t="shared" si="25"/>
        <v>0.42452354725440911</v>
      </c>
      <c r="L150">
        <f t="shared" si="26"/>
        <v>-0.42564959284331155</v>
      </c>
      <c r="M150">
        <f t="shared" si="27"/>
        <v>-25.191787448478387</v>
      </c>
      <c r="N150">
        <f t="shared" si="28"/>
        <v>27.97879892157653</v>
      </c>
      <c r="O150" t="str" cm="1">
        <f t="array" ref="O150">IF($M150="","",IFERROR(IF(INDEX(geo_grid!$B$2:$JU$231,INT(($M150+40)/0.5)+1,INT(($N150+30)/0.5)+1)="","",INDEX(geo_grid!$B$2:$JU$231,INT(($M150+40)/0.5)+1,INT(($N150+30)/0.5)+1)),"OUTSIDE GRID"))</f>
        <v>ZAF</v>
      </c>
    </row>
    <row r="151" spans="1:15" x14ac:dyDescent="0.3">
      <c r="A151">
        <f t="shared" si="20"/>
        <v>149</v>
      </c>
      <c r="B151">
        <f t="shared" si="21"/>
        <v>0.99333333333333329</v>
      </c>
      <c r="C151">
        <f>'Feasibility IQ'!$AA$4</f>
        <v>30.111529999999998</v>
      </c>
      <c r="D151">
        <f>'Feasibility IQ'!$AA$5</f>
        <v>31.39669</v>
      </c>
      <c r="E151">
        <f>'Feasibility IQ'!$AA$6</f>
        <v>-25.938960000000002</v>
      </c>
      <c r="F151">
        <f>'Feasibility IQ'!$AA$7</f>
        <v>27.926639999999999</v>
      </c>
      <c r="G151">
        <f>'Feasibility IQ'!$AA$8</f>
        <v>0.97998393122619054</v>
      </c>
      <c r="H151">
        <f t="shared" si="22"/>
        <v>7.8666716799992657E-3</v>
      </c>
      <c r="I151">
        <f t="shared" si="23"/>
        <v>0.99559664007904647</v>
      </c>
      <c r="J151">
        <f t="shared" si="24"/>
        <v>0.79684986675540126</v>
      </c>
      <c r="K151">
        <f t="shared" si="25"/>
        <v>0.42285094564993736</v>
      </c>
      <c r="L151">
        <f t="shared" si="26"/>
        <v>-0.43154069056677952</v>
      </c>
      <c r="M151">
        <f t="shared" si="27"/>
        <v>-25.565376034780062</v>
      </c>
      <c r="N151">
        <f t="shared" si="28"/>
        <v>27.95280080810657</v>
      </c>
      <c r="O151" t="str" cm="1">
        <f t="array" ref="O151">IF($M151="","",IFERROR(IF(INDEX(geo_grid!$B$2:$JU$231,INT(($M151+40)/0.5)+1,INT(($N151+30)/0.5)+1)="","",INDEX(geo_grid!$B$2:$JU$231,INT(($M151+40)/0.5)+1,INT(($N151+30)/0.5)+1)),"OUTSIDE GRID"))</f>
        <v>ZAF</v>
      </c>
    </row>
    <row r="152" spans="1:15" x14ac:dyDescent="0.3">
      <c r="A152">
        <f t="shared" si="20"/>
        <v>150</v>
      </c>
      <c r="B152">
        <f t="shared" si="21"/>
        <v>1</v>
      </c>
      <c r="C152">
        <f>'Feasibility IQ'!$AA$4</f>
        <v>30.111529999999998</v>
      </c>
      <c r="D152">
        <f>'Feasibility IQ'!$AA$5</f>
        <v>31.39669</v>
      </c>
      <c r="E152">
        <f>'Feasibility IQ'!$AA$6</f>
        <v>-25.938960000000002</v>
      </c>
      <c r="F152">
        <f>'Feasibility IQ'!$AA$7</f>
        <v>27.926639999999999</v>
      </c>
      <c r="G152">
        <f>'Feasibility IQ'!$AA$8</f>
        <v>0.97998393122619054</v>
      </c>
      <c r="H152">
        <f t="shared" si="22"/>
        <v>0</v>
      </c>
      <c r="I152">
        <f t="shared" si="23"/>
        <v>1</v>
      </c>
      <c r="J152">
        <f t="shared" si="24"/>
        <v>0.79453983548839602</v>
      </c>
      <c r="K152">
        <f t="shared" si="25"/>
        <v>0.4211602955438537</v>
      </c>
      <c r="L152">
        <f t="shared" si="26"/>
        <v>-0.43741336888518434</v>
      </c>
      <c r="M152">
        <f t="shared" si="27"/>
        <v>-25.938960000000002</v>
      </c>
      <c r="N152">
        <f t="shared" si="28"/>
        <v>27.926639999999999</v>
      </c>
      <c r="O152" t="str" cm="1">
        <f t="array" ref="O152">IF($M152="","",IFERROR(IF(INDEX(geo_grid!$B$2:$JU$231,INT(($M152+40)/0.5)+1,INT(($N152+30)/0.5)+1)="","",INDEX(geo_grid!$B$2:$JU$231,INT(($M152+40)/0.5)+1,INT(($N152+30)/0.5)+1)),"OUTSIDE GRID"))</f>
        <v>ZAF</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F5A7A-05B6-4FEA-B31E-F897A19E16EC}">
  <dimension ref="A1:AU15"/>
  <sheetViews>
    <sheetView topLeftCell="AN1" workbookViewId="0">
      <pane ySplit="3" topLeftCell="A4" activePane="bottomLeft" state="frozen"/>
      <selection pane="bottomLeft" activeCell="AP8" sqref="AP8"/>
    </sheetView>
  </sheetViews>
  <sheetFormatPr defaultRowHeight="14.4" x14ac:dyDescent="0.3"/>
  <cols>
    <col min="1" max="37" width="25" customWidth="1"/>
    <col min="38" max="38" width="125.21875" bestFit="1" customWidth="1"/>
    <col min="39" max="44" width="25" customWidth="1"/>
    <col min="46" max="47" width="27.77734375" customWidth="1"/>
  </cols>
  <sheetData>
    <row r="1" spans="1:47" ht="18" x14ac:dyDescent="0.35">
      <c r="A1" s="44" t="s">
        <v>4819</v>
      </c>
    </row>
    <row r="2" spans="1:47" x14ac:dyDescent="0.3">
      <c r="A2" s="25" t="s">
        <v>4820</v>
      </c>
      <c r="B2" s="25"/>
      <c r="C2" s="25"/>
      <c r="D2" s="25"/>
      <c r="E2" s="25"/>
      <c r="F2" s="25"/>
      <c r="G2" s="25"/>
      <c r="H2" s="25"/>
      <c r="I2" s="25"/>
      <c r="J2" s="25"/>
      <c r="K2" s="25"/>
      <c r="L2" s="25"/>
      <c r="M2" s="25"/>
      <c r="N2" s="25"/>
      <c r="O2" s="25"/>
      <c r="P2" s="25"/>
      <c r="Q2" s="25"/>
      <c r="R2" s="25"/>
      <c r="S2" s="57" t="s">
        <v>4821</v>
      </c>
      <c r="T2" s="57"/>
      <c r="U2" s="57"/>
      <c r="V2" s="57"/>
      <c r="W2" s="57"/>
      <c r="X2" s="57"/>
      <c r="Y2" s="57"/>
      <c r="Z2" s="57"/>
      <c r="AA2" s="57"/>
      <c r="AB2" s="57"/>
      <c r="AC2" s="57"/>
      <c r="AD2" s="57"/>
      <c r="AE2" s="57"/>
      <c r="AF2" s="57"/>
      <c r="AG2" s="57"/>
      <c r="AH2" s="57"/>
      <c r="AI2" s="57"/>
      <c r="AJ2" s="57"/>
      <c r="AK2" s="57"/>
      <c r="AL2" s="57"/>
      <c r="AM2" s="57"/>
      <c r="AN2" s="57"/>
      <c r="AO2" s="57"/>
      <c r="AP2" s="57"/>
      <c r="AQ2" s="57"/>
      <c r="AR2" s="57"/>
    </row>
    <row r="3" spans="1:47" x14ac:dyDescent="0.3">
      <c r="A3" s="33" t="s">
        <v>4779</v>
      </c>
      <c r="B3" s="33" t="s">
        <v>4780</v>
      </c>
      <c r="C3" s="33" t="s">
        <v>4281</v>
      </c>
      <c r="D3" s="33" t="s">
        <v>4793</v>
      </c>
      <c r="E3" s="33" t="s">
        <v>4781</v>
      </c>
      <c r="F3" s="33" t="s">
        <v>4782</v>
      </c>
      <c r="G3" s="33" t="s">
        <v>4783</v>
      </c>
      <c r="H3" s="33" t="s">
        <v>4784</v>
      </c>
      <c r="I3" s="33" t="s">
        <v>4785</v>
      </c>
      <c r="J3" s="33" t="s">
        <v>3807</v>
      </c>
      <c r="K3" s="33" t="s">
        <v>3808</v>
      </c>
      <c r="L3" s="33" t="s">
        <v>4822</v>
      </c>
      <c r="M3" s="33" t="s">
        <v>4786</v>
      </c>
      <c r="N3" s="33" t="s">
        <v>3836</v>
      </c>
      <c r="O3" s="33" t="s">
        <v>4280</v>
      </c>
      <c r="P3" s="33" t="s">
        <v>4823</v>
      </c>
      <c r="Q3" s="33" t="s">
        <v>4794</v>
      </c>
      <c r="R3" s="33" t="s">
        <v>4824</v>
      </c>
      <c r="S3" s="58" t="s">
        <v>4282</v>
      </c>
      <c r="T3" s="58" t="s">
        <v>4825</v>
      </c>
      <c r="U3" s="58" t="s">
        <v>4283</v>
      </c>
      <c r="V3" s="58" t="s">
        <v>4284</v>
      </c>
      <c r="W3" s="58" t="s">
        <v>4826</v>
      </c>
      <c r="X3" s="58" t="s">
        <v>4827</v>
      </c>
      <c r="Y3" s="58" t="s">
        <v>4285</v>
      </c>
      <c r="Z3" s="58" t="s">
        <v>4286</v>
      </c>
      <c r="AA3" s="58" t="s">
        <v>4828</v>
      </c>
      <c r="AB3" s="58" t="s">
        <v>4787</v>
      </c>
      <c r="AC3" s="58" t="s">
        <v>4287</v>
      </c>
      <c r="AD3" s="58" t="s">
        <v>4788</v>
      </c>
      <c r="AE3" s="58" t="s">
        <v>4789</v>
      </c>
      <c r="AF3" s="58" t="s">
        <v>4790</v>
      </c>
      <c r="AG3" s="58" t="s">
        <v>4829</v>
      </c>
      <c r="AH3" s="58" t="s">
        <v>4791</v>
      </c>
      <c r="AI3" s="58" t="s">
        <v>4792</v>
      </c>
      <c r="AJ3" s="58" t="s">
        <v>4830</v>
      </c>
      <c r="AK3" s="58" t="s">
        <v>4831</v>
      </c>
      <c r="AL3" s="58" t="s">
        <v>4832</v>
      </c>
      <c r="AM3" s="58" t="s">
        <v>4833</v>
      </c>
      <c r="AN3" s="58" t="s">
        <v>4834</v>
      </c>
      <c r="AO3" s="58" t="s">
        <v>4835</v>
      </c>
      <c r="AP3" s="58" t="s">
        <v>4288</v>
      </c>
      <c r="AQ3" s="58" t="s">
        <v>4836</v>
      </c>
      <c r="AR3" s="58" t="s">
        <v>4837</v>
      </c>
      <c r="AT3" s="33" t="s">
        <v>4802</v>
      </c>
      <c r="AU3" s="33"/>
    </row>
    <row r="4" spans="1:47" x14ac:dyDescent="0.3">
      <c r="A4" t="s">
        <v>4292</v>
      </c>
      <c r="B4" t="s">
        <v>17</v>
      </c>
      <c r="C4" t="s">
        <v>3830</v>
      </c>
      <c r="D4" t="s">
        <v>4795</v>
      </c>
      <c r="E4" s="6">
        <v>46242</v>
      </c>
      <c r="F4" t="s">
        <v>4296</v>
      </c>
      <c r="G4" t="s">
        <v>4795</v>
      </c>
      <c r="H4" t="s">
        <v>4656</v>
      </c>
      <c r="I4" t="s">
        <v>4305</v>
      </c>
      <c r="J4" t="s">
        <v>4123</v>
      </c>
      <c r="L4" t="s">
        <v>4651</v>
      </c>
      <c r="M4" t="s">
        <v>3867</v>
      </c>
      <c r="N4" t="s">
        <v>4195</v>
      </c>
      <c r="O4">
        <v>4</v>
      </c>
      <c r="P4" t="s">
        <v>4796</v>
      </c>
      <c r="Q4" s="6">
        <v>46242</v>
      </c>
      <c r="R4" t="s">
        <v>4797</v>
      </c>
      <c r="S4">
        <v>1</v>
      </c>
      <c r="T4" t="s">
        <v>4838</v>
      </c>
      <c r="U4" t="s">
        <v>3428</v>
      </c>
      <c r="V4" t="s">
        <v>3750</v>
      </c>
      <c r="W4" t="s">
        <v>1998</v>
      </c>
      <c r="X4" s="41">
        <v>46248.375</v>
      </c>
      <c r="Y4" t="s">
        <v>1449</v>
      </c>
      <c r="Z4" t="s">
        <v>1677</v>
      </c>
      <c r="AA4" t="s">
        <v>1927</v>
      </c>
      <c r="AB4" s="41">
        <v>46248.605000000003</v>
      </c>
      <c r="AC4">
        <v>2407</v>
      </c>
      <c r="AD4">
        <v>5.52</v>
      </c>
      <c r="AE4">
        <v>2</v>
      </c>
      <c r="AF4">
        <v>2</v>
      </c>
      <c r="AG4">
        <v>4</v>
      </c>
      <c r="AJ4" t="s">
        <v>4839</v>
      </c>
      <c r="AK4">
        <v>7</v>
      </c>
      <c r="AL4" t="s">
        <v>4987</v>
      </c>
      <c r="AM4" t="s">
        <v>1927</v>
      </c>
      <c r="AN4" t="s">
        <v>4988</v>
      </c>
      <c r="AO4" t="s">
        <v>4289</v>
      </c>
      <c r="AP4" t="s">
        <v>4291</v>
      </c>
      <c r="AQ4" t="s">
        <v>4651</v>
      </c>
      <c r="AT4" t="s">
        <v>4848</v>
      </c>
      <c r="AU4">
        <f>COUNTA($A$4:$A$400)</f>
        <v>5</v>
      </c>
    </row>
    <row r="5" spans="1:47" x14ac:dyDescent="0.3">
      <c r="A5" t="s">
        <v>4292</v>
      </c>
      <c r="B5" t="s">
        <v>17</v>
      </c>
      <c r="C5" t="s">
        <v>3830</v>
      </c>
      <c r="D5" t="s">
        <v>4795</v>
      </c>
      <c r="E5" s="6">
        <v>46242</v>
      </c>
      <c r="F5" t="s">
        <v>4296</v>
      </c>
      <c r="G5" t="s">
        <v>4795</v>
      </c>
      <c r="H5" t="s">
        <v>4656</v>
      </c>
      <c r="I5" t="s">
        <v>4305</v>
      </c>
      <c r="J5" t="s">
        <v>4123</v>
      </c>
      <c r="L5" t="s">
        <v>4651</v>
      </c>
      <c r="M5" t="s">
        <v>3867</v>
      </c>
      <c r="N5" t="s">
        <v>4195</v>
      </c>
      <c r="O5">
        <v>4</v>
      </c>
      <c r="P5" t="s">
        <v>4796</v>
      </c>
      <c r="Q5" s="6">
        <v>46242</v>
      </c>
      <c r="R5" t="s">
        <v>4797</v>
      </c>
      <c r="S5">
        <v>2</v>
      </c>
      <c r="T5" t="s">
        <v>4840</v>
      </c>
      <c r="U5" t="s">
        <v>1449</v>
      </c>
      <c r="V5" t="s">
        <v>1677</v>
      </c>
      <c r="W5" t="s">
        <v>1927</v>
      </c>
      <c r="X5" s="41">
        <v>46250.25</v>
      </c>
      <c r="Y5" t="s">
        <v>4</v>
      </c>
      <c r="Z5" t="s">
        <v>3760</v>
      </c>
      <c r="AA5" t="s">
        <v>16</v>
      </c>
      <c r="AB5" s="41">
        <v>46250.3917</v>
      </c>
      <c r="AC5">
        <v>1412</v>
      </c>
      <c r="AD5">
        <v>3.4</v>
      </c>
      <c r="AE5">
        <v>1</v>
      </c>
      <c r="AF5">
        <v>2</v>
      </c>
      <c r="AG5">
        <v>3</v>
      </c>
      <c r="AJ5" t="s">
        <v>4839</v>
      </c>
      <c r="AK5">
        <v>1</v>
      </c>
      <c r="AL5" t="s">
        <v>1763</v>
      </c>
      <c r="AM5" t="s">
        <v>16</v>
      </c>
      <c r="AN5" t="s">
        <v>4989</v>
      </c>
      <c r="AO5" t="s">
        <v>4289</v>
      </c>
      <c r="AP5" t="s">
        <v>4291</v>
      </c>
      <c r="AQ5" t="s">
        <v>4651</v>
      </c>
      <c r="AT5" t="s">
        <v>4849</v>
      </c>
      <c r="AU5" cm="1">
        <f t="array" ref="AU5">SUMPRODUCT(($A$4:$A$400&lt;&gt;"")/COUNTIF($A$4:$A$400,$A$4:$A$400&amp;""))</f>
        <v>2</v>
      </c>
    </row>
    <row r="6" spans="1:47" x14ac:dyDescent="0.3">
      <c r="A6" t="s">
        <v>4292</v>
      </c>
      <c r="B6" t="s">
        <v>17</v>
      </c>
      <c r="C6" t="s">
        <v>3830</v>
      </c>
      <c r="D6" t="s">
        <v>4795</v>
      </c>
      <c r="E6" s="6">
        <v>46242</v>
      </c>
      <c r="F6" t="s">
        <v>4296</v>
      </c>
      <c r="G6" t="s">
        <v>4795</v>
      </c>
      <c r="H6" t="s">
        <v>4656</v>
      </c>
      <c r="I6" t="s">
        <v>4305</v>
      </c>
      <c r="J6" t="s">
        <v>4123</v>
      </c>
      <c r="L6" t="s">
        <v>4651</v>
      </c>
      <c r="M6" t="s">
        <v>3867</v>
      </c>
      <c r="N6" t="s">
        <v>4195</v>
      </c>
      <c r="O6">
        <v>4</v>
      </c>
      <c r="P6" t="s">
        <v>4796</v>
      </c>
      <c r="Q6" s="6">
        <v>46242</v>
      </c>
      <c r="R6" t="s">
        <v>4797</v>
      </c>
      <c r="S6">
        <v>3</v>
      </c>
      <c r="T6" t="s">
        <v>4841</v>
      </c>
      <c r="U6" t="s">
        <v>4</v>
      </c>
      <c r="V6" t="s">
        <v>3760</v>
      </c>
      <c r="W6" t="s">
        <v>16</v>
      </c>
      <c r="X6" s="41">
        <v>46251.166700000002</v>
      </c>
      <c r="Y6" t="s">
        <v>1245</v>
      </c>
      <c r="Z6" t="s">
        <v>1575</v>
      </c>
      <c r="AA6" t="s">
        <v>1766</v>
      </c>
      <c r="AB6" s="41">
        <v>46251.37</v>
      </c>
      <c r="AC6">
        <v>2106</v>
      </c>
      <c r="AD6">
        <v>4.88</v>
      </c>
      <c r="AE6">
        <v>0</v>
      </c>
      <c r="AF6">
        <v>2</v>
      </c>
      <c r="AG6">
        <v>2</v>
      </c>
      <c r="AJ6" t="s">
        <v>4839</v>
      </c>
      <c r="AK6">
        <v>3</v>
      </c>
      <c r="AL6" t="s">
        <v>4990</v>
      </c>
      <c r="AM6" t="s">
        <v>1766</v>
      </c>
      <c r="AN6" t="s">
        <v>4991</v>
      </c>
      <c r="AO6" t="s">
        <v>4289</v>
      </c>
      <c r="AP6" t="s">
        <v>4291</v>
      </c>
      <c r="AQ6" t="s">
        <v>4651</v>
      </c>
      <c r="AT6" t="s">
        <v>4803</v>
      </c>
      <c r="AU6">
        <f>COUNTIF($C$4:$C$400,$AT6)</f>
        <v>1</v>
      </c>
    </row>
    <row r="7" spans="1:47" x14ac:dyDescent="0.3">
      <c r="A7" t="s">
        <v>4292</v>
      </c>
      <c r="B7" t="s">
        <v>17</v>
      </c>
      <c r="C7" t="s">
        <v>3830</v>
      </c>
      <c r="D7" t="s">
        <v>4795</v>
      </c>
      <c r="E7" s="6">
        <v>46242</v>
      </c>
      <c r="F7" t="s">
        <v>4296</v>
      </c>
      <c r="G7" t="s">
        <v>4795</v>
      </c>
      <c r="H7" t="s">
        <v>4656</v>
      </c>
      <c r="I7" t="s">
        <v>4305</v>
      </c>
      <c r="J7" t="s">
        <v>4123</v>
      </c>
      <c r="L7" t="s">
        <v>4651</v>
      </c>
      <c r="M7" t="s">
        <v>3867</v>
      </c>
      <c r="N7" t="s">
        <v>4195</v>
      </c>
      <c r="O7">
        <v>4</v>
      </c>
      <c r="P7" t="s">
        <v>4796</v>
      </c>
      <c r="Q7" s="6">
        <v>46242</v>
      </c>
      <c r="R7" t="s">
        <v>4797</v>
      </c>
      <c r="S7">
        <v>4</v>
      </c>
      <c r="T7" t="s">
        <v>4842</v>
      </c>
      <c r="U7" t="s">
        <v>1245</v>
      </c>
      <c r="V7" t="s">
        <v>1575</v>
      </c>
      <c r="W7" t="s">
        <v>1766</v>
      </c>
      <c r="X7" s="41">
        <v>46253.041700000002</v>
      </c>
      <c r="Y7" t="s">
        <v>5</v>
      </c>
      <c r="Z7" t="s">
        <v>3751</v>
      </c>
      <c r="AA7" t="s">
        <v>1998</v>
      </c>
      <c r="AB7" s="41">
        <v>46253.415000000001</v>
      </c>
      <c r="AC7">
        <v>4022</v>
      </c>
      <c r="AD7">
        <v>8.9600000000000009</v>
      </c>
      <c r="AE7">
        <v>0</v>
      </c>
      <c r="AF7">
        <v>2</v>
      </c>
      <c r="AG7">
        <v>2</v>
      </c>
      <c r="AJ7" t="s">
        <v>4839</v>
      </c>
      <c r="AK7">
        <v>12</v>
      </c>
      <c r="AL7" t="s">
        <v>4992</v>
      </c>
      <c r="AM7" t="s">
        <v>1998</v>
      </c>
      <c r="AN7" t="s">
        <v>4993</v>
      </c>
      <c r="AO7" t="s">
        <v>4289</v>
      </c>
      <c r="AP7" t="s">
        <v>4291</v>
      </c>
      <c r="AQ7" t="s">
        <v>4660</v>
      </c>
      <c r="AT7" t="s">
        <v>4799</v>
      </c>
      <c r="AU7">
        <f t="shared" ref="AU7:AU15" si="0">COUNTIF($C$4:$C$400,$AT7)</f>
        <v>0</v>
      </c>
    </row>
    <row r="8" spans="1:47" x14ac:dyDescent="0.3">
      <c r="A8" t="s">
        <v>4843</v>
      </c>
      <c r="B8" t="s">
        <v>4798</v>
      </c>
      <c r="C8" t="s">
        <v>4803</v>
      </c>
      <c r="D8" t="s">
        <v>4800</v>
      </c>
      <c r="E8" s="6">
        <v>46242</v>
      </c>
      <c r="F8" t="s">
        <v>4739</v>
      </c>
      <c r="G8" t="s">
        <v>4740</v>
      </c>
      <c r="H8" t="s">
        <v>4741</v>
      </c>
      <c r="I8" t="s">
        <v>4680</v>
      </c>
      <c r="M8" t="s">
        <v>3867</v>
      </c>
      <c r="N8" t="s">
        <v>4195</v>
      </c>
      <c r="O8">
        <v>1</v>
      </c>
      <c r="P8" t="s">
        <v>4844</v>
      </c>
      <c r="Q8" s="6">
        <v>46242</v>
      </c>
      <c r="R8" t="s">
        <v>4801</v>
      </c>
      <c r="S8">
        <v>1</v>
      </c>
      <c r="T8" t="s">
        <v>4845</v>
      </c>
      <c r="U8" t="s">
        <v>4</v>
      </c>
      <c r="V8" t="s">
        <v>3760</v>
      </c>
      <c r="W8" t="s">
        <v>16</v>
      </c>
      <c r="X8" s="41">
        <v>46248.375</v>
      </c>
      <c r="Y8" t="s">
        <v>3428</v>
      </c>
      <c r="Z8" t="s">
        <v>3750</v>
      </c>
      <c r="AA8" t="s">
        <v>1998</v>
      </c>
      <c r="AB8" s="41"/>
      <c r="AC8">
        <v>0</v>
      </c>
      <c r="AD8">
        <v>0</v>
      </c>
      <c r="AE8">
        <v>3</v>
      </c>
      <c r="AF8">
        <v>2</v>
      </c>
      <c r="AG8">
        <v>5</v>
      </c>
      <c r="AH8" t="s">
        <v>4817</v>
      </c>
      <c r="AI8" t="s">
        <v>4818</v>
      </c>
      <c r="AJ8" t="s">
        <v>4846</v>
      </c>
      <c r="AK8">
        <v>0</v>
      </c>
      <c r="AM8" t="s">
        <v>1998</v>
      </c>
      <c r="AN8" t="s">
        <v>4994</v>
      </c>
      <c r="AO8" t="s">
        <v>4847</v>
      </c>
      <c r="AP8" t="s">
        <v>4803</v>
      </c>
      <c r="AT8" t="s">
        <v>4804</v>
      </c>
      <c r="AU8">
        <f t="shared" si="0"/>
        <v>0</v>
      </c>
    </row>
    <row r="9" spans="1:47" x14ac:dyDescent="0.3">
      <c r="AT9" t="s">
        <v>4290</v>
      </c>
      <c r="AU9">
        <f t="shared" si="0"/>
        <v>0</v>
      </c>
    </row>
    <row r="10" spans="1:47" x14ac:dyDescent="0.3">
      <c r="AT10" t="s">
        <v>3830</v>
      </c>
      <c r="AU10">
        <f t="shared" si="0"/>
        <v>4</v>
      </c>
    </row>
    <row r="11" spans="1:47" x14ac:dyDescent="0.3">
      <c r="AT11" t="s">
        <v>4294</v>
      </c>
      <c r="AU11">
        <f t="shared" si="0"/>
        <v>0</v>
      </c>
    </row>
    <row r="12" spans="1:47" x14ac:dyDescent="0.3">
      <c r="AT12" t="s">
        <v>4805</v>
      </c>
      <c r="AU12">
        <f t="shared" si="0"/>
        <v>0</v>
      </c>
    </row>
    <row r="13" spans="1:47" x14ac:dyDescent="0.3">
      <c r="AT13" t="s">
        <v>4806</v>
      </c>
      <c r="AU13">
        <f t="shared" si="0"/>
        <v>0</v>
      </c>
    </row>
    <row r="14" spans="1:47" x14ac:dyDescent="0.3">
      <c r="AT14" t="s">
        <v>4807</v>
      </c>
      <c r="AU14">
        <f t="shared" si="0"/>
        <v>0</v>
      </c>
    </row>
    <row r="15" spans="1:47" x14ac:dyDescent="0.3">
      <c r="AT15" t="s">
        <v>4808</v>
      </c>
      <c r="AU15">
        <f t="shared" si="0"/>
        <v>0</v>
      </c>
    </row>
  </sheetData>
  <dataValidations count="3">
    <dataValidation type="list" allowBlank="1" showInputMessage="1" showErrorMessage="1" sqref="C4:C400" xr:uid="{0A808BF4-37CB-44CE-9407-5A859AB31E23}">
      <formula1>"ENQUIRY,SUBMITTED,QUOTED,CONFIRMED,ACTIVE,IN PROGRESS,SUSPENDED,COMPLETED,CLOSED,CANCELLED,DECLINED"</formula1>
    </dataValidation>
    <dataValidation type="list" allowBlank="1" showInputMessage="1" showErrorMessage="1" sqref="AP4:AP400" xr:uid="{06EB5087-3381-4CFE-A2CD-A7CF82608299}">
      <formula1>"ENQUIRY,PLANNED,PERMITS FILED,CLEARED,FLOWN,SUSPENDED,CANCELLED,CLOSED"</formula1>
    </dataValidation>
    <dataValidation type="list" allowBlank="1" showInputMessage="1" showErrorMessage="1" sqref="B4:B400" xr:uid="{983B0E71-4554-4A97-8D18-F3761D7D5BA2}">
      <formula1>"JTL,FEASIBILITY IQ"</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361B9-51CC-4824-97F5-1C8AECA7B7C2}">
  <dimension ref="A1:A291"/>
  <sheetViews>
    <sheetView topLeftCell="A249" zoomScale="120" zoomScaleNormal="120" workbookViewId="0">
      <selection activeCell="A126" sqref="A126"/>
    </sheetView>
  </sheetViews>
  <sheetFormatPr defaultRowHeight="14.4" x14ac:dyDescent="0.3"/>
  <cols>
    <col min="1" max="1" width="140.77734375" customWidth="1"/>
  </cols>
  <sheetData>
    <row r="1" spans="1:1" ht="21" x14ac:dyDescent="0.3">
      <c r="A1" s="61" t="s">
        <v>4855</v>
      </c>
    </row>
    <row r="2" spans="1:1" ht="28.8" x14ac:dyDescent="0.3">
      <c r="A2" s="62" t="s">
        <v>4856</v>
      </c>
    </row>
    <row r="3" spans="1:1" x14ac:dyDescent="0.3">
      <c r="A3" s="63"/>
    </row>
    <row r="4" spans="1:1" ht="15.6" x14ac:dyDescent="0.3">
      <c r="A4" s="64" t="s">
        <v>4857</v>
      </c>
    </row>
    <row r="5" spans="1:1" ht="28.8" x14ac:dyDescent="0.3">
      <c r="A5" s="63" t="s">
        <v>4858</v>
      </c>
    </row>
    <row r="6" spans="1:1" x14ac:dyDescent="0.3">
      <c r="A6" s="63"/>
    </row>
    <row r="7" spans="1:1" ht="15.6" x14ac:dyDescent="0.3">
      <c r="A7" s="64" t="s">
        <v>4859</v>
      </c>
    </row>
    <row r="8" spans="1:1" ht="57.6" x14ac:dyDescent="0.3">
      <c r="A8" s="63" t="s">
        <v>4860</v>
      </c>
    </row>
    <row r="9" spans="1:1" x14ac:dyDescent="0.3">
      <c r="A9" s="63"/>
    </row>
    <row r="10" spans="1:1" ht="15.6" x14ac:dyDescent="0.3">
      <c r="A10" s="64" t="s">
        <v>4861</v>
      </c>
    </row>
    <row r="11" spans="1:1" x14ac:dyDescent="0.3">
      <c r="A11" s="63" t="s">
        <v>4862</v>
      </c>
    </row>
    <row r="12" spans="1:1" x14ac:dyDescent="0.3">
      <c r="A12" s="63" t="s">
        <v>4863</v>
      </c>
    </row>
    <row r="13" spans="1:1" x14ac:dyDescent="0.3">
      <c r="A13" s="63" t="s">
        <v>4864</v>
      </c>
    </row>
    <row r="14" spans="1:1" x14ac:dyDescent="0.3">
      <c r="A14" s="63" t="s">
        <v>4865</v>
      </c>
    </row>
    <row r="15" spans="1:1" x14ac:dyDescent="0.3">
      <c r="A15" s="63" t="s">
        <v>4866</v>
      </c>
    </row>
    <row r="16" spans="1:1" x14ac:dyDescent="0.3">
      <c r="A16" s="63" t="s">
        <v>4867</v>
      </c>
    </row>
    <row r="17" spans="1:1" x14ac:dyDescent="0.3">
      <c r="A17" s="63" t="s">
        <v>4868</v>
      </c>
    </row>
    <row r="18" spans="1:1" x14ac:dyDescent="0.3">
      <c r="A18" s="63" t="s">
        <v>4869</v>
      </c>
    </row>
    <row r="19" spans="1:1" x14ac:dyDescent="0.3">
      <c r="A19" s="63"/>
    </row>
    <row r="20" spans="1:1" ht="15.6" x14ac:dyDescent="0.3">
      <c r="A20" s="64" t="s">
        <v>4870</v>
      </c>
    </row>
    <row r="21" spans="1:1" x14ac:dyDescent="0.3">
      <c r="A21" s="63" t="s">
        <v>4871</v>
      </c>
    </row>
    <row r="22" spans="1:1" x14ac:dyDescent="0.3">
      <c r="A22" s="63" t="s">
        <v>4872</v>
      </c>
    </row>
    <row r="23" spans="1:1" x14ac:dyDescent="0.3">
      <c r="A23" s="63" t="s">
        <v>4873</v>
      </c>
    </row>
    <row r="24" spans="1:1" x14ac:dyDescent="0.3">
      <c r="A24" s="63" t="s">
        <v>4874</v>
      </c>
    </row>
    <row r="25" spans="1:1" x14ac:dyDescent="0.3">
      <c r="A25" s="63" t="s">
        <v>4875</v>
      </c>
    </row>
    <row r="26" spans="1:1" x14ac:dyDescent="0.3">
      <c r="A26" s="63" t="s">
        <v>4876</v>
      </c>
    </row>
    <row r="27" spans="1:1" x14ac:dyDescent="0.3">
      <c r="A27" s="63" t="s">
        <v>4877</v>
      </c>
    </row>
    <row r="28" spans="1:1" x14ac:dyDescent="0.3">
      <c r="A28" s="63" t="s">
        <v>4878</v>
      </c>
    </row>
    <row r="29" spans="1:1" x14ac:dyDescent="0.3">
      <c r="A29" s="63"/>
    </row>
    <row r="30" spans="1:1" ht="15.6" x14ac:dyDescent="0.3">
      <c r="A30" s="64" t="s">
        <v>4879</v>
      </c>
    </row>
    <row r="31" spans="1:1" ht="28.8" x14ac:dyDescent="0.3">
      <c r="A31" s="63" t="s">
        <v>4880</v>
      </c>
    </row>
    <row r="32" spans="1:1" ht="28.8" x14ac:dyDescent="0.3">
      <c r="A32" s="63" t="s">
        <v>4881</v>
      </c>
    </row>
    <row r="33" spans="1:1" ht="28.8" x14ac:dyDescent="0.3">
      <c r="A33" s="63" t="s">
        <v>4882</v>
      </c>
    </row>
    <row r="34" spans="1:1" ht="28.8" x14ac:dyDescent="0.3">
      <c r="A34" s="63" t="s">
        <v>4883</v>
      </c>
    </row>
    <row r="35" spans="1:1" ht="28.8" x14ac:dyDescent="0.3">
      <c r="A35" s="63" t="s">
        <v>4884</v>
      </c>
    </row>
    <row r="36" spans="1:1" ht="28.8" x14ac:dyDescent="0.3">
      <c r="A36" s="63" t="s">
        <v>4885</v>
      </c>
    </row>
    <row r="37" spans="1:1" ht="28.8" x14ac:dyDescent="0.3">
      <c r="A37" s="63" t="s">
        <v>4886</v>
      </c>
    </row>
    <row r="38" spans="1:1" ht="43.2" x14ac:dyDescent="0.3">
      <c r="A38" s="63" t="s">
        <v>4887</v>
      </c>
    </row>
    <row r="39" spans="1:1" ht="43.2" x14ac:dyDescent="0.3">
      <c r="A39" s="63" t="s">
        <v>4888</v>
      </c>
    </row>
    <row r="40" spans="1:1" ht="28.8" x14ac:dyDescent="0.3">
      <c r="A40" s="63" t="s">
        <v>4889</v>
      </c>
    </row>
    <row r="41" spans="1:1" ht="28.8" x14ac:dyDescent="0.3">
      <c r="A41" s="63" t="s">
        <v>4890</v>
      </c>
    </row>
    <row r="42" spans="1:1" x14ac:dyDescent="0.3">
      <c r="A42" s="63" t="s">
        <v>4891</v>
      </c>
    </row>
    <row r="43" spans="1:1" ht="28.8" x14ac:dyDescent="0.3">
      <c r="A43" s="63" t="s">
        <v>4892</v>
      </c>
    </row>
    <row r="44" spans="1:1" ht="28.8" x14ac:dyDescent="0.3">
      <c r="A44" s="63" t="s">
        <v>4893</v>
      </c>
    </row>
    <row r="45" spans="1:1" ht="43.2" x14ac:dyDescent="0.3">
      <c r="A45" s="63" t="s">
        <v>4894</v>
      </c>
    </row>
    <row r="46" spans="1:1" ht="28.8" x14ac:dyDescent="0.3">
      <c r="A46" s="63" t="s">
        <v>4895</v>
      </c>
    </row>
    <row r="47" spans="1:1" x14ac:dyDescent="0.3">
      <c r="A47" s="63" t="s">
        <v>4896</v>
      </c>
    </row>
    <row r="48" spans="1:1" x14ac:dyDescent="0.3">
      <c r="A48" s="63" t="s">
        <v>4897</v>
      </c>
    </row>
    <row r="49" spans="1:1" x14ac:dyDescent="0.3">
      <c r="A49" s="63"/>
    </row>
    <row r="50" spans="1:1" ht="15.6" x14ac:dyDescent="0.3">
      <c r="A50" s="64" t="s">
        <v>4898</v>
      </c>
    </row>
    <row r="51" spans="1:1" x14ac:dyDescent="0.3">
      <c r="A51" s="63" t="s">
        <v>4899</v>
      </c>
    </row>
    <row r="52" spans="1:1" x14ac:dyDescent="0.3">
      <c r="A52" s="63" t="s">
        <v>4900</v>
      </c>
    </row>
    <row r="53" spans="1:1" ht="28.8" x14ac:dyDescent="0.3">
      <c r="A53" s="63" t="s">
        <v>4901</v>
      </c>
    </row>
    <row r="54" spans="1:1" ht="43.2" x14ac:dyDescent="0.3">
      <c r="A54" s="63" t="s">
        <v>4902</v>
      </c>
    </row>
    <row r="55" spans="1:1" ht="28.8" x14ac:dyDescent="0.3">
      <c r="A55" s="63" t="s">
        <v>4903</v>
      </c>
    </row>
    <row r="56" spans="1:1" x14ac:dyDescent="0.3">
      <c r="A56" s="63"/>
    </row>
    <row r="57" spans="1:1" ht="15.6" x14ac:dyDescent="0.3">
      <c r="A57" s="64" t="s">
        <v>4904</v>
      </c>
    </row>
    <row r="58" spans="1:1" ht="43.2" x14ac:dyDescent="0.3">
      <c r="A58" s="63" t="s">
        <v>4905</v>
      </c>
    </row>
    <row r="59" spans="1:1" x14ac:dyDescent="0.3">
      <c r="A59" s="63" t="s">
        <v>4906</v>
      </c>
    </row>
    <row r="60" spans="1:1" ht="28.8" x14ac:dyDescent="0.3">
      <c r="A60" s="63" t="s">
        <v>4907</v>
      </c>
    </row>
    <row r="61" spans="1:1" ht="28.8" x14ac:dyDescent="0.3">
      <c r="A61" s="63" t="s">
        <v>4908</v>
      </c>
    </row>
    <row r="62" spans="1:1" ht="28.8" x14ac:dyDescent="0.3">
      <c r="A62" s="63" t="s">
        <v>4909</v>
      </c>
    </row>
    <row r="63" spans="1:1" ht="57.6" x14ac:dyDescent="0.3">
      <c r="A63" s="63" t="s">
        <v>4910</v>
      </c>
    </row>
    <row r="64" spans="1:1" ht="28.8" x14ac:dyDescent="0.3">
      <c r="A64" s="63" t="s">
        <v>4911</v>
      </c>
    </row>
    <row r="65" spans="1:1" x14ac:dyDescent="0.3">
      <c r="A65" s="63"/>
    </row>
    <row r="66" spans="1:1" ht="15.6" x14ac:dyDescent="0.3">
      <c r="A66" s="64" t="s">
        <v>4912</v>
      </c>
    </row>
    <row r="67" spans="1:1" ht="28.8" x14ac:dyDescent="0.3">
      <c r="A67" s="63" t="s">
        <v>4913</v>
      </c>
    </row>
    <row r="68" spans="1:1" x14ac:dyDescent="0.3">
      <c r="A68" s="63" t="s">
        <v>4914</v>
      </c>
    </row>
    <row r="69" spans="1:1" ht="28.8" x14ac:dyDescent="0.3">
      <c r="A69" s="63" t="s">
        <v>4915</v>
      </c>
    </row>
    <row r="70" spans="1:1" x14ac:dyDescent="0.3">
      <c r="A70" s="63" t="s">
        <v>4916</v>
      </c>
    </row>
    <row r="71" spans="1:1" ht="28.8" x14ac:dyDescent="0.3">
      <c r="A71" s="63" t="s">
        <v>4917</v>
      </c>
    </row>
    <row r="72" spans="1:1" x14ac:dyDescent="0.3">
      <c r="A72" s="63"/>
    </row>
    <row r="73" spans="1:1" ht="15.6" x14ac:dyDescent="0.3">
      <c r="A73" s="64" t="s">
        <v>4918</v>
      </c>
    </row>
    <row r="74" spans="1:1" ht="72" x14ac:dyDescent="0.3">
      <c r="A74" s="63" t="s">
        <v>4919</v>
      </c>
    </row>
    <row r="75" spans="1:1" ht="43.2" x14ac:dyDescent="0.3">
      <c r="A75" s="63" t="s">
        <v>4920</v>
      </c>
    </row>
    <row r="76" spans="1:1" x14ac:dyDescent="0.3">
      <c r="A76" s="63"/>
    </row>
    <row r="77" spans="1:1" ht="15.6" x14ac:dyDescent="0.3">
      <c r="A77" s="64" t="s">
        <v>4921</v>
      </c>
    </row>
    <row r="78" spans="1:1" ht="57.6" x14ac:dyDescent="0.3">
      <c r="A78" s="63" t="s">
        <v>4922</v>
      </c>
    </row>
    <row r="79" spans="1:1" ht="28.8" x14ac:dyDescent="0.3">
      <c r="A79" s="63" t="s">
        <v>4923</v>
      </c>
    </row>
    <row r="80" spans="1:1" x14ac:dyDescent="0.3">
      <c r="A80" s="63"/>
    </row>
    <row r="81" spans="1:1" ht="15.6" x14ac:dyDescent="0.3">
      <c r="A81" s="64" t="s">
        <v>4924</v>
      </c>
    </row>
    <row r="82" spans="1:1" x14ac:dyDescent="0.3">
      <c r="A82" s="63" t="s">
        <v>4925</v>
      </c>
    </row>
    <row r="83" spans="1:1" x14ac:dyDescent="0.3">
      <c r="A83" s="63" t="s">
        <v>4926</v>
      </c>
    </row>
    <row r="84" spans="1:1" x14ac:dyDescent="0.3">
      <c r="A84" s="63" t="s">
        <v>4927</v>
      </c>
    </row>
    <row r="85" spans="1:1" x14ac:dyDescent="0.3">
      <c r="A85" s="63" t="s">
        <v>4928</v>
      </c>
    </row>
    <row r="86" spans="1:1" x14ac:dyDescent="0.3">
      <c r="A86" s="63" t="s">
        <v>4929</v>
      </c>
    </row>
    <row r="87" spans="1:1" x14ac:dyDescent="0.3">
      <c r="A87" s="63" t="s">
        <v>4930</v>
      </c>
    </row>
    <row r="88" spans="1:1" x14ac:dyDescent="0.3">
      <c r="A88" s="63" t="s">
        <v>4931</v>
      </c>
    </row>
    <row r="89" spans="1:1" x14ac:dyDescent="0.3">
      <c r="A89" s="63"/>
    </row>
    <row r="90" spans="1:1" ht="15.6" x14ac:dyDescent="0.3">
      <c r="A90" s="64" t="s">
        <v>4932</v>
      </c>
    </row>
    <row r="91" spans="1:1" ht="28.8" x14ac:dyDescent="0.3">
      <c r="A91" s="63" t="s">
        <v>4933</v>
      </c>
    </row>
    <row r="92" spans="1:1" x14ac:dyDescent="0.3">
      <c r="A92" s="63" t="s">
        <v>4934</v>
      </c>
    </row>
    <row r="93" spans="1:1" ht="28.8" x14ac:dyDescent="0.3">
      <c r="A93" s="63" t="s">
        <v>4935</v>
      </c>
    </row>
    <row r="94" spans="1:1" x14ac:dyDescent="0.3">
      <c r="A94" s="63"/>
    </row>
    <row r="95" spans="1:1" ht="15.6" x14ac:dyDescent="0.3">
      <c r="A95" s="64" t="s">
        <v>4936</v>
      </c>
    </row>
    <row r="96" spans="1:1" ht="28.8" x14ac:dyDescent="0.3">
      <c r="A96" s="63" t="s">
        <v>4937</v>
      </c>
    </row>
    <row r="97" spans="1:1" ht="28.8" x14ac:dyDescent="0.3">
      <c r="A97" s="63" t="s">
        <v>4938</v>
      </c>
    </row>
    <row r="98" spans="1:1" x14ac:dyDescent="0.3">
      <c r="A98" s="63"/>
    </row>
    <row r="99" spans="1:1" ht="15.6" x14ac:dyDescent="0.3">
      <c r="A99" s="64" t="s">
        <v>4939</v>
      </c>
    </row>
    <row r="100" spans="1:1" ht="43.2" x14ac:dyDescent="0.3">
      <c r="A100" s="63" t="s">
        <v>5085</v>
      </c>
    </row>
    <row r="101" spans="1:1" ht="28.8" x14ac:dyDescent="0.3">
      <c r="A101" s="63" t="s">
        <v>4940</v>
      </c>
    </row>
    <row r="102" spans="1:1" ht="28.8" x14ac:dyDescent="0.3">
      <c r="A102" s="63" t="s">
        <v>4941</v>
      </c>
    </row>
    <row r="103" spans="1:1" x14ac:dyDescent="0.3">
      <c r="A103" s="63" t="s">
        <v>4942</v>
      </c>
    </row>
    <row r="104" spans="1:1" ht="28.8" x14ac:dyDescent="0.3">
      <c r="A104" s="63" t="s">
        <v>4943</v>
      </c>
    </row>
    <row r="105" spans="1:1" ht="28.8" x14ac:dyDescent="0.3">
      <c r="A105" s="63" t="s">
        <v>4944</v>
      </c>
    </row>
    <row r="106" spans="1:1" x14ac:dyDescent="0.3">
      <c r="A106" s="63" t="s">
        <v>4945</v>
      </c>
    </row>
    <row r="107" spans="1:1" x14ac:dyDescent="0.3">
      <c r="A107" s="63"/>
    </row>
    <row r="108" spans="1:1" ht="15.6" x14ac:dyDescent="0.3">
      <c r="A108" s="64" t="s">
        <v>4946</v>
      </c>
    </row>
    <row r="109" spans="1:1" x14ac:dyDescent="0.3">
      <c r="A109" s="63" t="s">
        <v>4947</v>
      </c>
    </row>
    <row r="110" spans="1:1" x14ac:dyDescent="0.3">
      <c r="A110" s="63" t="s">
        <v>4948</v>
      </c>
    </row>
    <row r="111" spans="1:1" x14ac:dyDescent="0.3">
      <c r="A111" s="63" t="s">
        <v>4949</v>
      </c>
    </row>
    <row r="112" spans="1:1" x14ac:dyDescent="0.3">
      <c r="A112" s="63" t="s">
        <v>4950</v>
      </c>
    </row>
    <row r="113" spans="1:1" ht="28.8" x14ac:dyDescent="0.3">
      <c r="A113" s="63" t="s">
        <v>4951</v>
      </c>
    </row>
    <row r="114" spans="1:1" x14ac:dyDescent="0.3">
      <c r="A114" s="63" t="s">
        <v>4952</v>
      </c>
    </row>
    <row r="115" spans="1:1" x14ac:dyDescent="0.3">
      <c r="A115" s="63"/>
    </row>
    <row r="116" spans="1:1" ht="15.6" x14ac:dyDescent="0.3">
      <c r="A116" s="64" t="s">
        <v>4953</v>
      </c>
    </row>
    <row r="117" spans="1:1" ht="28.8" x14ac:dyDescent="0.3">
      <c r="A117" s="63" t="s">
        <v>4954</v>
      </c>
    </row>
    <row r="118" spans="1:1" ht="28.8" x14ac:dyDescent="0.3">
      <c r="A118" s="63" t="s">
        <v>4955</v>
      </c>
    </row>
    <row r="119" spans="1:1" x14ac:dyDescent="0.3">
      <c r="A119" s="63" t="s">
        <v>4956</v>
      </c>
    </row>
    <row r="120" spans="1:1" ht="28.8" x14ac:dyDescent="0.3">
      <c r="A120" s="63" t="s">
        <v>4957</v>
      </c>
    </row>
    <row r="121" spans="1:1" x14ac:dyDescent="0.3">
      <c r="A121" s="63" t="s">
        <v>4958</v>
      </c>
    </row>
    <row r="122" spans="1:1" x14ac:dyDescent="0.3">
      <c r="A122" s="63" t="s">
        <v>4959</v>
      </c>
    </row>
    <row r="123" spans="1:1" x14ac:dyDescent="0.3">
      <c r="A123" s="63" t="s">
        <v>4960</v>
      </c>
    </row>
    <row r="124" spans="1:1" x14ac:dyDescent="0.3">
      <c r="A124" s="63"/>
    </row>
    <row r="125" spans="1:1" ht="15.6" x14ac:dyDescent="0.3">
      <c r="A125" s="64" t="s">
        <v>4961</v>
      </c>
    </row>
    <row r="126" spans="1:1" ht="28.8" x14ac:dyDescent="0.3">
      <c r="A126" s="63" t="s">
        <v>4962</v>
      </c>
    </row>
    <row r="127" spans="1:1" x14ac:dyDescent="0.3">
      <c r="A127" s="63" t="s">
        <v>4963</v>
      </c>
    </row>
    <row r="128" spans="1:1" x14ac:dyDescent="0.3">
      <c r="A128" s="63"/>
    </row>
    <row r="129" spans="1:1" ht="15.6" x14ac:dyDescent="0.3">
      <c r="A129" s="64" t="s">
        <v>5050</v>
      </c>
    </row>
    <row r="130" spans="1:1" ht="43.2" x14ac:dyDescent="0.3">
      <c r="A130" s="63" t="s">
        <v>5051</v>
      </c>
    </row>
    <row r="131" spans="1:1" ht="28.8" x14ac:dyDescent="0.3">
      <c r="A131" s="63" t="s">
        <v>5052</v>
      </c>
    </row>
    <row r="132" spans="1:1" ht="28.8" x14ac:dyDescent="0.3">
      <c r="A132" s="63" t="s">
        <v>5053</v>
      </c>
    </row>
    <row r="133" spans="1:1" ht="28.8" x14ac:dyDescent="0.3">
      <c r="A133" s="63" t="s">
        <v>5054</v>
      </c>
    </row>
    <row r="134" spans="1:1" x14ac:dyDescent="0.3">
      <c r="A134" s="63" t="s">
        <v>5055</v>
      </c>
    </row>
    <row r="135" spans="1:1" x14ac:dyDescent="0.3">
      <c r="A135" s="63"/>
    </row>
    <row r="136" spans="1:1" ht="15.6" x14ac:dyDescent="0.3">
      <c r="A136" s="64" t="s">
        <v>5056</v>
      </c>
    </row>
    <row r="137" spans="1:1" x14ac:dyDescent="0.3">
      <c r="A137" s="63" t="s">
        <v>5057</v>
      </c>
    </row>
    <row r="138" spans="1:1" ht="28.8" x14ac:dyDescent="0.3">
      <c r="A138" s="63" t="s">
        <v>5058</v>
      </c>
    </row>
    <row r="139" spans="1:1" ht="28.8" x14ac:dyDescent="0.3">
      <c r="A139" s="63" t="s">
        <v>5059</v>
      </c>
    </row>
    <row r="140" spans="1:1" ht="57.6" x14ac:dyDescent="0.3">
      <c r="A140" s="63" t="s">
        <v>5060</v>
      </c>
    </row>
    <row r="141" spans="1:1" ht="43.2" x14ac:dyDescent="0.3">
      <c r="A141" s="63" t="s">
        <v>5061</v>
      </c>
    </row>
    <row r="142" spans="1:1" ht="43.2" x14ac:dyDescent="0.3">
      <c r="A142" s="63" t="s">
        <v>5062</v>
      </c>
    </row>
    <row r="143" spans="1:1" ht="28.8" x14ac:dyDescent="0.3">
      <c r="A143" s="63" t="s">
        <v>5063</v>
      </c>
    </row>
    <row r="144" spans="1:1" ht="28.8" x14ac:dyDescent="0.3">
      <c r="A144" s="63" t="s">
        <v>5064</v>
      </c>
    </row>
    <row r="145" spans="1:1" ht="28.8" x14ac:dyDescent="0.3">
      <c r="A145" s="63" t="s">
        <v>5065</v>
      </c>
    </row>
    <row r="146" spans="1:1" x14ac:dyDescent="0.3">
      <c r="A146" s="63"/>
    </row>
    <row r="147" spans="1:1" ht="15.6" x14ac:dyDescent="0.3">
      <c r="A147" s="64" t="s">
        <v>5066</v>
      </c>
    </row>
    <row r="148" spans="1:1" ht="43.2" x14ac:dyDescent="0.3">
      <c r="A148" s="63" t="s">
        <v>5067</v>
      </c>
    </row>
    <row r="149" spans="1:1" ht="43.2" x14ac:dyDescent="0.3">
      <c r="A149" s="63" t="s">
        <v>5068</v>
      </c>
    </row>
    <row r="150" spans="1:1" ht="28.8" x14ac:dyDescent="0.3">
      <c r="A150" s="63" t="s">
        <v>5069</v>
      </c>
    </row>
    <row r="151" spans="1:1" ht="28.8" x14ac:dyDescent="0.3">
      <c r="A151" s="63" t="s">
        <v>5070</v>
      </c>
    </row>
    <row r="152" spans="1:1" x14ac:dyDescent="0.3">
      <c r="A152" s="63"/>
    </row>
    <row r="153" spans="1:1" ht="15.6" x14ac:dyDescent="0.3">
      <c r="A153" s="64" t="s">
        <v>5071</v>
      </c>
    </row>
    <row r="154" spans="1:1" ht="43.2" x14ac:dyDescent="0.3">
      <c r="A154" s="63" t="s">
        <v>5072</v>
      </c>
    </row>
    <row r="155" spans="1:1" ht="28.8" x14ac:dyDescent="0.3">
      <c r="A155" s="63" t="s">
        <v>5073</v>
      </c>
    </row>
    <row r="156" spans="1:1" ht="28.8" x14ac:dyDescent="0.3">
      <c r="A156" s="63" t="s">
        <v>5074</v>
      </c>
    </row>
    <row r="157" spans="1:1" ht="28.8" x14ac:dyDescent="0.3">
      <c r="A157" s="63" t="s">
        <v>5075</v>
      </c>
    </row>
    <row r="158" spans="1:1" ht="43.2" x14ac:dyDescent="0.3">
      <c r="A158" s="63" t="s">
        <v>5076</v>
      </c>
    </row>
    <row r="159" spans="1:1" ht="28.8" x14ac:dyDescent="0.3">
      <c r="A159" s="63" t="s">
        <v>5077</v>
      </c>
    </row>
    <row r="160" spans="1:1" ht="28.8" x14ac:dyDescent="0.3">
      <c r="A160" s="63" t="s">
        <v>5078</v>
      </c>
    </row>
    <row r="161" spans="1:1" ht="28.8" x14ac:dyDescent="0.3">
      <c r="A161" s="63" t="s">
        <v>5079</v>
      </c>
    </row>
    <row r="162" spans="1:1" ht="28.8" x14ac:dyDescent="0.3">
      <c r="A162" s="63" t="s">
        <v>5080</v>
      </c>
    </row>
    <row r="163" spans="1:1" ht="28.8" x14ac:dyDescent="0.3">
      <c r="A163" s="63" t="s">
        <v>5081</v>
      </c>
    </row>
    <row r="164" spans="1:1" ht="28.8" x14ac:dyDescent="0.3">
      <c r="A164" s="63" t="s">
        <v>5082</v>
      </c>
    </row>
    <row r="165" spans="1:1" ht="28.8" x14ac:dyDescent="0.3">
      <c r="A165" s="63" t="s">
        <v>5083</v>
      </c>
    </row>
    <row r="166" spans="1:1" ht="28.8" x14ac:dyDescent="0.3">
      <c r="A166" s="63" t="s">
        <v>5084</v>
      </c>
    </row>
    <row r="167" spans="1:1" x14ac:dyDescent="0.3">
      <c r="A167" s="63"/>
    </row>
    <row r="168" spans="1:1" ht="15.6" x14ac:dyDescent="0.3">
      <c r="A168" s="64" t="s">
        <v>5253</v>
      </c>
    </row>
    <row r="169" spans="1:1" ht="43.2" x14ac:dyDescent="0.3">
      <c r="A169" s="63" t="s">
        <v>5254</v>
      </c>
    </row>
    <row r="170" spans="1:1" ht="43.2" x14ac:dyDescent="0.3">
      <c r="A170" s="63" t="s">
        <v>5255</v>
      </c>
    </row>
    <row r="171" spans="1:1" ht="57.6" x14ac:dyDescent="0.3">
      <c r="A171" s="63" t="s">
        <v>5256</v>
      </c>
    </row>
    <row r="172" spans="1:1" ht="28.8" x14ac:dyDescent="0.3">
      <c r="A172" s="63" t="s">
        <v>5257</v>
      </c>
    </row>
    <row r="173" spans="1:1" ht="57.6" x14ac:dyDescent="0.3">
      <c r="A173" s="63" t="s">
        <v>5258</v>
      </c>
    </row>
    <row r="174" spans="1:1" ht="28.8" x14ac:dyDescent="0.3">
      <c r="A174" s="63" t="s">
        <v>5259</v>
      </c>
    </row>
    <row r="175" spans="1:1" ht="43.2" x14ac:dyDescent="0.3">
      <c r="A175" s="63" t="s">
        <v>5260</v>
      </c>
    </row>
    <row r="176" spans="1:1" ht="43.2" x14ac:dyDescent="0.3">
      <c r="A176" s="63" t="s">
        <v>5261</v>
      </c>
    </row>
    <row r="177" spans="1:1" ht="28.8" x14ac:dyDescent="0.3">
      <c r="A177" s="63" t="s">
        <v>5262</v>
      </c>
    </row>
    <row r="178" spans="1:1" x14ac:dyDescent="0.3">
      <c r="A178" s="63"/>
    </row>
    <row r="179" spans="1:1" ht="15.6" x14ac:dyDescent="0.3">
      <c r="A179" s="64" t="s">
        <v>5263</v>
      </c>
    </row>
    <row r="180" spans="1:1" ht="43.2" x14ac:dyDescent="0.3">
      <c r="A180" s="63" t="s">
        <v>5264</v>
      </c>
    </row>
    <row r="181" spans="1:1" ht="28.8" x14ac:dyDescent="0.3">
      <c r="A181" s="63" t="s">
        <v>5265</v>
      </c>
    </row>
    <row r="182" spans="1:1" x14ac:dyDescent="0.3">
      <c r="A182" s="63" t="s">
        <v>5266</v>
      </c>
    </row>
    <row r="183" spans="1:1" ht="28.8" x14ac:dyDescent="0.3">
      <c r="A183" s="63" t="s">
        <v>5267</v>
      </c>
    </row>
    <row r="184" spans="1:1" ht="28.8" x14ac:dyDescent="0.3">
      <c r="A184" s="63" t="s">
        <v>5268</v>
      </c>
    </row>
    <row r="185" spans="1:1" x14ac:dyDescent="0.3">
      <c r="A185" s="63" t="s">
        <v>5269</v>
      </c>
    </row>
    <row r="186" spans="1:1" x14ac:dyDescent="0.3">
      <c r="A186" s="63"/>
    </row>
    <row r="187" spans="1:1" ht="15.6" x14ac:dyDescent="0.3">
      <c r="A187" s="64" t="s">
        <v>5270</v>
      </c>
    </row>
    <row r="188" spans="1:1" ht="28.8" x14ac:dyDescent="0.3">
      <c r="A188" s="63" t="s">
        <v>5271</v>
      </c>
    </row>
    <row r="189" spans="1:1" ht="28.8" x14ac:dyDescent="0.3">
      <c r="A189" s="63" t="s">
        <v>5272</v>
      </c>
    </row>
    <row r="190" spans="1:1" ht="28.8" x14ac:dyDescent="0.3">
      <c r="A190" s="63" t="s">
        <v>5273</v>
      </c>
    </row>
    <row r="191" spans="1:1" ht="28.8" x14ac:dyDescent="0.3">
      <c r="A191" s="63" t="s">
        <v>5274</v>
      </c>
    </row>
    <row r="192" spans="1:1" x14ac:dyDescent="0.3">
      <c r="A192" s="63"/>
    </row>
    <row r="193" spans="1:1" ht="15.6" x14ac:dyDescent="0.3">
      <c r="A193" s="64" t="s">
        <v>5452</v>
      </c>
    </row>
    <row r="194" spans="1:1" ht="57.6" x14ac:dyDescent="0.3">
      <c r="A194" s="63" t="s">
        <v>5453</v>
      </c>
    </row>
    <row r="195" spans="1:1" ht="57.6" x14ac:dyDescent="0.3">
      <c r="A195" s="63" t="s">
        <v>5454</v>
      </c>
    </row>
    <row r="196" spans="1:1" ht="28.8" x14ac:dyDescent="0.3">
      <c r="A196" s="63" t="s">
        <v>5455</v>
      </c>
    </row>
    <row r="197" spans="1:1" ht="28.8" x14ac:dyDescent="0.3">
      <c r="A197" s="63" t="s">
        <v>5456</v>
      </c>
    </row>
    <row r="198" spans="1:1" ht="28.8" x14ac:dyDescent="0.3">
      <c r="A198" s="63" t="s">
        <v>5457</v>
      </c>
    </row>
    <row r="199" spans="1:1" x14ac:dyDescent="0.3">
      <c r="A199" s="63"/>
    </row>
    <row r="200" spans="1:1" ht="15.6" x14ac:dyDescent="0.3">
      <c r="A200" s="64" t="s">
        <v>5458</v>
      </c>
    </row>
    <row r="201" spans="1:1" ht="43.2" x14ac:dyDescent="0.3">
      <c r="A201" s="63" t="s">
        <v>5459</v>
      </c>
    </row>
    <row r="202" spans="1:1" ht="43.2" x14ac:dyDescent="0.3">
      <c r="A202" s="63" t="s">
        <v>5460</v>
      </c>
    </row>
    <row r="203" spans="1:1" ht="28.8" x14ac:dyDescent="0.3">
      <c r="A203" s="63" t="s">
        <v>5461</v>
      </c>
    </row>
    <row r="204" spans="1:1" x14ac:dyDescent="0.3">
      <c r="A204" s="63" t="s">
        <v>5462</v>
      </c>
    </row>
    <row r="205" spans="1:1" x14ac:dyDescent="0.3">
      <c r="A205" s="63"/>
    </row>
    <row r="206" spans="1:1" ht="15.6" x14ac:dyDescent="0.3">
      <c r="A206" s="64" t="s">
        <v>5463</v>
      </c>
    </row>
    <row r="207" spans="1:1" ht="43.2" x14ac:dyDescent="0.3">
      <c r="A207" s="63" t="s">
        <v>5464</v>
      </c>
    </row>
    <row r="208" spans="1:1" ht="28.8" x14ac:dyDescent="0.3">
      <c r="A208" s="63" t="s">
        <v>5465</v>
      </c>
    </row>
    <row r="209" spans="1:1" ht="28.8" x14ac:dyDescent="0.3">
      <c r="A209" s="63" t="s">
        <v>5466</v>
      </c>
    </row>
    <row r="210" spans="1:1" ht="28.8" x14ac:dyDescent="0.3">
      <c r="A210" s="63" t="s">
        <v>5467</v>
      </c>
    </row>
    <row r="211" spans="1:1" x14ac:dyDescent="0.3">
      <c r="A211" s="63"/>
    </row>
    <row r="212" spans="1:1" ht="15.6" x14ac:dyDescent="0.3">
      <c r="A212" s="64" t="s">
        <v>5468</v>
      </c>
    </row>
    <row r="213" spans="1:1" ht="28.8" x14ac:dyDescent="0.3">
      <c r="A213" s="63" t="s">
        <v>5469</v>
      </c>
    </row>
    <row r="214" spans="1:1" ht="43.2" x14ac:dyDescent="0.3">
      <c r="A214" s="63" t="s">
        <v>5470</v>
      </c>
    </row>
    <row r="215" spans="1:1" ht="43.2" x14ac:dyDescent="0.3">
      <c r="A215" s="63" t="s">
        <v>5471</v>
      </c>
    </row>
    <row r="216" spans="1:1" ht="28.8" x14ac:dyDescent="0.3">
      <c r="A216" s="63" t="s">
        <v>5472</v>
      </c>
    </row>
    <row r="217" spans="1:1" ht="28.8" x14ac:dyDescent="0.3">
      <c r="A217" s="63" t="s">
        <v>5473</v>
      </c>
    </row>
    <row r="218" spans="1:1" x14ac:dyDescent="0.3">
      <c r="A218" s="63"/>
    </row>
    <row r="219" spans="1:1" ht="15.6" x14ac:dyDescent="0.3">
      <c r="A219" s="64" t="s">
        <v>5474</v>
      </c>
    </row>
    <row r="220" spans="1:1" ht="28.8" x14ac:dyDescent="0.3">
      <c r="A220" s="63" t="s">
        <v>5475</v>
      </c>
    </row>
    <row r="221" spans="1:1" ht="57.6" x14ac:dyDescent="0.3">
      <c r="A221" s="63" t="s">
        <v>5476</v>
      </c>
    </row>
    <row r="222" spans="1:1" ht="43.2" x14ac:dyDescent="0.3">
      <c r="A222" s="63" t="s">
        <v>5477</v>
      </c>
    </row>
    <row r="223" spans="1:1" ht="43.2" x14ac:dyDescent="0.3">
      <c r="A223" s="63" t="s">
        <v>5478</v>
      </c>
    </row>
    <row r="224" spans="1:1" ht="28.8" x14ac:dyDescent="0.3">
      <c r="A224" s="63" t="s">
        <v>5479</v>
      </c>
    </row>
    <row r="225" spans="1:1" x14ac:dyDescent="0.3">
      <c r="A225" s="63"/>
    </row>
    <row r="226" spans="1:1" ht="15.6" x14ac:dyDescent="0.3">
      <c r="A226" s="64" t="s">
        <v>5480</v>
      </c>
    </row>
    <row r="227" spans="1:1" ht="28.8" x14ac:dyDescent="0.3">
      <c r="A227" s="63" t="s">
        <v>5481</v>
      </c>
    </row>
    <row r="228" spans="1:1" ht="43.2" x14ac:dyDescent="0.3">
      <c r="A228" s="63" t="s">
        <v>5482</v>
      </c>
    </row>
    <row r="229" spans="1:1" ht="57.6" x14ac:dyDescent="0.3">
      <c r="A229" s="63" t="s">
        <v>5483</v>
      </c>
    </row>
    <row r="230" spans="1:1" ht="28.8" x14ac:dyDescent="0.3">
      <c r="A230" s="63" t="s">
        <v>5484</v>
      </c>
    </row>
    <row r="231" spans="1:1" x14ac:dyDescent="0.3">
      <c r="A231" s="63"/>
    </row>
    <row r="232" spans="1:1" ht="15.6" x14ac:dyDescent="0.3">
      <c r="A232" s="64" t="s">
        <v>5485</v>
      </c>
    </row>
    <row r="233" spans="1:1" ht="28.8" x14ac:dyDescent="0.3">
      <c r="A233" s="63" t="s">
        <v>5486</v>
      </c>
    </row>
    <row r="234" spans="1:1" ht="43.2" x14ac:dyDescent="0.3">
      <c r="A234" s="63" t="s">
        <v>5487</v>
      </c>
    </row>
    <row r="235" spans="1:1" ht="43.2" x14ac:dyDescent="0.3">
      <c r="A235" s="63" t="s">
        <v>5488</v>
      </c>
    </row>
    <row r="236" spans="1:1" x14ac:dyDescent="0.3">
      <c r="A236" s="63"/>
    </row>
    <row r="237" spans="1:1" ht="15.6" x14ac:dyDescent="0.3">
      <c r="A237" s="64" t="s">
        <v>5489</v>
      </c>
    </row>
    <row r="238" spans="1:1" x14ac:dyDescent="0.3">
      <c r="A238" s="63" t="s">
        <v>5490</v>
      </c>
    </row>
    <row r="239" spans="1:1" ht="28.8" x14ac:dyDescent="0.3">
      <c r="A239" s="63" t="s">
        <v>5491</v>
      </c>
    </row>
    <row r="240" spans="1:1" ht="43.2" x14ac:dyDescent="0.3">
      <c r="A240" s="63" t="s">
        <v>5492</v>
      </c>
    </row>
    <row r="241" spans="1:1" ht="43.2" x14ac:dyDescent="0.3">
      <c r="A241" s="63" t="s">
        <v>5493</v>
      </c>
    </row>
    <row r="242" spans="1:1" ht="28.8" x14ac:dyDescent="0.3">
      <c r="A242" s="63" t="s">
        <v>5494</v>
      </c>
    </row>
    <row r="243" spans="1:1" ht="28.8" x14ac:dyDescent="0.3">
      <c r="A243" s="63" t="s">
        <v>5495</v>
      </c>
    </row>
    <row r="244" spans="1:1" ht="28.8" x14ac:dyDescent="0.3">
      <c r="A244" s="63" t="s">
        <v>5496</v>
      </c>
    </row>
    <row r="245" spans="1:1" ht="28.8" x14ac:dyDescent="0.3">
      <c r="A245" s="63" t="s">
        <v>5497</v>
      </c>
    </row>
    <row r="246" spans="1:1" x14ac:dyDescent="0.3">
      <c r="A246" s="63" t="s">
        <v>5498</v>
      </c>
    </row>
    <row r="247" spans="1:1" ht="28.8" x14ac:dyDescent="0.3">
      <c r="A247" s="63" t="s">
        <v>5499</v>
      </c>
    </row>
    <row r="248" spans="1:1" ht="28.8" x14ac:dyDescent="0.3">
      <c r="A248" s="63" t="s">
        <v>5500</v>
      </c>
    </row>
    <row r="249" spans="1:1" x14ac:dyDescent="0.3">
      <c r="A249" s="63"/>
    </row>
    <row r="250" spans="1:1" ht="15.6" x14ac:dyDescent="0.3">
      <c r="A250" s="64" t="s">
        <v>5501</v>
      </c>
    </row>
    <row r="251" spans="1:1" ht="28.8" x14ac:dyDescent="0.3">
      <c r="A251" s="63" t="s">
        <v>5502</v>
      </c>
    </row>
    <row r="252" spans="1:1" ht="28.8" x14ac:dyDescent="0.3">
      <c r="A252" s="63" t="s">
        <v>5503</v>
      </c>
    </row>
    <row r="253" spans="1:1" ht="43.2" x14ac:dyDescent="0.3">
      <c r="A253" s="63" t="s">
        <v>5504</v>
      </c>
    </row>
    <row r="254" spans="1:1" ht="28.8" x14ac:dyDescent="0.3">
      <c r="A254" s="63" t="s">
        <v>5505</v>
      </c>
    </row>
    <row r="255" spans="1:1" ht="28.8" x14ac:dyDescent="0.3">
      <c r="A255" s="63" t="s">
        <v>5506</v>
      </c>
    </row>
    <row r="256" spans="1:1" x14ac:dyDescent="0.3">
      <c r="A256" s="63"/>
    </row>
    <row r="257" spans="1:1" ht="15.6" x14ac:dyDescent="0.3">
      <c r="A257" s="64" t="s">
        <v>6220</v>
      </c>
    </row>
    <row r="258" spans="1:1" ht="43.2" x14ac:dyDescent="0.3">
      <c r="A258" s="63" t="s">
        <v>6221</v>
      </c>
    </row>
    <row r="259" spans="1:1" ht="43.2" x14ac:dyDescent="0.3">
      <c r="A259" s="63" t="s">
        <v>6222</v>
      </c>
    </row>
    <row r="260" spans="1:1" ht="43.2" x14ac:dyDescent="0.3">
      <c r="A260" s="63" t="s">
        <v>6223</v>
      </c>
    </row>
    <row r="261" spans="1:1" x14ac:dyDescent="0.3">
      <c r="A261" s="63"/>
    </row>
    <row r="262" spans="1:1" ht="15.6" x14ac:dyDescent="0.3">
      <c r="A262" s="64" t="s">
        <v>6224</v>
      </c>
    </row>
    <row r="263" spans="1:1" ht="43.2" x14ac:dyDescent="0.3">
      <c r="A263" s="63" t="s">
        <v>6225</v>
      </c>
    </row>
    <row r="264" spans="1:1" ht="57.6" x14ac:dyDescent="0.3">
      <c r="A264" s="63" t="s">
        <v>6226</v>
      </c>
    </row>
    <row r="265" spans="1:1" ht="43.2" x14ac:dyDescent="0.3">
      <c r="A265" s="63" t="s">
        <v>6227</v>
      </c>
    </row>
    <row r="266" spans="1:1" x14ac:dyDescent="0.3">
      <c r="A266" s="63"/>
    </row>
    <row r="267" spans="1:1" ht="15.6" x14ac:dyDescent="0.3">
      <c r="A267" s="64" t="s">
        <v>6228</v>
      </c>
    </row>
    <row r="268" spans="1:1" ht="43.2" x14ac:dyDescent="0.3">
      <c r="A268" s="63" t="s">
        <v>6229</v>
      </c>
    </row>
    <row r="269" spans="1:1" ht="28.8" x14ac:dyDescent="0.3">
      <c r="A269" s="63" t="s">
        <v>6230</v>
      </c>
    </row>
    <row r="270" spans="1:1" x14ac:dyDescent="0.3">
      <c r="A270" s="63"/>
    </row>
    <row r="271" spans="1:1" ht="15.6" x14ac:dyDescent="0.3">
      <c r="A271" s="64" t="s">
        <v>6231</v>
      </c>
    </row>
    <row r="272" spans="1:1" ht="43.2" x14ac:dyDescent="0.3">
      <c r="A272" s="63" t="s">
        <v>6232</v>
      </c>
    </row>
    <row r="273" spans="1:1" ht="28.8" x14ac:dyDescent="0.3">
      <c r="A273" s="63" t="s">
        <v>6233</v>
      </c>
    </row>
    <row r="275" spans="1:1" x14ac:dyDescent="0.3">
      <c r="A275" s="63"/>
    </row>
    <row r="276" spans="1:1" x14ac:dyDescent="0.3">
      <c r="A276" s="89" t="s">
        <v>8573</v>
      </c>
    </row>
    <row r="277" spans="1:1" ht="28.8" x14ac:dyDescent="0.3">
      <c r="A277" s="63" t="s">
        <v>8574</v>
      </c>
    </row>
    <row r="278" spans="1:1" x14ac:dyDescent="0.3">
      <c r="A278" s="63"/>
    </row>
    <row r="279" spans="1:1" ht="43.2" x14ac:dyDescent="0.3">
      <c r="A279" s="63" t="s">
        <v>8575</v>
      </c>
    </row>
    <row r="280" spans="1:1" ht="28.8" x14ac:dyDescent="0.3">
      <c r="A280" s="63" t="s">
        <v>8576</v>
      </c>
    </row>
    <row r="281" spans="1:1" x14ac:dyDescent="0.3">
      <c r="A281" s="63"/>
    </row>
    <row r="282" spans="1:1" ht="72" x14ac:dyDescent="0.3">
      <c r="A282" s="63" t="s">
        <v>8577</v>
      </c>
    </row>
    <row r="283" spans="1:1" ht="57.6" x14ac:dyDescent="0.3">
      <c r="A283" s="63" t="s">
        <v>8578</v>
      </c>
    </row>
    <row r="284" spans="1:1" x14ac:dyDescent="0.3">
      <c r="A284" s="63"/>
    </row>
    <row r="285" spans="1:1" ht="57.6" x14ac:dyDescent="0.3">
      <c r="A285" s="63" t="s">
        <v>8579</v>
      </c>
    </row>
    <row r="286" spans="1:1" x14ac:dyDescent="0.3">
      <c r="A286" s="63"/>
    </row>
    <row r="287" spans="1:1" ht="72" x14ac:dyDescent="0.3">
      <c r="A287" s="63" t="s">
        <v>8580</v>
      </c>
    </row>
    <row r="288" spans="1:1" x14ac:dyDescent="0.3">
      <c r="A288" s="63"/>
    </row>
    <row r="289" spans="1:1" ht="72" x14ac:dyDescent="0.3">
      <c r="A289" s="63" t="s">
        <v>8581</v>
      </c>
    </row>
    <row r="290" spans="1:1" x14ac:dyDescent="0.3">
      <c r="A290" s="63"/>
    </row>
    <row r="291" spans="1:1" ht="86.4" x14ac:dyDescent="0.3">
      <c r="A291" s="63" t="s">
        <v>8582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1214E-A5E4-4AD8-942E-6DD5B2DAFB11}">
  <dimension ref="A1:AM44"/>
  <sheetViews>
    <sheetView workbookViewId="0">
      <pane ySplit="4" topLeftCell="A5" activePane="bottomLeft" state="frozen"/>
      <selection pane="bottomLeft" activeCell="D5" sqref="D5"/>
    </sheetView>
  </sheetViews>
  <sheetFormatPr defaultRowHeight="14.4" x14ac:dyDescent="0.3"/>
  <cols>
    <col min="1" max="6" width="25" customWidth="1"/>
    <col min="7" max="7" width="51.88671875" customWidth="1"/>
    <col min="8" max="33" width="25" customWidth="1"/>
    <col min="34" max="34" width="55.5546875" customWidth="1"/>
    <col min="35" max="37" width="25" customWidth="1"/>
    <col min="38" max="38" width="51.88671875" customWidth="1"/>
    <col min="39" max="39" width="25" customWidth="1"/>
  </cols>
  <sheetData>
    <row r="1" spans="1:39" ht="18" x14ac:dyDescent="0.35">
      <c r="A1" s="44" t="s">
        <v>4995</v>
      </c>
    </row>
    <row r="2" spans="1:39" x14ac:dyDescent="0.3">
      <c r="A2" s="32" t="s">
        <v>4996</v>
      </c>
    </row>
    <row r="3" spans="1:39" x14ac:dyDescent="0.3">
      <c r="A3" s="25" t="s">
        <v>4997</v>
      </c>
      <c r="B3" s="25"/>
      <c r="C3" s="25"/>
      <c r="D3" s="25"/>
      <c r="E3" s="25"/>
      <c r="F3" s="25"/>
      <c r="G3" s="25"/>
      <c r="H3" s="25"/>
      <c r="I3" s="25"/>
      <c r="J3" s="67" t="s">
        <v>4998</v>
      </c>
      <c r="K3" s="67"/>
      <c r="L3" s="67"/>
      <c r="M3" s="67"/>
      <c r="N3" s="67"/>
      <c r="O3" s="67"/>
      <c r="P3" s="67"/>
      <c r="Q3" s="67"/>
      <c r="R3" s="67"/>
      <c r="S3" s="67"/>
      <c r="T3" s="57" t="s">
        <v>4999</v>
      </c>
      <c r="U3" s="57"/>
      <c r="V3" s="57"/>
      <c r="W3" s="57"/>
      <c r="X3" s="57"/>
      <c r="Y3" s="57"/>
      <c r="Z3" s="57"/>
      <c r="AA3" s="57"/>
      <c r="AB3" s="68" t="s">
        <v>5000</v>
      </c>
      <c r="AC3" s="68"/>
      <c r="AD3" s="68"/>
      <c r="AE3" s="68"/>
      <c r="AF3" s="68"/>
      <c r="AG3" s="68"/>
      <c r="AH3" s="68" t="s">
        <v>5001</v>
      </c>
      <c r="AI3" s="59" t="s">
        <v>5001</v>
      </c>
      <c r="AJ3" s="59"/>
      <c r="AK3" s="59"/>
      <c r="AL3" s="59"/>
      <c r="AM3" s="59"/>
    </row>
    <row r="4" spans="1:39" x14ac:dyDescent="0.3">
      <c r="A4" s="33" t="s">
        <v>5002</v>
      </c>
      <c r="B4" s="33" t="s">
        <v>4779</v>
      </c>
      <c r="C4" s="33" t="s">
        <v>5003</v>
      </c>
      <c r="D4" s="33" t="s">
        <v>5004</v>
      </c>
      <c r="E4" s="33" t="s">
        <v>5005</v>
      </c>
      <c r="F4" s="33" t="s">
        <v>5006</v>
      </c>
      <c r="G4" s="33" t="s">
        <v>5007</v>
      </c>
      <c r="H4" s="33" t="s">
        <v>5008</v>
      </c>
      <c r="I4" s="33" t="s">
        <v>5009</v>
      </c>
      <c r="J4" s="33" t="s">
        <v>5010</v>
      </c>
      <c r="K4" s="33" t="s">
        <v>5011</v>
      </c>
      <c r="L4" s="33" t="s">
        <v>5012</v>
      </c>
      <c r="M4" s="33" t="s">
        <v>5013</v>
      </c>
      <c r="N4" s="33" t="s">
        <v>5014</v>
      </c>
      <c r="O4" s="33" t="s">
        <v>5015</v>
      </c>
      <c r="P4" s="33" t="s">
        <v>5016</v>
      </c>
      <c r="Q4" s="33" t="s">
        <v>5017</v>
      </c>
      <c r="R4" s="33" t="s">
        <v>5018</v>
      </c>
      <c r="S4" s="33" t="s">
        <v>5019</v>
      </c>
      <c r="T4" s="33" t="s">
        <v>5020</v>
      </c>
      <c r="U4" s="33" t="s">
        <v>5021</v>
      </c>
      <c r="V4" s="33" t="s">
        <v>5022</v>
      </c>
      <c r="W4" s="33" t="s">
        <v>5023</v>
      </c>
      <c r="X4" s="33" t="s">
        <v>5024</v>
      </c>
      <c r="Y4" s="33" t="s">
        <v>5025</v>
      </c>
      <c r="Z4" s="33" t="s">
        <v>5026</v>
      </c>
      <c r="AA4" s="33" t="s">
        <v>5027</v>
      </c>
      <c r="AB4" s="33" t="s">
        <v>5028</v>
      </c>
      <c r="AC4" s="33" t="s">
        <v>5029</v>
      </c>
      <c r="AD4" s="33" t="s">
        <v>5030</v>
      </c>
      <c r="AE4" s="33" t="s">
        <v>5031</v>
      </c>
      <c r="AF4" s="33" t="s">
        <v>5032</v>
      </c>
      <c r="AG4" s="33" t="s">
        <v>5033</v>
      </c>
      <c r="AH4" s="33" t="s">
        <v>5034</v>
      </c>
      <c r="AI4" s="33" t="s">
        <v>5035</v>
      </c>
      <c r="AJ4" s="33" t="s">
        <v>5036</v>
      </c>
      <c r="AK4" s="33" t="s">
        <v>5037</v>
      </c>
      <c r="AL4" s="33" t="s">
        <v>5038</v>
      </c>
      <c r="AM4" s="33" t="s">
        <v>2300</v>
      </c>
    </row>
    <row r="5" spans="1:39" x14ac:dyDescent="0.3">
      <c r="A5" t="str">
        <f>IF($C5="","","DOC-"&amp;TEXT(ROW()-4,"000"))</f>
        <v>DOC-001</v>
      </c>
      <c r="B5" t="str">
        <f>IF($C5="","",IFERROR(INDEX('PAX &amp; CREW'!$B$3:$B$62,MATCH($C5,'PAX &amp; CREW'!$A$3:$A$62,0)),""))</f>
        <v>JTL-2608-001</v>
      </c>
      <c r="C5" s="4" t="s">
        <v>4557</v>
      </c>
      <c r="D5" t="str">
        <f>IF($C5="","",IFERROR(INDEX('PAX &amp; CREW'!$G$3:$G$62,MATCH($C5,'PAX &amp; CREW'!$A$3:$A$62,0))&amp;", "&amp;INDEX('PAX &amp; CREW'!$H$3:$H$62,MATCH($C5,'PAX &amp; CREW'!$A$3:$A$62,0)),"PERSON NOT FOUND"))</f>
        <v>WATSON, CHARLES JAMES</v>
      </c>
      <c r="E5" s="4" t="s">
        <v>5039</v>
      </c>
      <c r="F5" s="4" t="s">
        <v>5040</v>
      </c>
      <c r="G5" t="str">
        <f>IF(OR($C5="",$F5=""),"",IFERROR(INDEX('PAX &amp; CREW'!$AE$3:$AE$62,MATCH($C5,'PAX &amp; CREW'!$A$3:$A$62,0))&amp;"\"&amp;$F5,""))</f>
        <v>C:\Backups\InsiderTechSol\Aviation\Jetelio_v3\.LAYOUT\resources\PaxCrewDocs\JTL-2608-001\P-001\passport.pdf</v>
      </c>
      <c r="H5" s="4" t="s">
        <v>4668</v>
      </c>
      <c r="I5" s="50">
        <v>46242</v>
      </c>
      <c r="J5" s="4" t="s">
        <v>5041</v>
      </c>
      <c r="K5" s="4">
        <v>512889301</v>
      </c>
      <c r="L5" s="4" t="s">
        <v>4562</v>
      </c>
      <c r="M5" s="4" t="s">
        <v>4563</v>
      </c>
      <c r="N5" s="4" t="s">
        <v>1965</v>
      </c>
      <c r="O5" s="9">
        <v>25569</v>
      </c>
      <c r="P5" s="9">
        <v>44927</v>
      </c>
      <c r="Q5" s="9">
        <v>48945</v>
      </c>
      <c r="R5" s="4" t="s">
        <v>1965</v>
      </c>
      <c r="S5" s="4">
        <v>97</v>
      </c>
      <c r="T5">
        <f>IF($C5="","",IFERROR(IF($E5="PASSPORT",INDEX('PAX &amp; CREW'!$M$3:$M$62,MATCH($C5,'PAX &amp; CREW'!$A$3:$A$62,0)),IF($E5="VISA",INDEX('PAX &amp; CREW'!$S$3:$S$62,MATCH($C5,'PAX &amp; CREW'!$A$3:$A$62,0)),IF($E5="LICENCE",INDEX('PAX &amp; CREW'!$V$3:$V$62,MATCH($C5,'PAX &amp; CREW'!$A$3:$A$62,0)),IF($E5="CREW ID",INDEX('PAX &amp; CREW'!$Y$3:$Y$62,MATCH($C5,'PAX &amp; CREW'!$A$3:$A$62,0)),"")))),""))</f>
        <v>512889301</v>
      </c>
      <c r="U5" t="str">
        <f>IF($C5="","",IFERROR(INDEX('PAX &amp; CREW'!$G$3:$G$62,MATCH($C5,'PAX &amp; CREW'!$A$3:$A$62,0)),""))</f>
        <v>WATSON</v>
      </c>
      <c r="V5" t="str">
        <f>IF($C5="","",IFERROR(INDEX('PAX &amp; CREW'!$H$3:$H$62,MATCH($C5,'PAX &amp; CREW'!$A$3:$A$62,0)),""))</f>
        <v>CHARLES JAMES</v>
      </c>
      <c r="W5" t="str">
        <f>IF($C5="","",IFERROR(INDEX('PAX &amp; CREW'!$L$3:$L$62,MATCH($C5,'PAX &amp; CREW'!$A$3:$A$62,0)),""))</f>
        <v>United States</v>
      </c>
      <c r="X5" s="6">
        <f>IF($C5="","",IFERROR(INDEX('PAX &amp; CREW'!$J$3:$J$62,MATCH($C5,'PAX &amp; CREW'!$A$3:$A$62,0)),""))</f>
        <v>25569</v>
      </c>
      <c r="Y5" s="6">
        <f>IF($C5="","",IFERROR(IF($E5="PASSPORT",INDEX('PAX &amp; CREW'!$O$3:$O$62,MATCH($C5,'PAX &amp; CREW'!$A$3:$A$62,0)),""),""))</f>
        <v>44927</v>
      </c>
      <c r="Z5" s="6">
        <f>IF($C5="","",IFERROR(IF($E5="PASSPORT",INDEX('PAX &amp; CREW'!$P$3:$P$62,MATCH($C5,'PAX &amp; CREW'!$A$3:$A$62,0)),IF($E5="VISA",INDEX('PAX &amp; CREW'!$T$3:$T$62,MATCH($C5,'PAX &amp; CREW'!$A$3:$A$62,0)),IF($E5="LICENCE",INDEX('PAX &amp; CREW'!$W$3:$W$62,MATCH($C5,'PAX &amp; CREW'!$A$3:$A$62,0)),IF($E5="MEDICAL",INDEX('PAX &amp; CREW'!$X$3:$X$62,MATCH($C5,'PAX &amp; CREW'!$A$3:$A$62,0)),"")))),""))</f>
        <v>48945</v>
      </c>
      <c r="AA5" t="str">
        <f>IF($C5="","",IFERROR(IF($E5="PASSPORT",INDEX('PAX &amp; CREW'!$N$3:$N$62,MATCH($C5,'PAX &amp; CREW'!$A$3:$A$62,0)),INDEX('PAX &amp; CREW'!$L$3:$L$62,MATCH($C5,'PAX &amp; CREW'!$A$3:$A$62,0))),""))</f>
        <v>United States</v>
      </c>
      <c r="AB5" t="str">
        <f>IF($A5="","",IF(OR($K5="",$T5=""),"-",IF(UPPER(TRIM($K5&amp;""))=UPPER(TRIM($T5&amp;"")),"MATCH","MISMATCH")))</f>
        <v>MATCH</v>
      </c>
      <c r="AC5" t="str">
        <f>IF($A5="","",IF(OR($L5="",$U5=""),"-",IF(UPPER(TRIM($L5&amp;""))=UPPER(TRIM($U5&amp;"")),"MATCH","MISMATCH")))</f>
        <v>MATCH</v>
      </c>
      <c r="AD5" t="str">
        <f>IF($A5="","",IF(OR($M5="",$V5=""),"-",IF(UPPER(TRIM($M5&amp;""))=UPPER(TRIM($V5&amp;"")),"MATCH","MISMATCH")))</f>
        <v>MATCH</v>
      </c>
      <c r="AE5" t="str">
        <f>IF($A5="","",IF(OR($N5="",$W5=""),"-",IF(UPPER(TRIM($N5&amp;""))=UPPER(TRIM($W5&amp;"")),"MATCH","MISMATCH")))</f>
        <v>MATCH</v>
      </c>
      <c r="AF5" t="str">
        <f>IF($A5="","",IF(OR($O5="",$X5=""),"-",IF(UPPER(TRIM($O5&amp;""))=UPPER(TRIM($X5&amp;"")),"MATCH","MISMATCH")))</f>
        <v>MATCH</v>
      </c>
      <c r="AG5" t="str">
        <f>IF($A5="","",IF(OR($Q5="",$Z5=""),"-",IF(UPPER(TRIM($Q5&amp;""))=UPPER(TRIM($Z5&amp;"")),"MATCH","MISMATCH")))</f>
        <v>MATCH</v>
      </c>
      <c r="AH5" t="str">
        <f>IF($A5="","",COUNTIF($AB5:$AG5,"MATCH")&amp;" of "&amp;(6-COUNTIF($AB5:$AG5,"-"))&amp;" compared fields match"&amp;IF(COUNTIF($AB5:$AG5,"MISMATCH")&gt;0," — "&amp;COUNTIF($AB5:$AG5,"MISMATCH")&amp;" MISMATCH, DO NOT ACCEPT WITHOUT REVIEW",""))</f>
        <v>6 of 6 compared fields match</v>
      </c>
      <c r="AI5" s="4"/>
      <c r="AJ5" s="4"/>
      <c r="AK5" s="50"/>
      <c r="AL5" t="str">
        <f>IF($A5="","",IF($J5&lt;&gt;"DONE","AWAITING OCR",IF($AI5="","AWAITING HUMAN REVIEW",IF($AI5="REJECT DOCUMENT","REJECTED - NOT ASSIGNED",IF(OR($AJ5="",$AK5=""),"REVIEW INCOMPLETE - name and date the review",$AI5&amp;" - ASSIGNED TO "&amp;$C5&amp;" ON "&amp;$B5)))))</f>
        <v>AWAITING HUMAN REVIEW</v>
      </c>
      <c r="AM5" s="4"/>
    </row>
    <row r="6" spans="1:39" x14ac:dyDescent="0.3">
      <c r="A6" t="str">
        <f t="shared" ref="A6:A44" si="0">IF($C6="","","DOC-"&amp;TEXT(ROW()-4,"000"))</f>
        <v>DOC-002</v>
      </c>
      <c r="B6" t="str">
        <f>IF($C6="","",IFERROR(INDEX('PAX &amp; CREW'!$B$3:$B$62,MATCH($C6,'PAX &amp; CREW'!$A$3:$A$62,0)),""))</f>
        <v>JTL-2608-001</v>
      </c>
      <c r="C6" s="4" t="s">
        <v>4575</v>
      </c>
      <c r="D6" t="str">
        <f>IF($C6="","",IFERROR(INDEX('PAX &amp; CREW'!$G$3:$G$62,MATCH($C6,'PAX &amp; CREW'!$A$3:$A$62,0))&amp;", "&amp;INDEX('PAX &amp; CREW'!$H$3:$H$62,MATCH($C6,'PAX &amp; CREW'!$A$3:$A$62,0)),"PERSON NOT FOUND"))</f>
        <v>NKOSI, LERATO</v>
      </c>
      <c r="E6" s="4" t="s">
        <v>5042</v>
      </c>
      <c r="F6" s="4" t="s">
        <v>5043</v>
      </c>
      <c r="G6" t="str">
        <f>IF(OR($C6="",$F6=""),"",IFERROR(INDEX('PAX &amp; CREW'!$AE$3:$AE$62,MATCH($C6,'PAX &amp; CREW'!$A$3:$A$62,0))&amp;"\"&amp;$F6,""))</f>
        <v>C:\Backups\InsiderTechSol\Aviation\Jetelio_v3\.LAYOUT\resources\PaxCrewDocs\JTL-2608-001\P-004\visa.pdf</v>
      </c>
      <c r="H6" s="4" t="s">
        <v>4668</v>
      </c>
      <c r="I6" s="50">
        <v>46242</v>
      </c>
      <c r="J6" s="4" t="s">
        <v>5041</v>
      </c>
      <c r="K6" s="4" t="s">
        <v>5044</v>
      </c>
      <c r="L6" s="4" t="s">
        <v>4577</v>
      </c>
      <c r="M6" s="4" t="s">
        <v>5045</v>
      </c>
      <c r="N6" s="4" t="s">
        <v>1998</v>
      </c>
      <c r="O6" s="9">
        <v>33420</v>
      </c>
      <c r="P6" s="9"/>
      <c r="Q6" s="9">
        <v>46800</v>
      </c>
      <c r="R6" s="4" t="s">
        <v>1998</v>
      </c>
      <c r="S6" s="4">
        <v>88</v>
      </c>
      <c r="T6">
        <f>IF($C6="","",IFERROR(IF($E6="PASSPORT",INDEX('PAX &amp; CREW'!$M$3:$M$62,MATCH($C6,'PAX &amp; CREW'!$A$3:$A$62,0)),IF($E6="VISA",INDEX('PAX &amp; CREW'!$S$3:$S$62,MATCH($C6,'PAX &amp; CREW'!$A$3:$A$62,0)),IF($E6="LICENCE",INDEX('PAX &amp; CREW'!$V$3:$V$62,MATCH($C6,'PAX &amp; CREW'!$A$3:$A$62,0)),IF($E6="CREW ID",INDEX('PAX &amp; CREW'!$Y$3:$Y$62,MATCH($C6,'PAX &amp; CREW'!$A$3:$A$62,0)),"")))),""))</f>
        <v>0</v>
      </c>
      <c r="U6" t="str">
        <f>IF($C6="","",IFERROR(INDEX('PAX &amp; CREW'!$G$3:$G$62,MATCH($C6,'PAX &amp; CREW'!$A$3:$A$62,0)),""))</f>
        <v>NKOSI</v>
      </c>
      <c r="V6" t="str">
        <f>IF($C6="","",IFERROR(INDEX('PAX &amp; CREW'!$H$3:$H$62,MATCH($C6,'PAX &amp; CREW'!$A$3:$A$62,0)),""))</f>
        <v>LERATO</v>
      </c>
      <c r="W6" t="str">
        <f>IF($C6="","",IFERROR(INDEX('PAX &amp; CREW'!$L$3:$L$62,MATCH($C6,'PAX &amp; CREW'!$A$3:$A$62,0)),""))</f>
        <v>South Africa</v>
      </c>
      <c r="X6" s="6">
        <f>IF($C6="","",IFERROR(INDEX('PAX &amp; CREW'!$J$3:$J$62,MATCH($C6,'PAX &amp; CREW'!$A$3:$A$62,0)),""))</f>
        <v>33420</v>
      </c>
      <c r="Y6" s="6" t="str">
        <f>IF($C6="","",IFERROR(IF($E6="PASSPORT",INDEX('PAX &amp; CREW'!$O$3:$O$62,MATCH($C6,'PAX &amp; CREW'!$A$3:$A$62,0)),""),""))</f>
        <v/>
      </c>
      <c r="Z6" s="6">
        <f>IF($C6="","",IFERROR(IF($E6="PASSPORT",INDEX('PAX &amp; CREW'!$P$3:$P$62,MATCH($C6,'PAX &amp; CREW'!$A$3:$A$62,0)),IF($E6="VISA",INDEX('PAX &amp; CREW'!$T$3:$T$62,MATCH($C6,'PAX &amp; CREW'!$A$3:$A$62,0)),IF($E6="LICENCE",INDEX('PAX &amp; CREW'!$W$3:$W$62,MATCH($C6,'PAX &amp; CREW'!$A$3:$A$62,0)),IF($E6="MEDICAL",INDEX('PAX &amp; CREW'!$X$3:$X$62,MATCH($C6,'PAX &amp; CREW'!$A$3:$A$62,0)),"")))),""))</f>
        <v>0</v>
      </c>
      <c r="AA6" t="str">
        <f>IF($C6="","",IFERROR(IF($E6="PASSPORT",INDEX('PAX &amp; CREW'!$N$3:$N$62,MATCH($C6,'PAX &amp; CREW'!$A$3:$A$62,0)),INDEX('PAX &amp; CREW'!$L$3:$L$62,MATCH($C6,'PAX &amp; CREW'!$A$3:$A$62,0))),""))</f>
        <v>South Africa</v>
      </c>
      <c r="AB6" t="str">
        <f t="shared" ref="AB6:AB44" si="1">IF($A6="","",IF(OR($K6="",$T6=""),"-",IF(UPPER(TRIM($K6&amp;""))=UPPER(TRIM($T6&amp;"")),"MATCH","MISMATCH")))</f>
        <v>MISMATCH</v>
      </c>
      <c r="AC6" t="str">
        <f t="shared" ref="AC6:AC44" si="2">IF($A6="","",IF(OR($L6="",$U6=""),"-",IF(UPPER(TRIM($L6&amp;""))=UPPER(TRIM($U6&amp;"")),"MATCH","MISMATCH")))</f>
        <v>MATCH</v>
      </c>
      <c r="AD6" t="str">
        <f t="shared" ref="AD6:AD44" si="3">IF($A6="","",IF(OR($M6="",$V6=""),"-",IF(UPPER(TRIM($M6&amp;""))=UPPER(TRIM($V6&amp;"")),"MATCH","MISMATCH")))</f>
        <v>MISMATCH</v>
      </c>
      <c r="AE6" t="str">
        <f t="shared" ref="AE6:AE44" si="4">IF($A6="","",IF(OR($N6="",$W6=""),"-",IF(UPPER(TRIM($N6&amp;""))=UPPER(TRIM($W6&amp;"")),"MATCH","MISMATCH")))</f>
        <v>MATCH</v>
      </c>
      <c r="AF6" t="str">
        <f t="shared" ref="AF6:AF44" si="5">IF($A6="","",IF(OR($O6="",$X6=""),"-",IF(UPPER(TRIM($O6&amp;""))=UPPER(TRIM($X6&amp;"")),"MATCH","MISMATCH")))</f>
        <v>MATCH</v>
      </c>
      <c r="AG6" t="str">
        <f t="shared" ref="AG6:AG44" si="6">IF($A6="","",IF(OR($Q6="",$Z6=""),"-",IF(UPPER(TRIM($Q6&amp;""))=UPPER(TRIM($Z6&amp;"")),"MATCH","MISMATCH")))</f>
        <v>MISMATCH</v>
      </c>
      <c r="AH6" t="str">
        <f t="shared" ref="AH6:AH44" si="7">IF($A6="","",COUNTIF($AB6:$AG6,"MATCH")&amp;" of "&amp;(6-COUNTIF($AB6:$AG6,"-"))&amp;" compared fields match"&amp;IF(COUNTIF($AB6:$AG6,"MISMATCH")&gt;0," — "&amp;COUNTIF($AB6:$AG6,"MISMATCH")&amp;" MISMATCH, DO NOT ACCEPT WITHOUT REVIEW",""))</f>
        <v>3 of 6 compared fields match — 3 MISMATCH, DO NOT ACCEPT WITHOUT REVIEW</v>
      </c>
      <c r="AI6" s="4"/>
      <c r="AJ6" s="4"/>
      <c r="AK6" s="50"/>
      <c r="AL6" t="str">
        <f t="shared" ref="AL6:AL44" si="8">IF($A6="","",IF($J6&lt;&gt;"DONE","AWAITING OCR",IF($AI6="","AWAITING HUMAN REVIEW",IF($AI6="REJECT DOCUMENT","REJECTED - NOT ASSIGNED",IF(OR($AJ6="",$AK6=""),"REVIEW INCOMPLETE - name and date the review",$AI6&amp;" - ASSIGNED TO "&amp;$C6&amp;" ON "&amp;$B6)))))</f>
        <v>AWAITING HUMAN REVIEW</v>
      </c>
      <c r="AM6" s="4"/>
    </row>
    <row r="7" spans="1:39" x14ac:dyDescent="0.3">
      <c r="A7" t="str">
        <f t="shared" si="0"/>
        <v/>
      </c>
      <c r="B7" t="str">
        <f>IF($C7="","",IFERROR(INDEX('PAX &amp; CREW'!$B$3:$B$62,MATCH($C7,'PAX &amp; CREW'!$A$3:$A$62,0)),""))</f>
        <v/>
      </c>
      <c r="C7" s="4"/>
      <c r="D7" t="str">
        <f>IF($C7="","",IFERROR(INDEX('PAX &amp; CREW'!$G$3:$G$62,MATCH($C7,'PAX &amp; CREW'!$A$3:$A$62,0))&amp;", "&amp;INDEX('PAX &amp; CREW'!$H$3:$H$62,MATCH($C7,'PAX &amp; CREW'!$A$3:$A$62,0)),"PERSON NOT FOUND"))</f>
        <v/>
      </c>
      <c r="E7" s="4"/>
      <c r="F7" s="4"/>
      <c r="G7" t="str">
        <f>IF(OR($C7="",$F7=""),"",IFERROR(INDEX('PAX &amp; CREW'!$AE$3:$AE$62,MATCH($C7,'PAX &amp; CREW'!$A$3:$A$62,0))&amp;"\"&amp;$F7,""))</f>
        <v/>
      </c>
      <c r="H7" s="4"/>
      <c r="I7" s="50"/>
      <c r="J7" s="4"/>
      <c r="K7" s="4"/>
      <c r="L7" s="4"/>
      <c r="M7" s="4"/>
      <c r="N7" s="4"/>
      <c r="O7" s="9"/>
      <c r="P7" s="9"/>
      <c r="Q7" s="9"/>
      <c r="R7" s="4"/>
      <c r="S7" s="4"/>
      <c r="T7" t="str">
        <f>IF($C7="","",IFERROR(IF($E7="PASSPORT",INDEX('PAX &amp; CREW'!$M$3:$M$62,MATCH($C7,'PAX &amp; CREW'!$A$3:$A$62,0)),IF($E7="VISA",INDEX('PAX &amp; CREW'!$S$3:$S$62,MATCH($C7,'PAX &amp; CREW'!$A$3:$A$62,0)),IF($E7="LICENCE",INDEX('PAX &amp; CREW'!$V$3:$V$62,MATCH($C7,'PAX &amp; CREW'!$A$3:$A$62,0)),IF($E7="CREW ID",INDEX('PAX &amp; CREW'!$Y$3:$Y$62,MATCH($C7,'PAX &amp; CREW'!$A$3:$A$62,0)),"")))),""))</f>
        <v/>
      </c>
      <c r="U7" t="str">
        <f>IF($C7="","",IFERROR(INDEX('PAX &amp; CREW'!$G$3:$G$62,MATCH($C7,'PAX &amp; CREW'!$A$3:$A$62,0)),""))</f>
        <v/>
      </c>
      <c r="V7" t="str">
        <f>IF($C7="","",IFERROR(INDEX('PAX &amp; CREW'!$H$3:$H$62,MATCH($C7,'PAX &amp; CREW'!$A$3:$A$62,0)),""))</f>
        <v/>
      </c>
      <c r="W7" t="str">
        <f>IF($C7="","",IFERROR(INDEX('PAX &amp; CREW'!$L$3:$L$62,MATCH($C7,'PAX &amp; CREW'!$A$3:$A$62,0)),""))</f>
        <v/>
      </c>
      <c r="X7" s="6" t="str">
        <f>IF($C7="","",IFERROR(INDEX('PAX &amp; CREW'!$J$3:$J$62,MATCH($C7,'PAX &amp; CREW'!$A$3:$A$62,0)),""))</f>
        <v/>
      </c>
      <c r="Y7" s="6" t="str">
        <f>IF($C7="","",IFERROR(IF($E7="PASSPORT",INDEX('PAX &amp; CREW'!$O$3:$O$62,MATCH($C7,'PAX &amp; CREW'!$A$3:$A$62,0)),""),""))</f>
        <v/>
      </c>
      <c r="Z7" s="6" t="str">
        <f>IF($C7="","",IFERROR(IF($E7="PASSPORT",INDEX('PAX &amp; CREW'!$P$3:$P$62,MATCH($C7,'PAX &amp; CREW'!$A$3:$A$62,0)),IF($E7="VISA",INDEX('PAX &amp; CREW'!$T$3:$T$62,MATCH($C7,'PAX &amp; CREW'!$A$3:$A$62,0)),IF($E7="LICENCE",INDEX('PAX &amp; CREW'!$W$3:$W$62,MATCH($C7,'PAX &amp; CREW'!$A$3:$A$62,0)),IF($E7="MEDICAL",INDEX('PAX &amp; CREW'!$X$3:$X$62,MATCH($C7,'PAX &amp; CREW'!$A$3:$A$62,0)),"")))),""))</f>
        <v/>
      </c>
      <c r="AA7" t="str">
        <f>IF($C7="","",IFERROR(IF($E7="PASSPORT",INDEX('PAX &amp; CREW'!$N$3:$N$62,MATCH($C7,'PAX &amp; CREW'!$A$3:$A$62,0)),INDEX('PAX &amp; CREW'!$L$3:$L$62,MATCH($C7,'PAX &amp; CREW'!$A$3:$A$62,0))),""))</f>
        <v/>
      </c>
      <c r="AB7" t="str">
        <f t="shared" si="1"/>
        <v/>
      </c>
      <c r="AC7" t="str">
        <f t="shared" si="2"/>
        <v/>
      </c>
      <c r="AD7" t="str">
        <f t="shared" si="3"/>
        <v/>
      </c>
      <c r="AE7" t="str">
        <f t="shared" si="4"/>
        <v/>
      </c>
      <c r="AF7" t="str">
        <f t="shared" si="5"/>
        <v/>
      </c>
      <c r="AG7" t="str">
        <f t="shared" si="6"/>
        <v/>
      </c>
      <c r="AH7" t="str">
        <f t="shared" si="7"/>
        <v/>
      </c>
      <c r="AI7" s="4"/>
      <c r="AJ7" s="4"/>
      <c r="AK7" s="50"/>
      <c r="AL7" t="str">
        <f t="shared" si="8"/>
        <v/>
      </c>
      <c r="AM7" s="4"/>
    </row>
    <row r="8" spans="1:39" x14ac:dyDescent="0.3">
      <c r="A8" t="str">
        <f t="shared" si="0"/>
        <v/>
      </c>
      <c r="B8" t="str">
        <f>IF($C8="","",IFERROR(INDEX('PAX &amp; CREW'!$B$3:$B$62,MATCH($C8,'PAX &amp; CREW'!$A$3:$A$62,0)),""))</f>
        <v/>
      </c>
      <c r="C8" s="4"/>
      <c r="D8" t="str">
        <f>IF($C8="","",IFERROR(INDEX('PAX &amp; CREW'!$G$3:$G$62,MATCH($C8,'PAX &amp; CREW'!$A$3:$A$62,0))&amp;", "&amp;INDEX('PAX &amp; CREW'!$H$3:$H$62,MATCH($C8,'PAX &amp; CREW'!$A$3:$A$62,0)),"PERSON NOT FOUND"))</f>
        <v/>
      </c>
      <c r="E8" s="4"/>
      <c r="F8" s="4"/>
      <c r="G8" t="str">
        <f>IF(OR($C8="",$F8=""),"",IFERROR(INDEX('PAX &amp; CREW'!$AE$3:$AE$62,MATCH($C8,'PAX &amp; CREW'!$A$3:$A$62,0))&amp;"\"&amp;$F8,""))</f>
        <v/>
      </c>
      <c r="H8" s="4"/>
      <c r="I8" s="50"/>
      <c r="J8" s="4"/>
      <c r="K8" s="4"/>
      <c r="L8" s="4"/>
      <c r="M8" s="4"/>
      <c r="N8" s="4"/>
      <c r="O8" s="9"/>
      <c r="P8" s="9"/>
      <c r="Q8" s="9"/>
      <c r="R8" s="4"/>
      <c r="S8" s="4"/>
      <c r="T8" t="str">
        <f>IF($C8="","",IFERROR(IF($E8="PASSPORT",INDEX('PAX &amp; CREW'!$M$3:$M$62,MATCH($C8,'PAX &amp; CREW'!$A$3:$A$62,0)),IF($E8="VISA",INDEX('PAX &amp; CREW'!$S$3:$S$62,MATCH($C8,'PAX &amp; CREW'!$A$3:$A$62,0)),IF($E8="LICENCE",INDEX('PAX &amp; CREW'!$V$3:$V$62,MATCH($C8,'PAX &amp; CREW'!$A$3:$A$62,0)),IF($E8="CREW ID",INDEX('PAX &amp; CREW'!$Y$3:$Y$62,MATCH($C8,'PAX &amp; CREW'!$A$3:$A$62,0)),"")))),""))</f>
        <v/>
      </c>
      <c r="U8" t="str">
        <f>IF($C8="","",IFERROR(INDEX('PAX &amp; CREW'!$G$3:$G$62,MATCH($C8,'PAX &amp; CREW'!$A$3:$A$62,0)),""))</f>
        <v/>
      </c>
      <c r="V8" t="str">
        <f>IF($C8="","",IFERROR(INDEX('PAX &amp; CREW'!$H$3:$H$62,MATCH($C8,'PAX &amp; CREW'!$A$3:$A$62,0)),""))</f>
        <v/>
      </c>
      <c r="W8" t="str">
        <f>IF($C8="","",IFERROR(INDEX('PAX &amp; CREW'!$L$3:$L$62,MATCH($C8,'PAX &amp; CREW'!$A$3:$A$62,0)),""))</f>
        <v/>
      </c>
      <c r="X8" s="6" t="str">
        <f>IF($C8="","",IFERROR(INDEX('PAX &amp; CREW'!$J$3:$J$62,MATCH($C8,'PAX &amp; CREW'!$A$3:$A$62,0)),""))</f>
        <v/>
      </c>
      <c r="Y8" s="6" t="str">
        <f>IF($C8="","",IFERROR(IF($E8="PASSPORT",INDEX('PAX &amp; CREW'!$O$3:$O$62,MATCH($C8,'PAX &amp; CREW'!$A$3:$A$62,0)),""),""))</f>
        <v/>
      </c>
      <c r="Z8" s="6" t="str">
        <f>IF($C8="","",IFERROR(IF($E8="PASSPORT",INDEX('PAX &amp; CREW'!$P$3:$P$62,MATCH($C8,'PAX &amp; CREW'!$A$3:$A$62,0)),IF($E8="VISA",INDEX('PAX &amp; CREW'!$T$3:$T$62,MATCH($C8,'PAX &amp; CREW'!$A$3:$A$62,0)),IF($E8="LICENCE",INDEX('PAX &amp; CREW'!$W$3:$W$62,MATCH($C8,'PAX &amp; CREW'!$A$3:$A$62,0)),IF($E8="MEDICAL",INDEX('PAX &amp; CREW'!$X$3:$X$62,MATCH($C8,'PAX &amp; CREW'!$A$3:$A$62,0)),"")))),""))</f>
        <v/>
      </c>
      <c r="AA8" t="str">
        <f>IF($C8="","",IFERROR(IF($E8="PASSPORT",INDEX('PAX &amp; CREW'!$N$3:$N$62,MATCH($C8,'PAX &amp; CREW'!$A$3:$A$62,0)),INDEX('PAX &amp; CREW'!$L$3:$L$62,MATCH($C8,'PAX &amp; CREW'!$A$3:$A$62,0))),""))</f>
        <v/>
      </c>
      <c r="AB8" t="str">
        <f t="shared" si="1"/>
        <v/>
      </c>
      <c r="AC8" t="str">
        <f t="shared" si="2"/>
        <v/>
      </c>
      <c r="AD8" t="str">
        <f t="shared" si="3"/>
        <v/>
      </c>
      <c r="AE8" t="str">
        <f t="shared" si="4"/>
        <v/>
      </c>
      <c r="AF8" t="str">
        <f t="shared" si="5"/>
        <v/>
      </c>
      <c r="AG8" t="str">
        <f t="shared" si="6"/>
        <v/>
      </c>
      <c r="AH8" t="str">
        <f t="shared" si="7"/>
        <v/>
      </c>
      <c r="AI8" s="4"/>
      <c r="AJ8" s="4"/>
      <c r="AK8" s="50"/>
      <c r="AL8" t="str">
        <f t="shared" si="8"/>
        <v/>
      </c>
      <c r="AM8" s="4"/>
    </row>
    <row r="9" spans="1:39" x14ac:dyDescent="0.3">
      <c r="A9" t="str">
        <f t="shared" si="0"/>
        <v/>
      </c>
      <c r="B9" t="str">
        <f>IF($C9="","",IFERROR(INDEX('PAX &amp; CREW'!$B$3:$B$62,MATCH($C9,'PAX &amp; CREW'!$A$3:$A$62,0)),""))</f>
        <v/>
      </c>
      <c r="C9" s="4"/>
      <c r="D9" t="str">
        <f>IF($C9="","",IFERROR(INDEX('PAX &amp; CREW'!$G$3:$G$62,MATCH($C9,'PAX &amp; CREW'!$A$3:$A$62,0))&amp;", "&amp;INDEX('PAX &amp; CREW'!$H$3:$H$62,MATCH($C9,'PAX &amp; CREW'!$A$3:$A$62,0)),"PERSON NOT FOUND"))</f>
        <v/>
      </c>
      <c r="E9" s="4"/>
      <c r="F9" s="4"/>
      <c r="G9" t="str">
        <f>IF(OR($C9="",$F9=""),"",IFERROR(INDEX('PAX &amp; CREW'!$AE$3:$AE$62,MATCH($C9,'PAX &amp; CREW'!$A$3:$A$62,0))&amp;"\"&amp;$F9,""))</f>
        <v/>
      </c>
      <c r="H9" s="4"/>
      <c r="I9" s="50"/>
      <c r="J9" s="4"/>
      <c r="K9" s="4"/>
      <c r="L9" s="4"/>
      <c r="M9" s="4"/>
      <c r="N9" s="4"/>
      <c r="O9" s="9"/>
      <c r="P9" s="9"/>
      <c r="Q9" s="9"/>
      <c r="R9" s="4"/>
      <c r="S9" s="4"/>
      <c r="T9" t="str">
        <f>IF($C9="","",IFERROR(IF($E9="PASSPORT",INDEX('PAX &amp; CREW'!$M$3:$M$62,MATCH($C9,'PAX &amp; CREW'!$A$3:$A$62,0)),IF($E9="VISA",INDEX('PAX &amp; CREW'!$S$3:$S$62,MATCH($C9,'PAX &amp; CREW'!$A$3:$A$62,0)),IF($E9="LICENCE",INDEX('PAX &amp; CREW'!$V$3:$V$62,MATCH($C9,'PAX &amp; CREW'!$A$3:$A$62,0)),IF($E9="CREW ID",INDEX('PAX &amp; CREW'!$Y$3:$Y$62,MATCH($C9,'PAX &amp; CREW'!$A$3:$A$62,0)),"")))),""))</f>
        <v/>
      </c>
      <c r="U9" t="str">
        <f>IF($C9="","",IFERROR(INDEX('PAX &amp; CREW'!$G$3:$G$62,MATCH($C9,'PAX &amp; CREW'!$A$3:$A$62,0)),""))</f>
        <v/>
      </c>
      <c r="V9" t="str">
        <f>IF($C9="","",IFERROR(INDEX('PAX &amp; CREW'!$H$3:$H$62,MATCH($C9,'PAX &amp; CREW'!$A$3:$A$62,0)),""))</f>
        <v/>
      </c>
      <c r="W9" t="str">
        <f>IF($C9="","",IFERROR(INDEX('PAX &amp; CREW'!$L$3:$L$62,MATCH($C9,'PAX &amp; CREW'!$A$3:$A$62,0)),""))</f>
        <v/>
      </c>
      <c r="X9" s="6" t="str">
        <f>IF($C9="","",IFERROR(INDEX('PAX &amp; CREW'!$J$3:$J$62,MATCH($C9,'PAX &amp; CREW'!$A$3:$A$62,0)),""))</f>
        <v/>
      </c>
      <c r="Y9" s="6" t="str">
        <f>IF($C9="","",IFERROR(IF($E9="PASSPORT",INDEX('PAX &amp; CREW'!$O$3:$O$62,MATCH($C9,'PAX &amp; CREW'!$A$3:$A$62,0)),""),""))</f>
        <v/>
      </c>
      <c r="Z9" s="6" t="str">
        <f>IF($C9="","",IFERROR(IF($E9="PASSPORT",INDEX('PAX &amp; CREW'!$P$3:$P$62,MATCH($C9,'PAX &amp; CREW'!$A$3:$A$62,0)),IF($E9="VISA",INDEX('PAX &amp; CREW'!$T$3:$T$62,MATCH($C9,'PAX &amp; CREW'!$A$3:$A$62,0)),IF($E9="LICENCE",INDEX('PAX &amp; CREW'!$W$3:$W$62,MATCH($C9,'PAX &amp; CREW'!$A$3:$A$62,0)),IF($E9="MEDICAL",INDEX('PAX &amp; CREW'!$X$3:$X$62,MATCH($C9,'PAX &amp; CREW'!$A$3:$A$62,0)),"")))),""))</f>
        <v/>
      </c>
      <c r="AA9" t="str">
        <f>IF($C9="","",IFERROR(IF($E9="PASSPORT",INDEX('PAX &amp; CREW'!$N$3:$N$62,MATCH($C9,'PAX &amp; CREW'!$A$3:$A$62,0)),INDEX('PAX &amp; CREW'!$L$3:$L$62,MATCH($C9,'PAX &amp; CREW'!$A$3:$A$62,0))),""))</f>
        <v/>
      </c>
      <c r="AB9" t="str">
        <f t="shared" si="1"/>
        <v/>
      </c>
      <c r="AC9" t="str">
        <f t="shared" si="2"/>
        <v/>
      </c>
      <c r="AD9" t="str">
        <f t="shared" si="3"/>
        <v/>
      </c>
      <c r="AE9" t="str">
        <f t="shared" si="4"/>
        <v/>
      </c>
      <c r="AF9" t="str">
        <f t="shared" si="5"/>
        <v/>
      </c>
      <c r="AG9" t="str">
        <f t="shared" si="6"/>
        <v/>
      </c>
      <c r="AH9" t="str">
        <f t="shared" si="7"/>
        <v/>
      </c>
      <c r="AI9" s="4"/>
      <c r="AJ9" s="4"/>
      <c r="AK9" s="50"/>
      <c r="AL9" t="str">
        <f t="shared" si="8"/>
        <v/>
      </c>
      <c r="AM9" s="4"/>
    </row>
    <row r="10" spans="1:39" x14ac:dyDescent="0.3">
      <c r="A10" t="str">
        <f t="shared" si="0"/>
        <v/>
      </c>
      <c r="B10" t="str">
        <f>IF($C10="","",IFERROR(INDEX('PAX &amp; CREW'!$B$3:$B$62,MATCH($C10,'PAX &amp; CREW'!$A$3:$A$62,0)),""))</f>
        <v/>
      </c>
      <c r="C10" s="4"/>
      <c r="D10" t="str">
        <f>IF($C10="","",IFERROR(INDEX('PAX &amp; CREW'!$G$3:$G$62,MATCH($C10,'PAX &amp; CREW'!$A$3:$A$62,0))&amp;", "&amp;INDEX('PAX &amp; CREW'!$H$3:$H$62,MATCH($C10,'PAX &amp; CREW'!$A$3:$A$62,0)),"PERSON NOT FOUND"))</f>
        <v/>
      </c>
      <c r="E10" s="4"/>
      <c r="F10" s="4"/>
      <c r="G10" t="str">
        <f>IF(OR($C10="",$F10=""),"",IFERROR(INDEX('PAX &amp; CREW'!$AE$3:$AE$62,MATCH($C10,'PAX &amp; CREW'!$A$3:$A$62,0))&amp;"\"&amp;$F10,""))</f>
        <v/>
      </c>
      <c r="H10" s="4"/>
      <c r="I10" s="50"/>
      <c r="J10" s="4"/>
      <c r="K10" s="4"/>
      <c r="L10" s="4"/>
      <c r="M10" s="4"/>
      <c r="N10" s="4"/>
      <c r="O10" s="9"/>
      <c r="P10" s="9"/>
      <c r="Q10" s="9"/>
      <c r="R10" s="4"/>
      <c r="S10" s="4"/>
      <c r="T10" t="str">
        <f>IF($C10="","",IFERROR(IF($E10="PASSPORT",INDEX('PAX &amp; CREW'!$M$3:$M$62,MATCH($C10,'PAX &amp; CREW'!$A$3:$A$62,0)),IF($E10="VISA",INDEX('PAX &amp; CREW'!$S$3:$S$62,MATCH($C10,'PAX &amp; CREW'!$A$3:$A$62,0)),IF($E10="LICENCE",INDEX('PAX &amp; CREW'!$V$3:$V$62,MATCH($C10,'PAX &amp; CREW'!$A$3:$A$62,0)),IF($E10="CREW ID",INDEX('PAX &amp; CREW'!$Y$3:$Y$62,MATCH($C10,'PAX &amp; CREW'!$A$3:$A$62,0)),"")))),""))</f>
        <v/>
      </c>
      <c r="U10" t="str">
        <f>IF($C10="","",IFERROR(INDEX('PAX &amp; CREW'!$G$3:$G$62,MATCH($C10,'PAX &amp; CREW'!$A$3:$A$62,0)),""))</f>
        <v/>
      </c>
      <c r="V10" t="str">
        <f>IF($C10="","",IFERROR(INDEX('PAX &amp; CREW'!$H$3:$H$62,MATCH($C10,'PAX &amp; CREW'!$A$3:$A$62,0)),""))</f>
        <v/>
      </c>
      <c r="W10" t="str">
        <f>IF($C10="","",IFERROR(INDEX('PAX &amp; CREW'!$L$3:$L$62,MATCH($C10,'PAX &amp; CREW'!$A$3:$A$62,0)),""))</f>
        <v/>
      </c>
      <c r="X10" s="6" t="str">
        <f>IF($C10="","",IFERROR(INDEX('PAX &amp; CREW'!$J$3:$J$62,MATCH($C10,'PAX &amp; CREW'!$A$3:$A$62,0)),""))</f>
        <v/>
      </c>
      <c r="Y10" s="6" t="str">
        <f>IF($C10="","",IFERROR(IF($E10="PASSPORT",INDEX('PAX &amp; CREW'!$O$3:$O$62,MATCH($C10,'PAX &amp; CREW'!$A$3:$A$62,0)),""),""))</f>
        <v/>
      </c>
      <c r="Z10" s="6" t="str">
        <f>IF($C10="","",IFERROR(IF($E10="PASSPORT",INDEX('PAX &amp; CREW'!$P$3:$P$62,MATCH($C10,'PAX &amp; CREW'!$A$3:$A$62,0)),IF($E10="VISA",INDEX('PAX &amp; CREW'!$T$3:$T$62,MATCH($C10,'PAX &amp; CREW'!$A$3:$A$62,0)),IF($E10="LICENCE",INDEX('PAX &amp; CREW'!$W$3:$W$62,MATCH($C10,'PAX &amp; CREW'!$A$3:$A$62,0)),IF($E10="MEDICAL",INDEX('PAX &amp; CREW'!$X$3:$X$62,MATCH($C10,'PAX &amp; CREW'!$A$3:$A$62,0)),"")))),""))</f>
        <v/>
      </c>
      <c r="AA10" t="str">
        <f>IF($C10="","",IFERROR(IF($E10="PASSPORT",INDEX('PAX &amp; CREW'!$N$3:$N$62,MATCH($C10,'PAX &amp; CREW'!$A$3:$A$62,0)),INDEX('PAX &amp; CREW'!$L$3:$L$62,MATCH($C10,'PAX &amp; CREW'!$A$3:$A$62,0))),""))</f>
        <v/>
      </c>
      <c r="AB10" t="str">
        <f t="shared" si="1"/>
        <v/>
      </c>
      <c r="AC10" t="str">
        <f t="shared" si="2"/>
        <v/>
      </c>
      <c r="AD10" t="str">
        <f t="shared" si="3"/>
        <v/>
      </c>
      <c r="AE10" t="str">
        <f t="shared" si="4"/>
        <v/>
      </c>
      <c r="AF10" t="str">
        <f t="shared" si="5"/>
        <v/>
      </c>
      <c r="AG10" t="str">
        <f t="shared" si="6"/>
        <v/>
      </c>
      <c r="AH10" t="str">
        <f t="shared" si="7"/>
        <v/>
      </c>
      <c r="AI10" s="4"/>
      <c r="AJ10" s="4"/>
      <c r="AK10" s="50"/>
      <c r="AL10" t="str">
        <f t="shared" si="8"/>
        <v/>
      </c>
      <c r="AM10" s="4"/>
    </row>
    <row r="11" spans="1:39" x14ac:dyDescent="0.3">
      <c r="A11" t="str">
        <f t="shared" si="0"/>
        <v/>
      </c>
      <c r="B11" t="str">
        <f>IF($C11="","",IFERROR(INDEX('PAX &amp; CREW'!$B$3:$B$62,MATCH($C11,'PAX &amp; CREW'!$A$3:$A$62,0)),""))</f>
        <v/>
      </c>
      <c r="C11" s="4"/>
      <c r="D11" t="str">
        <f>IF($C11="","",IFERROR(INDEX('PAX &amp; CREW'!$G$3:$G$62,MATCH($C11,'PAX &amp; CREW'!$A$3:$A$62,0))&amp;", "&amp;INDEX('PAX &amp; CREW'!$H$3:$H$62,MATCH($C11,'PAX &amp; CREW'!$A$3:$A$62,0)),"PERSON NOT FOUND"))</f>
        <v/>
      </c>
      <c r="E11" s="4"/>
      <c r="F11" s="4"/>
      <c r="G11" t="str">
        <f>IF(OR($C11="",$F11=""),"",IFERROR(INDEX('PAX &amp; CREW'!$AE$3:$AE$62,MATCH($C11,'PAX &amp; CREW'!$A$3:$A$62,0))&amp;"\"&amp;$F11,""))</f>
        <v/>
      </c>
      <c r="H11" s="4"/>
      <c r="I11" s="50"/>
      <c r="J11" s="4"/>
      <c r="K11" s="4"/>
      <c r="L11" s="4"/>
      <c r="M11" s="4"/>
      <c r="N11" s="4"/>
      <c r="O11" s="9"/>
      <c r="P11" s="9"/>
      <c r="Q11" s="9"/>
      <c r="R11" s="4"/>
      <c r="S11" s="4"/>
      <c r="T11" t="str">
        <f>IF($C11="","",IFERROR(IF($E11="PASSPORT",INDEX('PAX &amp; CREW'!$M$3:$M$62,MATCH($C11,'PAX &amp; CREW'!$A$3:$A$62,0)),IF($E11="VISA",INDEX('PAX &amp; CREW'!$S$3:$S$62,MATCH($C11,'PAX &amp; CREW'!$A$3:$A$62,0)),IF($E11="LICENCE",INDEX('PAX &amp; CREW'!$V$3:$V$62,MATCH($C11,'PAX &amp; CREW'!$A$3:$A$62,0)),IF($E11="CREW ID",INDEX('PAX &amp; CREW'!$Y$3:$Y$62,MATCH($C11,'PAX &amp; CREW'!$A$3:$A$62,0)),"")))),""))</f>
        <v/>
      </c>
      <c r="U11" t="str">
        <f>IF($C11="","",IFERROR(INDEX('PAX &amp; CREW'!$G$3:$G$62,MATCH($C11,'PAX &amp; CREW'!$A$3:$A$62,0)),""))</f>
        <v/>
      </c>
      <c r="V11" t="str">
        <f>IF($C11="","",IFERROR(INDEX('PAX &amp; CREW'!$H$3:$H$62,MATCH($C11,'PAX &amp; CREW'!$A$3:$A$62,0)),""))</f>
        <v/>
      </c>
      <c r="W11" t="str">
        <f>IF($C11="","",IFERROR(INDEX('PAX &amp; CREW'!$L$3:$L$62,MATCH($C11,'PAX &amp; CREW'!$A$3:$A$62,0)),""))</f>
        <v/>
      </c>
      <c r="X11" s="6" t="str">
        <f>IF($C11="","",IFERROR(INDEX('PAX &amp; CREW'!$J$3:$J$62,MATCH($C11,'PAX &amp; CREW'!$A$3:$A$62,0)),""))</f>
        <v/>
      </c>
      <c r="Y11" s="6" t="str">
        <f>IF($C11="","",IFERROR(IF($E11="PASSPORT",INDEX('PAX &amp; CREW'!$O$3:$O$62,MATCH($C11,'PAX &amp; CREW'!$A$3:$A$62,0)),""),""))</f>
        <v/>
      </c>
      <c r="Z11" s="6" t="str">
        <f>IF($C11="","",IFERROR(IF($E11="PASSPORT",INDEX('PAX &amp; CREW'!$P$3:$P$62,MATCH($C11,'PAX &amp; CREW'!$A$3:$A$62,0)),IF($E11="VISA",INDEX('PAX &amp; CREW'!$T$3:$T$62,MATCH($C11,'PAX &amp; CREW'!$A$3:$A$62,0)),IF($E11="LICENCE",INDEX('PAX &amp; CREW'!$W$3:$W$62,MATCH($C11,'PAX &amp; CREW'!$A$3:$A$62,0)),IF($E11="MEDICAL",INDEX('PAX &amp; CREW'!$X$3:$X$62,MATCH($C11,'PAX &amp; CREW'!$A$3:$A$62,0)),"")))),""))</f>
        <v/>
      </c>
      <c r="AA11" t="str">
        <f>IF($C11="","",IFERROR(IF($E11="PASSPORT",INDEX('PAX &amp; CREW'!$N$3:$N$62,MATCH($C11,'PAX &amp; CREW'!$A$3:$A$62,0)),INDEX('PAX &amp; CREW'!$L$3:$L$62,MATCH($C11,'PAX &amp; CREW'!$A$3:$A$62,0))),""))</f>
        <v/>
      </c>
      <c r="AB11" t="str">
        <f t="shared" si="1"/>
        <v/>
      </c>
      <c r="AC11" t="str">
        <f t="shared" si="2"/>
        <v/>
      </c>
      <c r="AD11" t="str">
        <f t="shared" si="3"/>
        <v/>
      </c>
      <c r="AE11" t="str">
        <f t="shared" si="4"/>
        <v/>
      </c>
      <c r="AF11" t="str">
        <f t="shared" si="5"/>
        <v/>
      </c>
      <c r="AG11" t="str">
        <f t="shared" si="6"/>
        <v/>
      </c>
      <c r="AH11" t="str">
        <f t="shared" si="7"/>
        <v/>
      </c>
      <c r="AI11" s="4"/>
      <c r="AJ11" s="4"/>
      <c r="AK11" s="50"/>
      <c r="AL11" t="str">
        <f t="shared" si="8"/>
        <v/>
      </c>
      <c r="AM11" s="4"/>
    </row>
    <row r="12" spans="1:39" x14ac:dyDescent="0.3">
      <c r="A12" t="str">
        <f t="shared" si="0"/>
        <v/>
      </c>
      <c r="B12" t="str">
        <f>IF($C12="","",IFERROR(INDEX('PAX &amp; CREW'!$B$3:$B$62,MATCH($C12,'PAX &amp; CREW'!$A$3:$A$62,0)),""))</f>
        <v/>
      </c>
      <c r="C12" s="4"/>
      <c r="D12" t="str">
        <f>IF($C12="","",IFERROR(INDEX('PAX &amp; CREW'!$G$3:$G$62,MATCH($C12,'PAX &amp; CREW'!$A$3:$A$62,0))&amp;", "&amp;INDEX('PAX &amp; CREW'!$H$3:$H$62,MATCH($C12,'PAX &amp; CREW'!$A$3:$A$62,0)),"PERSON NOT FOUND"))</f>
        <v/>
      </c>
      <c r="E12" s="4"/>
      <c r="F12" s="4"/>
      <c r="G12" t="str">
        <f>IF(OR($C12="",$F12=""),"",IFERROR(INDEX('PAX &amp; CREW'!$AE$3:$AE$62,MATCH($C12,'PAX &amp; CREW'!$A$3:$A$62,0))&amp;"\"&amp;$F12,""))</f>
        <v/>
      </c>
      <c r="H12" s="4"/>
      <c r="I12" s="50"/>
      <c r="J12" s="4"/>
      <c r="K12" s="4"/>
      <c r="L12" s="4"/>
      <c r="M12" s="4"/>
      <c r="N12" s="4"/>
      <c r="O12" s="9"/>
      <c r="P12" s="9"/>
      <c r="Q12" s="9"/>
      <c r="R12" s="4"/>
      <c r="S12" s="4"/>
      <c r="T12" t="str">
        <f>IF($C12="","",IFERROR(IF($E12="PASSPORT",INDEX('PAX &amp; CREW'!$M$3:$M$62,MATCH($C12,'PAX &amp; CREW'!$A$3:$A$62,0)),IF($E12="VISA",INDEX('PAX &amp; CREW'!$S$3:$S$62,MATCH($C12,'PAX &amp; CREW'!$A$3:$A$62,0)),IF($E12="LICENCE",INDEX('PAX &amp; CREW'!$V$3:$V$62,MATCH($C12,'PAX &amp; CREW'!$A$3:$A$62,0)),IF($E12="CREW ID",INDEX('PAX &amp; CREW'!$Y$3:$Y$62,MATCH($C12,'PAX &amp; CREW'!$A$3:$A$62,0)),"")))),""))</f>
        <v/>
      </c>
      <c r="U12" t="str">
        <f>IF($C12="","",IFERROR(INDEX('PAX &amp; CREW'!$G$3:$G$62,MATCH($C12,'PAX &amp; CREW'!$A$3:$A$62,0)),""))</f>
        <v/>
      </c>
      <c r="V12" t="str">
        <f>IF($C12="","",IFERROR(INDEX('PAX &amp; CREW'!$H$3:$H$62,MATCH($C12,'PAX &amp; CREW'!$A$3:$A$62,0)),""))</f>
        <v/>
      </c>
      <c r="W12" t="str">
        <f>IF($C12="","",IFERROR(INDEX('PAX &amp; CREW'!$L$3:$L$62,MATCH($C12,'PAX &amp; CREW'!$A$3:$A$62,0)),""))</f>
        <v/>
      </c>
      <c r="X12" s="6" t="str">
        <f>IF($C12="","",IFERROR(INDEX('PAX &amp; CREW'!$J$3:$J$62,MATCH($C12,'PAX &amp; CREW'!$A$3:$A$62,0)),""))</f>
        <v/>
      </c>
      <c r="Y12" s="6" t="str">
        <f>IF($C12="","",IFERROR(IF($E12="PASSPORT",INDEX('PAX &amp; CREW'!$O$3:$O$62,MATCH($C12,'PAX &amp; CREW'!$A$3:$A$62,0)),""),""))</f>
        <v/>
      </c>
      <c r="Z12" s="6" t="str">
        <f>IF($C12="","",IFERROR(IF($E12="PASSPORT",INDEX('PAX &amp; CREW'!$P$3:$P$62,MATCH($C12,'PAX &amp; CREW'!$A$3:$A$62,0)),IF($E12="VISA",INDEX('PAX &amp; CREW'!$T$3:$T$62,MATCH($C12,'PAX &amp; CREW'!$A$3:$A$62,0)),IF($E12="LICENCE",INDEX('PAX &amp; CREW'!$W$3:$W$62,MATCH($C12,'PAX &amp; CREW'!$A$3:$A$62,0)),IF($E12="MEDICAL",INDEX('PAX &amp; CREW'!$X$3:$X$62,MATCH($C12,'PAX &amp; CREW'!$A$3:$A$62,0)),"")))),""))</f>
        <v/>
      </c>
      <c r="AA12" t="str">
        <f>IF($C12="","",IFERROR(IF($E12="PASSPORT",INDEX('PAX &amp; CREW'!$N$3:$N$62,MATCH($C12,'PAX &amp; CREW'!$A$3:$A$62,0)),INDEX('PAX &amp; CREW'!$L$3:$L$62,MATCH($C12,'PAX &amp; CREW'!$A$3:$A$62,0))),""))</f>
        <v/>
      </c>
      <c r="AB12" t="str">
        <f t="shared" si="1"/>
        <v/>
      </c>
      <c r="AC12" t="str">
        <f t="shared" si="2"/>
        <v/>
      </c>
      <c r="AD12" t="str">
        <f t="shared" si="3"/>
        <v/>
      </c>
      <c r="AE12" t="str">
        <f t="shared" si="4"/>
        <v/>
      </c>
      <c r="AF12" t="str">
        <f t="shared" si="5"/>
        <v/>
      </c>
      <c r="AG12" t="str">
        <f t="shared" si="6"/>
        <v/>
      </c>
      <c r="AH12" t="str">
        <f t="shared" si="7"/>
        <v/>
      </c>
      <c r="AI12" s="4"/>
      <c r="AJ12" s="4"/>
      <c r="AK12" s="50"/>
      <c r="AL12" t="str">
        <f t="shared" si="8"/>
        <v/>
      </c>
      <c r="AM12" s="4"/>
    </row>
    <row r="13" spans="1:39" x14ac:dyDescent="0.3">
      <c r="A13" t="str">
        <f t="shared" si="0"/>
        <v/>
      </c>
      <c r="B13" t="str">
        <f>IF($C13="","",IFERROR(INDEX('PAX &amp; CREW'!$B$3:$B$62,MATCH($C13,'PAX &amp; CREW'!$A$3:$A$62,0)),""))</f>
        <v/>
      </c>
      <c r="C13" s="4"/>
      <c r="D13" t="str">
        <f>IF($C13="","",IFERROR(INDEX('PAX &amp; CREW'!$G$3:$G$62,MATCH($C13,'PAX &amp; CREW'!$A$3:$A$62,0))&amp;", "&amp;INDEX('PAX &amp; CREW'!$H$3:$H$62,MATCH($C13,'PAX &amp; CREW'!$A$3:$A$62,0)),"PERSON NOT FOUND"))</f>
        <v/>
      </c>
      <c r="E13" s="4"/>
      <c r="F13" s="4"/>
      <c r="G13" t="str">
        <f>IF(OR($C13="",$F13=""),"",IFERROR(INDEX('PAX &amp; CREW'!$AE$3:$AE$62,MATCH($C13,'PAX &amp; CREW'!$A$3:$A$62,0))&amp;"\"&amp;$F13,""))</f>
        <v/>
      </c>
      <c r="H13" s="4"/>
      <c r="I13" s="50"/>
      <c r="J13" s="4"/>
      <c r="K13" s="4"/>
      <c r="L13" s="4"/>
      <c r="M13" s="4"/>
      <c r="N13" s="4"/>
      <c r="O13" s="9"/>
      <c r="P13" s="9"/>
      <c r="Q13" s="9"/>
      <c r="R13" s="4"/>
      <c r="S13" s="4"/>
      <c r="T13" t="str">
        <f>IF($C13="","",IFERROR(IF($E13="PASSPORT",INDEX('PAX &amp; CREW'!$M$3:$M$62,MATCH($C13,'PAX &amp; CREW'!$A$3:$A$62,0)),IF($E13="VISA",INDEX('PAX &amp; CREW'!$S$3:$S$62,MATCH($C13,'PAX &amp; CREW'!$A$3:$A$62,0)),IF($E13="LICENCE",INDEX('PAX &amp; CREW'!$V$3:$V$62,MATCH($C13,'PAX &amp; CREW'!$A$3:$A$62,0)),IF($E13="CREW ID",INDEX('PAX &amp; CREW'!$Y$3:$Y$62,MATCH($C13,'PAX &amp; CREW'!$A$3:$A$62,0)),"")))),""))</f>
        <v/>
      </c>
      <c r="U13" t="str">
        <f>IF($C13="","",IFERROR(INDEX('PAX &amp; CREW'!$G$3:$G$62,MATCH($C13,'PAX &amp; CREW'!$A$3:$A$62,0)),""))</f>
        <v/>
      </c>
      <c r="V13" t="str">
        <f>IF($C13="","",IFERROR(INDEX('PAX &amp; CREW'!$H$3:$H$62,MATCH($C13,'PAX &amp; CREW'!$A$3:$A$62,0)),""))</f>
        <v/>
      </c>
      <c r="W13" t="str">
        <f>IF($C13="","",IFERROR(INDEX('PAX &amp; CREW'!$L$3:$L$62,MATCH($C13,'PAX &amp; CREW'!$A$3:$A$62,0)),""))</f>
        <v/>
      </c>
      <c r="X13" s="6" t="str">
        <f>IF($C13="","",IFERROR(INDEX('PAX &amp; CREW'!$J$3:$J$62,MATCH($C13,'PAX &amp; CREW'!$A$3:$A$62,0)),""))</f>
        <v/>
      </c>
      <c r="Y13" s="6" t="str">
        <f>IF($C13="","",IFERROR(IF($E13="PASSPORT",INDEX('PAX &amp; CREW'!$O$3:$O$62,MATCH($C13,'PAX &amp; CREW'!$A$3:$A$62,0)),""),""))</f>
        <v/>
      </c>
      <c r="Z13" s="6" t="str">
        <f>IF($C13="","",IFERROR(IF($E13="PASSPORT",INDEX('PAX &amp; CREW'!$P$3:$P$62,MATCH($C13,'PAX &amp; CREW'!$A$3:$A$62,0)),IF($E13="VISA",INDEX('PAX &amp; CREW'!$T$3:$T$62,MATCH($C13,'PAX &amp; CREW'!$A$3:$A$62,0)),IF($E13="LICENCE",INDEX('PAX &amp; CREW'!$W$3:$W$62,MATCH($C13,'PAX &amp; CREW'!$A$3:$A$62,0)),IF($E13="MEDICAL",INDEX('PAX &amp; CREW'!$X$3:$X$62,MATCH($C13,'PAX &amp; CREW'!$A$3:$A$62,0)),"")))),""))</f>
        <v/>
      </c>
      <c r="AA13" t="str">
        <f>IF($C13="","",IFERROR(IF($E13="PASSPORT",INDEX('PAX &amp; CREW'!$N$3:$N$62,MATCH($C13,'PAX &amp; CREW'!$A$3:$A$62,0)),INDEX('PAX &amp; CREW'!$L$3:$L$62,MATCH($C13,'PAX &amp; CREW'!$A$3:$A$62,0))),""))</f>
        <v/>
      </c>
      <c r="AB13" t="str">
        <f t="shared" si="1"/>
        <v/>
      </c>
      <c r="AC13" t="str">
        <f t="shared" si="2"/>
        <v/>
      </c>
      <c r="AD13" t="str">
        <f t="shared" si="3"/>
        <v/>
      </c>
      <c r="AE13" t="str">
        <f t="shared" si="4"/>
        <v/>
      </c>
      <c r="AF13" t="str">
        <f t="shared" si="5"/>
        <v/>
      </c>
      <c r="AG13" t="str">
        <f t="shared" si="6"/>
        <v/>
      </c>
      <c r="AH13" t="str">
        <f t="shared" si="7"/>
        <v/>
      </c>
      <c r="AI13" s="4"/>
      <c r="AJ13" s="4"/>
      <c r="AK13" s="50"/>
      <c r="AL13" t="str">
        <f t="shared" si="8"/>
        <v/>
      </c>
      <c r="AM13" s="4"/>
    </row>
    <row r="14" spans="1:39" x14ac:dyDescent="0.3">
      <c r="A14" t="str">
        <f t="shared" si="0"/>
        <v/>
      </c>
      <c r="B14" t="str">
        <f>IF($C14="","",IFERROR(INDEX('PAX &amp; CREW'!$B$3:$B$62,MATCH($C14,'PAX &amp; CREW'!$A$3:$A$62,0)),""))</f>
        <v/>
      </c>
      <c r="C14" s="4"/>
      <c r="D14" t="str">
        <f>IF($C14="","",IFERROR(INDEX('PAX &amp; CREW'!$G$3:$G$62,MATCH($C14,'PAX &amp; CREW'!$A$3:$A$62,0))&amp;", "&amp;INDEX('PAX &amp; CREW'!$H$3:$H$62,MATCH($C14,'PAX &amp; CREW'!$A$3:$A$62,0)),"PERSON NOT FOUND"))</f>
        <v/>
      </c>
      <c r="E14" s="4"/>
      <c r="F14" s="4"/>
      <c r="G14" t="str">
        <f>IF(OR($C14="",$F14=""),"",IFERROR(INDEX('PAX &amp; CREW'!$AE$3:$AE$62,MATCH($C14,'PAX &amp; CREW'!$A$3:$A$62,0))&amp;"\"&amp;$F14,""))</f>
        <v/>
      </c>
      <c r="H14" s="4"/>
      <c r="I14" s="50"/>
      <c r="J14" s="4"/>
      <c r="K14" s="4"/>
      <c r="L14" s="4"/>
      <c r="M14" s="4"/>
      <c r="N14" s="4"/>
      <c r="O14" s="9"/>
      <c r="P14" s="9"/>
      <c r="Q14" s="9"/>
      <c r="R14" s="4"/>
      <c r="S14" s="4"/>
      <c r="T14" t="str">
        <f>IF($C14="","",IFERROR(IF($E14="PASSPORT",INDEX('PAX &amp; CREW'!$M$3:$M$62,MATCH($C14,'PAX &amp; CREW'!$A$3:$A$62,0)),IF($E14="VISA",INDEX('PAX &amp; CREW'!$S$3:$S$62,MATCH($C14,'PAX &amp; CREW'!$A$3:$A$62,0)),IF($E14="LICENCE",INDEX('PAX &amp; CREW'!$V$3:$V$62,MATCH($C14,'PAX &amp; CREW'!$A$3:$A$62,0)),IF($E14="CREW ID",INDEX('PAX &amp; CREW'!$Y$3:$Y$62,MATCH($C14,'PAX &amp; CREW'!$A$3:$A$62,0)),"")))),""))</f>
        <v/>
      </c>
      <c r="U14" t="str">
        <f>IF($C14="","",IFERROR(INDEX('PAX &amp; CREW'!$G$3:$G$62,MATCH($C14,'PAX &amp; CREW'!$A$3:$A$62,0)),""))</f>
        <v/>
      </c>
      <c r="V14" t="str">
        <f>IF($C14="","",IFERROR(INDEX('PAX &amp; CREW'!$H$3:$H$62,MATCH($C14,'PAX &amp; CREW'!$A$3:$A$62,0)),""))</f>
        <v/>
      </c>
      <c r="W14" t="str">
        <f>IF($C14="","",IFERROR(INDEX('PAX &amp; CREW'!$L$3:$L$62,MATCH($C14,'PAX &amp; CREW'!$A$3:$A$62,0)),""))</f>
        <v/>
      </c>
      <c r="X14" s="6" t="str">
        <f>IF($C14="","",IFERROR(INDEX('PAX &amp; CREW'!$J$3:$J$62,MATCH($C14,'PAX &amp; CREW'!$A$3:$A$62,0)),""))</f>
        <v/>
      </c>
      <c r="Y14" s="6" t="str">
        <f>IF($C14="","",IFERROR(IF($E14="PASSPORT",INDEX('PAX &amp; CREW'!$O$3:$O$62,MATCH($C14,'PAX &amp; CREW'!$A$3:$A$62,0)),""),""))</f>
        <v/>
      </c>
      <c r="Z14" s="6" t="str">
        <f>IF($C14="","",IFERROR(IF($E14="PASSPORT",INDEX('PAX &amp; CREW'!$P$3:$P$62,MATCH($C14,'PAX &amp; CREW'!$A$3:$A$62,0)),IF($E14="VISA",INDEX('PAX &amp; CREW'!$T$3:$T$62,MATCH($C14,'PAX &amp; CREW'!$A$3:$A$62,0)),IF($E14="LICENCE",INDEX('PAX &amp; CREW'!$W$3:$W$62,MATCH($C14,'PAX &amp; CREW'!$A$3:$A$62,0)),IF($E14="MEDICAL",INDEX('PAX &amp; CREW'!$X$3:$X$62,MATCH($C14,'PAX &amp; CREW'!$A$3:$A$62,0)),"")))),""))</f>
        <v/>
      </c>
      <c r="AA14" t="str">
        <f>IF($C14="","",IFERROR(IF($E14="PASSPORT",INDEX('PAX &amp; CREW'!$N$3:$N$62,MATCH($C14,'PAX &amp; CREW'!$A$3:$A$62,0)),INDEX('PAX &amp; CREW'!$L$3:$L$62,MATCH($C14,'PAX &amp; CREW'!$A$3:$A$62,0))),""))</f>
        <v/>
      </c>
      <c r="AB14" t="str">
        <f t="shared" si="1"/>
        <v/>
      </c>
      <c r="AC14" t="str">
        <f t="shared" si="2"/>
        <v/>
      </c>
      <c r="AD14" t="str">
        <f t="shared" si="3"/>
        <v/>
      </c>
      <c r="AE14" t="str">
        <f t="shared" si="4"/>
        <v/>
      </c>
      <c r="AF14" t="str">
        <f t="shared" si="5"/>
        <v/>
      </c>
      <c r="AG14" t="str">
        <f t="shared" si="6"/>
        <v/>
      </c>
      <c r="AH14" t="str">
        <f t="shared" si="7"/>
        <v/>
      </c>
      <c r="AI14" s="4"/>
      <c r="AJ14" s="4"/>
      <c r="AK14" s="50"/>
      <c r="AL14" t="str">
        <f t="shared" si="8"/>
        <v/>
      </c>
      <c r="AM14" s="4"/>
    </row>
    <row r="15" spans="1:39" x14ac:dyDescent="0.3">
      <c r="A15" t="str">
        <f t="shared" si="0"/>
        <v/>
      </c>
      <c r="B15" t="str">
        <f>IF($C15="","",IFERROR(INDEX('PAX &amp; CREW'!$B$3:$B$62,MATCH($C15,'PAX &amp; CREW'!$A$3:$A$62,0)),""))</f>
        <v/>
      </c>
      <c r="C15" s="4"/>
      <c r="D15" t="str">
        <f>IF($C15="","",IFERROR(INDEX('PAX &amp; CREW'!$G$3:$G$62,MATCH($C15,'PAX &amp; CREW'!$A$3:$A$62,0))&amp;", "&amp;INDEX('PAX &amp; CREW'!$H$3:$H$62,MATCH($C15,'PAX &amp; CREW'!$A$3:$A$62,0)),"PERSON NOT FOUND"))</f>
        <v/>
      </c>
      <c r="E15" s="4"/>
      <c r="F15" s="4"/>
      <c r="G15" t="str">
        <f>IF(OR($C15="",$F15=""),"",IFERROR(INDEX('PAX &amp; CREW'!$AE$3:$AE$62,MATCH($C15,'PAX &amp; CREW'!$A$3:$A$62,0))&amp;"\"&amp;$F15,""))</f>
        <v/>
      </c>
      <c r="H15" s="4"/>
      <c r="I15" s="50"/>
      <c r="J15" s="4"/>
      <c r="K15" s="4"/>
      <c r="L15" s="4"/>
      <c r="M15" s="4"/>
      <c r="N15" s="4"/>
      <c r="O15" s="9"/>
      <c r="P15" s="9"/>
      <c r="Q15" s="9"/>
      <c r="R15" s="4"/>
      <c r="S15" s="4"/>
      <c r="T15" t="str">
        <f>IF($C15="","",IFERROR(IF($E15="PASSPORT",INDEX('PAX &amp; CREW'!$M$3:$M$62,MATCH($C15,'PAX &amp; CREW'!$A$3:$A$62,0)),IF($E15="VISA",INDEX('PAX &amp; CREW'!$S$3:$S$62,MATCH($C15,'PAX &amp; CREW'!$A$3:$A$62,0)),IF($E15="LICENCE",INDEX('PAX &amp; CREW'!$V$3:$V$62,MATCH($C15,'PAX &amp; CREW'!$A$3:$A$62,0)),IF($E15="CREW ID",INDEX('PAX &amp; CREW'!$Y$3:$Y$62,MATCH($C15,'PAX &amp; CREW'!$A$3:$A$62,0)),"")))),""))</f>
        <v/>
      </c>
      <c r="U15" t="str">
        <f>IF($C15="","",IFERROR(INDEX('PAX &amp; CREW'!$G$3:$G$62,MATCH($C15,'PAX &amp; CREW'!$A$3:$A$62,0)),""))</f>
        <v/>
      </c>
      <c r="V15" t="str">
        <f>IF($C15="","",IFERROR(INDEX('PAX &amp; CREW'!$H$3:$H$62,MATCH($C15,'PAX &amp; CREW'!$A$3:$A$62,0)),""))</f>
        <v/>
      </c>
      <c r="W15" t="str">
        <f>IF($C15="","",IFERROR(INDEX('PAX &amp; CREW'!$L$3:$L$62,MATCH($C15,'PAX &amp; CREW'!$A$3:$A$62,0)),""))</f>
        <v/>
      </c>
      <c r="X15" s="6" t="str">
        <f>IF($C15="","",IFERROR(INDEX('PAX &amp; CREW'!$J$3:$J$62,MATCH($C15,'PAX &amp; CREW'!$A$3:$A$62,0)),""))</f>
        <v/>
      </c>
      <c r="Y15" s="6" t="str">
        <f>IF($C15="","",IFERROR(IF($E15="PASSPORT",INDEX('PAX &amp; CREW'!$O$3:$O$62,MATCH($C15,'PAX &amp; CREW'!$A$3:$A$62,0)),""),""))</f>
        <v/>
      </c>
      <c r="Z15" s="6" t="str">
        <f>IF($C15="","",IFERROR(IF($E15="PASSPORT",INDEX('PAX &amp; CREW'!$P$3:$P$62,MATCH($C15,'PAX &amp; CREW'!$A$3:$A$62,0)),IF($E15="VISA",INDEX('PAX &amp; CREW'!$T$3:$T$62,MATCH($C15,'PAX &amp; CREW'!$A$3:$A$62,0)),IF($E15="LICENCE",INDEX('PAX &amp; CREW'!$W$3:$W$62,MATCH($C15,'PAX &amp; CREW'!$A$3:$A$62,0)),IF($E15="MEDICAL",INDEX('PAX &amp; CREW'!$X$3:$X$62,MATCH($C15,'PAX &amp; CREW'!$A$3:$A$62,0)),"")))),""))</f>
        <v/>
      </c>
      <c r="AA15" t="str">
        <f>IF($C15="","",IFERROR(IF($E15="PASSPORT",INDEX('PAX &amp; CREW'!$N$3:$N$62,MATCH($C15,'PAX &amp; CREW'!$A$3:$A$62,0)),INDEX('PAX &amp; CREW'!$L$3:$L$62,MATCH($C15,'PAX &amp; CREW'!$A$3:$A$62,0))),""))</f>
        <v/>
      </c>
      <c r="AB15" t="str">
        <f t="shared" si="1"/>
        <v/>
      </c>
      <c r="AC15" t="str">
        <f t="shared" si="2"/>
        <v/>
      </c>
      <c r="AD15" t="str">
        <f t="shared" si="3"/>
        <v/>
      </c>
      <c r="AE15" t="str">
        <f t="shared" si="4"/>
        <v/>
      </c>
      <c r="AF15" t="str">
        <f t="shared" si="5"/>
        <v/>
      </c>
      <c r="AG15" t="str">
        <f t="shared" si="6"/>
        <v/>
      </c>
      <c r="AH15" t="str">
        <f t="shared" si="7"/>
        <v/>
      </c>
      <c r="AI15" s="4"/>
      <c r="AJ15" s="4"/>
      <c r="AK15" s="50"/>
      <c r="AL15" t="str">
        <f t="shared" si="8"/>
        <v/>
      </c>
      <c r="AM15" s="4"/>
    </row>
    <row r="16" spans="1:39" x14ac:dyDescent="0.3">
      <c r="A16" t="str">
        <f t="shared" si="0"/>
        <v/>
      </c>
      <c r="B16" t="str">
        <f>IF($C16="","",IFERROR(INDEX('PAX &amp; CREW'!$B$3:$B$62,MATCH($C16,'PAX &amp; CREW'!$A$3:$A$62,0)),""))</f>
        <v/>
      </c>
      <c r="C16" s="4"/>
      <c r="D16" t="str">
        <f>IF($C16="","",IFERROR(INDEX('PAX &amp; CREW'!$G$3:$G$62,MATCH($C16,'PAX &amp; CREW'!$A$3:$A$62,0))&amp;", "&amp;INDEX('PAX &amp; CREW'!$H$3:$H$62,MATCH($C16,'PAX &amp; CREW'!$A$3:$A$62,0)),"PERSON NOT FOUND"))</f>
        <v/>
      </c>
      <c r="E16" s="4"/>
      <c r="F16" s="4"/>
      <c r="G16" t="str">
        <f>IF(OR($C16="",$F16=""),"",IFERROR(INDEX('PAX &amp; CREW'!$AE$3:$AE$62,MATCH($C16,'PAX &amp; CREW'!$A$3:$A$62,0))&amp;"\"&amp;$F16,""))</f>
        <v/>
      </c>
      <c r="H16" s="4"/>
      <c r="I16" s="50"/>
      <c r="J16" s="4"/>
      <c r="K16" s="4"/>
      <c r="L16" s="4"/>
      <c r="M16" s="4"/>
      <c r="N16" s="4"/>
      <c r="O16" s="9"/>
      <c r="P16" s="9"/>
      <c r="Q16" s="9"/>
      <c r="R16" s="4"/>
      <c r="S16" s="4"/>
      <c r="T16" t="str">
        <f>IF($C16="","",IFERROR(IF($E16="PASSPORT",INDEX('PAX &amp; CREW'!$M$3:$M$62,MATCH($C16,'PAX &amp; CREW'!$A$3:$A$62,0)),IF($E16="VISA",INDEX('PAX &amp; CREW'!$S$3:$S$62,MATCH($C16,'PAX &amp; CREW'!$A$3:$A$62,0)),IF($E16="LICENCE",INDEX('PAX &amp; CREW'!$V$3:$V$62,MATCH($C16,'PAX &amp; CREW'!$A$3:$A$62,0)),IF($E16="CREW ID",INDEX('PAX &amp; CREW'!$Y$3:$Y$62,MATCH($C16,'PAX &amp; CREW'!$A$3:$A$62,0)),"")))),""))</f>
        <v/>
      </c>
      <c r="U16" t="str">
        <f>IF($C16="","",IFERROR(INDEX('PAX &amp; CREW'!$G$3:$G$62,MATCH($C16,'PAX &amp; CREW'!$A$3:$A$62,0)),""))</f>
        <v/>
      </c>
      <c r="V16" t="str">
        <f>IF($C16="","",IFERROR(INDEX('PAX &amp; CREW'!$H$3:$H$62,MATCH($C16,'PAX &amp; CREW'!$A$3:$A$62,0)),""))</f>
        <v/>
      </c>
      <c r="W16" t="str">
        <f>IF($C16="","",IFERROR(INDEX('PAX &amp; CREW'!$L$3:$L$62,MATCH($C16,'PAX &amp; CREW'!$A$3:$A$62,0)),""))</f>
        <v/>
      </c>
      <c r="X16" s="6" t="str">
        <f>IF($C16="","",IFERROR(INDEX('PAX &amp; CREW'!$J$3:$J$62,MATCH($C16,'PAX &amp; CREW'!$A$3:$A$62,0)),""))</f>
        <v/>
      </c>
      <c r="Y16" s="6" t="str">
        <f>IF($C16="","",IFERROR(IF($E16="PASSPORT",INDEX('PAX &amp; CREW'!$O$3:$O$62,MATCH($C16,'PAX &amp; CREW'!$A$3:$A$62,0)),""),""))</f>
        <v/>
      </c>
      <c r="Z16" s="6" t="str">
        <f>IF($C16="","",IFERROR(IF($E16="PASSPORT",INDEX('PAX &amp; CREW'!$P$3:$P$62,MATCH($C16,'PAX &amp; CREW'!$A$3:$A$62,0)),IF($E16="VISA",INDEX('PAX &amp; CREW'!$T$3:$T$62,MATCH($C16,'PAX &amp; CREW'!$A$3:$A$62,0)),IF($E16="LICENCE",INDEX('PAX &amp; CREW'!$W$3:$W$62,MATCH($C16,'PAX &amp; CREW'!$A$3:$A$62,0)),IF($E16="MEDICAL",INDEX('PAX &amp; CREW'!$X$3:$X$62,MATCH($C16,'PAX &amp; CREW'!$A$3:$A$62,0)),"")))),""))</f>
        <v/>
      </c>
      <c r="AA16" t="str">
        <f>IF($C16="","",IFERROR(IF($E16="PASSPORT",INDEX('PAX &amp; CREW'!$N$3:$N$62,MATCH($C16,'PAX &amp; CREW'!$A$3:$A$62,0)),INDEX('PAX &amp; CREW'!$L$3:$L$62,MATCH($C16,'PAX &amp; CREW'!$A$3:$A$62,0))),""))</f>
        <v/>
      </c>
      <c r="AB16" t="str">
        <f t="shared" si="1"/>
        <v/>
      </c>
      <c r="AC16" t="str">
        <f t="shared" si="2"/>
        <v/>
      </c>
      <c r="AD16" t="str">
        <f t="shared" si="3"/>
        <v/>
      </c>
      <c r="AE16" t="str">
        <f t="shared" si="4"/>
        <v/>
      </c>
      <c r="AF16" t="str">
        <f t="shared" si="5"/>
        <v/>
      </c>
      <c r="AG16" t="str">
        <f t="shared" si="6"/>
        <v/>
      </c>
      <c r="AH16" t="str">
        <f t="shared" si="7"/>
        <v/>
      </c>
      <c r="AI16" s="4"/>
      <c r="AJ16" s="4"/>
      <c r="AK16" s="50"/>
      <c r="AL16" t="str">
        <f t="shared" si="8"/>
        <v/>
      </c>
      <c r="AM16" s="4"/>
    </row>
    <row r="17" spans="1:39" x14ac:dyDescent="0.3">
      <c r="A17" t="str">
        <f t="shared" si="0"/>
        <v/>
      </c>
      <c r="B17" t="str">
        <f>IF($C17="","",IFERROR(INDEX('PAX &amp; CREW'!$B$3:$B$62,MATCH($C17,'PAX &amp; CREW'!$A$3:$A$62,0)),""))</f>
        <v/>
      </c>
      <c r="C17" s="4"/>
      <c r="D17" t="str">
        <f>IF($C17="","",IFERROR(INDEX('PAX &amp; CREW'!$G$3:$G$62,MATCH($C17,'PAX &amp; CREW'!$A$3:$A$62,0))&amp;", "&amp;INDEX('PAX &amp; CREW'!$H$3:$H$62,MATCH($C17,'PAX &amp; CREW'!$A$3:$A$62,0)),"PERSON NOT FOUND"))</f>
        <v/>
      </c>
      <c r="E17" s="4"/>
      <c r="F17" s="4"/>
      <c r="G17" t="str">
        <f>IF(OR($C17="",$F17=""),"",IFERROR(INDEX('PAX &amp; CREW'!$AE$3:$AE$62,MATCH($C17,'PAX &amp; CREW'!$A$3:$A$62,0))&amp;"\"&amp;$F17,""))</f>
        <v/>
      </c>
      <c r="H17" s="4"/>
      <c r="I17" s="50"/>
      <c r="J17" s="4"/>
      <c r="K17" s="4"/>
      <c r="L17" s="4"/>
      <c r="M17" s="4"/>
      <c r="N17" s="4"/>
      <c r="O17" s="9"/>
      <c r="P17" s="9"/>
      <c r="Q17" s="9"/>
      <c r="R17" s="4"/>
      <c r="S17" s="4"/>
      <c r="T17" t="str">
        <f>IF($C17="","",IFERROR(IF($E17="PASSPORT",INDEX('PAX &amp; CREW'!$M$3:$M$62,MATCH($C17,'PAX &amp; CREW'!$A$3:$A$62,0)),IF($E17="VISA",INDEX('PAX &amp; CREW'!$S$3:$S$62,MATCH($C17,'PAX &amp; CREW'!$A$3:$A$62,0)),IF($E17="LICENCE",INDEX('PAX &amp; CREW'!$V$3:$V$62,MATCH($C17,'PAX &amp; CREW'!$A$3:$A$62,0)),IF($E17="CREW ID",INDEX('PAX &amp; CREW'!$Y$3:$Y$62,MATCH($C17,'PAX &amp; CREW'!$A$3:$A$62,0)),"")))),""))</f>
        <v/>
      </c>
      <c r="U17" t="str">
        <f>IF($C17="","",IFERROR(INDEX('PAX &amp; CREW'!$G$3:$G$62,MATCH($C17,'PAX &amp; CREW'!$A$3:$A$62,0)),""))</f>
        <v/>
      </c>
      <c r="V17" t="str">
        <f>IF($C17="","",IFERROR(INDEX('PAX &amp; CREW'!$H$3:$H$62,MATCH($C17,'PAX &amp; CREW'!$A$3:$A$62,0)),""))</f>
        <v/>
      </c>
      <c r="W17" t="str">
        <f>IF($C17="","",IFERROR(INDEX('PAX &amp; CREW'!$L$3:$L$62,MATCH($C17,'PAX &amp; CREW'!$A$3:$A$62,0)),""))</f>
        <v/>
      </c>
      <c r="X17" s="6" t="str">
        <f>IF($C17="","",IFERROR(INDEX('PAX &amp; CREW'!$J$3:$J$62,MATCH($C17,'PAX &amp; CREW'!$A$3:$A$62,0)),""))</f>
        <v/>
      </c>
      <c r="Y17" s="6" t="str">
        <f>IF($C17="","",IFERROR(IF($E17="PASSPORT",INDEX('PAX &amp; CREW'!$O$3:$O$62,MATCH($C17,'PAX &amp; CREW'!$A$3:$A$62,0)),""),""))</f>
        <v/>
      </c>
      <c r="Z17" s="6" t="str">
        <f>IF($C17="","",IFERROR(IF($E17="PASSPORT",INDEX('PAX &amp; CREW'!$P$3:$P$62,MATCH($C17,'PAX &amp; CREW'!$A$3:$A$62,0)),IF($E17="VISA",INDEX('PAX &amp; CREW'!$T$3:$T$62,MATCH($C17,'PAX &amp; CREW'!$A$3:$A$62,0)),IF($E17="LICENCE",INDEX('PAX &amp; CREW'!$W$3:$W$62,MATCH($C17,'PAX &amp; CREW'!$A$3:$A$62,0)),IF($E17="MEDICAL",INDEX('PAX &amp; CREW'!$X$3:$X$62,MATCH($C17,'PAX &amp; CREW'!$A$3:$A$62,0)),"")))),""))</f>
        <v/>
      </c>
      <c r="AA17" t="str">
        <f>IF($C17="","",IFERROR(IF($E17="PASSPORT",INDEX('PAX &amp; CREW'!$N$3:$N$62,MATCH($C17,'PAX &amp; CREW'!$A$3:$A$62,0)),INDEX('PAX &amp; CREW'!$L$3:$L$62,MATCH($C17,'PAX &amp; CREW'!$A$3:$A$62,0))),""))</f>
        <v/>
      </c>
      <c r="AB17" t="str">
        <f t="shared" si="1"/>
        <v/>
      </c>
      <c r="AC17" t="str">
        <f t="shared" si="2"/>
        <v/>
      </c>
      <c r="AD17" t="str">
        <f t="shared" si="3"/>
        <v/>
      </c>
      <c r="AE17" t="str">
        <f t="shared" si="4"/>
        <v/>
      </c>
      <c r="AF17" t="str">
        <f t="shared" si="5"/>
        <v/>
      </c>
      <c r="AG17" t="str">
        <f t="shared" si="6"/>
        <v/>
      </c>
      <c r="AH17" t="str">
        <f t="shared" si="7"/>
        <v/>
      </c>
      <c r="AI17" s="4"/>
      <c r="AJ17" s="4"/>
      <c r="AK17" s="50"/>
      <c r="AL17" t="str">
        <f t="shared" si="8"/>
        <v/>
      </c>
      <c r="AM17" s="4"/>
    </row>
    <row r="18" spans="1:39" x14ac:dyDescent="0.3">
      <c r="A18" t="str">
        <f t="shared" si="0"/>
        <v/>
      </c>
      <c r="B18" t="str">
        <f>IF($C18="","",IFERROR(INDEX('PAX &amp; CREW'!$B$3:$B$62,MATCH($C18,'PAX &amp; CREW'!$A$3:$A$62,0)),""))</f>
        <v/>
      </c>
      <c r="C18" s="4"/>
      <c r="D18" t="str">
        <f>IF($C18="","",IFERROR(INDEX('PAX &amp; CREW'!$G$3:$G$62,MATCH($C18,'PAX &amp; CREW'!$A$3:$A$62,0))&amp;", "&amp;INDEX('PAX &amp; CREW'!$H$3:$H$62,MATCH($C18,'PAX &amp; CREW'!$A$3:$A$62,0)),"PERSON NOT FOUND"))</f>
        <v/>
      </c>
      <c r="E18" s="4"/>
      <c r="F18" s="4"/>
      <c r="G18" t="str">
        <f>IF(OR($C18="",$F18=""),"",IFERROR(INDEX('PAX &amp; CREW'!$AE$3:$AE$62,MATCH($C18,'PAX &amp; CREW'!$A$3:$A$62,0))&amp;"\"&amp;$F18,""))</f>
        <v/>
      </c>
      <c r="H18" s="4"/>
      <c r="I18" s="50"/>
      <c r="J18" s="4"/>
      <c r="K18" s="4"/>
      <c r="L18" s="4"/>
      <c r="M18" s="4"/>
      <c r="N18" s="4"/>
      <c r="O18" s="9"/>
      <c r="P18" s="9"/>
      <c r="Q18" s="9"/>
      <c r="R18" s="4"/>
      <c r="S18" s="4"/>
      <c r="T18" t="str">
        <f>IF($C18="","",IFERROR(IF($E18="PASSPORT",INDEX('PAX &amp; CREW'!$M$3:$M$62,MATCH($C18,'PAX &amp; CREW'!$A$3:$A$62,0)),IF($E18="VISA",INDEX('PAX &amp; CREW'!$S$3:$S$62,MATCH($C18,'PAX &amp; CREW'!$A$3:$A$62,0)),IF($E18="LICENCE",INDEX('PAX &amp; CREW'!$V$3:$V$62,MATCH($C18,'PAX &amp; CREW'!$A$3:$A$62,0)),IF($E18="CREW ID",INDEX('PAX &amp; CREW'!$Y$3:$Y$62,MATCH($C18,'PAX &amp; CREW'!$A$3:$A$62,0)),"")))),""))</f>
        <v/>
      </c>
      <c r="U18" t="str">
        <f>IF($C18="","",IFERROR(INDEX('PAX &amp; CREW'!$G$3:$G$62,MATCH($C18,'PAX &amp; CREW'!$A$3:$A$62,0)),""))</f>
        <v/>
      </c>
      <c r="V18" t="str">
        <f>IF($C18="","",IFERROR(INDEX('PAX &amp; CREW'!$H$3:$H$62,MATCH($C18,'PAX &amp; CREW'!$A$3:$A$62,0)),""))</f>
        <v/>
      </c>
      <c r="W18" t="str">
        <f>IF($C18="","",IFERROR(INDEX('PAX &amp; CREW'!$L$3:$L$62,MATCH($C18,'PAX &amp; CREW'!$A$3:$A$62,0)),""))</f>
        <v/>
      </c>
      <c r="X18" s="6" t="str">
        <f>IF($C18="","",IFERROR(INDEX('PAX &amp; CREW'!$J$3:$J$62,MATCH($C18,'PAX &amp; CREW'!$A$3:$A$62,0)),""))</f>
        <v/>
      </c>
      <c r="Y18" s="6" t="str">
        <f>IF($C18="","",IFERROR(IF($E18="PASSPORT",INDEX('PAX &amp; CREW'!$O$3:$O$62,MATCH($C18,'PAX &amp; CREW'!$A$3:$A$62,0)),""),""))</f>
        <v/>
      </c>
      <c r="Z18" s="6" t="str">
        <f>IF($C18="","",IFERROR(IF($E18="PASSPORT",INDEX('PAX &amp; CREW'!$P$3:$P$62,MATCH($C18,'PAX &amp; CREW'!$A$3:$A$62,0)),IF($E18="VISA",INDEX('PAX &amp; CREW'!$T$3:$T$62,MATCH($C18,'PAX &amp; CREW'!$A$3:$A$62,0)),IF($E18="LICENCE",INDEX('PAX &amp; CREW'!$W$3:$W$62,MATCH($C18,'PAX &amp; CREW'!$A$3:$A$62,0)),IF($E18="MEDICAL",INDEX('PAX &amp; CREW'!$X$3:$X$62,MATCH($C18,'PAX &amp; CREW'!$A$3:$A$62,0)),"")))),""))</f>
        <v/>
      </c>
      <c r="AA18" t="str">
        <f>IF($C18="","",IFERROR(IF($E18="PASSPORT",INDEX('PAX &amp; CREW'!$N$3:$N$62,MATCH($C18,'PAX &amp; CREW'!$A$3:$A$62,0)),INDEX('PAX &amp; CREW'!$L$3:$L$62,MATCH($C18,'PAX &amp; CREW'!$A$3:$A$62,0))),""))</f>
        <v/>
      </c>
      <c r="AB18" t="str">
        <f t="shared" si="1"/>
        <v/>
      </c>
      <c r="AC18" t="str">
        <f t="shared" si="2"/>
        <v/>
      </c>
      <c r="AD18" t="str">
        <f t="shared" si="3"/>
        <v/>
      </c>
      <c r="AE18" t="str">
        <f t="shared" si="4"/>
        <v/>
      </c>
      <c r="AF18" t="str">
        <f t="shared" si="5"/>
        <v/>
      </c>
      <c r="AG18" t="str">
        <f t="shared" si="6"/>
        <v/>
      </c>
      <c r="AH18" t="str">
        <f t="shared" si="7"/>
        <v/>
      </c>
      <c r="AI18" s="4"/>
      <c r="AJ18" s="4"/>
      <c r="AK18" s="50"/>
      <c r="AL18" t="str">
        <f t="shared" si="8"/>
        <v/>
      </c>
      <c r="AM18" s="4"/>
    </row>
    <row r="19" spans="1:39" x14ac:dyDescent="0.3">
      <c r="A19" t="str">
        <f t="shared" si="0"/>
        <v/>
      </c>
      <c r="B19" t="str">
        <f>IF($C19="","",IFERROR(INDEX('PAX &amp; CREW'!$B$3:$B$62,MATCH($C19,'PAX &amp; CREW'!$A$3:$A$62,0)),""))</f>
        <v/>
      </c>
      <c r="C19" s="4"/>
      <c r="D19" t="str">
        <f>IF($C19="","",IFERROR(INDEX('PAX &amp; CREW'!$G$3:$G$62,MATCH($C19,'PAX &amp; CREW'!$A$3:$A$62,0))&amp;", "&amp;INDEX('PAX &amp; CREW'!$H$3:$H$62,MATCH($C19,'PAX &amp; CREW'!$A$3:$A$62,0)),"PERSON NOT FOUND"))</f>
        <v/>
      </c>
      <c r="E19" s="4"/>
      <c r="F19" s="4"/>
      <c r="G19" t="str">
        <f>IF(OR($C19="",$F19=""),"",IFERROR(INDEX('PAX &amp; CREW'!$AE$3:$AE$62,MATCH($C19,'PAX &amp; CREW'!$A$3:$A$62,0))&amp;"\"&amp;$F19,""))</f>
        <v/>
      </c>
      <c r="H19" s="4"/>
      <c r="I19" s="50"/>
      <c r="J19" s="4"/>
      <c r="K19" s="4"/>
      <c r="L19" s="4"/>
      <c r="M19" s="4"/>
      <c r="N19" s="4"/>
      <c r="O19" s="9"/>
      <c r="P19" s="9"/>
      <c r="Q19" s="9"/>
      <c r="R19" s="4"/>
      <c r="S19" s="4"/>
      <c r="T19" t="str">
        <f>IF($C19="","",IFERROR(IF($E19="PASSPORT",INDEX('PAX &amp; CREW'!$M$3:$M$62,MATCH($C19,'PAX &amp; CREW'!$A$3:$A$62,0)),IF($E19="VISA",INDEX('PAX &amp; CREW'!$S$3:$S$62,MATCH($C19,'PAX &amp; CREW'!$A$3:$A$62,0)),IF($E19="LICENCE",INDEX('PAX &amp; CREW'!$V$3:$V$62,MATCH($C19,'PAX &amp; CREW'!$A$3:$A$62,0)),IF($E19="CREW ID",INDEX('PAX &amp; CREW'!$Y$3:$Y$62,MATCH($C19,'PAX &amp; CREW'!$A$3:$A$62,0)),"")))),""))</f>
        <v/>
      </c>
      <c r="U19" t="str">
        <f>IF($C19="","",IFERROR(INDEX('PAX &amp; CREW'!$G$3:$G$62,MATCH($C19,'PAX &amp; CREW'!$A$3:$A$62,0)),""))</f>
        <v/>
      </c>
      <c r="V19" t="str">
        <f>IF($C19="","",IFERROR(INDEX('PAX &amp; CREW'!$H$3:$H$62,MATCH($C19,'PAX &amp; CREW'!$A$3:$A$62,0)),""))</f>
        <v/>
      </c>
      <c r="W19" t="str">
        <f>IF($C19="","",IFERROR(INDEX('PAX &amp; CREW'!$L$3:$L$62,MATCH($C19,'PAX &amp; CREW'!$A$3:$A$62,0)),""))</f>
        <v/>
      </c>
      <c r="X19" s="6" t="str">
        <f>IF($C19="","",IFERROR(INDEX('PAX &amp; CREW'!$J$3:$J$62,MATCH($C19,'PAX &amp; CREW'!$A$3:$A$62,0)),""))</f>
        <v/>
      </c>
      <c r="Y19" s="6" t="str">
        <f>IF($C19="","",IFERROR(IF($E19="PASSPORT",INDEX('PAX &amp; CREW'!$O$3:$O$62,MATCH($C19,'PAX &amp; CREW'!$A$3:$A$62,0)),""),""))</f>
        <v/>
      </c>
      <c r="Z19" s="6" t="str">
        <f>IF($C19="","",IFERROR(IF($E19="PASSPORT",INDEX('PAX &amp; CREW'!$P$3:$P$62,MATCH($C19,'PAX &amp; CREW'!$A$3:$A$62,0)),IF($E19="VISA",INDEX('PAX &amp; CREW'!$T$3:$T$62,MATCH($C19,'PAX &amp; CREW'!$A$3:$A$62,0)),IF($E19="LICENCE",INDEX('PAX &amp; CREW'!$W$3:$W$62,MATCH($C19,'PAX &amp; CREW'!$A$3:$A$62,0)),IF($E19="MEDICAL",INDEX('PAX &amp; CREW'!$X$3:$X$62,MATCH($C19,'PAX &amp; CREW'!$A$3:$A$62,0)),"")))),""))</f>
        <v/>
      </c>
      <c r="AA19" t="str">
        <f>IF($C19="","",IFERROR(IF($E19="PASSPORT",INDEX('PAX &amp; CREW'!$N$3:$N$62,MATCH($C19,'PAX &amp; CREW'!$A$3:$A$62,0)),INDEX('PAX &amp; CREW'!$L$3:$L$62,MATCH($C19,'PAX &amp; CREW'!$A$3:$A$62,0))),""))</f>
        <v/>
      </c>
      <c r="AB19" t="str">
        <f t="shared" si="1"/>
        <v/>
      </c>
      <c r="AC19" t="str">
        <f t="shared" si="2"/>
        <v/>
      </c>
      <c r="AD19" t="str">
        <f t="shared" si="3"/>
        <v/>
      </c>
      <c r="AE19" t="str">
        <f t="shared" si="4"/>
        <v/>
      </c>
      <c r="AF19" t="str">
        <f t="shared" si="5"/>
        <v/>
      </c>
      <c r="AG19" t="str">
        <f t="shared" si="6"/>
        <v/>
      </c>
      <c r="AH19" t="str">
        <f t="shared" si="7"/>
        <v/>
      </c>
      <c r="AI19" s="4"/>
      <c r="AJ19" s="4"/>
      <c r="AK19" s="50"/>
      <c r="AL19" t="str">
        <f t="shared" si="8"/>
        <v/>
      </c>
      <c r="AM19" s="4"/>
    </row>
    <row r="20" spans="1:39" x14ac:dyDescent="0.3">
      <c r="A20" t="str">
        <f t="shared" si="0"/>
        <v/>
      </c>
      <c r="B20" t="str">
        <f>IF($C20="","",IFERROR(INDEX('PAX &amp; CREW'!$B$3:$B$62,MATCH($C20,'PAX &amp; CREW'!$A$3:$A$62,0)),""))</f>
        <v/>
      </c>
      <c r="C20" s="4"/>
      <c r="D20" t="str">
        <f>IF($C20="","",IFERROR(INDEX('PAX &amp; CREW'!$G$3:$G$62,MATCH($C20,'PAX &amp; CREW'!$A$3:$A$62,0))&amp;", "&amp;INDEX('PAX &amp; CREW'!$H$3:$H$62,MATCH($C20,'PAX &amp; CREW'!$A$3:$A$62,0)),"PERSON NOT FOUND"))</f>
        <v/>
      </c>
      <c r="E20" s="4"/>
      <c r="F20" s="4"/>
      <c r="G20" t="str">
        <f>IF(OR($C20="",$F20=""),"",IFERROR(INDEX('PAX &amp; CREW'!$AE$3:$AE$62,MATCH($C20,'PAX &amp; CREW'!$A$3:$A$62,0))&amp;"\"&amp;$F20,""))</f>
        <v/>
      </c>
      <c r="H20" s="4"/>
      <c r="I20" s="50"/>
      <c r="J20" s="4"/>
      <c r="K20" s="4"/>
      <c r="L20" s="4"/>
      <c r="M20" s="4"/>
      <c r="N20" s="4"/>
      <c r="O20" s="9"/>
      <c r="P20" s="9"/>
      <c r="Q20" s="9"/>
      <c r="R20" s="4"/>
      <c r="S20" s="4"/>
      <c r="T20" t="str">
        <f>IF($C20="","",IFERROR(IF($E20="PASSPORT",INDEX('PAX &amp; CREW'!$M$3:$M$62,MATCH($C20,'PAX &amp; CREW'!$A$3:$A$62,0)),IF($E20="VISA",INDEX('PAX &amp; CREW'!$S$3:$S$62,MATCH($C20,'PAX &amp; CREW'!$A$3:$A$62,0)),IF($E20="LICENCE",INDEX('PAX &amp; CREW'!$V$3:$V$62,MATCH($C20,'PAX &amp; CREW'!$A$3:$A$62,0)),IF($E20="CREW ID",INDEX('PAX &amp; CREW'!$Y$3:$Y$62,MATCH($C20,'PAX &amp; CREW'!$A$3:$A$62,0)),"")))),""))</f>
        <v/>
      </c>
      <c r="U20" t="str">
        <f>IF($C20="","",IFERROR(INDEX('PAX &amp; CREW'!$G$3:$G$62,MATCH($C20,'PAX &amp; CREW'!$A$3:$A$62,0)),""))</f>
        <v/>
      </c>
      <c r="V20" t="str">
        <f>IF($C20="","",IFERROR(INDEX('PAX &amp; CREW'!$H$3:$H$62,MATCH($C20,'PAX &amp; CREW'!$A$3:$A$62,0)),""))</f>
        <v/>
      </c>
      <c r="W20" t="str">
        <f>IF($C20="","",IFERROR(INDEX('PAX &amp; CREW'!$L$3:$L$62,MATCH($C20,'PAX &amp; CREW'!$A$3:$A$62,0)),""))</f>
        <v/>
      </c>
      <c r="X20" s="6" t="str">
        <f>IF($C20="","",IFERROR(INDEX('PAX &amp; CREW'!$J$3:$J$62,MATCH($C20,'PAX &amp; CREW'!$A$3:$A$62,0)),""))</f>
        <v/>
      </c>
      <c r="Y20" s="6" t="str">
        <f>IF($C20="","",IFERROR(IF($E20="PASSPORT",INDEX('PAX &amp; CREW'!$O$3:$O$62,MATCH($C20,'PAX &amp; CREW'!$A$3:$A$62,0)),""),""))</f>
        <v/>
      </c>
      <c r="Z20" s="6" t="str">
        <f>IF($C20="","",IFERROR(IF($E20="PASSPORT",INDEX('PAX &amp; CREW'!$P$3:$P$62,MATCH($C20,'PAX &amp; CREW'!$A$3:$A$62,0)),IF($E20="VISA",INDEX('PAX &amp; CREW'!$T$3:$T$62,MATCH($C20,'PAX &amp; CREW'!$A$3:$A$62,0)),IF($E20="LICENCE",INDEX('PAX &amp; CREW'!$W$3:$W$62,MATCH($C20,'PAX &amp; CREW'!$A$3:$A$62,0)),IF($E20="MEDICAL",INDEX('PAX &amp; CREW'!$X$3:$X$62,MATCH($C20,'PAX &amp; CREW'!$A$3:$A$62,0)),"")))),""))</f>
        <v/>
      </c>
      <c r="AA20" t="str">
        <f>IF($C20="","",IFERROR(IF($E20="PASSPORT",INDEX('PAX &amp; CREW'!$N$3:$N$62,MATCH($C20,'PAX &amp; CREW'!$A$3:$A$62,0)),INDEX('PAX &amp; CREW'!$L$3:$L$62,MATCH($C20,'PAX &amp; CREW'!$A$3:$A$62,0))),""))</f>
        <v/>
      </c>
      <c r="AB20" t="str">
        <f t="shared" si="1"/>
        <v/>
      </c>
      <c r="AC20" t="str">
        <f t="shared" si="2"/>
        <v/>
      </c>
      <c r="AD20" t="str">
        <f t="shared" si="3"/>
        <v/>
      </c>
      <c r="AE20" t="str">
        <f t="shared" si="4"/>
        <v/>
      </c>
      <c r="AF20" t="str">
        <f t="shared" si="5"/>
        <v/>
      </c>
      <c r="AG20" t="str">
        <f t="shared" si="6"/>
        <v/>
      </c>
      <c r="AH20" t="str">
        <f t="shared" si="7"/>
        <v/>
      </c>
      <c r="AI20" s="4"/>
      <c r="AJ20" s="4"/>
      <c r="AK20" s="50"/>
      <c r="AL20" t="str">
        <f t="shared" si="8"/>
        <v/>
      </c>
      <c r="AM20" s="4"/>
    </row>
    <row r="21" spans="1:39" x14ac:dyDescent="0.3">
      <c r="A21" t="str">
        <f t="shared" si="0"/>
        <v/>
      </c>
      <c r="B21" t="str">
        <f>IF($C21="","",IFERROR(INDEX('PAX &amp; CREW'!$B$3:$B$62,MATCH($C21,'PAX &amp; CREW'!$A$3:$A$62,0)),""))</f>
        <v/>
      </c>
      <c r="C21" s="4"/>
      <c r="D21" t="str">
        <f>IF($C21="","",IFERROR(INDEX('PAX &amp; CREW'!$G$3:$G$62,MATCH($C21,'PAX &amp; CREW'!$A$3:$A$62,0))&amp;", "&amp;INDEX('PAX &amp; CREW'!$H$3:$H$62,MATCH($C21,'PAX &amp; CREW'!$A$3:$A$62,0)),"PERSON NOT FOUND"))</f>
        <v/>
      </c>
      <c r="E21" s="4"/>
      <c r="F21" s="4"/>
      <c r="G21" t="str">
        <f>IF(OR($C21="",$F21=""),"",IFERROR(INDEX('PAX &amp; CREW'!$AE$3:$AE$62,MATCH($C21,'PAX &amp; CREW'!$A$3:$A$62,0))&amp;"\"&amp;$F21,""))</f>
        <v/>
      </c>
      <c r="H21" s="4"/>
      <c r="I21" s="50"/>
      <c r="J21" s="4"/>
      <c r="K21" s="4"/>
      <c r="L21" s="4"/>
      <c r="M21" s="4"/>
      <c r="N21" s="4"/>
      <c r="O21" s="9"/>
      <c r="P21" s="9"/>
      <c r="Q21" s="9"/>
      <c r="R21" s="4"/>
      <c r="S21" s="4"/>
      <c r="T21" t="str">
        <f>IF($C21="","",IFERROR(IF($E21="PASSPORT",INDEX('PAX &amp; CREW'!$M$3:$M$62,MATCH($C21,'PAX &amp; CREW'!$A$3:$A$62,0)),IF($E21="VISA",INDEX('PAX &amp; CREW'!$S$3:$S$62,MATCH($C21,'PAX &amp; CREW'!$A$3:$A$62,0)),IF($E21="LICENCE",INDEX('PAX &amp; CREW'!$V$3:$V$62,MATCH($C21,'PAX &amp; CREW'!$A$3:$A$62,0)),IF($E21="CREW ID",INDEX('PAX &amp; CREW'!$Y$3:$Y$62,MATCH($C21,'PAX &amp; CREW'!$A$3:$A$62,0)),"")))),""))</f>
        <v/>
      </c>
      <c r="U21" t="str">
        <f>IF($C21="","",IFERROR(INDEX('PAX &amp; CREW'!$G$3:$G$62,MATCH($C21,'PAX &amp; CREW'!$A$3:$A$62,0)),""))</f>
        <v/>
      </c>
      <c r="V21" t="str">
        <f>IF($C21="","",IFERROR(INDEX('PAX &amp; CREW'!$H$3:$H$62,MATCH($C21,'PAX &amp; CREW'!$A$3:$A$62,0)),""))</f>
        <v/>
      </c>
      <c r="W21" t="str">
        <f>IF($C21="","",IFERROR(INDEX('PAX &amp; CREW'!$L$3:$L$62,MATCH($C21,'PAX &amp; CREW'!$A$3:$A$62,0)),""))</f>
        <v/>
      </c>
      <c r="X21" s="6" t="str">
        <f>IF($C21="","",IFERROR(INDEX('PAX &amp; CREW'!$J$3:$J$62,MATCH($C21,'PAX &amp; CREW'!$A$3:$A$62,0)),""))</f>
        <v/>
      </c>
      <c r="Y21" s="6" t="str">
        <f>IF($C21="","",IFERROR(IF($E21="PASSPORT",INDEX('PAX &amp; CREW'!$O$3:$O$62,MATCH($C21,'PAX &amp; CREW'!$A$3:$A$62,0)),""),""))</f>
        <v/>
      </c>
      <c r="Z21" s="6" t="str">
        <f>IF($C21="","",IFERROR(IF($E21="PASSPORT",INDEX('PAX &amp; CREW'!$P$3:$P$62,MATCH($C21,'PAX &amp; CREW'!$A$3:$A$62,0)),IF($E21="VISA",INDEX('PAX &amp; CREW'!$T$3:$T$62,MATCH($C21,'PAX &amp; CREW'!$A$3:$A$62,0)),IF($E21="LICENCE",INDEX('PAX &amp; CREW'!$W$3:$W$62,MATCH($C21,'PAX &amp; CREW'!$A$3:$A$62,0)),IF($E21="MEDICAL",INDEX('PAX &amp; CREW'!$X$3:$X$62,MATCH($C21,'PAX &amp; CREW'!$A$3:$A$62,0)),"")))),""))</f>
        <v/>
      </c>
      <c r="AA21" t="str">
        <f>IF($C21="","",IFERROR(IF($E21="PASSPORT",INDEX('PAX &amp; CREW'!$N$3:$N$62,MATCH($C21,'PAX &amp; CREW'!$A$3:$A$62,0)),INDEX('PAX &amp; CREW'!$L$3:$L$62,MATCH($C21,'PAX &amp; CREW'!$A$3:$A$62,0))),""))</f>
        <v/>
      </c>
      <c r="AB21" t="str">
        <f t="shared" si="1"/>
        <v/>
      </c>
      <c r="AC21" t="str">
        <f t="shared" si="2"/>
        <v/>
      </c>
      <c r="AD21" t="str">
        <f t="shared" si="3"/>
        <v/>
      </c>
      <c r="AE21" t="str">
        <f t="shared" si="4"/>
        <v/>
      </c>
      <c r="AF21" t="str">
        <f t="shared" si="5"/>
        <v/>
      </c>
      <c r="AG21" t="str">
        <f t="shared" si="6"/>
        <v/>
      </c>
      <c r="AH21" t="str">
        <f t="shared" si="7"/>
        <v/>
      </c>
      <c r="AI21" s="4"/>
      <c r="AJ21" s="4"/>
      <c r="AK21" s="50"/>
      <c r="AL21" t="str">
        <f t="shared" si="8"/>
        <v/>
      </c>
      <c r="AM21" s="4"/>
    </row>
    <row r="22" spans="1:39" x14ac:dyDescent="0.3">
      <c r="A22" t="str">
        <f t="shared" si="0"/>
        <v/>
      </c>
      <c r="B22" t="str">
        <f>IF($C22="","",IFERROR(INDEX('PAX &amp; CREW'!$B$3:$B$62,MATCH($C22,'PAX &amp; CREW'!$A$3:$A$62,0)),""))</f>
        <v/>
      </c>
      <c r="C22" s="4"/>
      <c r="D22" t="str">
        <f>IF($C22="","",IFERROR(INDEX('PAX &amp; CREW'!$G$3:$G$62,MATCH($C22,'PAX &amp; CREW'!$A$3:$A$62,0))&amp;", "&amp;INDEX('PAX &amp; CREW'!$H$3:$H$62,MATCH($C22,'PAX &amp; CREW'!$A$3:$A$62,0)),"PERSON NOT FOUND"))</f>
        <v/>
      </c>
      <c r="E22" s="4"/>
      <c r="F22" s="4"/>
      <c r="G22" t="str">
        <f>IF(OR($C22="",$F22=""),"",IFERROR(INDEX('PAX &amp; CREW'!$AE$3:$AE$62,MATCH($C22,'PAX &amp; CREW'!$A$3:$A$62,0))&amp;"\"&amp;$F22,""))</f>
        <v/>
      </c>
      <c r="H22" s="4"/>
      <c r="I22" s="50"/>
      <c r="J22" s="4"/>
      <c r="K22" s="4"/>
      <c r="L22" s="4"/>
      <c r="M22" s="4"/>
      <c r="N22" s="4"/>
      <c r="O22" s="9"/>
      <c r="P22" s="9"/>
      <c r="Q22" s="9"/>
      <c r="R22" s="4"/>
      <c r="S22" s="4"/>
      <c r="T22" t="str">
        <f>IF($C22="","",IFERROR(IF($E22="PASSPORT",INDEX('PAX &amp; CREW'!$M$3:$M$62,MATCH($C22,'PAX &amp; CREW'!$A$3:$A$62,0)),IF($E22="VISA",INDEX('PAX &amp; CREW'!$S$3:$S$62,MATCH($C22,'PAX &amp; CREW'!$A$3:$A$62,0)),IF($E22="LICENCE",INDEX('PAX &amp; CREW'!$V$3:$V$62,MATCH($C22,'PAX &amp; CREW'!$A$3:$A$62,0)),IF($E22="CREW ID",INDEX('PAX &amp; CREW'!$Y$3:$Y$62,MATCH($C22,'PAX &amp; CREW'!$A$3:$A$62,0)),"")))),""))</f>
        <v/>
      </c>
      <c r="U22" t="str">
        <f>IF($C22="","",IFERROR(INDEX('PAX &amp; CREW'!$G$3:$G$62,MATCH($C22,'PAX &amp; CREW'!$A$3:$A$62,0)),""))</f>
        <v/>
      </c>
      <c r="V22" t="str">
        <f>IF($C22="","",IFERROR(INDEX('PAX &amp; CREW'!$H$3:$H$62,MATCH($C22,'PAX &amp; CREW'!$A$3:$A$62,0)),""))</f>
        <v/>
      </c>
      <c r="W22" t="str">
        <f>IF($C22="","",IFERROR(INDEX('PAX &amp; CREW'!$L$3:$L$62,MATCH($C22,'PAX &amp; CREW'!$A$3:$A$62,0)),""))</f>
        <v/>
      </c>
      <c r="X22" s="6" t="str">
        <f>IF($C22="","",IFERROR(INDEX('PAX &amp; CREW'!$J$3:$J$62,MATCH($C22,'PAX &amp; CREW'!$A$3:$A$62,0)),""))</f>
        <v/>
      </c>
      <c r="Y22" s="6" t="str">
        <f>IF($C22="","",IFERROR(IF($E22="PASSPORT",INDEX('PAX &amp; CREW'!$O$3:$O$62,MATCH($C22,'PAX &amp; CREW'!$A$3:$A$62,0)),""),""))</f>
        <v/>
      </c>
      <c r="Z22" s="6" t="str">
        <f>IF($C22="","",IFERROR(IF($E22="PASSPORT",INDEX('PAX &amp; CREW'!$P$3:$P$62,MATCH($C22,'PAX &amp; CREW'!$A$3:$A$62,0)),IF($E22="VISA",INDEX('PAX &amp; CREW'!$T$3:$T$62,MATCH($C22,'PAX &amp; CREW'!$A$3:$A$62,0)),IF($E22="LICENCE",INDEX('PAX &amp; CREW'!$W$3:$W$62,MATCH($C22,'PAX &amp; CREW'!$A$3:$A$62,0)),IF($E22="MEDICAL",INDEX('PAX &amp; CREW'!$X$3:$X$62,MATCH($C22,'PAX &amp; CREW'!$A$3:$A$62,0)),"")))),""))</f>
        <v/>
      </c>
      <c r="AA22" t="str">
        <f>IF($C22="","",IFERROR(IF($E22="PASSPORT",INDEX('PAX &amp; CREW'!$N$3:$N$62,MATCH($C22,'PAX &amp; CREW'!$A$3:$A$62,0)),INDEX('PAX &amp; CREW'!$L$3:$L$62,MATCH($C22,'PAX &amp; CREW'!$A$3:$A$62,0))),""))</f>
        <v/>
      </c>
      <c r="AB22" t="str">
        <f t="shared" si="1"/>
        <v/>
      </c>
      <c r="AC22" t="str">
        <f t="shared" si="2"/>
        <v/>
      </c>
      <c r="AD22" t="str">
        <f t="shared" si="3"/>
        <v/>
      </c>
      <c r="AE22" t="str">
        <f t="shared" si="4"/>
        <v/>
      </c>
      <c r="AF22" t="str">
        <f t="shared" si="5"/>
        <v/>
      </c>
      <c r="AG22" t="str">
        <f t="shared" si="6"/>
        <v/>
      </c>
      <c r="AH22" t="str">
        <f t="shared" si="7"/>
        <v/>
      </c>
      <c r="AI22" s="4"/>
      <c r="AJ22" s="4"/>
      <c r="AK22" s="50"/>
      <c r="AL22" t="str">
        <f t="shared" si="8"/>
        <v/>
      </c>
      <c r="AM22" s="4"/>
    </row>
    <row r="23" spans="1:39" x14ac:dyDescent="0.3">
      <c r="A23" t="str">
        <f t="shared" si="0"/>
        <v/>
      </c>
      <c r="B23" t="str">
        <f>IF($C23="","",IFERROR(INDEX('PAX &amp; CREW'!$B$3:$B$62,MATCH($C23,'PAX &amp; CREW'!$A$3:$A$62,0)),""))</f>
        <v/>
      </c>
      <c r="C23" s="4"/>
      <c r="D23" t="str">
        <f>IF($C23="","",IFERROR(INDEX('PAX &amp; CREW'!$G$3:$G$62,MATCH($C23,'PAX &amp; CREW'!$A$3:$A$62,0))&amp;", "&amp;INDEX('PAX &amp; CREW'!$H$3:$H$62,MATCH($C23,'PAX &amp; CREW'!$A$3:$A$62,0)),"PERSON NOT FOUND"))</f>
        <v/>
      </c>
      <c r="E23" s="4"/>
      <c r="F23" s="4"/>
      <c r="G23" t="str">
        <f>IF(OR($C23="",$F23=""),"",IFERROR(INDEX('PAX &amp; CREW'!$AE$3:$AE$62,MATCH($C23,'PAX &amp; CREW'!$A$3:$A$62,0))&amp;"\"&amp;$F23,""))</f>
        <v/>
      </c>
      <c r="H23" s="4"/>
      <c r="I23" s="50"/>
      <c r="J23" s="4"/>
      <c r="K23" s="4"/>
      <c r="L23" s="4"/>
      <c r="M23" s="4"/>
      <c r="N23" s="4"/>
      <c r="O23" s="9"/>
      <c r="P23" s="9"/>
      <c r="Q23" s="9"/>
      <c r="R23" s="4"/>
      <c r="S23" s="4"/>
      <c r="T23" t="str">
        <f>IF($C23="","",IFERROR(IF($E23="PASSPORT",INDEX('PAX &amp; CREW'!$M$3:$M$62,MATCH($C23,'PAX &amp; CREW'!$A$3:$A$62,0)),IF($E23="VISA",INDEX('PAX &amp; CREW'!$S$3:$S$62,MATCH($C23,'PAX &amp; CREW'!$A$3:$A$62,0)),IF($E23="LICENCE",INDEX('PAX &amp; CREW'!$V$3:$V$62,MATCH($C23,'PAX &amp; CREW'!$A$3:$A$62,0)),IF($E23="CREW ID",INDEX('PAX &amp; CREW'!$Y$3:$Y$62,MATCH($C23,'PAX &amp; CREW'!$A$3:$A$62,0)),"")))),""))</f>
        <v/>
      </c>
      <c r="U23" t="str">
        <f>IF($C23="","",IFERROR(INDEX('PAX &amp; CREW'!$G$3:$G$62,MATCH($C23,'PAX &amp; CREW'!$A$3:$A$62,0)),""))</f>
        <v/>
      </c>
      <c r="V23" t="str">
        <f>IF($C23="","",IFERROR(INDEX('PAX &amp; CREW'!$H$3:$H$62,MATCH($C23,'PAX &amp; CREW'!$A$3:$A$62,0)),""))</f>
        <v/>
      </c>
      <c r="W23" t="str">
        <f>IF($C23="","",IFERROR(INDEX('PAX &amp; CREW'!$L$3:$L$62,MATCH($C23,'PAX &amp; CREW'!$A$3:$A$62,0)),""))</f>
        <v/>
      </c>
      <c r="X23" s="6" t="str">
        <f>IF($C23="","",IFERROR(INDEX('PAX &amp; CREW'!$J$3:$J$62,MATCH($C23,'PAX &amp; CREW'!$A$3:$A$62,0)),""))</f>
        <v/>
      </c>
      <c r="Y23" s="6" t="str">
        <f>IF($C23="","",IFERROR(IF($E23="PASSPORT",INDEX('PAX &amp; CREW'!$O$3:$O$62,MATCH($C23,'PAX &amp; CREW'!$A$3:$A$62,0)),""),""))</f>
        <v/>
      </c>
      <c r="Z23" s="6" t="str">
        <f>IF($C23="","",IFERROR(IF($E23="PASSPORT",INDEX('PAX &amp; CREW'!$P$3:$P$62,MATCH($C23,'PAX &amp; CREW'!$A$3:$A$62,0)),IF($E23="VISA",INDEX('PAX &amp; CREW'!$T$3:$T$62,MATCH($C23,'PAX &amp; CREW'!$A$3:$A$62,0)),IF($E23="LICENCE",INDEX('PAX &amp; CREW'!$W$3:$W$62,MATCH($C23,'PAX &amp; CREW'!$A$3:$A$62,0)),IF($E23="MEDICAL",INDEX('PAX &amp; CREW'!$X$3:$X$62,MATCH($C23,'PAX &amp; CREW'!$A$3:$A$62,0)),"")))),""))</f>
        <v/>
      </c>
      <c r="AA23" t="str">
        <f>IF($C23="","",IFERROR(IF($E23="PASSPORT",INDEX('PAX &amp; CREW'!$N$3:$N$62,MATCH($C23,'PAX &amp; CREW'!$A$3:$A$62,0)),INDEX('PAX &amp; CREW'!$L$3:$L$62,MATCH($C23,'PAX &amp; CREW'!$A$3:$A$62,0))),""))</f>
        <v/>
      </c>
      <c r="AB23" t="str">
        <f t="shared" si="1"/>
        <v/>
      </c>
      <c r="AC23" t="str">
        <f t="shared" si="2"/>
        <v/>
      </c>
      <c r="AD23" t="str">
        <f t="shared" si="3"/>
        <v/>
      </c>
      <c r="AE23" t="str">
        <f t="shared" si="4"/>
        <v/>
      </c>
      <c r="AF23" t="str">
        <f t="shared" si="5"/>
        <v/>
      </c>
      <c r="AG23" t="str">
        <f t="shared" si="6"/>
        <v/>
      </c>
      <c r="AH23" t="str">
        <f t="shared" si="7"/>
        <v/>
      </c>
      <c r="AI23" s="4"/>
      <c r="AJ23" s="4"/>
      <c r="AK23" s="50"/>
      <c r="AL23" t="str">
        <f t="shared" si="8"/>
        <v/>
      </c>
      <c r="AM23" s="4"/>
    </row>
    <row r="24" spans="1:39" x14ac:dyDescent="0.3">
      <c r="A24" t="str">
        <f t="shared" si="0"/>
        <v/>
      </c>
      <c r="B24" t="str">
        <f>IF($C24="","",IFERROR(INDEX('PAX &amp; CREW'!$B$3:$B$62,MATCH($C24,'PAX &amp; CREW'!$A$3:$A$62,0)),""))</f>
        <v/>
      </c>
      <c r="C24" s="4"/>
      <c r="D24" t="str">
        <f>IF($C24="","",IFERROR(INDEX('PAX &amp; CREW'!$G$3:$G$62,MATCH($C24,'PAX &amp; CREW'!$A$3:$A$62,0))&amp;", "&amp;INDEX('PAX &amp; CREW'!$H$3:$H$62,MATCH($C24,'PAX &amp; CREW'!$A$3:$A$62,0)),"PERSON NOT FOUND"))</f>
        <v/>
      </c>
      <c r="E24" s="4"/>
      <c r="F24" s="4"/>
      <c r="G24" t="str">
        <f>IF(OR($C24="",$F24=""),"",IFERROR(INDEX('PAX &amp; CREW'!$AE$3:$AE$62,MATCH($C24,'PAX &amp; CREW'!$A$3:$A$62,0))&amp;"\"&amp;$F24,""))</f>
        <v/>
      </c>
      <c r="H24" s="4"/>
      <c r="I24" s="50"/>
      <c r="J24" s="4"/>
      <c r="K24" s="4"/>
      <c r="L24" s="4"/>
      <c r="M24" s="4"/>
      <c r="N24" s="4"/>
      <c r="O24" s="9"/>
      <c r="P24" s="9"/>
      <c r="Q24" s="9"/>
      <c r="R24" s="4"/>
      <c r="S24" s="4"/>
      <c r="T24" t="str">
        <f>IF($C24="","",IFERROR(IF($E24="PASSPORT",INDEX('PAX &amp; CREW'!$M$3:$M$62,MATCH($C24,'PAX &amp; CREW'!$A$3:$A$62,0)),IF($E24="VISA",INDEX('PAX &amp; CREW'!$S$3:$S$62,MATCH($C24,'PAX &amp; CREW'!$A$3:$A$62,0)),IF($E24="LICENCE",INDEX('PAX &amp; CREW'!$V$3:$V$62,MATCH($C24,'PAX &amp; CREW'!$A$3:$A$62,0)),IF($E24="CREW ID",INDEX('PAX &amp; CREW'!$Y$3:$Y$62,MATCH($C24,'PAX &amp; CREW'!$A$3:$A$62,0)),"")))),""))</f>
        <v/>
      </c>
      <c r="U24" t="str">
        <f>IF($C24="","",IFERROR(INDEX('PAX &amp; CREW'!$G$3:$G$62,MATCH($C24,'PAX &amp; CREW'!$A$3:$A$62,0)),""))</f>
        <v/>
      </c>
      <c r="V24" t="str">
        <f>IF($C24="","",IFERROR(INDEX('PAX &amp; CREW'!$H$3:$H$62,MATCH($C24,'PAX &amp; CREW'!$A$3:$A$62,0)),""))</f>
        <v/>
      </c>
      <c r="W24" t="str">
        <f>IF($C24="","",IFERROR(INDEX('PAX &amp; CREW'!$L$3:$L$62,MATCH($C24,'PAX &amp; CREW'!$A$3:$A$62,0)),""))</f>
        <v/>
      </c>
      <c r="X24" s="6" t="str">
        <f>IF($C24="","",IFERROR(INDEX('PAX &amp; CREW'!$J$3:$J$62,MATCH($C24,'PAX &amp; CREW'!$A$3:$A$62,0)),""))</f>
        <v/>
      </c>
      <c r="Y24" s="6" t="str">
        <f>IF($C24="","",IFERROR(IF($E24="PASSPORT",INDEX('PAX &amp; CREW'!$O$3:$O$62,MATCH($C24,'PAX &amp; CREW'!$A$3:$A$62,0)),""),""))</f>
        <v/>
      </c>
      <c r="Z24" s="6" t="str">
        <f>IF($C24="","",IFERROR(IF($E24="PASSPORT",INDEX('PAX &amp; CREW'!$P$3:$P$62,MATCH($C24,'PAX &amp; CREW'!$A$3:$A$62,0)),IF($E24="VISA",INDEX('PAX &amp; CREW'!$T$3:$T$62,MATCH($C24,'PAX &amp; CREW'!$A$3:$A$62,0)),IF($E24="LICENCE",INDEX('PAX &amp; CREW'!$W$3:$W$62,MATCH($C24,'PAX &amp; CREW'!$A$3:$A$62,0)),IF($E24="MEDICAL",INDEX('PAX &amp; CREW'!$X$3:$X$62,MATCH($C24,'PAX &amp; CREW'!$A$3:$A$62,0)),"")))),""))</f>
        <v/>
      </c>
      <c r="AA24" t="str">
        <f>IF($C24="","",IFERROR(IF($E24="PASSPORT",INDEX('PAX &amp; CREW'!$N$3:$N$62,MATCH($C24,'PAX &amp; CREW'!$A$3:$A$62,0)),INDEX('PAX &amp; CREW'!$L$3:$L$62,MATCH($C24,'PAX &amp; CREW'!$A$3:$A$62,0))),""))</f>
        <v/>
      </c>
      <c r="AB24" t="str">
        <f t="shared" si="1"/>
        <v/>
      </c>
      <c r="AC24" t="str">
        <f t="shared" si="2"/>
        <v/>
      </c>
      <c r="AD24" t="str">
        <f t="shared" si="3"/>
        <v/>
      </c>
      <c r="AE24" t="str">
        <f t="shared" si="4"/>
        <v/>
      </c>
      <c r="AF24" t="str">
        <f t="shared" si="5"/>
        <v/>
      </c>
      <c r="AG24" t="str">
        <f t="shared" si="6"/>
        <v/>
      </c>
      <c r="AH24" t="str">
        <f t="shared" si="7"/>
        <v/>
      </c>
      <c r="AI24" s="4"/>
      <c r="AJ24" s="4"/>
      <c r="AK24" s="50"/>
      <c r="AL24" t="str">
        <f t="shared" si="8"/>
        <v/>
      </c>
      <c r="AM24" s="4"/>
    </row>
    <row r="25" spans="1:39" x14ac:dyDescent="0.3">
      <c r="A25" t="str">
        <f t="shared" si="0"/>
        <v/>
      </c>
      <c r="B25" t="str">
        <f>IF($C25="","",IFERROR(INDEX('PAX &amp; CREW'!$B$3:$B$62,MATCH($C25,'PAX &amp; CREW'!$A$3:$A$62,0)),""))</f>
        <v/>
      </c>
      <c r="C25" s="4"/>
      <c r="D25" t="str">
        <f>IF($C25="","",IFERROR(INDEX('PAX &amp; CREW'!$G$3:$G$62,MATCH($C25,'PAX &amp; CREW'!$A$3:$A$62,0))&amp;", "&amp;INDEX('PAX &amp; CREW'!$H$3:$H$62,MATCH($C25,'PAX &amp; CREW'!$A$3:$A$62,0)),"PERSON NOT FOUND"))</f>
        <v/>
      </c>
      <c r="E25" s="4"/>
      <c r="F25" s="4"/>
      <c r="G25" t="str">
        <f>IF(OR($C25="",$F25=""),"",IFERROR(INDEX('PAX &amp; CREW'!$AE$3:$AE$62,MATCH($C25,'PAX &amp; CREW'!$A$3:$A$62,0))&amp;"\"&amp;$F25,""))</f>
        <v/>
      </c>
      <c r="H25" s="4"/>
      <c r="I25" s="50"/>
      <c r="J25" s="4"/>
      <c r="K25" s="4"/>
      <c r="L25" s="4"/>
      <c r="M25" s="4"/>
      <c r="N25" s="4"/>
      <c r="O25" s="9"/>
      <c r="P25" s="9"/>
      <c r="Q25" s="9"/>
      <c r="R25" s="4"/>
      <c r="S25" s="4"/>
      <c r="T25" t="str">
        <f>IF($C25="","",IFERROR(IF($E25="PASSPORT",INDEX('PAX &amp; CREW'!$M$3:$M$62,MATCH($C25,'PAX &amp; CREW'!$A$3:$A$62,0)),IF($E25="VISA",INDEX('PAX &amp; CREW'!$S$3:$S$62,MATCH($C25,'PAX &amp; CREW'!$A$3:$A$62,0)),IF($E25="LICENCE",INDEX('PAX &amp; CREW'!$V$3:$V$62,MATCH($C25,'PAX &amp; CREW'!$A$3:$A$62,0)),IF($E25="CREW ID",INDEX('PAX &amp; CREW'!$Y$3:$Y$62,MATCH($C25,'PAX &amp; CREW'!$A$3:$A$62,0)),"")))),""))</f>
        <v/>
      </c>
      <c r="U25" t="str">
        <f>IF($C25="","",IFERROR(INDEX('PAX &amp; CREW'!$G$3:$G$62,MATCH($C25,'PAX &amp; CREW'!$A$3:$A$62,0)),""))</f>
        <v/>
      </c>
      <c r="V25" t="str">
        <f>IF($C25="","",IFERROR(INDEX('PAX &amp; CREW'!$H$3:$H$62,MATCH($C25,'PAX &amp; CREW'!$A$3:$A$62,0)),""))</f>
        <v/>
      </c>
      <c r="W25" t="str">
        <f>IF($C25="","",IFERROR(INDEX('PAX &amp; CREW'!$L$3:$L$62,MATCH($C25,'PAX &amp; CREW'!$A$3:$A$62,0)),""))</f>
        <v/>
      </c>
      <c r="X25" s="6" t="str">
        <f>IF($C25="","",IFERROR(INDEX('PAX &amp; CREW'!$J$3:$J$62,MATCH($C25,'PAX &amp; CREW'!$A$3:$A$62,0)),""))</f>
        <v/>
      </c>
      <c r="Y25" s="6" t="str">
        <f>IF($C25="","",IFERROR(IF($E25="PASSPORT",INDEX('PAX &amp; CREW'!$O$3:$O$62,MATCH($C25,'PAX &amp; CREW'!$A$3:$A$62,0)),""),""))</f>
        <v/>
      </c>
      <c r="Z25" s="6" t="str">
        <f>IF($C25="","",IFERROR(IF($E25="PASSPORT",INDEX('PAX &amp; CREW'!$P$3:$P$62,MATCH($C25,'PAX &amp; CREW'!$A$3:$A$62,0)),IF($E25="VISA",INDEX('PAX &amp; CREW'!$T$3:$T$62,MATCH($C25,'PAX &amp; CREW'!$A$3:$A$62,0)),IF($E25="LICENCE",INDEX('PAX &amp; CREW'!$W$3:$W$62,MATCH($C25,'PAX &amp; CREW'!$A$3:$A$62,0)),IF($E25="MEDICAL",INDEX('PAX &amp; CREW'!$X$3:$X$62,MATCH($C25,'PAX &amp; CREW'!$A$3:$A$62,0)),"")))),""))</f>
        <v/>
      </c>
      <c r="AA25" t="str">
        <f>IF($C25="","",IFERROR(IF($E25="PASSPORT",INDEX('PAX &amp; CREW'!$N$3:$N$62,MATCH($C25,'PAX &amp; CREW'!$A$3:$A$62,0)),INDEX('PAX &amp; CREW'!$L$3:$L$62,MATCH($C25,'PAX &amp; CREW'!$A$3:$A$62,0))),""))</f>
        <v/>
      </c>
      <c r="AB25" t="str">
        <f t="shared" si="1"/>
        <v/>
      </c>
      <c r="AC25" t="str">
        <f t="shared" si="2"/>
        <v/>
      </c>
      <c r="AD25" t="str">
        <f t="shared" si="3"/>
        <v/>
      </c>
      <c r="AE25" t="str">
        <f t="shared" si="4"/>
        <v/>
      </c>
      <c r="AF25" t="str">
        <f t="shared" si="5"/>
        <v/>
      </c>
      <c r="AG25" t="str">
        <f t="shared" si="6"/>
        <v/>
      </c>
      <c r="AH25" t="str">
        <f t="shared" si="7"/>
        <v/>
      </c>
      <c r="AI25" s="4"/>
      <c r="AJ25" s="4"/>
      <c r="AK25" s="50"/>
      <c r="AL25" t="str">
        <f t="shared" si="8"/>
        <v/>
      </c>
      <c r="AM25" s="4"/>
    </row>
    <row r="26" spans="1:39" x14ac:dyDescent="0.3">
      <c r="A26" t="str">
        <f t="shared" si="0"/>
        <v/>
      </c>
      <c r="B26" t="str">
        <f>IF($C26="","",IFERROR(INDEX('PAX &amp; CREW'!$B$3:$B$62,MATCH($C26,'PAX &amp; CREW'!$A$3:$A$62,0)),""))</f>
        <v/>
      </c>
      <c r="C26" s="4"/>
      <c r="D26" t="str">
        <f>IF($C26="","",IFERROR(INDEX('PAX &amp; CREW'!$G$3:$G$62,MATCH($C26,'PAX &amp; CREW'!$A$3:$A$62,0))&amp;", "&amp;INDEX('PAX &amp; CREW'!$H$3:$H$62,MATCH($C26,'PAX &amp; CREW'!$A$3:$A$62,0)),"PERSON NOT FOUND"))</f>
        <v/>
      </c>
      <c r="E26" s="4"/>
      <c r="F26" s="4"/>
      <c r="G26" t="str">
        <f>IF(OR($C26="",$F26=""),"",IFERROR(INDEX('PAX &amp; CREW'!$AE$3:$AE$62,MATCH($C26,'PAX &amp; CREW'!$A$3:$A$62,0))&amp;"\"&amp;$F26,""))</f>
        <v/>
      </c>
      <c r="H26" s="4"/>
      <c r="I26" s="50"/>
      <c r="J26" s="4"/>
      <c r="K26" s="4"/>
      <c r="L26" s="4"/>
      <c r="M26" s="4"/>
      <c r="N26" s="4"/>
      <c r="O26" s="9"/>
      <c r="P26" s="9"/>
      <c r="Q26" s="9"/>
      <c r="R26" s="4"/>
      <c r="S26" s="4"/>
      <c r="T26" t="str">
        <f>IF($C26="","",IFERROR(IF($E26="PASSPORT",INDEX('PAX &amp; CREW'!$M$3:$M$62,MATCH($C26,'PAX &amp; CREW'!$A$3:$A$62,0)),IF($E26="VISA",INDEX('PAX &amp; CREW'!$S$3:$S$62,MATCH($C26,'PAX &amp; CREW'!$A$3:$A$62,0)),IF($E26="LICENCE",INDEX('PAX &amp; CREW'!$V$3:$V$62,MATCH($C26,'PAX &amp; CREW'!$A$3:$A$62,0)),IF($E26="CREW ID",INDEX('PAX &amp; CREW'!$Y$3:$Y$62,MATCH($C26,'PAX &amp; CREW'!$A$3:$A$62,0)),"")))),""))</f>
        <v/>
      </c>
      <c r="U26" t="str">
        <f>IF($C26="","",IFERROR(INDEX('PAX &amp; CREW'!$G$3:$G$62,MATCH($C26,'PAX &amp; CREW'!$A$3:$A$62,0)),""))</f>
        <v/>
      </c>
      <c r="V26" t="str">
        <f>IF($C26="","",IFERROR(INDEX('PAX &amp; CREW'!$H$3:$H$62,MATCH($C26,'PAX &amp; CREW'!$A$3:$A$62,0)),""))</f>
        <v/>
      </c>
      <c r="W26" t="str">
        <f>IF($C26="","",IFERROR(INDEX('PAX &amp; CREW'!$L$3:$L$62,MATCH($C26,'PAX &amp; CREW'!$A$3:$A$62,0)),""))</f>
        <v/>
      </c>
      <c r="X26" s="6" t="str">
        <f>IF($C26="","",IFERROR(INDEX('PAX &amp; CREW'!$J$3:$J$62,MATCH($C26,'PAX &amp; CREW'!$A$3:$A$62,0)),""))</f>
        <v/>
      </c>
      <c r="Y26" s="6" t="str">
        <f>IF($C26="","",IFERROR(IF($E26="PASSPORT",INDEX('PAX &amp; CREW'!$O$3:$O$62,MATCH($C26,'PAX &amp; CREW'!$A$3:$A$62,0)),""),""))</f>
        <v/>
      </c>
      <c r="Z26" s="6" t="str">
        <f>IF($C26="","",IFERROR(IF($E26="PASSPORT",INDEX('PAX &amp; CREW'!$P$3:$P$62,MATCH($C26,'PAX &amp; CREW'!$A$3:$A$62,0)),IF($E26="VISA",INDEX('PAX &amp; CREW'!$T$3:$T$62,MATCH($C26,'PAX &amp; CREW'!$A$3:$A$62,0)),IF($E26="LICENCE",INDEX('PAX &amp; CREW'!$W$3:$W$62,MATCH($C26,'PAX &amp; CREW'!$A$3:$A$62,0)),IF($E26="MEDICAL",INDEX('PAX &amp; CREW'!$X$3:$X$62,MATCH($C26,'PAX &amp; CREW'!$A$3:$A$62,0)),"")))),""))</f>
        <v/>
      </c>
      <c r="AA26" t="str">
        <f>IF($C26="","",IFERROR(IF($E26="PASSPORT",INDEX('PAX &amp; CREW'!$N$3:$N$62,MATCH($C26,'PAX &amp; CREW'!$A$3:$A$62,0)),INDEX('PAX &amp; CREW'!$L$3:$L$62,MATCH($C26,'PAX &amp; CREW'!$A$3:$A$62,0))),""))</f>
        <v/>
      </c>
      <c r="AB26" t="str">
        <f t="shared" si="1"/>
        <v/>
      </c>
      <c r="AC26" t="str">
        <f t="shared" si="2"/>
        <v/>
      </c>
      <c r="AD26" t="str">
        <f t="shared" si="3"/>
        <v/>
      </c>
      <c r="AE26" t="str">
        <f t="shared" si="4"/>
        <v/>
      </c>
      <c r="AF26" t="str">
        <f t="shared" si="5"/>
        <v/>
      </c>
      <c r="AG26" t="str">
        <f t="shared" si="6"/>
        <v/>
      </c>
      <c r="AH26" t="str">
        <f t="shared" si="7"/>
        <v/>
      </c>
      <c r="AI26" s="4"/>
      <c r="AJ26" s="4"/>
      <c r="AK26" s="50"/>
      <c r="AL26" t="str">
        <f t="shared" si="8"/>
        <v/>
      </c>
      <c r="AM26" s="4"/>
    </row>
    <row r="27" spans="1:39" x14ac:dyDescent="0.3">
      <c r="A27" t="str">
        <f t="shared" si="0"/>
        <v/>
      </c>
      <c r="B27" t="str">
        <f>IF($C27="","",IFERROR(INDEX('PAX &amp; CREW'!$B$3:$B$62,MATCH($C27,'PAX &amp; CREW'!$A$3:$A$62,0)),""))</f>
        <v/>
      </c>
      <c r="C27" s="4"/>
      <c r="D27" t="str">
        <f>IF($C27="","",IFERROR(INDEX('PAX &amp; CREW'!$G$3:$G$62,MATCH($C27,'PAX &amp; CREW'!$A$3:$A$62,0))&amp;", "&amp;INDEX('PAX &amp; CREW'!$H$3:$H$62,MATCH($C27,'PAX &amp; CREW'!$A$3:$A$62,0)),"PERSON NOT FOUND"))</f>
        <v/>
      </c>
      <c r="E27" s="4"/>
      <c r="F27" s="4"/>
      <c r="G27" t="str">
        <f>IF(OR($C27="",$F27=""),"",IFERROR(INDEX('PAX &amp; CREW'!$AE$3:$AE$62,MATCH($C27,'PAX &amp; CREW'!$A$3:$A$62,0))&amp;"\"&amp;$F27,""))</f>
        <v/>
      </c>
      <c r="H27" s="4"/>
      <c r="I27" s="50"/>
      <c r="J27" s="4"/>
      <c r="K27" s="4"/>
      <c r="L27" s="4"/>
      <c r="M27" s="4"/>
      <c r="N27" s="4"/>
      <c r="O27" s="9"/>
      <c r="P27" s="9"/>
      <c r="Q27" s="9"/>
      <c r="R27" s="4"/>
      <c r="S27" s="4"/>
      <c r="T27" t="str">
        <f>IF($C27="","",IFERROR(IF($E27="PASSPORT",INDEX('PAX &amp; CREW'!$M$3:$M$62,MATCH($C27,'PAX &amp; CREW'!$A$3:$A$62,0)),IF($E27="VISA",INDEX('PAX &amp; CREW'!$S$3:$S$62,MATCH($C27,'PAX &amp; CREW'!$A$3:$A$62,0)),IF($E27="LICENCE",INDEX('PAX &amp; CREW'!$V$3:$V$62,MATCH($C27,'PAX &amp; CREW'!$A$3:$A$62,0)),IF($E27="CREW ID",INDEX('PAX &amp; CREW'!$Y$3:$Y$62,MATCH($C27,'PAX &amp; CREW'!$A$3:$A$62,0)),"")))),""))</f>
        <v/>
      </c>
      <c r="U27" t="str">
        <f>IF($C27="","",IFERROR(INDEX('PAX &amp; CREW'!$G$3:$G$62,MATCH($C27,'PAX &amp; CREW'!$A$3:$A$62,0)),""))</f>
        <v/>
      </c>
      <c r="V27" t="str">
        <f>IF($C27="","",IFERROR(INDEX('PAX &amp; CREW'!$H$3:$H$62,MATCH($C27,'PAX &amp; CREW'!$A$3:$A$62,0)),""))</f>
        <v/>
      </c>
      <c r="W27" t="str">
        <f>IF($C27="","",IFERROR(INDEX('PAX &amp; CREW'!$L$3:$L$62,MATCH($C27,'PAX &amp; CREW'!$A$3:$A$62,0)),""))</f>
        <v/>
      </c>
      <c r="X27" s="6" t="str">
        <f>IF($C27="","",IFERROR(INDEX('PAX &amp; CREW'!$J$3:$J$62,MATCH($C27,'PAX &amp; CREW'!$A$3:$A$62,0)),""))</f>
        <v/>
      </c>
      <c r="Y27" s="6" t="str">
        <f>IF($C27="","",IFERROR(IF($E27="PASSPORT",INDEX('PAX &amp; CREW'!$O$3:$O$62,MATCH($C27,'PAX &amp; CREW'!$A$3:$A$62,0)),""),""))</f>
        <v/>
      </c>
      <c r="Z27" s="6" t="str">
        <f>IF($C27="","",IFERROR(IF($E27="PASSPORT",INDEX('PAX &amp; CREW'!$P$3:$P$62,MATCH($C27,'PAX &amp; CREW'!$A$3:$A$62,0)),IF($E27="VISA",INDEX('PAX &amp; CREW'!$T$3:$T$62,MATCH($C27,'PAX &amp; CREW'!$A$3:$A$62,0)),IF($E27="LICENCE",INDEX('PAX &amp; CREW'!$W$3:$W$62,MATCH($C27,'PAX &amp; CREW'!$A$3:$A$62,0)),IF($E27="MEDICAL",INDEX('PAX &amp; CREW'!$X$3:$X$62,MATCH($C27,'PAX &amp; CREW'!$A$3:$A$62,0)),"")))),""))</f>
        <v/>
      </c>
      <c r="AA27" t="str">
        <f>IF($C27="","",IFERROR(IF($E27="PASSPORT",INDEX('PAX &amp; CREW'!$N$3:$N$62,MATCH($C27,'PAX &amp; CREW'!$A$3:$A$62,0)),INDEX('PAX &amp; CREW'!$L$3:$L$62,MATCH($C27,'PAX &amp; CREW'!$A$3:$A$62,0))),""))</f>
        <v/>
      </c>
      <c r="AB27" t="str">
        <f t="shared" si="1"/>
        <v/>
      </c>
      <c r="AC27" t="str">
        <f t="shared" si="2"/>
        <v/>
      </c>
      <c r="AD27" t="str">
        <f t="shared" si="3"/>
        <v/>
      </c>
      <c r="AE27" t="str">
        <f t="shared" si="4"/>
        <v/>
      </c>
      <c r="AF27" t="str">
        <f t="shared" si="5"/>
        <v/>
      </c>
      <c r="AG27" t="str">
        <f t="shared" si="6"/>
        <v/>
      </c>
      <c r="AH27" t="str">
        <f t="shared" si="7"/>
        <v/>
      </c>
      <c r="AI27" s="4"/>
      <c r="AJ27" s="4"/>
      <c r="AK27" s="50"/>
      <c r="AL27" t="str">
        <f t="shared" si="8"/>
        <v/>
      </c>
      <c r="AM27" s="4"/>
    </row>
    <row r="28" spans="1:39" x14ac:dyDescent="0.3">
      <c r="A28" t="str">
        <f t="shared" si="0"/>
        <v/>
      </c>
      <c r="B28" t="str">
        <f>IF($C28="","",IFERROR(INDEX('PAX &amp; CREW'!$B$3:$B$62,MATCH($C28,'PAX &amp; CREW'!$A$3:$A$62,0)),""))</f>
        <v/>
      </c>
      <c r="C28" s="4"/>
      <c r="D28" t="str">
        <f>IF($C28="","",IFERROR(INDEX('PAX &amp; CREW'!$G$3:$G$62,MATCH($C28,'PAX &amp; CREW'!$A$3:$A$62,0))&amp;", "&amp;INDEX('PAX &amp; CREW'!$H$3:$H$62,MATCH($C28,'PAX &amp; CREW'!$A$3:$A$62,0)),"PERSON NOT FOUND"))</f>
        <v/>
      </c>
      <c r="E28" s="4"/>
      <c r="F28" s="4"/>
      <c r="G28" t="str">
        <f>IF(OR($C28="",$F28=""),"",IFERROR(INDEX('PAX &amp; CREW'!$AE$3:$AE$62,MATCH($C28,'PAX &amp; CREW'!$A$3:$A$62,0))&amp;"\"&amp;$F28,""))</f>
        <v/>
      </c>
      <c r="H28" s="4"/>
      <c r="I28" s="50"/>
      <c r="J28" s="4"/>
      <c r="K28" s="4"/>
      <c r="L28" s="4"/>
      <c r="M28" s="4"/>
      <c r="N28" s="4"/>
      <c r="O28" s="9"/>
      <c r="P28" s="9"/>
      <c r="Q28" s="9"/>
      <c r="R28" s="4"/>
      <c r="S28" s="4"/>
      <c r="T28" t="str">
        <f>IF($C28="","",IFERROR(IF($E28="PASSPORT",INDEX('PAX &amp; CREW'!$M$3:$M$62,MATCH($C28,'PAX &amp; CREW'!$A$3:$A$62,0)),IF($E28="VISA",INDEX('PAX &amp; CREW'!$S$3:$S$62,MATCH($C28,'PAX &amp; CREW'!$A$3:$A$62,0)),IF($E28="LICENCE",INDEX('PAX &amp; CREW'!$V$3:$V$62,MATCH($C28,'PAX &amp; CREW'!$A$3:$A$62,0)),IF($E28="CREW ID",INDEX('PAX &amp; CREW'!$Y$3:$Y$62,MATCH($C28,'PAX &amp; CREW'!$A$3:$A$62,0)),"")))),""))</f>
        <v/>
      </c>
      <c r="U28" t="str">
        <f>IF($C28="","",IFERROR(INDEX('PAX &amp; CREW'!$G$3:$G$62,MATCH($C28,'PAX &amp; CREW'!$A$3:$A$62,0)),""))</f>
        <v/>
      </c>
      <c r="V28" t="str">
        <f>IF($C28="","",IFERROR(INDEX('PAX &amp; CREW'!$H$3:$H$62,MATCH($C28,'PAX &amp; CREW'!$A$3:$A$62,0)),""))</f>
        <v/>
      </c>
      <c r="W28" t="str">
        <f>IF($C28="","",IFERROR(INDEX('PAX &amp; CREW'!$L$3:$L$62,MATCH($C28,'PAX &amp; CREW'!$A$3:$A$62,0)),""))</f>
        <v/>
      </c>
      <c r="X28" s="6" t="str">
        <f>IF($C28="","",IFERROR(INDEX('PAX &amp; CREW'!$J$3:$J$62,MATCH($C28,'PAX &amp; CREW'!$A$3:$A$62,0)),""))</f>
        <v/>
      </c>
      <c r="Y28" s="6" t="str">
        <f>IF($C28="","",IFERROR(IF($E28="PASSPORT",INDEX('PAX &amp; CREW'!$O$3:$O$62,MATCH($C28,'PAX &amp; CREW'!$A$3:$A$62,0)),""),""))</f>
        <v/>
      </c>
      <c r="Z28" s="6" t="str">
        <f>IF($C28="","",IFERROR(IF($E28="PASSPORT",INDEX('PAX &amp; CREW'!$P$3:$P$62,MATCH($C28,'PAX &amp; CREW'!$A$3:$A$62,0)),IF($E28="VISA",INDEX('PAX &amp; CREW'!$T$3:$T$62,MATCH($C28,'PAX &amp; CREW'!$A$3:$A$62,0)),IF($E28="LICENCE",INDEX('PAX &amp; CREW'!$W$3:$W$62,MATCH($C28,'PAX &amp; CREW'!$A$3:$A$62,0)),IF($E28="MEDICAL",INDEX('PAX &amp; CREW'!$X$3:$X$62,MATCH($C28,'PAX &amp; CREW'!$A$3:$A$62,0)),"")))),""))</f>
        <v/>
      </c>
      <c r="AA28" t="str">
        <f>IF($C28="","",IFERROR(IF($E28="PASSPORT",INDEX('PAX &amp; CREW'!$N$3:$N$62,MATCH($C28,'PAX &amp; CREW'!$A$3:$A$62,0)),INDEX('PAX &amp; CREW'!$L$3:$L$62,MATCH($C28,'PAX &amp; CREW'!$A$3:$A$62,0))),""))</f>
        <v/>
      </c>
      <c r="AB28" t="str">
        <f t="shared" si="1"/>
        <v/>
      </c>
      <c r="AC28" t="str">
        <f t="shared" si="2"/>
        <v/>
      </c>
      <c r="AD28" t="str">
        <f t="shared" si="3"/>
        <v/>
      </c>
      <c r="AE28" t="str">
        <f t="shared" si="4"/>
        <v/>
      </c>
      <c r="AF28" t="str">
        <f t="shared" si="5"/>
        <v/>
      </c>
      <c r="AG28" t="str">
        <f t="shared" si="6"/>
        <v/>
      </c>
      <c r="AH28" t="str">
        <f t="shared" si="7"/>
        <v/>
      </c>
      <c r="AI28" s="4"/>
      <c r="AJ28" s="4"/>
      <c r="AK28" s="50"/>
      <c r="AL28" t="str">
        <f t="shared" si="8"/>
        <v/>
      </c>
      <c r="AM28" s="4"/>
    </row>
    <row r="29" spans="1:39" x14ac:dyDescent="0.3">
      <c r="A29" t="str">
        <f t="shared" si="0"/>
        <v/>
      </c>
      <c r="B29" t="str">
        <f>IF($C29="","",IFERROR(INDEX('PAX &amp; CREW'!$B$3:$B$62,MATCH($C29,'PAX &amp; CREW'!$A$3:$A$62,0)),""))</f>
        <v/>
      </c>
      <c r="C29" s="4"/>
      <c r="D29" t="str">
        <f>IF($C29="","",IFERROR(INDEX('PAX &amp; CREW'!$G$3:$G$62,MATCH($C29,'PAX &amp; CREW'!$A$3:$A$62,0))&amp;", "&amp;INDEX('PAX &amp; CREW'!$H$3:$H$62,MATCH($C29,'PAX &amp; CREW'!$A$3:$A$62,0)),"PERSON NOT FOUND"))</f>
        <v/>
      </c>
      <c r="E29" s="4"/>
      <c r="F29" s="4"/>
      <c r="G29" t="str">
        <f>IF(OR($C29="",$F29=""),"",IFERROR(INDEX('PAX &amp; CREW'!$AE$3:$AE$62,MATCH($C29,'PAX &amp; CREW'!$A$3:$A$62,0))&amp;"\"&amp;$F29,""))</f>
        <v/>
      </c>
      <c r="H29" s="4"/>
      <c r="I29" s="50"/>
      <c r="J29" s="4"/>
      <c r="K29" s="4"/>
      <c r="L29" s="4"/>
      <c r="M29" s="4"/>
      <c r="N29" s="4"/>
      <c r="O29" s="9"/>
      <c r="P29" s="9"/>
      <c r="Q29" s="9"/>
      <c r="R29" s="4"/>
      <c r="S29" s="4"/>
      <c r="T29" t="str">
        <f>IF($C29="","",IFERROR(IF($E29="PASSPORT",INDEX('PAX &amp; CREW'!$M$3:$M$62,MATCH($C29,'PAX &amp; CREW'!$A$3:$A$62,0)),IF($E29="VISA",INDEX('PAX &amp; CREW'!$S$3:$S$62,MATCH($C29,'PAX &amp; CREW'!$A$3:$A$62,0)),IF($E29="LICENCE",INDEX('PAX &amp; CREW'!$V$3:$V$62,MATCH($C29,'PAX &amp; CREW'!$A$3:$A$62,0)),IF($E29="CREW ID",INDEX('PAX &amp; CREW'!$Y$3:$Y$62,MATCH($C29,'PAX &amp; CREW'!$A$3:$A$62,0)),"")))),""))</f>
        <v/>
      </c>
      <c r="U29" t="str">
        <f>IF($C29="","",IFERROR(INDEX('PAX &amp; CREW'!$G$3:$G$62,MATCH($C29,'PAX &amp; CREW'!$A$3:$A$62,0)),""))</f>
        <v/>
      </c>
      <c r="V29" t="str">
        <f>IF($C29="","",IFERROR(INDEX('PAX &amp; CREW'!$H$3:$H$62,MATCH($C29,'PAX &amp; CREW'!$A$3:$A$62,0)),""))</f>
        <v/>
      </c>
      <c r="W29" t="str">
        <f>IF($C29="","",IFERROR(INDEX('PAX &amp; CREW'!$L$3:$L$62,MATCH($C29,'PAX &amp; CREW'!$A$3:$A$62,0)),""))</f>
        <v/>
      </c>
      <c r="X29" s="6" t="str">
        <f>IF($C29="","",IFERROR(INDEX('PAX &amp; CREW'!$J$3:$J$62,MATCH($C29,'PAX &amp; CREW'!$A$3:$A$62,0)),""))</f>
        <v/>
      </c>
      <c r="Y29" s="6" t="str">
        <f>IF($C29="","",IFERROR(IF($E29="PASSPORT",INDEX('PAX &amp; CREW'!$O$3:$O$62,MATCH($C29,'PAX &amp; CREW'!$A$3:$A$62,0)),""),""))</f>
        <v/>
      </c>
      <c r="Z29" s="6" t="str">
        <f>IF($C29="","",IFERROR(IF($E29="PASSPORT",INDEX('PAX &amp; CREW'!$P$3:$P$62,MATCH($C29,'PAX &amp; CREW'!$A$3:$A$62,0)),IF($E29="VISA",INDEX('PAX &amp; CREW'!$T$3:$T$62,MATCH($C29,'PAX &amp; CREW'!$A$3:$A$62,0)),IF($E29="LICENCE",INDEX('PAX &amp; CREW'!$W$3:$W$62,MATCH($C29,'PAX &amp; CREW'!$A$3:$A$62,0)),IF($E29="MEDICAL",INDEX('PAX &amp; CREW'!$X$3:$X$62,MATCH($C29,'PAX &amp; CREW'!$A$3:$A$62,0)),"")))),""))</f>
        <v/>
      </c>
      <c r="AA29" t="str">
        <f>IF($C29="","",IFERROR(IF($E29="PASSPORT",INDEX('PAX &amp; CREW'!$N$3:$N$62,MATCH($C29,'PAX &amp; CREW'!$A$3:$A$62,0)),INDEX('PAX &amp; CREW'!$L$3:$L$62,MATCH($C29,'PAX &amp; CREW'!$A$3:$A$62,0))),""))</f>
        <v/>
      </c>
      <c r="AB29" t="str">
        <f t="shared" si="1"/>
        <v/>
      </c>
      <c r="AC29" t="str">
        <f t="shared" si="2"/>
        <v/>
      </c>
      <c r="AD29" t="str">
        <f t="shared" si="3"/>
        <v/>
      </c>
      <c r="AE29" t="str">
        <f t="shared" si="4"/>
        <v/>
      </c>
      <c r="AF29" t="str">
        <f t="shared" si="5"/>
        <v/>
      </c>
      <c r="AG29" t="str">
        <f t="shared" si="6"/>
        <v/>
      </c>
      <c r="AH29" t="str">
        <f t="shared" si="7"/>
        <v/>
      </c>
      <c r="AI29" s="4"/>
      <c r="AJ29" s="4"/>
      <c r="AK29" s="50"/>
      <c r="AL29" t="str">
        <f t="shared" si="8"/>
        <v/>
      </c>
      <c r="AM29" s="4"/>
    </row>
    <row r="30" spans="1:39" x14ac:dyDescent="0.3">
      <c r="A30" t="str">
        <f t="shared" si="0"/>
        <v/>
      </c>
      <c r="B30" t="str">
        <f>IF($C30="","",IFERROR(INDEX('PAX &amp; CREW'!$B$3:$B$62,MATCH($C30,'PAX &amp; CREW'!$A$3:$A$62,0)),""))</f>
        <v/>
      </c>
      <c r="C30" s="4"/>
      <c r="D30" t="str">
        <f>IF($C30="","",IFERROR(INDEX('PAX &amp; CREW'!$G$3:$G$62,MATCH($C30,'PAX &amp; CREW'!$A$3:$A$62,0))&amp;", "&amp;INDEX('PAX &amp; CREW'!$H$3:$H$62,MATCH($C30,'PAX &amp; CREW'!$A$3:$A$62,0)),"PERSON NOT FOUND"))</f>
        <v/>
      </c>
      <c r="E30" s="4"/>
      <c r="F30" s="4"/>
      <c r="G30" t="str">
        <f>IF(OR($C30="",$F30=""),"",IFERROR(INDEX('PAX &amp; CREW'!$AE$3:$AE$62,MATCH($C30,'PAX &amp; CREW'!$A$3:$A$62,0))&amp;"\"&amp;$F30,""))</f>
        <v/>
      </c>
      <c r="H30" s="4"/>
      <c r="I30" s="50"/>
      <c r="J30" s="4"/>
      <c r="K30" s="4"/>
      <c r="L30" s="4"/>
      <c r="M30" s="4"/>
      <c r="N30" s="4"/>
      <c r="O30" s="9"/>
      <c r="P30" s="9"/>
      <c r="Q30" s="9"/>
      <c r="R30" s="4"/>
      <c r="S30" s="4"/>
      <c r="T30" t="str">
        <f>IF($C30="","",IFERROR(IF($E30="PASSPORT",INDEX('PAX &amp; CREW'!$M$3:$M$62,MATCH($C30,'PAX &amp; CREW'!$A$3:$A$62,0)),IF($E30="VISA",INDEX('PAX &amp; CREW'!$S$3:$S$62,MATCH($C30,'PAX &amp; CREW'!$A$3:$A$62,0)),IF($E30="LICENCE",INDEX('PAX &amp; CREW'!$V$3:$V$62,MATCH($C30,'PAX &amp; CREW'!$A$3:$A$62,0)),IF($E30="CREW ID",INDEX('PAX &amp; CREW'!$Y$3:$Y$62,MATCH($C30,'PAX &amp; CREW'!$A$3:$A$62,0)),"")))),""))</f>
        <v/>
      </c>
      <c r="U30" t="str">
        <f>IF($C30="","",IFERROR(INDEX('PAX &amp; CREW'!$G$3:$G$62,MATCH($C30,'PAX &amp; CREW'!$A$3:$A$62,0)),""))</f>
        <v/>
      </c>
      <c r="V30" t="str">
        <f>IF($C30="","",IFERROR(INDEX('PAX &amp; CREW'!$H$3:$H$62,MATCH($C30,'PAX &amp; CREW'!$A$3:$A$62,0)),""))</f>
        <v/>
      </c>
      <c r="W30" t="str">
        <f>IF($C30="","",IFERROR(INDEX('PAX &amp; CREW'!$L$3:$L$62,MATCH($C30,'PAX &amp; CREW'!$A$3:$A$62,0)),""))</f>
        <v/>
      </c>
      <c r="X30" s="6" t="str">
        <f>IF($C30="","",IFERROR(INDEX('PAX &amp; CREW'!$J$3:$J$62,MATCH($C30,'PAX &amp; CREW'!$A$3:$A$62,0)),""))</f>
        <v/>
      </c>
      <c r="Y30" s="6" t="str">
        <f>IF($C30="","",IFERROR(IF($E30="PASSPORT",INDEX('PAX &amp; CREW'!$O$3:$O$62,MATCH($C30,'PAX &amp; CREW'!$A$3:$A$62,0)),""),""))</f>
        <v/>
      </c>
      <c r="Z30" s="6" t="str">
        <f>IF($C30="","",IFERROR(IF($E30="PASSPORT",INDEX('PAX &amp; CREW'!$P$3:$P$62,MATCH($C30,'PAX &amp; CREW'!$A$3:$A$62,0)),IF($E30="VISA",INDEX('PAX &amp; CREW'!$T$3:$T$62,MATCH($C30,'PAX &amp; CREW'!$A$3:$A$62,0)),IF($E30="LICENCE",INDEX('PAX &amp; CREW'!$W$3:$W$62,MATCH($C30,'PAX &amp; CREW'!$A$3:$A$62,0)),IF($E30="MEDICAL",INDEX('PAX &amp; CREW'!$X$3:$X$62,MATCH($C30,'PAX &amp; CREW'!$A$3:$A$62,0)),"")))),""))</f>
        <v/>
      </c>
      <c r="AA30" t="str">
        <f>IF($C30="","",IFERROR(IF($E30="PASSPORT",INDEX('PAX &amp; CREW'!$N$3:$N$62,MATCH($C30,'PAX &amp; CREW'!$A$3:$A$62,0)),INDEX('PAX &amp; CREW'!$L$3:$L$62,MATCH($C30,'PAX &amp; CREW'!$A$3:$A$62,0))),""))</f>
        <v/>
      </c>
      <c r="AB30" t="str">
        <f t="shared" si="1"/>
        <v/>
      </c>
      <c r="AC30" t="str">
        <f t="shared" si="2"/>
        <v/>
      </c>
      <c r="AD30" t="str">
        <f t="shared" si="3"/>
        <v/>
      </c>
      <c r="AE30" t="str">
        <f t="shared" si="4"/>
        <v/>
      </c>
      <c r="AF30" t="str">
        <f t="shared" si="5"/>
        <v/>
      </c>
      <c r="AG30" t="str">
        <f t="shared" si="6"/>
        <v/>
      </c>
      <c r="AH30" t="str">
        <f t="shared" si="7"/>
        <v/>
      </c>
      <c r="AI30" s="4"/>
      <c r="AJ30" s="4"/>
      <c r="AK30" s="50"/>
      <c r="AL30" t="str">
        <f t="shared" si="8"/>
        <v/>
      </c>
      <c r="AM30" s="4"/>
    </row>
    <row r="31" spans="1:39" x14ac:dyDescent="0.3">
      <c r="A31" t="str">
        <f t="shared" si="0"/>
        <v/>
      </c>
      <c r="B31" t="str">
        <f>IF($C31="","",IFERROR(INDEX('PAX &amp; CREW'!$B$3:$B$62,MATCH($C31,'PAX &amp; CREW'!$A$3:$A$62,0)),""))</f>
        <v/>
      </c>
      <c r="C31" s="4"/>
      <c r="D31" t="str">
        <f>IF($C31="","",IFERROR(INDEX('PAX &amp; CREW'!$G$3:$G$62,MATCH($C31,'PAX &amp; CREW'!$A$3:$A$62,0))&amp;", "&amp;INDEX('PAX &amp; CREW'!$H$3:$H$62,MATCH($C31,'PAX &amp; CREW'!$A$3:$A$62,0)),"PERSON NOT FOUND"))</f>
        <v/>
      </c>
      <c r="E31" s="4"/>
      <c r="F31" s="4"/>
      <c r="G31" t="str">
        <f>IF(OR($C31="",$F31=""),"",IFERROR(INDEX('PAX &amp; CREW'!$AE$3:$AE$62,MATCH($C31,'PAX &amp; CREW'!$A$3:$A$62,0))&amp;"\"&amp;$F31,""))</f>
        <v/>
      </c>
      <c r="H31" s="4"/>
      <c r="I31" s="50"/>
      <c r="J31" s="4"/>
      <c r="K31" s="4"/>
      <c r="L31" s="4"/>
      <c r="M31" s="4"/>
      <c r="N31" s="4"/>
      <c r="O31" s="9"/>
      <c r="P31" s="9"/>
      <c r="Q31" s="9"/>
      <c r="R31" s="4"/>
      <c r="S31" s="4"/>
      <c r="T31" t="str">
        <f>IF($C31="","",IFERROR(IF($E31="PASSPORT",INDEX('PAX &amp; CREW'!$M$3:$M$62,MATCH($C31,'PAX &amp; CREW'!$A$3:$A$62,0)),IF($E31="VISA",INDEX('PAX &amp; CREW'!$S$3:$S$62,MATCH($C31,'PAX &amp; CREW'!$A$3:$A$62,0)),IF($E31="LICENCE",INDEX('PAX &amp; CREW'!$V$3:$V$62,MATCH($C31,'PAX &amp; CREW'!$A$3:$A$62,0)),IF($E31="CREW ID",INDEX('PAX &amp; CREW'!$Y$3:$Y$62,MATCH($C31,'PAX &amp; CREW'!$A$3:$A$62,0)),"")))),""))</f>
        <v/>
      </c>
      <c r="U31" t="str">
        <f>IF($C31="","",IFERROR(INDEX('PAX &amp; CREW'!$G$3:$G$62,MATCH($C31,'PAX &amp; CREW'!$A$3:$A$62,0)),""))</f>
        <v/>
      </c>
      <c r="V31" t="str">
        <f>IF($C31="","",IFERROR(INDEX('PAX &amp; CREW'!$H$3:$H$62,MATCH($C31,'PAX &amp; CREW'!$A$3:$A$62,0)),""))</f>
        <v/>
      </c>
      <c r="W31" t="str">
        <f>IF($C31="","",IFERROR(INDEX('PAX &amp; CREW'!$L$3:$L$62,MATCH($C31,'PAX &amp; CREW'!$A$3:$A$62,0)),""))</f>
        <v/>
      </c>
      <c r="X31" s="6" t="str">
        <f>IF($C31="","",IFERROR(INDEX('PAX &amp; CREW'!$J$3:$J$62,MATCH($C31,'PAX &amp; CREW'!$A$3:$A$62,0)),""))</f>
        <v/>
      </c>
      <c r="Y31" s="6" t="str">
        <f>IF($C31="","",IFERROR(IF($E31="PASSPORT",INDEX('PAX &amp; CREW'!$O$3:$O$62,MATCH($C31,'PAX &amp; CREW'!$A$3:$A$62,0)),""),""))</f>
        <v/>
      </c>
      <c r="Z31" s="6" t="str">
        <f>IF($C31="","",IFERROR(IF($E31="PASSPORT",INDEX('PAX &amp; CREW'!$P$3:$P$62,MATCH($C31,'PAX &amp; CREW'!$A$3:$A$62,0)),IF($E31="VISA",INDEX('PAX &amp; CREW'!$T$3:$T$62,MATCH($C31,'PAX &amp; CREW'!$A$3:$A$62,0)),IF($E31="LICENCE",INDEX('PAX &amp; CREW'!$W$3:$W$62,MATCH($C31,'PAX &amp; CREW'!$A$3:$A$62,0)),IF($E31="MEDICAL",INDEX('PAX &amp; CREW'!$X$3:$X$62,MATCH($C31,'PAX &amp; CREW'!$A$3:$A$62,0)),"")))),""))</f>
        <v/>
      </c>
      <c r="AA31" t="str">
        <f>IF($C31="","",IFERROR(IF($E31="PASSPORT",INDEX('PAX &amp; CREW'!$N$3:$N$62,MATCH($C31,'PAX &amp; CREW'!$A$3:$A$62,0)),INDEX('PAX &amp; CREW'!$L$3:$L$62,MATCH($C31,'PAX &amp; CREW'!$A$3:$A$62,0))),""))</f>
        <v/>
      </c>
      <c r="AB31" t="str">
        <f t="shared" si="1"/>
        <v/>
      </c>
      <c r="AC31" t="str">
        <f t="shared" si="2"/>
        <v/>
      </c>
      <c r="AD31" t="str">
        <f t="shared" si="3"/>
        <v/>
      </c>
      <c r="AE31" t="str">
        <f t="shared" si="4"/>
        <v/>
      </c>
      <c r="AF31" t="str">
        <f t="shared" si="5"/>
        <v/>
      </c>
      <c r="AG31" t="str">
        <f t="shared" si="6"/>
        <v/>
      </c>
      <c r="AH31" t="str">
        <f t="shared" si="7"/>
        <v/>
      </c>
      <c r="AI31" s="4"/>
      <c r="AJ31" s="4"/>
      <c r="AK31" s="50"/>
      <c r="AL31" t="str">
        <f t="shared" si="8"/>
        <v/>
      </c>
      <c r="AM31" s="4"/>
    </row>
    <row r="32" spans="1:39" x14ac:dyDescent="0.3">
      <c r="A32" t="str">
        <f t="shared" si="0"/>
        <v/>
      </c>
      <c r="B32" t="str">
        <f>IF($C32="","",IFERROR(INDEX('PAX &amp; CREW'!$B$3:$B$62,MATCH($C32,'PAX &amp; CREW'!$A$3:$A$62,0)),""))</f>
        <v/>
      </c>
      <c r="C32" s="4"/>
      <c r="D32" t="str">
        <f>IF($C32="","",IFERROR(INDEX('PAX &amp; CREW'!$G$3:$G$62,MATCH($C32,'PAX &amp; CREW'!$A$3:$A$62,0))&amp;", "&amp;INDEX('PAX &amp; CREW'!$H$3:$H$62,MATCH($C32,'PAX &amp; CREW'!$A$3:$A$62,0)),"PERSON NOT FOUND"))</f>
        <v/>
      </c>
      <c r="E32" s="4"/>
      <c r="F32" s="4"/>
      <c r="G32" t="str">
        <f>IF(OR($C32="",$F32=""),"",IFERROR(INDEX('PAX &amp; CREW'!$AE$3:$AE$62,MATCH($C32,'PAX &amp; CREW'!$A$3:$A$62,0))&amp;"\"&amp;$F32,""))</f>
        <v/>
      </c>
      <c r="H32" s="4"/>
      <c r="I32" s="50"/>
      <c r="J32" s="4"/>
      <c r="K32" s="4"/>
      <c r="L32" s="4"/>
      <c r="M32" s="4"/>
      <c r="N32" s="4"/>
      <c r="O32" s="9"/>
      <c r="P32" s="9"/>
      <c r="Q32" s="9"/>
      <c r="R32" s="4"/>
      <c r="S32" s="4"/>
      <c r="T32" t="str">
        <f>IF($C32="","",IFERROR(IF($E32="PASSPORT",INDEX('PAX &amp; CREW'!$M$3:$M$62,MATCH($C32,'PAX &amp; CREW'!$A$3:$A$62,0)),IF($E32="VISA",INDEX('PAX &amp; CREW'!$S$3:$S$62,MATCH($C32,'PAX &amp; CREW'!$A$3:$A$62,0)),IF($E32="LICENCE",INDEX('PAX &amp; CREW'!$V$3:$V$62,MATCH($C32,'PAX &amp; CREW'!$A$3:$A$62,0)),IF($E32="CREW ID",INDEX('PAX &amp; CREW'!$Y$3:$Y$62,MATCH($C32,'PAX &amp; CREW'!$A$3:$A$62,0)),"")))),""))</f>
        <v/>
      </c>
      <c r="U32" t="str">
        <f>IF($C32="","",IFERROR(INDEX('PAX &amp; CREW'!$G$3:$G$62,MATCH($C32,'PAX &amp; CREW'!$A$3:$A$62,0)),""))</f>
        <v/>
      </c>
      <c r="V32" t="str">
        <f>IF($C32="","",IFERROR(INDEX('PAX &amp; CREW'!$H$3:$H$62,MATCH($C32,'PAX &amp; CREW'!$A$3:$A$62,0)),""))</f>
        <v/>
      </c>
      <c r="W32" t="str">
        <f>IF($C32="","",IFERROR(INDEX('PAX &amp; CREW'!$L$3:$L$62,MATCH($C32,'PAX &amp; CREW'!$A$3:$A$62,0)),""))</f>
        <v/>
      </c>
      <c r="X32" s="6" t="str">
        <f>IF($C32="","",IFERROR(INDEX('PAX &amp; CREW'!$J$3:$J$62,MATCH($C32,'PAX &amp; CREW'!$A$3:$A$62,0)),""))</f>
        <v/>
      </c>
      <c r="Y32" s="6" t="str">
        <f>IF($C32="","",IFERROR(IF($E32="PASSPORT",INDEX('PAX &amp; CREW'!$O$3:$O$62,MATCH($C32,'PAX &amp; CREW'!$A$3:$A$62,0)),""),""))</f>
        <v/>
      </c>
      <c r="Z32" s="6" t="str">
        <f>IF($C32="","",IFERROR(IF($E32="PASSPORT",INDEX('PAX &amp; CREW'!$P$3:$P$62,MATCH($C32,'PAX &amp; CREW'!$A$3:$A$62,0)),IF($E32="VISA",INDEX('PAX &amp; CREW'!$T$3:$T$62,MATCH($C32,'PAX &amp; CREW'!$A$3:$A$62,0)),IF($E32="LICENCE",INDEX('PAX &amp; CREW'!$W$3:$W$62,MATCH($C32,'PAX &amp; CREW'!$A$3:$A$62,0)),IF($E32="MEDICAL",INDEX('PAX &amp; CREW'!$X$3:$X$62,MATCH($C32,'PAX &amp; CREW'!$A$3:$A$62,0)),"")))),""))</f>
        <v/>
      </c>
      <c r="AA32" t="str">
        <f>IF($C32="","",IFERROR(IF($E32="PASSPORT",INDEX('PAX &amp; CREW'!$N$3:$N$62,MATCH($C32,'PAX &amp; CREW'!$A$3:$A$62,0)),INDEX('PAX &amp; CREW'!$L$3:$L$62,MATCH($C32,'PAX &amp; CREW'!$A$3:$A$62,0))),""))</f>
        <v/>
      </c>
      <c r="AB32" t="str">
        <f t="shared" si="1"/>
        <v/>
      </c>
      <c r="AC32" t="str">
        <f t="shared" si="2"/>
        <v/>
      </c>
      <c r="AD32" t="str">
        <f t="shared" si="3"/>
        <v/>
      </c>
      <c r="AE32" t="str">
        <f t="shared" si="4"/>
        <v/>
      </c>
      <c r="AF32" t="str">
        <f t="shared" si="5"/>
        <v/>
      </c>
      <c r="AG32" t="str">
        <f t="shared" si="6"/>
        <v/>
      </c>
      <c r="AH32" t="str">
        <f t="shared" si="7"/>
        <v/>
      </c>
      <c r="AI32" s="4"/>
      <c r="AJ32" s="4"/>
      <c r="AK32" s="50"/>
      <c r="AL32" t="str">
        <f t="shared" si="8"/>
        <v/>
      </c>
      <c r="AM32" s="4"/>
    </row>
    <row r="33" spans="1:39" x14ac:dyDescent="0.3">
      <c r="A33" t="str">
        <f t="shared" si="0"/>
        <v/>
      </c>
      <c r="B33" t="str">
        <f>IF($C33="","",IFERROR(INDEX('PAX &amp; CREW'!$B$3:$B$62,MATCH($C33,'PAX &amp; CREW'!$A$3:$A$62,0)),""))</f>
        <v/>
      </c>
      <c r="C33" s="4"/>
      <c r="D33" t="str">
        <f>IF($C33="","",IFERROR(INDEX('PAX &amp; CREW'!$G$3:$G$62,MATCH($C33,'PAX &amp; CREW'!$A$3:$A$62,0))&amp;", "&amp;INDEX('PAX &amp; CREW'!$H$3:$H$62,MATCH($C33,'PAX &amp; CREW'!$A$3:$A$62,0)),"PERSON NOT FOUND"))</f>
        <v/>
      </c>
      <c r="E33" s="4"/>
      <c r="F33" s="4"/>
      <c r="G33" t="str">
        <f>IF(OR($C33="",$F33=""),"",IFERROR(INDEX('PAX &amp; CREW'!$AE$3:$AE$62,MATCH($C33,'PAX &amp; CREW'!$A$3:$A$62,0))&amp;"\"&amp;$F33,""))</f>
        <v/>
      </c>
      <c r="H33" s="4"/>
      <c r="I33" s="50"/>
      <c r="J33" s="4"/>
      <c r="K33" s="4"/>
      <c r="L33" s="4"/>
      <c r="M33" s="4"/>
      <c r="N33" s="4"/>
      <c r="O33" s="9"/>
      <c r="P33" s="9"/>
      <c r="Q33" s="9"/>
      <c r="R33" s="4"/>
      <c r="S33" s="4"/>
      <c r="T33" t="str">
        <f>IF($C33="","",IFERROR(IF($E33="PASSPORT",INDEX('PAX &amp; CREW'!$M$3:$M$62,MATCH($C33,'PAX &amp; CREW'!$A$3:$A$62,0)),IF($E33="VISA",INDEX('PAX &amp; CREW'!$S$3:$S$62,MATCH($C33,'PAX &amp; CREW'!$A$3:$A$62,0)),IF($E33="LICENCE",INDEX('PAX &amp; CREW'!$V$3:$V$62,MATCH($C33,'PAX &amp; CREW'!$A$3:$A$62,0)),IF($E33="CREW ID",INDEX('PAX &amp; CREW'!$Y$3:$Y$62,MATCH($C33,'PAX &amp; CREW'!$A$3:$A$62,0)),"")))),""))</f>
        <v/>
      </c>
      <c r="U33" t="str">
        <f>IF($C33="","",IFERROR(INDEX('PAX &amp; CREW'!$G$3:$G$62,MATCH($C33,'PAX &amp; CREW'!$A$3:$A$62,0)),""))</f>
        <v/>
      </c>
      <c r="V33" t="str">
        <f>IF($C33="","",IFERROR(INDEX('PAX &amp; CREW'!$H$3:$H$62,MATCH($C33,'PAX &amp; CREW'!$A$3:$A$62,0)),""))</f>
        <v/>
      </c>
      <c r="W33" t="str">
        <f>IF($C33="","",IFERROR(INDEX('PAX &amp; CREW'!$L$3:$L$62,MATCH($C33,'PAX &amp; CREW'!$A$3:$A$62,0)),""))</f>
        <v/>
      </c>
      <c r="X33" s="6" t="str">
        <f>IF($C33="","",IFERROR(INDEX('PAX &amp; CREW'!$J$3:$J$62,MATCH($C33,'PAX &amp; CREW'!$A$3:$A$62,0)),""))</f>
        <v/>
      </c>
      <c r="Y33" s="6" t="str">
        <f>IF($C33="","",IFERROR(IF($E33="PASSPORT",INDEX('PAX &amp; CREW'!$O$3:$O$62,MATCH($C33,'PAX &amp; CREW'!$A$3:$A$62,0)),""),""))</f>
        <v/>
      </c>
      <c r="Z33" s="6" t="str">
        <f>IF($C33="","",IFERROR(IF($E33="PASSPORT",INDEX('PAX &amp; CREW'!$P$3:$P$62,MATCH($C33,'PAX &amp; CREW'!$A$3:$A$62,0)),IF($E33="VISA",INDEX('PAX &amp; CREW'!$T$3:$T$62,MATCH($C33,'PAX &amp; CREW'!$A$3:$A$62,0)),IF($E33="LICENCE",INDEX('PAX &amp; CREW'!$W$3:$W$62,MATCH($C33,'PAX &amp; CREW'!$A$3:$A$62,0)),IF($E33="MEDICAL",INDEX('PAX &amp; CREW'!$X$3:$X$62,MATCH($C33,'PAX &amp; CREW'!$A$3:$A$62,0)),"")))),""))</f>
        <v/>
      </c>
      <c r="AA33" t="str">
        <f>IF($C33="","",IFERROR(IF($E33="PASSPORT",INDEX('PAX &amp; CREW'!$N$3:$N$62,MATCH($C33,'PAX &amp; CREW'!$A$3:$A$62,0)),INDEX('PAX &amp; CREW'!$L$3:$L$62,MATCH($C33,'PAX &amp; CREW'!$A$3:$A$62,0))),""))</f>
        <v/>
      </c>
      <c r="AB33" t="str">
        <f t="shared" si="1"/>
        <v/>
      </c>
      <c r="AC33" t="str">
        <f t="shared" si="2"/>
        <v/>
      </c>
      <c r="AD33" t="str">
        <f t="shared" si="3"/>
        <v/>
      </c>
      <c r="AE33" t="str">
        <f t="shared" si="4"/>
        <v/>
      </c>
      <c r="AF33" t="str">
        <f t="shared" si="5"/>
        <v/>
      </c>
      <c r="AG33" t="str">
        <f t="shared" si="6"/>
        <v/>
      </c>
      <c r="AH33" t="str">
        <f t="shared" si="7"/>
        <v/>
      </c>
      <c r="AI33" s="4"/>
      <c r="AJ33" s="4"/>
      <c r="AK33" s="50"/>
      <c r="AL33" t="str">
        <f t="shared" si="8"/>
        <v/>
      </c>
      <c r="AM33" s="4"/>
    </row>
    <row r="34" spans="1:39" x14ac:dyDescent="0.3">
      <c r="A34" t="str">
        <f t="shared" si="0"/>
        <v/>
      </c>
      <c r="B34" t="str">
        <f>IF($C34="","",IFERROR(INDEX('PAX &amp; CREW'!$B$3:$B$62,MATCH($C34,'PAX &amp; CREW'!$A$3:$A$62,0)),""))</f>
        <v/>
      </c>
      <c r="C34" s="4"/>
      <c r="D34" t="str">
        <f>IF($C34="","",IFERROR(INDEX('PAX &amp; CREW'!$G$3:$G$62,MATCH($C34,'PAX &amp; CREW'!$A$3:$A$62,0))&amp;", "&amp;INDEX('PAX &amp; CREW'!$H$3:$H$62,MATCH($C34,'PAX &amp; CREW'!$A$3:$A$62,0)),"PERSON NOT FOUND"))</f>
        <v/>
      </c>
      <c r="E34" s="4"/>
      <c r="F34" s="4"/>
      <c r="G34" t="str">
        <f>IF(OR($C34="",$F34=""),"",IFERROR(INDEX('PAX &amp; CREW'!$AE$3:$AE$62,MATCH($C34,'PAX &amp; CREW'!$A$3:$A$62,0))&amp;"\"&amp;$F34,""))</f>
        <v/>
      </c>
      <c r="H34" s="4"/>
      <c r="I34" s="50"/>
      <c r="J34" s="4"/>
      <c r="K34" s="4"/>
      <c r="L34" s="4"/>
      <c r="M34" s="4"/>
      <c r="N34" s="4"/>
      <c r="O34" s="9"/>
      <c r="P34" s="9"/>
      <c r="Q34" s="9"/>
      <c r="R34" s="4"/>
      <c r="S34" s="4"/>
      <c r="T34" t="str">
        <f>IF($C34="","",IFERROR(IF($E34="PASSPORT",INDEX('PAX &amp; CREW'!$M$3:$M$62,MATCH($C34,'PAX &amp; CREW'!$A$3:$A$62,0)),IF($E34="VISA",INDEX('PAX &amp; CREW'!$S$3:$S$62,MATCH($C34,'PAX &amp; CREW'!$A$3:$A$62,0)),IF($E34="LICENCE",INDEX('PAX &amp; CREW'!$V$3:$V$62,MATCH($C34,'PAX &amp; CREW'!$A$3:$A$62,0)),IF($E34="CREW ID",INDEX('PAX &amp; CREW'!$Y$3:$Y$62,MATCH($C34,'PAX &amp; CREW'!$A$3:$A$62,0)),"")))),""))</f>
        <v/>
      </c>
      <c r="U34" t="str">
        <f>IF($C34="","",IFERROR(INDEX('PAX &amp; CREW'!$G$3:$G$62,MATCH($C34,'PAX &amp; CREW'!$A$3:$A$62,0)),""))</f>
        <v/>
      </c>
      <c r="V34" t="str">
        <f>IF($C34="","",IFERROR(INDEX('PAX &amp; CREW'!$H$3:$H$62,MATCH($C34,'PAX &amp; CREW'!$A$3:$A$62,0)),""))</f>
        <v/>
      </c>
      <c r="W34" t="str">
        <f>IF($C34="","",IFERROR(INDEX('PAX &amp; CREW'!$L$3:$L$62,MATCH($C34,'PAX &amp; CREW'!$A$3:$A$62,0)),""))</f>
        <v/>
      </c>
      <c r="X34" s="6" t="str">
        <f>IF($C34="","",IFERROR(INDEX('PAX &amp; CREW'!$J$3:$J$62,MATCH($C34,'PAX &amp; CREW'!$A$3:$A$62,0)),""))</f>
        <v/>
      </c>
      <c r="Y34" s="6" t="str">
        <f>IF($C34="","",IFERROR(IF($E34="PASSPORT",INDEX('PAX &amp; CREW'!$O$3:$O$62,MATCH($C34,'PAX &amp; CREW'!$A$3:$A$62,0)),""),""))</f>
        <v/>
      </c>
      <c r="Z34" s="6" t="str">
        <f>IF($C34="","",IFERROR(IF($E34="PASSPORT",INDEX('PAX &amp; CREW'!$P$3:$P$62,MATCH($C34,'PAX &amp; CREW'!$A$3:$A$62,0)),IF($E34="VISA",INDEX('PAX &amp; CREW'!$T$3:$T$62,MATCH($C34,'PAX &amp; CREW'!$A$3:$A$62,0)),IF($E34="LICENCE",INDEX('PAX &amp; CREW'!$W$3:$W$62,MATCH($C34,'PAX &amp; CREW'!$A$3:$A$62,0)),IF($E34="MEDICAL",INDEX('PAX &amp; CREW'!$X$3:$X$62,MATCH($C34,'PAX &amp; CREW'!$A$3:$A$62,0)),"")))),""))</f>
        <v/>
      </c>
      <c r="AA34" t="str">
        <f>IF($C34="","",IFERROR(IF($E34="PASSPORT",INDEX('PAX &amp; CREW'!$N$3:$N$62,MATCH($C34,'PAX &amp; CREW'!$A$3:$A$62,0)),INDEX('PAX &amp; CREW'!$L$3:$L$62,MATCH($C34,'PAX &amp; CREW'!$A$3:$A$62,0))),""))</f>
        <v/>
      </c>
      <c r="AB34" t="str">
        <f t="shared" si="1"/>
        <v/>
      </c>
      <c r="AC34" t="str">
        <f t="shared" si="2"/>
        <v/>
      </c>
      <c r="AD34" t="str">
        <f t="shared" si="3"/>
        <v/>
      </c>
      <c r="AE34" t="str">
        <f t="shared" si="4"/>
        <v/>
      </c>
      <c r="AF34" t="str">
        <f t="shared" si="5"/>
        <v/>
      </c>
      <c r="AG34" t="str">
        <f t="shared" si="6"/>
        <v/>
      </c>
      <c r="AH34" t="str">
        <f t="shared" si="7"/>
        <v/>
      </c>
      <c r="AI34" s="4"/>
      <c r="AJ34" s="4"/>
      <c r="AK34" s="50"/>
      <c r="AL34" t="str">
        <f t="shared" si="8"/>
        <v/>
      </c>
      <c r="AM34" s="4"/>
    </row>
    <row r="35" spans="1:39" x14ac:dyDescent="0.3">
      <c r="A35" t="str">
        <f t="shared" si="0"/>
        <v/>
      </c>
      <c r="B35" t="str">
        <f>IF($C35="","",IFERROR(INDEX('PAX &amp; CREW'!$B$3:$B$62,MATCH($C35,'PAX &amp; CREW'!$A$3:$A$62,0)),""))</f>
        <v/>
      </c>
      <c r="C35" s="4"/>
      <c r="D35" t="str">
        <f>IF($C35="","",IFERROR(INDEX('PAX &amp; CREW'!$G$3:$G$62,MATCH($C35,'PAX &amp; CREW'!$A$3:$A$62,0))&amp;", "&amp;INDEX('PAX &amp; CREW'!$H$3:$H$62,MATCH($C35,'PAX &amp; CREW'!$A$3:$A$62,0)),"PERSON NOT FOUND"))</f>
        <v/>
      </c>
      <c r="E35" s="4"/>
      <c r="F35" s="4"/>
      <c r="G35" t="str">
        <f>IF(OR($C35="",$F35=""),"",IFERROR(INDEX('PAX &amp; CREW'!$AE$3:$AE$62,MATCH($C35,'PAX &amp; CREW'!$A$3:$A$62,0))&amp;"\"&amp;$F35,""))</f>
        <v/>
      </c>
      <c r="H35" s="4"/>
      <c r="I35" s="50"/>
      <c r="J35" s="4"/>
      <c r="K35" s="4"/>
      <c r="L35" s="4"/>
      <c r="M35" s="4"/>
      <c r="N35" s="4"/>
      <c r="O35" s="9"/>
      <c r="P35" s="9"/>
      <c r="Q35" s="9"/>
      <c r="R35" s="4"/>
      <c r="S35" s="4"/>
      <c r="T35" t="str">
        <f>IF($C35="","",IFERROR(IF($E35="PASSPORT",INDEX('PAX &amp; CREW'!$M$3:$M$62,MATCH($C35,'PAX &amp; CREW'!$A$3:$A$62,0)),IF($E35="VISA",INDEX('PAX &amp; CREW'!$S$3:$S$62,MATCH($C35,'PAX &amp; CREW'!$A$3:$A$62,0)),IF($E35="LICENCE",INDEX('PAX &amp; CREW'!$V$3:$V$62,MATCH($C35,'PAX &amp; CREW'!$A$3:$A$62,0)),IF($E35="CREW ID",INDEX('PAX &amp; CREW'!$Y$3:$Y$62,MATCH($C35,'PAX &amp; CREW'!$A$3:$A$62,0)),"")))),""))</f>
        <v/>
      </c>
      <c r="U35" t="str">
        <f>IF($C35="","",IFERROR(INDEX('PAX &amp; CREW'!$G$3:$G$62,MATCH($C35,'PAX &amp; CREW'!$A$3:$A$62,0)),""))</f>
        <v/>
      </c>
      <c r="V35" t="str">
        <f>IF($C35="","",IFERROR(INDEX('PAX &amp; CREW'!$H$3:$H$62,MATCH($C35,'PAX &amp; CREW'!$A$3:$A$62,0)),""))</f>
        <v/>
      </c>
      <c r="W35" t="str">
        <f>IF($C35="","",IFERROR(INDEX('PAX &amp; CREW'!$L$3:$L$62,MATCH($C35,'PAX &amp; CREW'!$A$3:$A$62,0)),""))</f>
        <v/>
      </c>
      <c r="X35" s="6" t="str">
        <f>IF($C35="","",IFERROR(INDEX('PAX &amp; CREW'!$J$3:$J$62,MATCH($C35,'PAX &amp; CREW'!$A$3:$A$62,0)),""))</f>
        <v/>
      </c>
      <c r="Y35" s="6" t="str">
        <f>IF($C35="","",IFERROR(IF($E35="PASSPORT",INDEX('PAX &amp; CREW'!$O$3:$O$62,MATCH($C35,'PAX &amp; CREW'!$A$3:$A$62,0)),""),""))</f>
        <v/>
      </c>
      <c r="Z35" s="6" t="str">
        <f>IF($C35="","",IFERROR(IF($E35="PASSPORT",INDEX('PAX &amp; CREW'!$P$3:$P$62,MATCH($C35,'PAX &amp; CREW'!$A$3:$A$62,0)),IF($E35="VISA",INDEX('PAX &amp; CREW'!$T$3:$T$62,MATCH($C35,'PAX &amp; CREW'!$A$3:$A$62,0)),IF($E35="LICENCE",INDEX('PAX &amp; CREW'!$W$3:$W$62,MATCH($C35,'PAX &amp; CREW'!$A$3:$A$62,0)),IF($E35="MEDICAL",INDEX('PAX &amp; CREW'!$X$3:$X$62,MATCH($C35,'PAX &amp; CREW'!$A$3:$A$62,0)),"")))),""))</f>
        <v/>
      </c>
      <c r="AA35" t="str">
        <f>IF($C35="","",IFERROR(IF($E35="PASSPORT",INDEX('PAX &amp; CREW'!$N$3:$N$62,MATCH($C35,'PAX &amp; CREW'!$A$3:$A$62,0)),INDEX('PAX &amp; CREW'!$L$3:$L$62,MATCH($C35,'PAX &amp; CREW'!$A$3:$A$62,0))),""))</f>
        <v/>
      </c>
      <c r="AB35" t="str">
        <f t="shared" si="1"/>
        <v/>
      </c>
      <c r="AC35" t="str">
        <f t="shared" si="2"/>
        <v/>
      </c>
      <c r="AD35" t="str">
        <f t="shared" si="3"/>
        <v/>
      </c>
      <c r="AE35" t="str">
        <f t="shared" si="4"/>
        <v/>
      </c>
      <c r="AF35" t="str">
        <f t="shared" si="5"/>
        <v/>
      </c>
      <c r="AG35" t="str">
        <f t="shared" si="6"/>
        <v/>
      </c>
      <c r="AH35" t="str">
        <f t="shared" si="7"/>
        <v/>
      </c>
      <c r="AI35" s="4"/>
      <c r="AJ35" s="4"/>
      <c r="AK35" s="50"/>
      <c r="AL35" t="str">
        <f t="shared" si="8"/>
        <v/>
      </c>
      <c r="AM35" s="4"/>
    </row>
    <row r="36" spans="1:39" x14ac:dyDescent="0.3">
      <c r="A36" t="str">
        <f t="shared" si="0"/>
        <v/>
      </c>
      <c r="B36" t="str">
        <f>IF($C36="","",IFERROR(INDEX('PAX &amp; CREW'!$B$3:$B$62,MATCH($C36,'PAX &amp; CREW'!$A$3:$A$62,0)),""))</f>
        <v/>
      </c>
      <c r="C36" s="4"/>
      <c r="D36" t="str">
        <f>IF($C36="","",IFERROR(INDEX('PAX &amp; CREW'!$G$3:$G$62,MATCH($C36,'PAX &amp; CREW'!$A$3:$A$62,0))&amp;", "&amp;INDEX('PAX &amp; CREW'!$H$3:$H$62,MATCH($C36,'PAX &amp; CREW'!$A$3:$A$62,0)),"PERSON NOT FOUND"))</f>
        <v/>
      </c>
      <c r="E36" s="4"/>
      <c r="F36" s="4"/>
      <c r="G36" t="str">
        <f>IF(OR($C36="",$F36=""),"",IFERROR(INDEX('PAX &amp; CREW'!$AE$3:$AE$62,MATCH($C36,'PAX &amp; CREW'!$A$3:$A$62,0))&amp;"\"&amp;$F36,""))</f>
        <v/>
      </c>
      <c r="H36" s="4"/>
      <c r="I36" s="50"/>
      <c r="J36" s="4"/>
      <c r="K36" s="4"/>
      <c r="L36" s="4"/>
      <c r="M36" s="4"/>
      <c r="N36" s="4"/>
      <c r="O36" s="9"/>
      <c r="P36" s="9"/>
      <c r="Q36" s="9"/>
      <c r="R36" s="4"/>
      <c r="S36" s="4"/>
      <c r="T36" t="str">
        <f>IF($C36="","",IFERROR(IF($E36="PASSPORT",INDEX('PAX &amp; CREW'!$M$3:$M$62,MATCH($C36,'PAX &amp; CREW'!$A$3:$A$62,0)),IF($E36="VISA",INDEX('PAX &amp; CREW'!$S$3:$S$62,MATCH($C36,'PAX &amp; CREW'!$A$3:$A$62,0)),IF($E36="LICENCE",INDEX('PAX &amp; CREW'!$V$3:$V$62,MATCH($C36,'PAX &amp; CREW'!$A$3:$A$62,0)),IF($E36="CREW ID",INDEX('PAX &amp; CREW'!$Y$3:$Y$62,MATCH($C36,'PAX &amp; CREW'!$A$3:$A$62,0)),"")))),""))</f>
        <v/>
      </c>
      <c r="U36" t="str">
        <f>IF($C36="","",IFERROR(INDEX('PAX &amp; CREW'!$G$3:$G$62,MATCH($C36,'PAX &amp; CREW'!$A$3:$A$62,0)),""))</f>
        <v/>
      </c>
      <c r="V36" t="str">
        <f>IF($C36="","",IFERROR(INDEX('PAX &amp; CREW'!$H$3:$H$62,MATCH($C36,'PAX &amp; CREW'!$A$3:$A$62,0)),""))</f>
        <v/>
      </c>
      <c r="W36" t="str">
        <f>IF($C36="","",IFERROR(INDEX('PAX &amp; CREW'!$L$3:$L$62,MATCH($C36,'PAX &amp; CREW'!$A$3:$A$62,0)),""))</f>
        <v/>
      </c>
      <c r="X36" s="6" t="str">
        <f>IF($C36="","",IFERROR(INDEX('PAX &amp; CREW'!$J$3:$J$62,MATCH($C36,'PAX &amp; CREW'!$A$3:$A$62,0)),""))</f>
        <v/>
      </c>
      <c r="Y36" s="6" t="str">
        <f>IF($C36="","",IFERROR(IF($E36="PASSPORT",INDEX('PAX &amp; CREW'!$O$3:$O$62,MATCH($C36,'PAX &amp; CREW'!$A$3:$A$62,0)),""),""))</f>
        <v/>
      </c>
      <c r="Z36" s="6" t="str">
        <f>IF($C36="","",IFERROR(IF($E36="PASSPORT",INDEX('PAX &amp; CREW'!$P$3:$P$62,MATCH($C36,'PAX &amp; CREW'!$A$3:$A$62,0)),IF($E36="VISA",INDEX('PAX &amp; CREW'!$T$3:$T$62,MATCH($C36,'PAX &amp; CREW'!$A$3:$A$62,0)),IF($E36="LICENCE",INDEX('PAX &amp; CREW'!$W$3:$W$62,MATCH($C36,'PAX &amp; CREW'!$A$3:$A$62,0)),IF($E36="MEDICAL",INDEX('PAX &amp; CREW'!$X$3:$X$62,MATCH($C36,'PAX &amp; CREW'!$A$3:$A$62,0)),"")))),""))</f>
        <v/>
      </c>
      <c r="AA36" t="str">
        <f>IF($C36="","",IFERROR(IF($E36="PASSPORT",INDEX('PAX &amp; CREW'!$N$3:$N$62,MATCH($C36,'PAX &amp; CREW'!$A$3:$A$62,0)),INDEX('PAX &amp; CREW'!$L$3:$L$62,MATCH($C36,'PAX &amp; CREW'!$A$3:$A$62,0))),""))</f>
        <v/>
      </c>
      <c r="AB36" t="str">
        <f t="shared" si="1"/>
        <v/>
      </c>
      <c r="AC36" t="str">
        <f t="shared" si="2"/>
        <v/>
      </c>
      <c r="AD36" t="str">
        <f t="shared" si="3"/>
        <v/>
      </c>
      <c r="AE36" t="str">
        <f t="shared" si="4"/>
        <v/>
      </c>
      <c r="AF36" t="str">
        <f t="shared" si="5"/>
        <v/>
      </c>
      <c r="AG36" t="str">
        <f t="shared" si="6"/>
        <v/>
      </c>
      <c r="AH36" t="str">
        <f t="shared" si="7"/>
        <v/>
      </c>
      <c r="AI36" s="4"/>
      <c r="AJ36" s="4"/>
      <c r="AK36" s="50"/>
      <c r="AL36" t="str">
        <f t="shared" si="8"/>
        <v/>
      </c>
      <c r="AM36" s="4"/>
    </row>
    <row r="37" spans="1:39" x14ac:dyDescent="0.3">
      <c r="A37" t="str">
        <f t="shared" si="0"/>
        <v/>
      </c>
      <c r="B37" t="str">
        <f>IF($C37="","",IFERROR(INDEX('PAX &amp; CREW'!$B$3:$B$62,MATCH($C37,'PAX &amp; CREW'!$A$3:$A$62,0)),""))</f>
        <v/>
      </c>
      <c r="C37" s="4"/>
      <c r="D37" t="str">
        <f>IF($C37="","",IFERROR(INDEX('PAX &amp; CREW'!$G$3:$G$62,MATCH($C37,'PAX &amp; CREW'!$A$3:$A$62,0))&amp;", "&amp;INDEX('PAX &amp; CREW'!$H$3:$H$62,MATCH($C37,'PAX &amp; CREW'!$A$3:$A$62,0)),"PERSON NOT FOUND"))</f>
        <v/>
      </c>
      <c r="E37" s="4"/>
      <c r="F37" s="4"/>
      <c r="G37" t="str">
        <f>IF(OR($C37="",$F37=""),"",IFERROR(INDEX('PAX &amp; CREW'!$AE$3:$AE$62,MATCH($C37,'PAX &amp; CREW'!$A$3:$A$62,0))&amp;"\"&amp;$F37,""))</f>
        <v/>
      </c>
      <c r="H37" s="4"/>
      <c r="I37" s="50"/>
      <c r="J37" s="4"/>
      <c r="K37" s="4"/>
      <c r="L37" s="4"/>
      <c r="M37" s="4"/>
      <c r="N37" s="4"/>
      <c r="O37" s="9"/>
      <c r="P37" s="9"/>
      <c r="Q37" s="9"/>
      <c r="R37" s="4"/>
      <c r="S37" s="4"/>
      <c r="T37" t="str">
        <f>IF($C37="","",IFERROR(IF($E37="PASSPORT",INDEX('PAX &amp; CREW'!$M$3:$M$62,MATCH($C37,'PAX &amp; CREW'!$A$3:$A$62,0)),IF($E37="VISA",INDEX('PAX &amp; CREW'!$S$3:$S$62,MATCH($C37,'PAX &amp; CREW'!$A$3:$A$62,0)),IF($E37="LICENCE",INDEX('PAX &amp; CREW'!$V$3:$V$62,MATCH($C37,'PAX &amp; CREW'!$A$3:$A$62,0)),IF($E37="CREW ID",INDEX('PAX &amp; CREW'!$Y$3:$Y$62,MATCH($C37,'PAX &amp; CREW'!$A$3:$A$62,0)),"")))),""))</f>
        <v/>
      </c>
      <c r="U37" t="str">
        <f>IF($C37="","",IFERROR(INDEX('PAX &amp; CREW'!$G$3:$G$62,MATCH($C37,'PAX &amp; CREW'!$A$3:$A$62,0)),""))</f>
        <v/>
      </c>
      <c r="V37" t="str">
        <f>IF($C37="","",IFERROR(INDEX('PAX &amp; CREW'!$H$3:$H$62,MATCH($C37,'PAX &amp; CREW'!$A$3:$A$62,0)),""))</f>
        <v/>
      </c>
      <c r="W37" t="str">
        <f>IF($C37="","",IFERROR(INDEX('PAX &amp; CREW'!$L$3:$L$62,MATCH($C37,'PAX &amp; CREW'!$A$3:$A$62,0)),""))</f>
        <v/>
      </c>
      <c r="X37" s="6" t="str">
        <f>IF($C37="","",IFERROR(INDEX('PAX &amp; CREW'!$J$3:$J$62,MATCH($C37,'PAX &amp; CREW'!$A$3:$A$62,0)),""))</f>
        <v/>
      </c>
      <c r="Y37" s="6" t="str">
        <f>IF($C37="","",IFERROR(IF($E37="PASSPORT",INDEX('PAX &amp; CREW'!$O$3:$O$62,MATCH($C37,'PAX &amp; CREW'!$A$3:$A$62,0)),""),""))</f>
        <v/>
      </c>
      <c r="Z37" s="6" t="str">
        <f>IF($C37="","",IFERROR(IF($E37="PASSPORT",INDEX('PAX &amp; CREW'!$P$3:$P$62,MATCH($C37,'PAX &amp; CREW'!$A$3:$A$62,0)),IF($E37="VISA",INDEX('PAX &amp; CREW'!$T$3:$T$62,MATCH($C37,'PAX &amp; CREW'!$A$3:$A$62,0)),IF($E37="LICENCE",INDEX('PAX &amp; CREW'!$W$3:$W$62,MATCH($C37,'PAX &amp; CREW'!$A$3:$A$62,0)),IF($E37="MEDICAL",INDEX('PAX &amp; CREW'!$X$3:$X$62,MATCH($C37,'PAX &amp; CREW'!$A$3:$A$62,0)),"")))),""))</f>
        <v/>
      </c>
      <c r="AA37" t="str">
        <f>IF($C37="","",IFERROR(IF($E37="PASSPORT",INDEX('PAX &amp; CREW'!$N$3:$N$62,MATCH($C37,'PAX &amp; CREW'!$A$3:$A$62,0)),INDEX('PAX &amp; CREW'!$L$3:$L$62,MATCH($C37,'PAX &amp; CREW'!$A$3:$A$62,0))),""))</f>
        <v/>
      </c>
      <c r="AB37" t="str">
        <f t="shared" si="1"/>
        <v/>
      </c>
      <c r="AC37" t="str">
        <f t="shared" si="2"/>
        <v/>
      </c>
      <c r="AD37" t="str">
        <f t="shared" si="3"/>
        <v/>
      </c>
      <c r="AE37" t="str">
        <f t="shared" si="4"/>
        <v/>
      </c>
      <c r="AF37" t="str">
        <f t="shared" si="5"/>
        <v/>
      </c>
      <c r="AG37" t="str">
        <f t="shared" si="6"/>
        <v/>
      </c>
      <c r="AH37" t="str">
        <f t="shared" si="7"/>
        <v/>
      </c>
      <c r="AI37" s="4"/>
      <c r="AJ37" s="4"/>
      <c r="AK37" s="50"/>
      <c r="AL37" t="str">
        <f t="shared" si="8"/>
        <v/>
      </c>
      <c r="AM37" s="4"/>
    </row>
    <row r="38" spans="1:39" x14ac:dyDescent="0.3">
      <c r="A38" t="str">
        <f t="shared" si="0"/>
        <v/>
      </c>
      <c r="B38" t="str">
        <f>IF($C38="","",IFERROR(INDEX('PAX &amp; CREW'!$B$3:$B$62,MATCH($C38,'PAX &amp; CREW'!$A$3:$A$62,0)),""))</f>
        <v/>
      </c>
      <c r="C38" s="4"/>
      <c r="D38" t="str">
        <f>IF($C38="","",IFERROR(INDEX('PAX &amp; CREW'!$G$3:$G$62,MATCH($C38,'PAX &amp; CREW'!$A$3:$A$62,0))&amp;", "&amp;INDEX('PAX &amp; CREW'!$H$3:$H$62,MATCH($C38,'PAX &amp; CREW'!$A$3:$A$62,0)),"PERSON NOT FOUND"))</f>
        <v/>
      </c>
      <c r="E38" s="4"/>
      <c r="F38" s="4"/>
      <c r="G38" t="str">
        <f>IF(OR($C38="",$F38=""),"",IFERROR(INDEX('PAX &amp; CREW'!$AE$3:$AE$62,MATCH($C38,'PAX &amp; CREW'!$A$3:$A$62,0))&amp;"\"&amp;$F38,""))</f>
        <v/>
      </c>
      <c r="H38" s="4"/>
      <c r="I38" s="50"/>
      <c r="J38" s="4"/>
      <c r="K38" s="4"/>
      <c r="L38" s="4"/>
      <c r="M38" s="4"/>
      <c r="N38" s="4"/>
      <c r="O38" s="9"/>
      <c r="P38" s="9"/>
      <c r="Q38" s="9"/>
      <c r="R38" s="4"/>
      <c r="S38" s="4"/>
      <c r="T38" t="str">
        <f>IF($C38="","",IFERROR(IF($E38="PASSPORT",INDEX('PAX &amp; CREW'!$M$3:$M$62,MATCH($C38,'PAX &amp; CREW'!$A$3:$A$62,0)),IF($E38="VISA",INDEX('PAX &amp; CREW'!$S$3:$S$62,MATCH($C38,'PAX &amp; CREW'!$A$3:$A$62,0)),IF($E38="LICENCE",INDEX('PAX &amp; CREW'!$V$3:$V$62,MATCH($C38,'PAX &amp; CREW'!$A$3:$A$62,0)),IF($E38="CREW ID",INDEX('PAX &amp; CREW'!$Y$3:$Y$62,MATCH($C38,'PAX &amp; CREW'!$A$3:$A$62,0)),"")))),""))</f>
        <v/>
      </c>
      <c r="U38" t="str">
        <f>IF($C38="","",IFERROR(INDEX('PAX &amp; CREW'!$G$3:$G$62,MATCH($C38,'PAX &amp; CREW'!$A$3:$A$62,0)),""))</f>
        <v/>
      </c>
      <c r="V38" t="str">
        <f>IF($C38="","",IFERROR(INDEX('PAX &amp; CREW'!$H$3:$H$62,MATCH($C38,'PAX &amp; CREW'!$A$3:$A$62,0)),""))</f>
        <v/>
      </c>
      <c r="W38" t="str">
        <f>IF($C38="","",IFERROR(INDEX('PAX &amp; CREW'!$L$3:$L$62,MATCH($C38,'PAX &amp; CREW'!$A$3:$A$62,0)),""))</f>
        <v/>
      </c>
      <c r="X38" s="6" t="str">
        <f>IF($C38="","",IFERROR(INDEX('PAX &amp; CREW'!$J$3:$J$62,MATCH($C38,'PAX &amp; CREW'!$A$3:$A$62,0)),""))</f>
        <v/>
      </c>
      <c r="Y38" s="6" t="str">
        <f>IF($C38="","",IFERROR(IF($E38="PASSPORT",INDEX('PAX &amp; CREW'!$O$3:$O$62,MATCH($C38,'PAX &amp; CREW'!$A$3:$A$62,0)),""),""))</f>
        <v/>
      </c>
      <c r="Z38" s="6" t="str">
        <f>IF($C38="","",IFERROR(IF($E38="PASSPORT",INDEX('PAX &amp; CREW'!$P$3:$P$62,MATCH($C38,'PAX &amp; CREW'!$A$3:$A$62,0)),IF($E38="VISA",INDEX('PAX &amp; CREW'!$T$3:$T$62,MATCH($C38,'PAX &amp; CREW'!$A$3:$A$62,0)),IF($E38="LICENCE",INDEX('PAX &amp; CREW'!$W$3:$W$62,MATCH($C38,'PAX &amp; CREW'!$A$3:$A$62,0)),IF($E38="MEDICAL",INDEX('PAX &amp; CREW'!$X$3:$X$62,MATCH($C38,'PAX &amp; CREW'!$A$3:$A$62,0)),"")))),""))</f>
        <v/>
      </c>
      <c r="AA38" t="str">
        <f>IF($C38="","",IFERROR(IF($E38="PASSPORT",INDEX('PAX &amp; CREW'!$N$3:$N$62,MATCH($C38,'PAX &amp; CREW'!$A$3:$A$62,0)),INDEX('PAX &amp; CREW'!$L$3:$L$62,MATCH($C38,'PAX &amp; CREW'!$A$3:$A$62,0))),""))</f>
        <v/>
      </c>
      <c r="AB38" t="str">
        <f t="shared" si="1"/>
        <v/>
      </c>
      <c r="AC38" t="str">
        <f t="shared" si="2"/>
        <v/>
      </c>
      <c r="AD38" t="str">
        <f t="shared" si="3"/>
        <v/>
      </c>
      <c r="AE38" t="str">
        <f t="shared" si="4"/>
        <v/>
      </c>
      <c r="AF38" t="str">
        <f t="shared" si="5"/>
        <v/>
      </c>
      <c r="AG38" t="str">
        <f t="shared" si="6"/>
        <v/>
      </c>
      <c r="AH38" t="str">
        <f t="shared" si="7"/>
        <v/>
      </c>
      <c r="AI38" s="4"/>
      <c r="AJ38" s="4"/>
      <c r="AK38" s="50"/>
      <c r="AL38" t="str">
        <f t="shared" si="8"/>
        <v/>
      </c>
      <c r="AM38" s="4"/>
    </row>
    <row r="39" spans="1:39" x14ac:dyDescent="0.3">
      <c r="A39" t="str">
        <f t="shared" si="0"/>
        <v/>
      </c>
      <c r="B39" t="str">
        <f>IF($C39="","",IFERROR(INDEX('PAX &amp; CREW'!$B$3:$B$62,MATCH($C39,'PAX &amp; CREW'!$A$3:$A$62,0)),""))</f>
        <v/>
      </c>
      <c r="C39" s="4"/>
      <c r="D39" t="str">
        <f>IF($C39="","",IFERROR(INDEX('PAX &amp; CREW'!$G$3:$G$62,MATCH($C39,'PAX &amp; CREW'!$A$3:$A$62,0))&amp;", "&amp;INDEX('PAX &amp; CREW'!$H$3:$H$62,MATCH($C39,'PAX &amp; CREW'!$A$3:$A$62,0)),"PERSON NOT FOUND"))</f>
        <v/>
      </c>
      <c r="E39" s="4"/>
      <c r="F39" s="4"/>
      <c r="G39" t="str">
        <f>IF(OR($C39="",$F39=""),"",IFERROR(INDEX('PAX &amp; CREW'!$AE$3:$AE$62,MATCH($C39,'PAX &amp; CREW'!$A$3:$A$62,0))&amp;"\"&amp;$F39,""))</f>
        <v/>
      </c>
      <c r="H39" s="4"/>
      <c r="I39" s="50"/>
      <c r="J39" s="4"/>
      <c r="K39" s="4"/>
      <c r="L39" s="4"/>
      <c r="M39" s="4"/>
      <c r="N39" s="4"/>
      <c r="O39" s="9"/>
      <c r="P39" s="9"/>
      <c r="Q39" s="9"/>
      <c r="R39" s="4"/>
      <c r="S39" s="4"/>
      <c r="T39" t="str">
        <f>IF($C39="","",IFERROR(IF($E39="PASSPORT",INDEX('PAX &amp; CREW'!$M$3:$M$62,MATCH($C39,'PAX &amp; CREW'!$A$3:$A$62,0)),IF($E39="VISA",INDEX('PAX &amp; CREW'!$S$3:$S$62,MATCH($C39,'PAX &amp; CREW'!$A$3:$A$62,0)),IF($E39="LICENCE",INDEX('PAX &amp; CREW'!$V$3:$V$62,MATCH($C39,'PAX &amp; CREW'!$A$3:$A$62,0)),IF($E39="CREW ID",INDEX('PAX &amp; CREW'!$Y$3:$Y$62,MATCH($C39,'PAX &amp; CREW'!$A$3:$A$62,0)),"")))),""))</f>
        <v/>
      </c>
      <c r="U39" t="str">
        <f>IF($C39="","",IFERROR(INDEX('PAX &amp; CREW'!$G$3:$G$62,MATCH($C39,'PAX &amp; CREW'!$A$3:$A$62,0)),""))</f>
        <v/>
      </c>
      <c r="V39" t="str">
        <f>IF($C39="","",IFERROR(INDEX('PAX &amp; CREW'!$H$3:$H$62,MATCH($C39,'PAX &amp; CREW'!$A$3:$A$62,0)),""))</f>
        <v/>
      </c>
      <c r="W39" t="str">
        <f>IF($C39="","",IFERROR(INDEX('PAX &amp; CREW'!$L$3:$L$62,MATCH($C39,'PAX &amp; CREW'!$A$3:$A$62,0)),""))</f>
        <v/>
      </c>
      <c r="X39" s="6" t="str">
        <f>IF($C39="","",IFERROR(INDEX('PAX &amp; CREW'!$J$3:$J$62,MATCH($C39,'PAX &amp; CREW'!$A$3:$A$62,0)),""))</f>
        <v/>
      </c>
      <c r="Y39" s="6" t="str">
        <f>IF($C39="","",IFERROR(IF($E39="PASSPORT",INDEX('PAX &amp; CREW'!$O$3:$O$62,MATCH($C39,'PAX &amp; CREW'!$A$3:$A$62,0)),""),""))</f>
        <v/>
      </c>
      <c r="Z39" s="6" t="str">
        <f>IF($C39="","",IFERROR(IF($E39="PASSPORT",INDEX('PAX &amp; CREW'!$P$3:$P$62,MATCH($C39,'PAX &amp; CREW'!$A$3:$A$62,0)),IF($E39="VISA",INDEX('PAX &amp; CREW'!$T$3:$T$62,MATCH($C39,'PAX &amp; CREW'!$A$3:$A$62,0)),IF($E39="LICENCE",INDEX('PAX &amp; CREW'!$W$3:$W$62,MATCH($C39,'PAX &amp; CREW'!$A$3:$A$62,0)),IF($E39="MEDICAL",INDEX('PAX &amp; CREW'!$X$3:$X$62,MATCH($C39,'PAX &amp; CREW'!$A$3:$A$62,0)),"")))),""))</f>
        <v/>
      </c>
      <c r="AA39" t="str">
        <f>IF($C39="","",IFERROR(IF($E39="PASSPORT",INDEX('PAX &amp; CREW'!$N$3:$N$62,MATCH($C39,'PAX &amp; CREW'!$A$3:$A$62,0)),INDEX('PAX &amp; CREW'!$L$3:$L$62,MATCH($C39,'PAX &amp; CREW'!$A$3:$A$62,0))),""))</f>
        <v/>
      </c>
      <c r="AB39" t="str">
        <f t="shared" si="1"/>
        <v/>
      </c>
      <c r="AC39" t="str">
        <f t="shared" si="2"/>
        <v/>
      </c>
      <c r="AD39" t="str">
        <f t="shared" si="3"/>
        <v/>
      </c>
      <c r="AE39" t="str">
        <f t="shared" si="4"/>
        <v/>
      </c>
      <c r="AF39" t="str">
        <f t="shared" si="5"/>
        <v/>
      </c>
      <c r="AG39" t="str">
        <f t="shared" si="6"/>
        <v/>
      </c>
      <c r="AH39" t="str">
        <f t="shared" si="7"/>
        <v/>
      </c>
      <c r="AI39" s="4"/>
      <c r="AJ39" s="4"/>
      <c r="AK39" s="50"/>
      <c r="AL39" t="str">
        <f t="shared" si="8"/>
        <v/>
      </c>
      <c r="AM39" s="4"/>
    </row>
    <row r="40" spans="1:39" x14ac:dyDescent="0.3">
      <c r="A40" t="str">
        <f t="shared" si="0"/>
        <v/>
      </c>
      <c r="B40" t="str">
        <f>IF($C40="","",IFERROR(INDEX('PAX &amp; CREW'!$B$3:$B$62,MATCH($C40,'PAX &amp; CREW'!$A$3:$A$62,0)),""))</f>
        <v/>
      </c>
      <c r="C40" s="4"/>
      <c r="D40" t="str">
        <f>IF($C40="","",IFERROR(INDEX('PAX &amp; CREW'!$G$3:$G$62,MATCH($C40,'PAX &amp; CREW'!$A$3:$A$62,0))&amp;", "&amp;INDEX('PAX &amp; CREW'!$H$3:$H$62,MATCH($C40,'PAX &amp; CREW'!$A$3:$A$62,0)),"PERSON NOT FOUND"))</f>
        <v/>
      </c>
      <c r="E40" s="4"/>
      <c r="F40" s="4"/>
      <c r="G40" t="str">
        <f>IF(OR($C40="",$F40=""),"",IFERROR(INDEX('PAX &amp; CREW'!$AE$3:$AE$62,MATCH($C40,'PAX &amp; CREW'!$A$3:$A$62,0))&amp;"\"&amp;$F40,""))</f>
        <v/>
      </c>
      <c r="H40" s="4"/>
      <c r="I40" s="50"/>
      <c r="J40" s="4"/>
      <c r="K40" s="4"/>
      <c r="L40" s="4"/>
      <c r="M40" s="4"/>
      <c r="N40" s="4"/>
      <c r="O40" s="9"/>
      <c r="P40" s="9"/>
      <c r="Q40" s="9"/>
      <c r="R40" s="4"/>
      <c r="S40" s="4"/>
      <c r="T40" t="str">
        <f>IF($C40="","",IFERROR(IF($E40="PASSPORT",INDEX('PAX &amp; CREW'!$M$3:$M$62,MATCH($C40,'PAX &amp; CREW'!$A$3:$A$62,0)),IF($E40="VISA",INDEX('PAX &amp; CREW'!$S$3:$S$62,MATCH($C40,'PAX &amp; CREW'!$A$3:$A$62,0)),IF($E40="LICENCE",INDEX('PAX &amp; CREW'!$V$3:$V$62,MATCH($C40,'PAX &amp; CREW'!$A$3:$A$62,0)),IF($E40="CREW ID",INDEX('PAX &amp; CREW'!$Y$3:$Y$62,MATCH($C40,'PAX &amp; CREW'!$A$3:$A$62,0)),"")))),""))</f>
        <v/>
      </c>
      <c r="U40" t="str">
        <f>IF($C40="","",IFERROR(INDEX('PAX &amp; CREW'!$G$3:$G$62,MATCH($C40,'PAX &amp; CREW'!$A$3:$A$62,0)),""))</f>
        <v/>
      </c>
      <c r="V40" t="str">
        <f>IF($C40="","",IFERROR(INDEX('PAX &amp; CREW'!$H$3:$H$62,MATCH($C40,'PAX &amp; CREW'!$A$3:$A$62,0)),""))</f>
        <v/>
      </c>
      <c r="W40" t="str">
        <f>IF($C40="","",IFERROR(INDEX('PAX &amp; CREW'!$L$3:$L$62,MATCH($C40,'PAX &amp; CREW'!$A$3:$A$62,0)),""))</f>
        <v/>
      </c>
      <c r="X40" s="6" t="str">
        <f>IF($C40="","",IFERROR(INDEX('PAX &amp; CREW'!$J$3:$J$62,MATCH($C40,'PAX &amp; CREW'!$A$3:$A$62,0)),""))</f>
        <v/>
      </c>
      <c r="Y40" s="6" t="str">
        <f>IF($C40="","",IFERROR(IF($E40="PASSPORT",INDEX('PAX &amp; CREW'!$O$3:$O$62,MATCH($C40,'PAX &amp; CREW'!$A$3:$A$62,0)),""),""))</f>
        <v/>
      </c>
      <c r="Z40" s="6" t="str">
        <f>IF($C40="","",IFERROR(IF($E40="PASSPORT",INDEX('PAX &amp; CREW'!$P$3:$P$62,MATCH($C40,'PAX &amp; CREW'!$A$3:$A$62,0)),IF($E40="VISA",INDEX('PAX &amp; CREW'!$T$3:$T$62,MATCH($C40,'PAX &amp; CREW'!$A$3:$A$62,0)),IF($E40="LICENCE",INDEX('PAX &amp; CREW'!$W$3:$W$62,MATCH($C40,'PAX &amp; CREW'!$A$3:$A$62,0)),IF($E40="MEDICAL",INDEX('PAX &amp; CREW'!$X$3:$X$62,MATCH($C40,'PAX &amp; CREW'!$A$3:$A$62,0)),"")))),""))</f>
        <v/>
      </c>
      <c r="AA40" t="str">
        <f>IF($C40="","",IFERROR(IF($E40="PASSPORT",INDEX('PAX &amp; CREW'!$N$3:$N$62,MATCH($C40,'PAX &amp; CREW'!$A$3:$A$62,0)),INDEX('PAX &amp; CREW'!$L$3:$L$62,MATCH($C40,'PAX &amp; CREW'!$A$3:$A$62,0))),""))</f>
        <v/>
      </c>
      <c r="AB40" t="str">
        <f t="shared" si="1"/>
        <v/>
      </c>
      <c r="AC40" t="str">
        <f t="shared" si="2"/>
        <v/>
      </c>
      <c r="AD40" t="str">
        <f t="shared" si="3"/>
        <v/>
      </c>
      <c r="AE40" t="str">
        <f t="shared" si="4"/>
        <v/>
      </c>
      <c r="AF40" t="str">
        <f t="shared" si="5"/>
        <v/>
      </c>
      <c r="AG40" t="str">
        <f t="shared" si="6"/>
        <v/>
      </c>
      <c r="AH40" t="str">
        <f t="shared" si="7"/>
        <v/>
      </c>
      <c r="AI40" s="4"/>
      <c r="AJ40" s="4"/>
      <c r="AK40" s="50"/>
      <c r="AL40" t="str">
        <f t="shared" si="8"/>
        <v/>
      </c>
      <c r="AM40" s="4"/>
    </row>
    <row r="41" spans="1:39" x14ac:dyDescent="0.3">
      <c r="A41" t="str">
        <f t="shared" si="0"/>
        <v/>
      </c>
      <c r="B41" t="str">
        <f>IF($C41="","",IFERROR(INDEX('PAX &amp; CREW'!$B$3:$B$62,MATCH($C41,'PAX &amp; CREW'!$A$3:$A$62,0)),""))</f>
        <v/>
      </c>
      <c r="C41" s="4"/>
      <c r="D41" t="str">
        <f>IF($C41="","",IFERROR(INDEX('PAX &amp; CREW'!$G$3:$G$62,MATCH($C41,'PAX &amp; CREW'!$A$3:$A$62,0))&amp;", "&amp;INDEX('PAX &amp; CREW'!$H$3:$H$62,MATCH($C41,'PAX &amp; CREW'!$A$3:$A$62,0)),"PERSON NOT FOUND"))</f>
        <v/>
      </c>
      <c r="E41" s="4"/>
      <c r="F41" s="4"/>
      <c r="G41" t="str">
        <f>IF(OR($C41="",$F41=""),"",IFERROR(INDEX('PAX &amp; CREW'!$AE$3:$AE$62,MATCH($C41,'PAX &amp; CREW'!$A$3:$A$62,0))&amp;"\"&amp;$F41,""))</f>
        <v/>
      </c>
      <c r="H41" s="4"/>
      <c r="I41" s="50"/>
      <c r="J41" s="4"/>
      <c r="K41" s="4"/>
      <c r="L41" s="4"/>
      <c r="M41" s="4"/>
      <c r="N41" s="4"/>
      <c r="O41" s="9"/>
      <c r="P41" s="9"/>
      <c r="Q41" s="9"/>
      <c r="R41" s="4"/>
      <c r="S41" s="4"/>
      <c r="T41" t="str">
        <f>IF($C41="","",IFERROR(IF($E41="PASSPORT",INDEX('PAX &amp; CREW'!$M$3:$M$62,MATCH($C41,'PAX &amp; CREW'!$A$3:$A$62,0)),IF($E41="VISA",INDEX('PAX &amp; CREW'!$S$3:$S$62,MATCH($C41,'PAX &amp; CREW'!$A$3:$A$62,0)),IF($E41="LICENCE",INDEX('PAX &amp; CREW'!$V$3:$V$62,MATCH($C41,'PAX &amp; CREW'!$A$3:$A$62,0)),IF($E41="CREW ID",INDEX('PAX &amp; CREW'!$Y$3:$Y$62,MATCH($C41,'PAX &amp; CREW'!$A$3:$A$62,0)),"")))),""))</f>
        <v/>
      </c>
      <c r="U41" t="str">
        <f>IF($C41="","",IFERROR(INDEX('PAX &amp; CREW'!$G$3:$G$62,MATCH($C41,'PAX &amp; CREW'!$A$3:$A$62,0)),""))</f>
        <v/>
      </c>
      <c r="V41" t="str">
        <f>IF($C41="","",IFERROR(INDEX('PAX &amp; CREW'!$H$3:$H$62,MATCH($C41,'PAX &amp; CREW'!$A$3:$A$62,0)),""))</f>
        <v/>
      </c>
      <c r="W41" t="str">
        <f>IF($C41="","",IFERROR(INDEX('PAX &amp; CREW'!$L$3:$L$62,MATCH($C41,'PAX &amp; CREW'!$A$3:$A$62,0)),""))</f>
        <v/>
      </c>
      <c r="X41" s="6" t="str">
        <f>IF($C41="","",IFERROR(INDEX('PAX &amp; CREW'!$J$3:$J$62,MATCH($C41,'PAX &amp; CREW'!$A$3:$A$62,0)),""))</f>
        <v/>
      </c>
      <c r="Y41" s="6" t="str">
        <f>IF($C41="","",IFERROR(IF($E41="PASSPORT",INDEX('PAX &amp; CREW'!$O$3:$O$62,MATCH($C41,'PAX &amp; CREW'!$A$3:$A$62,0)),""),""))</f>
        <v/>
      </c>
      <c r="Z41" s="6" t="str">
        <f>IF($C41="","",IFERROR(IF($E41="PASSPORT",INDEX('PAX &amp; CREW'!$P$3:$P$62,MATCH($C41,'PAX &amp; CREW'!$A$3:$A$62,0)),IF($E41="VISA",INDEX('PAX &amp; CREW'!$T$3:$T$62,MATCH($C41,'PAX &amp; CREW'!$A$3:$A$62,0)),IF($E41="LICENCE",INDEX('PAX &amp; CREW'!$W$3:$W$62,MATCH($C41,'PAX &amp; CREW'!$A$3:$A$62,0)),IF($E41="MEDICAL",INDEX('PAX &amp; CREW'!$X$3:$X$62,MATCH($C41,'PAX &amp; CREW'!$A$3:$A$62,0)),"")))),""))</f>
        <v/>
      </c>
      <c r="AA41" t="str">
        <f>IF($C41="","",IFERROR(IF($E41="PASSPORT",INDEX('PAX &amp; CREW'!$N$3:$N$62,MATCH($C41,'PAX &amp; CREW'!$A$3:$A$62,0)),INDEX('PAX &amp; CREW'!$L$3:$L$62,MATCH($C41,'PAX &amp; CREW'!$A$3:$A$62,0))),""))</f>
        <v/>
      </c>
      <c r="AB41" t="str">
        <f t="shared" si="1"/>
        <v/>
      </c>
      <c r="AC41" t="str">
        <f t="shared" si="2"/>
        <v/>
      </c>
      <c r="AD41" t="str">
        <f t="shared" si="3"/>
        <v/>
      </c>
      <c r="AE41" t="str">
        <f t="shared" si="4"/>
        <v/>
      </c>
      <c r="AF41" t="str">
        <f t="shared" si="5"/>
        <v/>
      </c>
      <c r="AG41" t="str">
        <f t="shared" si="6"/>
        <v/>
      </c>
      <c r="AH41" t="str">
        <f t="shared" si="7"/>
        <v/>
      </c>
      <c r="AI41" s="4"/>
      <c r="AJ41" s="4"/>
      <c r="AK41" s="50"/>
      <c r="AL41" t="str">
        <f t="shared" si="8"/>
        <v/>
      </c>
      <c r="AM41" s="4"/>
    </row>
    <row r="42" spans="1:39" x14ac:dyDescent="0.3">
      <c r="A42" t="str">
        <f t="shared" si="0"/>
        <v/>
      </c>
      <c r="B42" t="str">
        <f>IF($C42="","",IFERROR(INDEX('PAX &amp; CREW'!$B$3:$B$62,MATCH($C42,'PAX &amp; CREW'!$A$3:$A$62,0)),""))</f>
        <v/>
      </c>
      <c r="C42" s="4"/>
      <c r="D42" t="str">
        <f>IF($C42="","",IFERROR(INDEX('PAX &amp; CREW'!$G$3:$G$62,MATCH($C42,'PAX &amp; CREW'!$A$3:$A$62,0))&amp;", "&amp;INDEX('PAX &amp; CREW'!$H$3:$H$62,MATCH($C42,'PAX &amp; CREW'!$A$3:$A$62,0)),"PERSON NOT FOUND"))</f>
        <v/>
      </c>
      <c r="E42" s="4"/>
      <c r="F42" s="4"/>
      <c r="G42" t="str">
        <f>IF(OR($C42="",$F42=""),"",IFERROR(INDEX('PAX &amp; CREW'!$AE$3:$AE$62,MATCH($C42,'PAX &amp; CREW'!$A$3:$A$62,0))&amp;"\"&amp;$F42,""))</f>
        <v/>
      </c>
      <c r="H42" s="4"/>
      <c r="I42" s="50"/>
      <c r="J42" s="4"/>
      <c r="K42" s="4"/>
      <c r="L42" s="4"/>
      <c r="M42" s="4"/>
      <c r="N42" s="4"/>
      <c r="O42" s="9"/>
      <c r="P42" s="9"/>
      <c r="Q42" s="9"/>
      <c r="R42" s="4"/>
      <c r="S42" s="4"/>
      <c r="T42" t="str">
        <f>IF($C42="","",IFERROR(IF($E42="PASSPORT",INDEX('PAX &amp; CREW'!$M$3:$M$62,MATCH($C42,'PAX &amp; CREW'!$A$3:$A$62,0)),IF($E42="VISA",INDEX('PAX &amp; CREW'!$S$3:$S$62,MATCH($C42,'PAX &amp; CREW'!$A$3:$A$62,0)),IF($E42="LICENCE",INDEX('PAX &amp; CREW'!$V$3:$V$62,MATCH($C42,'PAX &amp; CREW'!$A$3:$A$62,0)),IF($E42="CREW ID",INDEX('PAX &amp; CREW'!$Y$3:$Y$62,MATCH($C42,'PAX &amp; CREW'!$A$3:$A$62,0)),"")))),""))</f>
        <v/>
      </c>
      <c r="U42" t="str">
        <f>IF($C42="","",IFERROR(INDEX('PAX &amp; CREW'!$G$3:$G$62,MATCH($C42,'PAX &amp; CREW'!$A$3:$A$62,0)),""))</f>
        <v/>
      </c>
      <c r="V42" t="str">
        <f>IF($C42="","",IFERROR(INDEX('PAX &amp; CREW'!$H$3:$H$62,MATCH($C42,'PAX &amp; CREW'!$A$3:$A$62,0)),""))</f>
        <v/>
      </c>
      <c r="W42" t="str">
        <f>IF($C42="","",IFERROR(INDEX('PAX &amp; CREW'!$L$3:$L$62,MATCH($C42,'PAX &amp; CREW'!$A$3:$A$62,0)),""))</f>
        <v/>
      </c>
      <c r="X42" s="6" t="str">
        <f>IF($C42="","",IFERROR(INDEX('PAX &amp; CREW'!$J$3:$J$62,MATCH($C42,'PAX &amp; CREW'!$A$3:$A$62,0)),""))</f>
        <v/>
      </c>
      <c r="Y42" s="6" t="str">
        <f>IF($C42="","",IFERROR(IF($E42="PASSPORT",INDEX('PAX &amp; CREW'!$O$3:$O$62,MATCH($C42,'PAX &amp; CREW'!$A$3:$A$62,0)),""),""))</f>
        <v/>
      </c>
      <c r="Z42" s="6" t="str">
        <f>IF($C42="","",IFERROR(IF($E42="PASSPORT",INDEX('PAX &amp; CREW'!$P$3:$P$62,MATCH($C42,'PAX &amp; CREW'!$A$3:$A$62,0)),IF($E42="VISA",INDEX('PAX &amp; CREW'!$T$3:$T$62,MATCH($C42,'PAX &amp; CREW'!$A$3:$A$62,0)),IF($E42="LICENCE",INDEX('PAX &amp; CREW'!$W$3:$W$62,MATCH($C42,'PAX &amp; CREW'!$A$3:$A$62,0)),IF($E42="MEDICAL",INDEX('PAX &amp; CREW'!$X$3:$X$62,MATCH($C42,'PAX &amp; CREW'!$A$3:$A$62,0)),"")))),""))</f>
        <v/>
      </c>
      <c r="AA42" t="str">
        <f>IF($C42="","",IFERROR(IF($E42="PASSPORT",INDEX('PAX &amp; CREW'!$N$3:$N$62,MATCH($C42,'PAX &amp; CREW'!$A$3:$A$62,0)),INDEX('PAX &amp; CREW'!$L$3:$L$62,MATCH($C42,'PAX &amp; CREW'!$A$3:$A$62,0))),""))</f>
        <v/>
      </c>
      <c r="AB42" t="str">
        <f t="shared" si="1"/>
        <v/>
      </c>
      <c r="AC42" t="str">
        <f t="shared" si="2"/>
        <v/>
      </c>
      <c r="AD42" t="str">
        <f t="shared" si="3"/>
        <v/>
      </c>
      <c r="AE42" t="str">
        <f t="shared" si="4"/>
        <v/>
      </c>
      <c r="AF42" t="str">
        <f t="shared" si="5"/>
        <v/>
      </c>
      <c r="AG42" t="str">
        <f t="shared" si="6"/>
        <v/>
      </c>
      <c r="AH42" t="str">
        <f t="shared" si="7"/>
        <v/>
      </c>
      <c r="AI42" s="4"/>
      <c r="AJ42" s="4"/>
      <c r="AK42" s="50"/>
      <c r="AL42" t="str">
        <f t="shared" si="8"/>
        <v/>
      </c>
      <c r="AM42" s="4"/>
    </row>
    <row r="43" spans="1:39" x14ac:dyDescent="0.3">
      <c r="A43" t="str">
        <f t="shared" si="0"/>
        <v/>
      </c>
      <c r="B43" t="str">
        <f>IF($C43="","",IFERROR(INDEX('PAX &amp; CREW'!$B$3:$B$62,MATCH($C43,'PAX &amp; CREW'!$A$3:$A$62,0)),""))</f>
        <v/>
      </c>
      <c r="C43" s="4"/>
      <c r="D43" t="str">
        <f>IF($C43="","",IFERROR(INDEX('PAX &amp; CREW'!$G$3:$G$62,MATCH($C43,'PAX &amp; CREW'!$A$3:$A$62,0))&amp;", "&amp;INDEX('PAX &amp; CREW'!$H$3:$H$62,MATCH($C43,'PAX &amp; CREW'!$A$3:$A$62,0)),"PERSON NOT FOUND"))</f>
        <v/>
      </c>
      <c r="E43" s="4"/>
      <c r="F43" s="4"/>
      <c r="G43" t="str">
        <f>IF(OR($C43="",$F43=""),"",IFERROR(INDEX('PAX &amp; CREW'!$AE$3:$AE$62,MATCH($C43,'PAX &amp; CREW'!$A$3:$A$62,0))&amp;"\"&amp;$F43,""))</f>
        <v/>
      </c>
      <c r="H43" s="4"/>
      <c r="I43" s="50"/>
      <c r="J43" s="4"/>
      <c r="K43" s="4"/>
      <c r="L43" s="4"/>
      <c r="M43" s="4"/>
      <c r="N43" s="4"/>
      <c r="O43" s="9"/>
      <c r="P43" s="9"/>
      <c r="Q43" s="9"/>
      <c r="R43" s="4"/>
      <c r="S43" s="4"/>
      <c r="T43" t="str">
        <f>IF($C43="","",IFERROR(IF($E43="PASSPORT",INDEX('PAX &amp; CREW'!$M$3:$M$62,MATCH($C43,'PAX &amp; CREW'!$A$3:$A$62,0)),IF($E43="VISA",INDEX('PAX &amp; CREW'!$S$3:$S$62,MATCH($C43,'PAX &amp; CREW'!$A$3:$A$62,0)),IF($E43="LICENCE",INDEX('PAX &amp; CREW'!$V$3:$V$62,MATCH($C43,'PAX &amp; CREW'!$A$3:$A$62,0)),IF($E43="CREW ID",INDEX('PAX &amp; CREW'!$Y$3:$Y$62,MATCH($C43,'PAX &amp; CREW'!$A$3:$A$62,0)),"")))),""))</f>
        <v/>
      </c>
      <c r="U43" t="str">
        <f>IF($C43="","",IFERROR(INDEX('PAX &amp; CREW'!$G$3:$G$62,MATCH($C43,'PAX &amp; CREW'!$A$3:$A$62,0)),""))</f>
        <v/>
      </c>
      <c r="V43" t="str">
        <f>IF($C43="","",IFERROR(INDEX('PAX &amp; CREW'!$H$3:$H$62,MATCH($C43,'PAX &amp; CREW'!$A$3:$A$62,0)),""))</f>
        <v/>
      </c>
      <c r="W43" t="str">
        <f>IF($C43="","",IFERROR(INDEX('PAX &amp; CREW'!$L$3:$L$62,MATCH($C43,'PAX &amp; CREW'!$A$3:$A$62,0)),""))</f>
        <v/>
      </c>
      <c r="X43" s="6" t="str">
        <f>IF($C43="","",IFERROR(INDEX('PAX &amp; CREW'!$J$3:$J$62,MATCH($C43,'PAX &amp; CREW'!$A$3:$A$62,0)),""))</f>
        <v/>
      </c>
      <c r="Y43" s="6" t="str">
        <f>IF($C43="","",IFERROR(IF($E43="PASSPORT",INDEX('PAX &amp; CREW'!$O$3:$O$62,MATCH($C43,'PAX &amp; CREW'!$A$3:$A$62,0)),""),""))</f>
        <v/>
      </c>
      <c r="Z43" s="6" t="str">
        <f>IF($C43="","",IFERROR(IF($E43="PASSPORT",INDEX('PAX &amp; CREW'!$P$3:$P$62,MATCH($C43,'PAX &amp; CREW'!$A$3:$A$62,0)),IF($E43="VISA",INDEX('PAX &amp; CREW'!$T$3:$T$62,MATCH($C43,'PAX &amp; CREW'!$A$3:$A$62,0)),IF($E43="LICENCE",INDEX('PAX &amp; CREW'!$W$3:$W$62,MATCH($C43,'PAX &amp; CREW'!$A$3:$A$62,0)),IF($E43="MEDICAL",INDEX('PAX &amp; CREW'!$X$3:$X$62,MATCH($C43,'PAX &amp; CREW'!$A$3:$A$62,0)),"")))),""))</f>
        <v/>
      </c>
      <c r="AA43" t="str">
        <f>IF($C43="","",IFERROR(IF($E43="PASSPORT",INDEX('PAX &amp; CREW'!$N$3:$N$62,MATCH($C43,'PAX &amp; CREW'!$A$3:$A$62,0)),INDEX('PAX &amp; CREW'!$L$3:$L$62,MATCH($C43,'PAX &amp; CREW'!$A$3:$A$62,0))),""))</f>
        <v/>
      </c>
      <c r="AB43" t="str">
        <f t="shared" si="1"/>
        <v/>
      </c>
      <c r="AC43" t="str">
        <f t="shared" si="2"/>
        <v/>
      </c>
      <c r="AD43" t="str">
        <f t="shared" si="3"/>
        <v/>
      </c>
      <c r="AE43" t="str">
        <f t="shared" si="4"/>
        <v/>
      </c>
      <c r="AF43" t="str">
        <f t="shared" si="5"/>
        <v/>
      </c>
      <c r="AG43" t="str">
        <f t="shared" si="6"/>
        <v/>
      </c>
      <c r="AH43" t="str">
        <f t="shared" si="7"/>
        <v/>
      </c>
      <c r="AI43" s="4"/>
      <c r="AJ43" s="4"/>
      <c r="AK43" s="50"/>
      <c r="AL43" t="str">
        <f t="shared" si="8"/>
        <v/>
      </c>
      <c r="AM43" s="4"/>
    </row>
    <row r="44" spans="1:39" x14ac:dyDescent="0.3">
      <c r="A44" t="str">
        <f t="shared" si="0"/>
        <v/>
      </c>
      <c r="B44" t="str">
        <f>IF($C44="","",IFERROR(INDEX('PAX &amp; CREW'!$B$3:$B$62,MATCH($C44,'PAX &amp; CREW'!$A$3:$A$62,0)),""))</f>
        <v/>
      </c>
      <c r="C44" s="4"/>
      <c r="D44" t="str">
        <f>IF($C44="","",IFERROR(INDEX('PAX &amp; CREW'!$G$3:$G$62,MATCH($C44,'PAX &amp; CREW'!$A$3:$A$62,0))&amp;", "&amp;INDEX('PAX &amp; CREW'!$H$3:$H$62,MATCH($C44,'PAX &amp; CREW'!$A$3:$A$62,0)),"PERSON NOT FOUND"))</f>
        <v/>
      </c>
      <c r="E44" s="4"/>
      <c r="F44" s="4"/>
      <c r="G44" t="str">
        <f>IF(OR($C44="",$F44=""),"",IFERROR(INDEX('PAX &amp; CREW'!$AE$3:$AE$62,MATCH($C44,'PAX &amp; CREW'!$A$3:$A$62,0))&amp;"\"&amp;$F44,""))</f>
        <v/>
      </c>
      <c r="H44" s="4"/>
      <c r="I44" s="50"/>
      <c r="J44" s="4"/>
      <c r="K44" s="4"/>
      <c r="L44" s="4"/>
      <c r="M44" s="4"/>
      <c r="N44" s="4"/>
      <c r="O44" s="9"/>
      <c r="P44" s="9"/>
      <c r="Q44" s="9"/>
      <c r="R44" s="4"/>
      <c r="S44" s="4"/>
      <c r="T44" t="str">
        <f>IF($C44="","",IFERROR(IF($E44="PASSPORT",INDEX('PAX &amp; CREW'!$M$3:$M$62,MATCH($C44,'PAX &amp; CREW'!$A$3:$A$62,0)),IF($E44="VISA",INDEX('PAX &amp; CREW'!$S$3:$S$62,MATCH($C44,'PAX &amp; CREW'!$A$3:$A$62,0)),IF($E44="LICENCE",INDEX('PAX &amp; CREW'!$V$3:$V$62,MATCH($C44,'PAX &amp; CREW'!$A$3:$A$62,0)),IF($E44="CREW ID",INDEX('PAX &amp; CREW'!$Y$3:$Y$62,MATCH($C44,'PAX &amp; CREW'!$A$3:$A$62,0)),"")))),""))</f>
        <v/>
      </c>
      <c r="U44" t="str">
        <f>IF($C44="","",IFERROR(INDEX('PAX &amp; CREW'!$G$3:$G$62,MATCH($C44,'PAX &amp; CREW'!$A$3:$A$62,0)),""))</f>
        <v/>
      </c>
      <c r="V44" t="str">
        <f>IF($C44="","",IFERROR(INDEX('PAX &amp; CREW'!$H$3:$H$62,MATCH($C44,'PAX &amp; CREW'!$A$3:$A$62,0)),""))</f>
        <v/>
      </c>
      <c r="W44" t="str">
        <f>IF($C44="","",IFERROR(INDEX('PAX &amp; CREW'!$L$3:$L$62,MATCH($C44,'PAX &amp; CREW'!$A$3:$A$62,0)),""))</f>
        <v/>
      </c>
      <c r="X44" s="6" t="str">
        <f>IF($C44="","",IFERROR(INDEX('PAX &amp; CREW'!$J$3:$J$62,MATCH($C44,'PAX &amp; CREW'!$A$3:$A$62,0)),""))</f>
        <v/>
      </c>
      <c r="Y44" s="6" t="str">
        <f>IF($C44="","",IFERROR(IF($E44="PASSPORT",INDEX('PAX &amp; CREW'!$O$3:$O$62,MATCH($C44,'PAX &amp; CREW'!$A$3:$A$62,0)),""),""))</f>
        <v/>
      </c>
      <c r="Z44" s="6" t="str">
        <f>IF($C44="","",IFERROR(IF($E44="PASSPORT",INDEX('PAX &amp; CREW'!$P$3:$P$62,MATCH($C44,'PAX &amp; CREW'!$A$3:$A$62,0)),IF($E44="VISA",INDEX('PAX &amp; CREW'!$T$3:$T$62,MATCH($C44,'PAX &amp; CREW'!$A$3:$A$62,0)),IF($E44="LICENCE",INDEX('PAX &amp; CREW'!$W$3:$W$62,MATCH($C44,'PAX &amp; CREW'!$A$3:$A$62,0)),IF($E44="MEDICAL",INDEX('PAX &amp; CREW'!$X$3:$X$62,MATCH($C44,'PAX &amp; CREW'!$A$3:$A$62,0)),"")))),""))</f>
        <v/>
      </c>
      <c r="AA44" t="str">
        <f>IF($C44="","",IFERROR(IF($E44="PASSPORT",INDEX('PAX &amp; CREW'!$N$3:$N$62,MATCH($C44,'PAX &amp; CREW'!$A$3:$A$62,0)),INDEX('PAX &amp; CREW'!$L$3:$L$62,MATCH($C44,'PAX &amp; CREW'!$A$3:$A$62,0))),""))</f>
        <v/>
      </c>
      <c r="AB44" t="str">
        <f t="shared" si="1"/>
        <v/>
      </c>
      <c r="AC44" t="str">
        <f t="shared" si="2"/>
        <v/>
      </c>
      <c r="AD44" t="str">
        <f t="shared" si="3"/>
        <v/>
      </c>
      <c r="AE44" t="str">
        <f t="shared" si="4"/>
        <v/>
      </c>
      <c r="AF44" t="str">
        <f t="shared" si="5"/>
        <v/>
      </c>
      <c r="AG44" t="str">
        <f t="shared" si="6"/>
        <v/>
      </c>
      <c r="AH44" t="str">
        <f t="shared" si="7"/>
        <v/>
      </c>
      <c r="AI44" s="4"/>
      <c r="AJ44" s="4"/>
      <c r="AK44" s="50"/>
      <c r="AL44" t="str">
        <f t="shared" si="8"/>
        <v/>
      </c>
      <c r="AM44" s="4"/>
    </row>
  </sheetData>
  <dataValidations count="3">
    <dataValidation type="list" allowBlank="1" showInputMessage="1" showErrorMessage="1" sqref="E5:E44" xr:uid="{24C2604C-7E17-4C6B-9998-B78FC7012CB9}">
      <formula1>"PASSPORT,VISA,LICENCE,MEDICAL,CREW ID,INSURANCE,AOC,INSURANCE CERTIFICATE,OTHER"</formula1>
    </dataValidation>
    <dataValidation type="list" allowBlank="1" showInputMessage="1" showErrorMessage="1" sqref="J5:J44" xr:uid="{D143D332-3653-4741-9AE3-BBF5A95DEF0B}">
      <formula1>"PENDING,DONE,FAILED,NOT APPLICABLE"</formula1>
    </dataValidation>
    <dataValidation type="list" allowBlank="1" showInputMessage="1" showErrorMessage="1" sqref="AI5:AI44" xr:uid="{BE78E572-5DD1-4C54-A0C8-A1DD85EB4E7D}">
      <formula1>"ACCEPT OCR,KEEP ON FILE,CORRECTED MANUALLY,REJECT DOCUMENT"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C769440-7044-439A-B005-713AB8C14A79}">
          <x14:formula1>
            <xm:f>'PAX &amp; CREW'!$A$3:$A$62</xm:f>
          </x14:formula1>
          <xm:sqref>C5:C44</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F441A-AD86-480B-9150-8D7298F02AC0}">
  <dimension ref="A1:FS175"/>
  <sheetViews>
    <sheetView workbookViewId="0">
      <pane xSplit="1" ySplit="3" topLeftCell="B7" activePane="bottomRight" state="frozen"/>
      <selection pane="topRight" activeCell="B1" sqref="B1"/>
      <selection pane="bottomLeft" activeCell="A4" sqref="A4"/>
      <selection pane="bottomRight" activeCell="C19" sqref="C19"/>
    </sheetView>
  </sheetViews>
  <sheetFormatPr defaultRowHeight="14.4" x14ac:dyDescent="0.3"/>
  <cols>
    <col min="1" max="1" width="42.5546875" customWidth="1"/>
    <col min="2" max="175" width="22.21875" customWidth="1"/>
  </cols>
  <sheetData>
    <row r="1" spans="1:175" ht="18" x14ac:dyDescent="0.35">
      <c r="A1" s="44" t="s">
        <v>5086</v>
      </c>
    </row>
    <row r="2" spans="1:175" x14ac:dyDescent="0.3">
      <c r="A2" s="32" t="s">
        <v>6219</v>
      </c>
    </row>
    <row r="3" spans="1:175" x14ac:dyDescent="0.3">
      <c r="A3" s="25" t="s">
        <v>5087</v>
      </c>
      <c r="B3" s="25" t="s">
        <v>789</v>
      </c>
      <c r="C3" s="25" t="s">
        <v>663</v>
      </c>
      <c r="D3" s="25" t="s">
        <v>702</v>
      </c>
      <c r="E3" s="25" t="s">
        <v>721</v>
      </c>
      <c r="F3" s="25" t="s">
        <v>692</v>
      </c>
      <c r="G3" s="25" t="s">
        <v>700</v>
      </c>
      <c r="H3" s="25" t="s">
        <v>753</v>
      </c>
      <c r="I3" s="25" t="s">
        <v>767</v>
      </c>
      <c r="J3" s="25" t="s">
        <v>737</v>
      </c>
      <c r="K3" s="25" t="s">
        <v>1927</v>
      </c>
      <c r="L3" s="25" t="s">
        <v>1728</v>
      </c>
      <c r="M3" s="25" t="s">
        <v>745</v>
      </c>
      <c r="N3" s="25" t="s">
        <v>734</v>
      </c>
      <c r="O3" s="25" t="s">
        <v>781</v>
      </c>
      <c r="P3" s="25" t="s">
        <v>16</v>
      </c>
      <c r="Q3" s="25" t="s">
        <v>848</v>
      </c>
      <c r="R3" s="25" t="s">
        <v>6</v>
      </c>
      <c r="S3" s="25" t="s">
        <v>1923</v>
      </c>
      <c r="T3" s="25" t="s">
        <v>7</v>
      </c>
      <c r="U3" s="25" t="s">
        <v>823</v>
      </c>
      <c r="V3" s="25" t="s">
        <v>842</v>
      </c>
      <c r="W3" s="25" t="s">
        <v>836</v>
      </c>
      <c r="X3" s="25" t="s">
        <v>844</v>
      </c>
      <c r="Y3" s="25" t="s">
        <v>858</v>
      </c>
      <c r="Z3" s="25" t="s">
        <v>8</v>
      </c>
      <c r="AA3" s="25" t="s">
        <v>1754</v>
      </c>
      <c r="AB3" s="25" t="s">
        <v>762</v>
      </c>
      <c r="AC3" s="25" t="s">
        <v>1763</v>
      </c>
      <c r="AD3" s="25" t="s">
        <v>1773</v>
      </c>
      <c r="AE3" s="25" t="s">
        <v>10</v>
      </c>
      <c r="AF3" s="25" t="s">
        <v>1781</v>
      </c>
      <c r="AG3" s="25" t="s">
        <v>1795</v>
      </c>
      <c r="AH3" s="25" t="s">
        <v>1802</v>
      </c>
      <c r="AI3" s="25" t="s">
        <v>1996</v>
      </c>
      <c r="AJ3" s="25" t="s">
        <v>1766</v>
      </c>
      <c r="AK3" s="25" t="s">
        <v>1815</v>
      </c>
      <c r="AL3" s="25" t="s">
        <v>2651</v>
      </c>
      <c r="AM3" s="25" t="s">
        <v>1820</v>
      </c>
      <c r="AN3" s="25" t="s">
        <v>1822</v>
      </c>
      <c r="AO3" s="25" t="s">
        <v>739</v>
      </c>
      <c r="AP3" s="25" t="s">
        <v>1884</v>
      </c>
      <c r="AQ3" s="25" t="s">
        <v>1872</v>
      </c>
      <c r="AR3" s="25" t="s">
        <v>2670</v>
      </c>
      <c r="AS3" s="25" t="s">
        <v>2674</v>
      </c>
      <c r="AT3" s="25" t="s">
        <v>1906</v>
      </c>
      <c r="AU3" s="25" t="s">
        <v>1891</v>
      </c>
      <c r="AV3" s="25" t="s">
        <v>1904</v>
      </c>
      <c r="AW3" s="25" t="s">
        <v>1908</v>
      </c>
      <c r="AX3" s="25" t="s">
        <v>1998</v>
      </c>
      <c r="AY3" s="25" t="s">
        <v>1913</v>
      </c>
      <c r="AZ3" s="25" t="s">
        <v>1893</v>
      </c>
      <c r="BA3" s="25" t="s">
        <v>9</v>
      </c>
      <c r="BB3" s="25" t="s">
        <v>1929</v>
      </c>
      <c r="BC3" s="25" t="s">
        <v>1943</v>
      </c>
      <c r="BD3" s="25" t="s">
        <v>1963</v>
      </c>
      <c r="BE3" s="25" t="s">
        <v>799</v>
      </c>
      <c r="BF3" s="25" t="s">
        <v>11</v>
      </c>
      <c r="BG3" s="25" t="s">
        <v>1886</v>
      </c>
      <c r="BH3" s="25" t="s">
        <v>651</v>
      </c>
      <c r="BI3" s="25" t="s">
        <v>84</v>
      </c>
      <c r="BJ3" s="25" t="s">
        <v>881</v>
      </c>
      <c r="BK3" s="25" t="s">
        <v>1870</v>
      </c>
      <c r="BL3" s="25" t="s">
        <v>904</v>
      </c>
      <c r="BM3" s="25" t="s">
        <v>1737</v>
      </c>
      <c r="BN3" s="25" t="s">
        <v>698</v>
      </c>
      <c r="BO3" s="25" t="s">
        <v>1747</v>
      </c>
      <c r="BP3" s="25" t="s">
        <v>889</v>
      </c>
      <c r="BQ3" s="25" t="s">
        <v>1993</v>
      </c>
      <c r="BR3" s="25" t="s">
        <v>653</v>
      </c>
      <c r="BS3" s="25" t="s">
        <v>2003</v>
      </c>
      <c r="BT3" s="25" t="s">
        <v>1991</v>
      </c>
      <c r="BU3" s="25" t="s">
        <v>658</v>
      </c>
      <c r="BV3" s="25" t="s">
        <v>660</v>
      </c>
      <c r="BW3" s="25" t="s">
        <v>670</v>
      </c>
      <c r="BX3" s="25" t="s">
        <v>678</v>
      </c>
      <c r="BY3" s="25" t="s">
        <v>689</v>
      </c>
      <c r="BZ3" s="25" t="s">
        <v>686</v>
      </c>
      <c r="CA3" s="25" t="s">
        <v>695</v>
      </c>
      <c r="CB3" s="25" t="s">
        <v>681</v>
      </c>
      <c r="CC3" s="25" t="s">
        <v>724</v>
      </c>
      <c r="CD3" s="25" t="s">
        <v>719</v>
      </c>
      <c r="CE3" s="25" t="s">
        <v>742</v>
      </c>
      <c r="CF3" s="25" t="s">
        <v>756</v>
      </c>
      <c r="CG3" s="25" t="s">
        <v>4404</v>
      </c>
      <c r="CH3" s="25" t="s">
        <v>772</v>
      </c>
      <c r="CI3" s="25" t="s">
        <v>4407</v>
      </c>
      <c r="CJ3" s="25" t="s">
        <v>778</v>
      </c>
      <c r="CK3" s="25" t="s">
        <v>783</v>
      </c>
      <c r="CL3" s="25" t="s">
        <v>802</v>
      </c>
      <c r="CM3" s="25" t="s">
        <v>795</v>
      </c>
      <c r="CN3" s="25" t="s">
        <v>807</v>
      </c>
      <c r="CO3" s="25" t="s">
        <v>820</v>
      </c>
      <c r="CP3" s="25" t="s">
        <v>826</v>
      </c>
      <c r="CQ3" s="25" t="s">
        <v>831</v>
      </c>
      <c r="CR3" s="25" t="s">
        <v>851</v>
      </c>
      <c r="CS3" s="25" t="s">
        <v>840</v>
      </c>
      <c r="CT3" s="25" t="s">
        <v>866</v>
      </c>
      <c r="CU3" s="25" t="s">
        <v>872</v>
      </c>
      <c r="CV3" s="25" t="s">
        <v>875</v>
      </c>
      <c r="CW3" s="25" t="s">
        <v>886</v>
      </c>
      <c r="CX3" s="25" t="s">
        <v>878</v>
      </c>
      <c r="CY3" s="25" t="s">
        <v>892</v>
      </c>
      <c r="CZ3" s="25" t="s">
        <v>895</v>
      </c>
      <c r="DA3" s="25" t="s">
        <v>898</v>
      </c>
      <c r="DB3" s="25" t="s">
        <v>1741</v>
      </c>
      <c r="DC3" s="25" t="s">
        <v>911</v>
      </c>
      <c r="DD3" s="25" t="s">
        <v>914</v>
      </c>
      <c r="DE3" s="25" t="s">
        <v>1744</v>
      </c>
      <c r="DF3" s="25" t="s">
        <v>1751</v>
      </c>
      <c r="DG3" s="25" t="s">
        <v>1756</v>
      </c>
      <c r="DH3" s="25" t="s">
        <v>1759</v>
      </c>
      <c r="DI3" s="25" t="s">
        <v>1760</v>
      </c>
      <c r="DJ3" s="25" t="s">
        <v>1769</v>
      </c>
      <c r="DK3" s="25" t="s">
        <v>1804</v>
      </c>
      <c r="DL3" s="25" t="s">
        <v>1778</v>
      </c>
      <c r="DM3" s="25" t="s">
        <v>1800</v>
      </c>
      <c r="DN3" s="25" t="s">
        <v>1784</v>
      </c>
      <c r="DO3" s="25" t="s">
        <v>1771</v>
      </c>
      <c r="DP3" s="25" t="s">
        <v>1787</v>
      </c>
      <c r="DQ3" s="25" t="s">
        <v>1812</v>
      </c>
      <c r="DR3" s="25" t="s">
        <v>1827</v>
      </c>
      <c r="DS3" s="25" t="s">
        <v>1830</v>
      </c>
      <c r="DT3" s="25" t="s">
        <v>1833</v>
      </c>
      <c r="DU3" s="25" t="s">
        <v>1854</v>
      </c>
      <c r="DV3" s="25" t="s">
        <v>1857</v>
      </c>
      <c r="DW3" s="25" t="s">
        <v>1862</v>
      </c>
      <c r="DX3" s="25" t="s">
        <v>4450</v>
      </c>
      <c r="DY3" s="25" t="s">
        <v>1875</v>
      </c>
      <c r="DZ3" s="25" t="s">
        <v>1881</v>
      </c>
      <c r="EA3" s="25" t="s">
        <v>4454</v>
      </c>
      <c r="EB3" s="25" t="s">
        <v>1878</v>
      </c>
      <c r="EC3" s="25" t="s">
        <v>1902</v>
      </c>
      <c r="ED3" s="25" t="s">
        <v>1900</v>
      </c>
      <c r="EE3" s="25" t="s">
        <v>1896</v>
      </c>
      <c r="EF3" s="25" t="s">
        <v>1920</v>
      </c>
      <c r="EG3" s="25" t="s">
        <v>1932</v>
      </c>
      <c r="EH3" s="25" t="s">
        <v>1934</v>
      </c>
      <c r="EI3" s="25" t="s">
        <v>1940</v>
      </c>
      <c r="EJ3" s="25" t="s">
        <v>1949</v>
      </c>
      <c r="EK3" s="25" t="s">
        <v>1960</v>
      </c>
      <c r="EL3" s="25" t="s">
        <v>1970</v>
      </c>
      <c r="EM3" s="25" t="s">
        <v>1982</v>
      </c>
      <c r="EN3" s="25" t="s">
        <v>1965</v>
      </c>
      <c r="EO3" s="25" t="s">
        <v>729</v>
      </c>
      <c r="EP3" s="25" t="s">
        <v>1809</v>
      </c>
      <c r="EQ3" s="25" t="s">
        <v>713</v>
      </c>
      <c r="ER3" s="25" t="s">
        <v>665</v>
      </c>
      <c r="ES3" s="25" t="s">
        <v>750</v>
      </c>
      <c r="ET3" s="25" t="s">
        <v>758</v>
      </c>
      <c r="EU3" s="25" t="s">
        <v>1843</v>
      </c>
      <c r="EV3" s="25" t="s">
        <v>1975</v>
      </c>
      <c r="EW3" s="25" t="s">
        <v>1841</v>
      </c>
      <c r="EX3" s="25" t="s">
        <v>764</v>
      </c>
      <c r="EY3" s="25" t="s">
        <v>786</v>
      </c>
      <c r="EZ3" s="25" t="s">
        <v>901</v>
      </c>
      <c r="FA3" s="25" t="s">
        <v>1952</v>
      </c>
      <c r="FB3" s="25" t="s">
        <v>716</v>
      </c>
      <c r="FC3" s="25" t="s">
        <v>673</v>
      </c>
      <c r="FD3" s="25" t="s">
        <v>1836</v>
      </c>
      <c r="FE3" s="25" t="s">
        <v>810</v>
      </c>
      <c r="FF3" s="25" t="s">
        <v>1848</v>
      </c>
      <c r="FG3" s="25" t="s">
        <v>906</v>
      </c>
      <c r="FH3" s="25" t="s">
        <v>1734</v>
      </c>
      <c r="FI3" s="25" t="s">
        <v>1955</v>
      </c>
      <c r="FJ3" s="25" t="s">
        <v>5088</v>
      </c>
      <c r="FK3" s="25" t="s">
        <v>1899</v>
      </c>
      <c r="FL3" s="25" t="s">
        <v>1851</v>
      </c>
      <c r="FM3" s="25" t="s">
        <v>698</v>
      </c>
      <c r="FN3" s="25" t="s">
        <v>1800</v>
      </c>
      <c r="FO3" s="25" t="s">
        <v>5089</v>
      </c>
      <c r="FP3" s="25" t="s">
        <v>5090</v>
      </c>
      <c r="FQ3" s="25" t="s">
        <v>5091</v>
      </c>
      <c r="FR3" s="25" t="s">
        <v>5092</v>
      </c>
      <c r="FS3" s="25" t="s">
        <v>706</v>
      </c>
    </row>
    <row r="4" spans="1:175" x14ac:dyDescent="0.3">
      <c r="A4" s="33" t="s">
        <v>789</v>
      </c>
    </row>
    <row r="5" spans="1:175" x14ac:dyDescent="0.3">
      <c r="A5" s="33" t="s">
        <v>663</v>
      </c>
    </row>
    <row r="6" spans="1:175" x14ac:dyDescent="0.3">
      <c r="A6" s="33" t="s">
        <v>702</v>
      </c>
    </row>
    <row r="7" spans="1:175" x14ac:dyDescent="0.3">
      <c r="A7" s="33" t="s">
        <v>721</v>
      </c>
    </row>
    <row r="8" spans="1:175" x14ac:dyDescent="0.3">
      <c r="A8" s="33" t="s">
        <v>692</v>
      </c>
    </row>
    <row r="9" spans="1:175" x14ac:dyDescent="0.3">
      <c r="A9" s="33" t="s">
        <v>700</v>
      </c>
    </row>
    <row r="10" spans="1:175" x14ac:dyDescent="0.3">
      <c r="A10" s="33" t="s">
        <v>753</v>
      </c>
    </row>
    <row r="11" spans="1:175" x14ac:dyDescent="0.3">
      <c r="A11" s="33" t="s">
        <v>767</v>
      </c>
    </row>
    <row r="12" spans="1:175" x14ac:dyDescent="0.3">
      <c r="A12" s="33" t="s">
        <v>737</v>
      </c>
    </row>
    <row r="13" spans="1:175" x14ac:dyDescent="0.3">
      <c r="A13" s="33" t="s">
        <v>1927</v>
      </c>
    </row>
    <row r="14" spans="1:175" x14ac:dyDescent="0.3">
      <c r="A14" s="33" t="s">
        <v>1728</v>
      </c>
    </row>
    <row r="15" spans="1:175" x14ac:dyDescent="0.3">
      <c r="A15" s="33" t="s">
        <v>745</v>
      </c>
    </row>
    <row r="16" spans="1:175" x14ac:dyDescent="0.3">
      <c r="A16" s="33" t="s">
        <v>734</v>
      </c>
    </row>
    <row r="17" spans="1:1" x14ac:dyDescent="0.3">
      <c r="A17" s="33" t="s">
        <v>781</v>
      </c>
    </row>
    <row r="18" spans="1:1" x14ac:dyDescent="0.3">
      <c r="A18" s="33" t="s">
        <v>16</v>
      </c>
    </row>
    <row r="19" spans="1:1" x14ac:dyDescent="0.3">
      <c r="A19" s="33" t="s">
        <v>848</v>
      </c>
    </row>
    <row r="20" spans="1:1" x14ac:dyDescent="0.3">
      <c r="A20" s="33" t="s">
        <v>6</v>
      </c>
    </row>
    <row r="21" spans="1:1" x14ac:dyDescent="0.3">
      <c r="A21" s="33" t="s">
        <v>1923</v>
      </c>
    </row>
    <row r="22" spans="1:1" x14ac:dyDescent="0.3">
      <c r="A22" s="33" t="s">
        <v>7</v>
      </c>
    </row>
    <row r="23" spans="1:1" x14ac:dyDescent="0.3">
      <c r="A23" s="33" t="s">
        <v>823</v>
      </c>
    </row>
    <row r="24" spans="1:1" x14ac:dyDescent="0.3">
      <c r="A24" s="33" t="s">
        <v>842</v>
      </c>
    </row>
    <row r="25" spans="1:1" x14ac:dyDescent="0.3">
      <c r="A25" s="33" t="s">
        <v>836</v>
      </c>
    </row>
    <row r="26" spans="1:1" x14ac:dyDescent="0.3">
      <c r="A26" s="33" t="s">
        <v>844</v>
      </c>
    </row>
    <row r="27" spans="1:1" x14ac:dyDescent="0.3">
      <c r="A27" s="33" t="s">
        <v>858</v>
      </c>
    </row>
    <row r="28" spans="1:1" x14ac:dyDescent="0.3">
      <c r="A28" s="33" t="s">
        <v>8</v>
      </c>
    </row>
    <row r="29" spans="1:1" x14ac:dyDescent="0.3">
      <c r="A29" s="33" t="s">
        <v>1754</v>
      </c>
    </row>
    <row r="30" spans="1:1" x14ac:dyDescent="0.3">
      <c r="A30" s="33" t="s">
        <v>762</v>
      </c>
    </row>
    <row r="31" spans="1:1" x14ac:dyDescent="0.3">
      <c r="A31" s="33" t="s">
        <v>1763</v>
      </c>
    </row>
    <row r="32" spans="1:1" x14ac:dyDescent="0.3">
      <c r="A32" s="33" t="s">
        <v>1773</v>
      </c>
    </row>
    <row r="33" spans="1:1" x14ac:dyDescent="0.3">
      <c r="A33" s="33" t="s">
        <v>10</v>
      </c>
    </row>
    <row r="34" spans="1:1" x14ac:dyDescent="0.3">
      <c r="A34" s="33" t="s">
        <v>1781</v>
      </c>
    </row>
    <row r="35" spans="1:1" x14ac:dyDescent="0.3">
      <c r="A35" s="33" t="s">
        <v>1795</v>
      </c>
    </row>
    <row r="36" spans="1:1" x14ac:dyDescent="0.3">
      <c r="A36" s="33" t="s">
        <v>1802</v>
      </c>
    </row>
    <row r="37" spans="1:1" x14ac:dyDescent="0.3">
      <c r="A37" s="33" t="s">
        <v>1996</v>
      </c>
    </row>
    <row r="38" spans="1:1" x14ac:dyDescent="0.3">
      <c r="A38" s="33" t="s">
        <v>1766</v>
      </c>
    </row>
    <row r="39" spans="1:1" x14ac:dyDescent="0.3">
      <c r="A39" s="33" t="s">
        <v>1815</v>
      </c>
    </row>
    <row r="40" spans="1:1" x14ac:dyDescent="0.3">
      <c r="A40" s="33" t="s">
        <v>2651</v>
      </c>
    </row>
    <row r="41" spans="1:1" x14ac:dyDescent="0.3">
      <c r="A41" s="33" t="s">
        <v>1820</v>
      </c>
    </row>
    <row r="42" spans="1:1" x14ac:dyDescent="0.3">
      <c r="A42" s="33" t="s">
        <v>1822</v>
      </c>
    </row>
    <row r="43" spans="1:1" x14ac:dyDescent="0.3">
      <c r="A43" s="33" t="s">
        <v>739</v>
      </c>
    </row>
    <row r="44" spans="1:1" x14ac:dyDescent="0.3">
      <c r="A44" s="33" t="s">
        <v>1884</v>
      </c>
    </row>
    <row r="45" spans="1:1" x14ac:dyDescent="0.3">
      <c r="A45" s="33" t="s">
        <v>1872</v>
      </c>
    </row>
    <row r="46" spans="1:1" x14ac:dyDescent="0.3">
      <c r="A46" s="33" t="s">
        <v>2670</v>
      </c>
    </row>
    <row r="47" spans="1:1" x14ac:dyDescent="0.3">
      <c r="A47" s="33" t="s">
        <v>2674</v>
      </c>
    </row>
    <row r="48" spans="1:1" x14ac:dyDescent="0.3">
      <c r="A48" s="33" t="s">
        <v>1906</v>
      </c>
    </row>
    <row r="49" spans="1:144" x14ac:dyDescent="0.3">
      <c r="A49" s="33" t="s">
        <v>1891</v>
      </c>
    </row>
    <row r="50" spans="1:144" x14ac:dyDescent="0.3">
      <c r="A50" s="33" t="s">
        <v>1904</v>
      </c>
    </row>
    <row r="51" spans="1:144" x14ac:dyDescent="0.3">
      <c r="A51" s="33" t="s">
        <v>1908</v>
      </c>
    </row>
    <row r="52" spans="1:144" x14ac:dyDescent="0.3">
      <c r="A52" s="33" t="s">
        <v>1998</v>
      </c>
      <c r="EN52" t="s">
        <v>5094</v>
      </c>
    </row>
    <row r="53" spans="1:144" x14ac:dyDescent="0.3">
      <c r="A53" s="33" t="s">
        <v>1913</v>
      </c>
    </row>
    <row r="54" spans="1:144" x14ac:dyDescent="0.3">
      <c r="A54" s="33" t="s">
        <v>1893</v>
      </c>
    </row>
    <row r="55" spans="1:144" x14ac:dyDescent="0.3">
      <c r="A55" s="33" t="s">
        <v>9</v>
      </c>
    </row>
    <row r="56" spans="1:144" x14ac:dyDescent="0.3">
      <c r="A56" s="33" t="s">
        <v>1929</v>
      </c>
    </row>
    <row r="57" spans="1:144" x14ac:dyDescent="0.3">
      <c r="A57" s="33" t="s">
        <v>1943</v>
      </c>
    </row>
    <row r="58" spans="1:144" x14ac:dyDescent="0.3">
      <c r="A58" s="33" t="s">
        <v>1963</v>
      </c>
    </row>
    <row r="59" spans="1:144" x14ac:dyDescent="0.3">
      <c r="A59" s="33" t="s">
        <v>799</v>
      </c>
    </row>
    <row r="60" spans="1:144" x14ac:dyDescent="0.3">
      <c r="A60" s="33" t="s">
        <v>11</v>
      </c>
    </row>
    <row r="61" spans="1:144" x14ac:dyDescent="0.3">
      <c r="A61" s="33" t="s">
        <v>1886</v>
      </c>
    </row>
    <row r="62" spans="1:144" x14ac:dyDescent="0.3">
      <c r="A62" s="33" t="s">
        <v>651</v>
      </c>
    </row>
    <row r="63" spans="1:144" x14ac:dyDescent="0.3">
      <c r="A63" s="33" t="s">
        <v>84</v>
      </c>
    </row>
    <row r="64" spans="1:144" x14ac:dyDescent="0.3">
      <c r="A64" s="33" t="s">
        <v>881</v>
      </c>
    </row>
    <row r="65" spans="1:1" x14ac:dyDescent="0.3">
      <c r="A65" s="33" t="s">
        <v>1870</v>
      </c>
    </row>
    <row r="66" spans="1:1" x14ac:dyDescent="0.3">
      <c r="A66" s="33" t="s">
        <v>904</v>
      </c>
    </row>
    <row r="67" spans="1:1" x14ac:dyDescent="0.3">
      <c r="A67" s="33" t="s">
        <v>1737</v>
      </c>
    </row>
    <row r="68" spans="1:1" x14ac:dyDescent="0.3">
      <c r="A68" s="33" t="s">
        <v>698</v>
      </c>
    </row>
    <row r="69" spans="1:1" x14ac:dyDescent="0.3">
      <c r="A69" s="33" t="s">
        <v>1747</v>
      </c>
    </row>
    <row r="70" spans="1:1" x14ac:dyDescent="0.3">
      <c r="A70" s="33" t="s">
        <v>889</v>
      </c>
    </row>
    <row r="71" spans="1:1" x14ac:dyDescent="0.3">
      <c r="A71" s="33" t="s">
        <v>1993</v>
      </c>
    </row>
    <row r="72" spans="1:1" x14ac:dyDescent="0.3">
      <c r="A72" s="33" t="s">
        <v>653</v>
      </c>
    </row>
    <row r="73" spans="1:1" x14ac:dyDescent="0.3">
      <c r="A73" s="33" t="s">
        <v>2003</v>
      </c>
    </row>
    <row r="74" spans="1:1" x14ac:dyDescent="0.3">
      <c r="A74" s="33" t="s">
        <v>1991</v>
      </c>
    </row>
    <row r="75" spans="1:1" x14ac:dyDescent="0.3">
      <c r="A75" s="33" t="s">
        <v>658</v>
      </c>
    </row>
    <row r="76" spans="1:1" x14ac:dyDescent="0.3">
      <c r="A76" s="33" t="s">
        <v>660</v>
      </c>
    </row>
    <row r="77" spans="1:1" x14ac:dyDescent="0.3">
      <c r="A77" s="33" t="s">
        <v>670</v>
      </c>
    </row>
    <row r="78" spans="1:1" x14ac:dyDescent="0.3">
      <c r="A78" s="33" t="s">
        <v>678</v>
      </c>
    </row>
    <row r="79" spans="1:1" x14ac:dyDescent="0.3">
      <c r="A79" s="33" t="s">
        <v>689</v>
      </c>
    </row>
    <row r="80" spans="1:1" x14ac:dyDescent="0.3">
      <c r="A80" s="33" t="s">
        <v>686</v>
      </c>
    </row>
    <row r="81" spans="1:1" x14ac:dyDescent="0.3">
      <c r="A81" s="33" t="s">
        <v>695</v>
      </c>
    </row>
    <row r="82" spans="1:1" x14ac:dyDescent="0.3">
      <c r="A82" s="33" t="s">
        <v>681</v>
      </c>
    </row>
    <row r="83" spans="1:1" x14ac:dyDescent="0.3">
      <c r="A83" s="33" t="s">
        <v>724</v>
      </c>
    </row>
    <row r="84" spans="1:1" x14ac:dyDescent="0.3">
      <c r="A84" s="33" t="s">
        <v>719</v>
      </c>
    </row>
    <row r="85" spans="1:1" x14ac:dyDescent="0.3">
      <c r="A85" s="33" t="s">
        <v>742</v>
      </c>
    </row>
    <row r="86" spans="1:1" x14ac:dyDescent="0.3">
      <c r="A86" s="33" t="s">
        <v>756</v>
      </c>
    </row>
    <row r="87" spans="1:1" x14ac:dyDescent="0.3">
      <c r="A87" s="33" t="s">
        <v>4404</v>
      </c>
    </row>
    <row r="88" spans="1:1" x14ac:dyDescent="0.3">
      <c r="A88" s="33" t="s">
        <v>772</v>
      </c>
    </row>
    <row r="89" spans="1:1" x14ac:dyDescent="0.3">
      <c r="A89" s="33" t="s">
        <v>4407</v>
      </c>
    </row>
    <row r="90" spans="1:1" x14ac:dyDescent="0.3">
      <c r="A90" s="33" t="s">
        <v>778</v>
      </c>
    </row>
    <row r="91" spans="1:1" x14ac:dyDescent="0.3">
      <c r="A91" s="33" t="s">
        <v>783</v>
      </c>
    </row>
    <row r="92" spans="1:1" x14ac:dyDescent="0.3">
      <c r="A92" s="33" t="s">
        <v>802</v>
      </c>
    </row>
    <row r="93" spans="1:1" x14ac:dyDescent="0.3">
      <c r="A93" s="33" t="s">
        <v>795</v>
      </c>
    </row>
    <row r="94" spans="1:1" x14ac:dyDescent="0.3">
      <c r="A94" s="33" t="s">
        <v>807</v>
      </c>
    </row>
    <row r="95" spans="1:1" x14ac:dyDescent="0.3">
      <c r="A95" s="33" t="s">
        <v>820</v>
      </c>
    </row>
    <row r="96" spans="1:1" x14ac:dyDescent="0.3">
      <c r="A96" s="33" t="s">
        <v>826</v>
      </c>
    </row>
    <row r="97" spans="1:1" x14ac:dyDescent="0.3">
      <c r="A97" s="33" t="s">
        <v>831</v>
      </c>
    </row>
    <row r="98" spans="1:1" x14ac:dyDescent="0.3">
      <c r="A98" s="33" t="s">
        <v>851</v>
      </c>
    </row>
    <row r="99" spans="1:1" x14ac:dyDescent="0.3">
      <c r="A99" s="33" t="s">
        <v>840</v>
      </c>
    </row>
    <row r="100" spans="1:1" x14ac:dyDescent="0.3">
      <c r="A100" s="33" t="s">
        <v>866</v>
      </c>
    </row>
    <row r="101" spans="1:1" x14ac:dyDescent="0.3">
      <c r="A101" s="33" t="s">
        <v>872</v>
      </c>
    </row>
    <row r="102" spans="1:1" x14ac:dyDescent="0.3">
      <c r="A102" s="33" t="s">
        <v>875</v>
      </c>
    </row>
    <row r="103" spans="1:1" x14ac:dyDescent="0.3">
      <c r="A103" s="33" t="s">
        <v>886</v>
      </c>
    </row>
    <row r="104" spans="1:1" x14ac:dyDescent="0.3">
      <c r="A104" s="33" t="s">
        <v>878</v>
      </c>
    </row>
    <row r="105" spans="1:1" x14ac:dyDescent="0.3">
      <c r="A105" s="33" t="s">
        <v>892</v>
      </c>
    </row>
    <row r="106" spans="1:1" x14ac:dyDescent="0.3">
      <c r="A106" s="33" t="s">
        <v>895</v>
      </c>
    </row>
    <row r="107" spans="1:1" x14ac:dyDescent="0.3">
      <c r="A107" s="33" t="s">
        <v>898</v>
      </c>
    </row>
    <row r="108" spans="1:1" x14ac:dyDescent="0.3">
      <c r="A108" s="33" t="s">
        <v>1741</v>
      </c>
    </row>
    <row r="109" spans="1:1" x14ac:dyDescent="0.3">
      <c r="A109" s="33" t="s">
        <v>911</v>
      </c>
    </row>
    <row r="110" spans="1:1" x14ac:dyDescent="0.3">
      <c r="A110" s="33" t="s">
        <v>914</v>
      </c>
    </row>
    <row r="111" spans="1:1" x14ac:dyDescent="0.3">
      <c r="A111" s="33" t="s">
        <v>1744</v>
      </c>
    </row>
    <row r="112" spans="1:1" x14ac:dyDescent="0.3">
      <c r="A112" s="33" t="s">
        <v>1751</v>
      </c>
    </row>
    <row r="113" spans="1:1" x14ac:dyDescent="0.3">
      <c r="A113" s="33" t="s">
        <v>1756</v>
      </c>
    </row>
    <row r="114" spans="1:1" x14ac:dyDescent="0.3">
      <c r="A114" s="33" t="s">
        <v>1759</v>
      </c>
    </row>
    <row r="115" spans="1:1" x14ac:dyDescent="0.3">
      <c r="A115" s="33" t="s">
        <v>1760</v>
      </c>
    </row>
    <row r="116" spans="1:1" x14ac:dyDescent="0.3">
      <c r="A116" s="33" t="s">
        <v>1769</v>
      </c>
    </row>
    <row r="117" spans="1:1" x14ac:dyDescent="0.3">
      <c r="A117" s="33" t="s">
        <v>1804</v>
      </c>
    </row>
    <row r="118" spans="1:1" x14ac:dyDescent="0.3">
      <c r="A118" s="33" t="s">
        <v>1778</v>
      </c>
    </row>
    <row r="119" spans="1:1" x14ac:dyDescent="0.3">
      <c r="A119" s="33" t="s">
        <v>1800</v>
      </c>
    </row>
    <row r="120" spans="1:1" x14ac:dyDescent="0.3">
      <c r="A120" s="33" t="s">
        <v>1784</v>
      </c>
    </row>
    <row r="121" spans="1:1" x14ac:dyDescent="0.3">
      <c r="A121" s="33" t="s">
        <v>1771</v>
      </c>
    </row>
    <row r="122" spans="1:1" x14ac:dyDescent="0.3">
      <c r="A122" s="33" t="s">
        <v>1787</v>
      </c>
    </row>
    <row r="123" spans="1:1" x14ac:dyDescent="0.3">
      <c r="A123" s="33" t="s">
        <v>1812</v>
      </c>
    </row>
    <row r="124" spans="1:1" x14ac:dyDescent="0.3">
      <c r="A124" s="33" t="s">
        <v>1827</v>
      </c>
    </row>
    <row r="125" spans="1:1" x14ac:dyDescent="0.3">
      <c r="A125" s="33" t="s">
        <v>1830</v>
      </c>
    </row>
    <row r="126" spans="1:1" x14ac:dyDescent="0.3">
      <c r="A126" s="33" t="s">
        <v>1833</v>
      </c>
    </row>
    <row r="127" spans="1:1" x14ac:dyDescent="0.3">
      <c r="A127" s="33" t="s">
        <v>1854</v>
      </c>
    </row>
    <row r="128" spans="1:1" x14ac:dyDescent="0.3">
      <c r="A128" s="33" t="s">
        <v>1857</v>
      </c>
    </row>
    <row r="129" spans="1:1" x14ac:dyDescent="0.3">
      <c r="A129" s="33" t="s">
        <v>1862</v>
      </c>
    </row>
    <row r="130" spans="1:1" x14ac:dyDescent="0.3">
      <c r="A130" s="33" t="s">
        <v>4450</v>
      </c>
    </row>
    <row r="131" spans="1:1" x14ac:dyDescent="0.3">
      <c r="A131" s="33" t="s">
        <v>1875</v>
      </c>
    </row>
    <row r="132" spans="1:1" x14ac:dyDescent="0.3">
      <c r="A132" s="33" t="s">
        <v>1881</v>
      </c>
    </row>
    <row r="133" spans="1:1" x14ac:dyDescent="0.3">
      <c r="A133" s="33" t="s">
        <v>4454</v>
      </c>
    </row>
    <row r="134" spans="1:1" x14ac:dyDescent="0.3">
      <c r="A134" s="33" t="s">
        <v>1878</v>
      </c>
    </row>
    <row r="135" spans="1:1" x14ac:dyDescent="0.3">
      <c r="A135" s="33" t="s">
        <v>1902</v>
      </c>
    </row>
    <row r="136" spans="1:1" x14ac:dyDescent="0.3">
      <c r="A136" s="33" t="s">
        <v>1900</v>
      </c>
    </row>
    <row r="137" spans="1:1" x14ac:dyDescent="0.3">
      <c r="A137" s="33" t="s">
        <v>1896</v>
      </c>
    </row>
    <row r="138" spans="1:1" x14ac:dyDescent="0.3">
      <c r="A138" s="33" t="s">
        <v>1920</v>
      </c>
    </row>
    <row r="139" spans="1:1" x14ac:dyDescent="0.3">
      <c r="A139" s="33" t="s">
        <v>1932</v>
      </c>
    </row>
    <row r="140" spans="1:1" x14ac:dyDescent="0.3">
      <c r="A140" s="33" t="s">
        <v>1934</v>
      </c>
    </row>
    <row r="141" spans="1:1" x14ac:dyDescent="0.3">
      <c r="A141" s="33" t="s">
        <v>1940</v>
      </c>
    </row>
    <row r="142" spans="1:1" x14ac:dyDescent="0.3">
      <c r="A142" s="33" t="s">
        <v>1949</v>
      </c>
    </row>
    <row r="143" spans="1:1" x14ac:dyDescent="0.3">
      <c r="A143" s="33" t="s">
        <v>1960</v>
      </c>
    </row>
    <row r="144" spans="1:1" x14ac:dyDescent="0.3">
      <c r="A144" s="33" t="s">
        <v>1970</v>
      </c>
    </row>
    <row r="145" spans="1:1" x14ac:dyDescent="0.3">
      <c r="A145" s="33" t="s">
        <v>1982</v>
      </c>
    </row>
    <row r="146" spans="1:1" x14ac:dyDescent="0.3">
      <c r="A146" s="33" t="s">
        <v>1965</v>
      </c>
    </row>
    <row r="147" spans="1:1" x14ac:dyDescent="0.3">
      <c r="A147" s="33" t="s">
        <v>729</v>
      </c>
    </row>
    <row r="148" spans="1:1" x14ac:dyDescent="0.3">
      <c r="A148" s="33" t="s">
        <v>1809</v>
      </c>
    </row>
    <row r="149" spans="1:1" x14ac:dyDescent="0.3">
      <c r="A149" s="33" t="s">
        <v>713</v>
      </c>
    </row>
    <row r="150" spans="1:1" x14ac:dyDescent="0.3">
      <c r="A150" s="33" t="s">
        <v>665</v>
      </c>
    </row>
    <row r="151" spans="1:1" x14ac:dyDescent="0.3">
      <c r="A151" s="33" t="s">
        <v>750</v>
      </c>
    </row>
    <row r="152" spans="1:1" x14ac:dyDescent="0.3">
      <c r="A152" s="33" t="s">
        <v>758</v>
      </c>
    </row>
    <row r="153" spans="1:1" x14ac:dyDescent="0.3">
      <c r="A153" s="33" t="s">
        <v>1843</v>
      </c>
    </row>
    <row r="154" spans="1:1" x14ac:dyDescent="0.3">
      <c r="A154" s="33" t="s">
        <v>1975</v>
      </c>
    </row>
    <row r="155" spans="1:1" x14ac:dyDescent="0.3">
      <c r="A155" s="33" t="s">
        <v>1841</v>
      </c>
    </row>
    <row r="156" spans="1:1" x14ac:dyDescent="0.3">
      <c r="A156" s="33" t="s">
        <v>764</v>
      </c>
    </row>
    <row r="157" spans="1:1" x14ac:dyDescent="0.3">
      <c r="A157" s="33" t="s">
        <v>786</v>
      </c>
    </row>
    <row r="158" spans="1:1" x14ac:dyDescent="0.3">
      <c r="A158" s="33" t="s">
        <v>901</v>
      </c>
    </row>
    <row r="159" spans="1:1" x14ac:dyDescent="0.3">
      <c r="A159" s="33" t="s">
        <v>1952</v>
      </c>
    </row>
    <row r="160" spans="1:1" x14ac:dyDescent="0.3">
      <c r="A160" s="33" t="s">
        <v>716</v>
      </c>
    </row>
    <row r="161" spans="1:1" x14ac:dyDescent="0.3">
      <c r="A161" s="33" t="s">
        <v>673</v>
      </c>
    </row>
    <row r="162" spans="1:1" x14ac:dyDescent="0.3">
      <c r="A162" s="33" t="s">
        <v>1836</v>
      </c>
    </row>
    <row r="163" spans="1:1" x14ac:dyDescent="0.3">
      <c r="A163" s="33" t="s">
        <v>810</v>
      </c>
    </row>
    <row r="164" spans="1:1" x14ac:dyDescent="0.3">
      <c r="A164" s="33" t="s">
        <v>1848</v>
      </c>
    </row>
    <row r="165" spans="1:1" x14ac:dyDescent="0.3">
      <c r="A165" s="33" t="s">
        <v>906</v>
      </c>
    </row>
    <row r="166" spans="1:1" x14ac:dyDescent="0.3">
      <c r="A166" s="33" t="s">
        <v>1734</v>
      </c>
    </row>
    <row r="167" spans="1:1" x14ac:dyDescent="0.3">
      <c r="A167" s="33" t="s">
        <v>1955</v>
      </c>
    </row>
    <row r="168" spans="1:1" x14ac:dyDescent="0.3">
      <c r="A168" s="33" t="s">
        <v>5088</v>
      </c>
    </row>
    <row r="169" spans="1:1" x14ac:dyDescent="0.3">
      <c r="A169" s="33" t="s">
        <v>1899</v>
      </c>
    </row>
    <row r="170" spans="1:1" x14ac:dyDescent="0.3">
      <c r="A170" s="33" t="s">
        <v>1851</v>
      </c>
    </row>
    <row r="171" spans="1:1" x14ac:dyDescent="0.3">
      <c r="A171" s="33" t="s">
        <v>5089</v>
      </c>
    </row>
    <row r="172" spans="1:1" x14ac:dyDescent="0.3">
      <c r="A172" s="33" t="s">
        <v>5090</v>
      </c>
    </row>
    <row r="173" spans="1:1" x14ac:dyDescent="0.3">
      <c r="A173" s="33" t="s">
        <v>5091</v>
      </c>
    </row>
    <row r="174" spans="1:1" x14ac:dyDescent="0.3">
      <c r="A174" s="33" t="s">
        <v>5092</v>
      </c>
    </row>
    <row r="175" spans="1:1" x14ac:dyDescent="0.3">
      <c r="A175" s="33" t="s">
        <v>706</v>
      </c>
    </row>
  </sheetData>
  <dataValidations count="1">
    <dataValidation type="list" allowBlank="1" showInputMessage="1" showErrorMessage="1" sqref="B4:FS145 B146:FS175" xr:uid="{7CEC9E6E-867B-4A10-931E-16642F28C9E9}">
      <formula1>"NOT REQUIRED,REQUIRED,VISA ON ARRIVAL,eVISA,TRANSIT ONLY,TIWB"</formula1>
    </dataValidation>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138A8-DA08-461C-9008-BA50D1579DBF}">
  <dimension ref="A1:I117"/>
  <sheetViews>
    <sheetView topLeftCell="A39" workbookViewId="0">
      <selection activeCell="A39" sqref="A39"/>
    </sheetView>
  </sheetViews>
  <sheetFormatPr defaultRowHeight="14.4" x14ac:dyDescent="0.3"/>
  <cols>
    <col min="1" max="1" width="48.109375" customWidth="1"/>
    <col min="2" max="2" width="51.88671875" customWidth="1"/>
    <col min="3" max="3" width="70.33203125" customWidth="1"/>
    <col min="4" max="4" width="44.44140625" customWidth="1"/>
    <col min="5" max="5" width="25.88671875" customWidth="1"/>
    <col min="6" max="6" width="61.109375" customWidth="1"/>
    <col min="7" max="8" width="103.6640625" customWidth="1"/>
    <col min="9" max="9" width="13" customWidth="1"/>
  </cols>
  <sheetData>
    <row r="1" spans="1:4" ht="18" x14ac:dyDescent="0.35">
      <c r="A1" s="44" t="s">
        <v>5114</v>
      </c>
    </row>
    <row r="3" spans="1:4" x14ac:dyDescent="0.3">
      <c r="A3" s="25" t="s">
        <v>5115</v>
      </c>
      <c r="B3" s="25"/>
      <c r="C3" s="25"/>
      <c r="D3" s="25"/>
    </row>
    <row r="4" spans="1:4" x14ac:dyDescent="0.3">
      <c r="A4" s="33" t="s">
        <v>5116</v>
      </c>
      <c r="B4" s="33" t="s">
        <v>4780</v>
      </c>
      <c r="C4" s="33" t="s">
        <v>2300</v>
      </c>
      <c r="D4" s="33" t="s">
        <v>5117</v>
      </c>
    </row>
    <row r="5" spans="1:4" x14ac:dyDescent="0.3">
      <c r="A5" t="s">
        <v>5118</v>
      </c>
      <c r="B5" t="s">
        <v>5119</v>
      </c>
      <c r="C5" t="s">
        <v>5120</v>
      </c>
    </row>
    <row r="6" spans="1:4" x14ac:dyDescent="0.3">
      <c r="A6" t="s">
        <v>5121</v>
      </c>
      <c r="B6" t="s">
        <v>5122</v>
      </c>
      <c r="C6" t="s">
        <v>5123</v>
      </c>
    </row>
    <row r="7" spans="1:4" x14ac:dyDescent="0.3">
      <c r="A7" t="s">
        <v>5124</v>
      </c>
      <c r="B7" t="s">
        <v>5125</v>
      </c>
      <c r="C7" t="s">
        <v>5126</v>
      </c>
    </row>
    <row r="8" spans="1:4" x14ac:dyDescent="0.3">
      <c r="A8" t="s">
        <v>5127</v>
      </c>
      <c r="B8" t="s">
        <v>5128</v>
      </c>
      <c r="C8" t="s">
        <v>5129</v>
      </c>
    </row>
    <row r="9" spans="1:4" x14ac:dyDescent="0.3">
      <c r="A9" t="s">
        <v>5130</v>
      </c>
      <c r="B9" t="s">
        <v>5131</v>
      </c>
      <c r="C9" t="s">
        <v>5132</v>
      </c>
    </row>
    <row r="10" spans="1:4" x14ac:dyDescent="0.3">
      <c r="A10" t="s">
        <v>5133</v>
      </c>
      <c r="B10" t="s">
        <v>5134</v>
      </c>
      <c r="C10" t="s">
        <v>5135</v>
      </c>
    </row>
    <row r="11" spans="1:4" x14ac:dyDescent="0.3">
      <c r="A11" t="s">
        <v>5136</v>
      </c>
      <c r="B11" t="s">
        <v>5137</v>
      </c>
      <c r="C11" t="s">
        <v>5138</v>
      </c>
    </row>
    <row r="12" spans="1:4" x14ac:dyDescent="0.3">
      <c r="A12" t="s">
        <v>5139</v>
      </c>
      <c r="B12" t="s">
        <v>5140</v>
      </c>
      <c r="C12" t="s">
        <v>5141</v>
      </c>
    </row>
    <row r="13" spans="1:4" x14ac:dyDescent="0.3">
      <c r="A13" t="s">
        <v>5142</v>
      </c>
      <c r="B13" t="s">
        <v>5143</v>
      </c>
      <c r="C13" t="s">
        <v>5144</v>
      </c>
    </row>
    <row r="14" spans="1:4" x14ac:dyDescent="0.3">
      <c r="A14" t="s">
        <v>5145</v>
      </c>
      <c r="B14" t="s">
        <v>5146</v>
      </c>
      <c r="C14" t="s">
        <v>5147</v>
      </c>
    </row>
    <row r="15" spans="1:4" x14ac:dyDescent="0.3">
      <c r="A15" t="s">
        <v>5148</v>
      </c>
      <c r="B15" t="s">
        <v>5149</v>
      </c>
      <c r="C15" t="s">
        <v>5150</v>
      </c>
    </row>
    <row r="16" spans="1:4" x14ac:dyDescent="0.3">
      <c r="A16" t="s">
        <v>5151</v>
      </c>
      <c r="B16" t="s">
        <v>5152</v>
      </c>
      <c r="C16" t="s">
        <v>5153</v>
      </c>
    </row>
    <row r="17" spans="1:3" x14ac:dyDescent="0.3">
      <c r="A17" t="s">
        <v>5154</v>
      </c>
      <c r="B17" t="s">
        <v>5155</v>
      </c>
      <c r="C17" t="s">
        <v>5156</v>
      </c>
    </row>
    <row r="18" spans="1:3" x14ac:dyDescent="0.3">
      <c r="A18" t="s">
        <v>5157</v>
      </c>
      <c r="B18" t="s">
        <v>5158</v>
      </c>
      <c r="C18" t="s">
        <v>5159</v>
      </c>
    </row>
    <row r="19" spans="1:3" x14ac:dyDescent="0.3">
      <c r="A19" t="s">
        <v>5160</v>
      </c>
      <c r="B19" t="s">
        <v>5161</v>
      </c>
      <c r="C19" t="s">
        <v>5162</v>
      </c>
    </row>
    <row r="20" spans="1:3" x14ac:dyDescent="0.3">
      <c r="A20" t="s">
        <v>5163</v>
      </c>
      <c r="B20" t="s">
        <v>5164</v>
      </c>
      <c r="C20" t="s">
        <v>5165</v>
      </c>
    </row>
    <row r="21" spans="1:3" x14ac:dyDescent="0.3">
      <c r="A21" t="s">
        <v>5166</v>
      </c>
      <c r="B21" t="s">
        <v>5167</v>
      </c>
      <c r="C21" t="s">
        <v>5168</v>
      </c>
    </row>
    <row r="22" spans="1:3" x14ac:dyDescent="0.3">
      <c r="A22" t="s">
        <v>5169</v>
      </c>
      <c r="B22" t="s">
        <v>5170</v>
      </c>
      <c r="C22" t="s">
        <v>5171</v>
      </c>
    </row>
    <row r="23" spans="1:3" x14ac:dyDescent="0.3">
      <c r="A23" t="s">
        <v>5172</v>
      </c>
      <c r="B23" t="s">
        <v>5167</v>
      </c>
      <c r="C23" t="s">
        <v>5173</v>
      </c>
    </row>
    <row r="24" spans="1:3" x14ac:dyDescent="0.3">
      <c r="A24" t="s">
        <v>5174</v>
      </c>
      <c r="B24" t="s">
        <v>5175</v>
      </c>
      <c r="C24" t="s">
        <v>5176</v>
      </c>
    </row>
    <row r="25" spans="1:3" x14ac:dyDescent="0.3">
      <c r="A25" t="s">
        <v>5177</v>
      </c>
      <c r="B25" t="s">
        <v>5178</v>
      </c>
      <c r="C25" t="s">
        <v>5179</v>
      </c>
    </row>
    <row r="26" spans="1:3" x14ac:dyDescent="0.3">
      <c r="A26" t="s">
        <v>5180</v>
      </c>
      <c r="B26" t="s">
        <v>5181</v>
      </c>
      <c r="C26" t="s">
        <v>5182</v>
      </c>
    </row>
    <row r="27" spans="1:3" x14ac:dyDescent="0.3">
      <c r="A27" t="s">
        <v>5183</v>
      </c>
      <c r="B27" t="s">
        <v>5146</v>
      </c>
      <c r="C27" t="s">
        <v>5184</v>
      </c>
    </row>
    <row r="28" spans="1:3" x14ac:dyDescent="0.3">
      <c r="A28" t="s">
        <v>5185</v>
      </c>
      <c r="B28" t="s">
        <v>5186</v>
      </c>
      <c r="C28" t="s">
        <v>5187</v>
      </c>
    </row>
    <row r="29" spans="1:3" x14ac:dyDescent="0.3">
      <c r="A29" t="s">
        <v>5188</v>
      </c>
      <c r="B29" t="s">
        <v>5189</v>
      </c>
      <c r="C29" t="s">
        <v>5190</v>
      </c>
    </row>
    <row r="30" spans="1:3" x14ac:dyDescent="0.3">
      <c r="A30" t="s">
        <v>5191</v>
      </c>
      <c r="B30" t="s">
        <v>5167</v>
      </c>
      <c r="C30" t="s">
        <v>5192</v>
      </c>
    </row>
    <row r="31" spans="1:3" x14ac:dyDescent="0.3">
      <c r="A31" t="s">
        <v>5193</v>
      </c>
      <c r="B31" t="s">
        <v>5167</v>
      </c>
      <c r="C31" t="s">
        <v>5194</v>
      </c>
    </row>
    <row r="32" spans="1:3" x14ac:dyDescent="0.3">
      <c r="A32" t="s">
        <v>5195</v>
      </c>
      <c r="B32" t="s">
        <v>5167</v>
      </c>
      <c r="C32" t="s">
        <v>5196</v>
      </c>
    </row>
    <row r="33" spans="1:9" x14ac:dyDescent="0.3">
      <c r="A33" t="s">
        <v>5197</v>
      </c>
      <c r="B33" t="s">
        <v>5198</v>
      </c>
      <c r="C33" t="s">
        <v>5199</v>
      </c>
    </row>
    <row r="34" spans="1:9" x14ac:dyDescent="0.3">
      <c r="A34" t="s">
        <v>5200</v>
      </c>
      <c r="B34" t="s">
        <v>5167</v>
      </c>
      <c r="C34" t="s">
        <v>5201</v>
      </c>
    </row>
    <row r="36" spans="1:9" x14ac:dyDescent="0.3">
      <c r="A36" s="25" t="s">
        <v>5202</v>
      </c>
      <c r="B36" s="25"/>
      <c r="C36" s="25"/>
      <c r="D36" s="25"/>
      <c r="E36" s="25"/>
      <c r="F36" s="25"/>
      <c r="G36" s="25"/>
      <c r="H36" s="25"/>
      <c r="I36" s="25"/>
    </row>
    <row r="37" spans="1:9" x14ac:dyDescent="0.3">
      <c r="A37" s="33" t="s">
        <v>5203</v>
      </c>
      <c r="B37" s="33" t="s">
        <v>5204</v>
      </c>
      <c r="C37" s="33" t="s">
        <v>5205</v>
      </c>
      <c r="D37" s="33" t="s">
        <v>5206</v>
      </c>
      <c r="E37" s="33" t="s">
        <v>5207</v>
      </c>
      <c r="F37" s="33" t="s">
        <v>5208</v>
      </c>
      <c r="G37" s="33" t="s">
        <v>5209</v>
      </c>
      <c r="H37" s="33" t="s">
        <v>5210</v>
      </c>
      <c r="I37" s="33" t="s">
        <v>5211</v>
      </c>
    </row>
    <row r="38" spans="1:9" ht="360" x14ac:dyDescent="0.3">
      <c r="A38" s="63" t="s">
        <v>5212</v>
      </c>
      <c r="B38" s="63" t="s">
        <v>5213</v>
      </c>
      <c r="C38" s="63" t="s">
        <v>5214</v>
      </c>
      <c r="D38" s="63" t="s">
        <v>5215</v>
      </c>
      <c r="E38" s="63" t="s">
        <v>5216</v>
      </c>
      <c r="F38" s="63" t="s">
        <v>5217</v>
      </c>
      <c r="G38" s="63" t="s">
        <v>5218</v>
      </c>
      <c r="H38" s="63" t="s">
        <v>5219</v>
      </c>
      <c r="I38" s="63" t="s">
        <v>4584</v>
      </c>
    </row>
    <row r="39" spans="1:9" ht="374.4" x14ac:dyDescent="0.3">
      <c r="A39" s="63" t="s">
        <v>5220</v>
      </c>
      <c r="B39" s="63" t="s">
        <v>5221</v>
      </c>
      <c r="C39" s="63" t="s">
        <v>5222</v>
      </c>
      <c r="D39" s="63" t="s">
        <v>5215</v>
      </c>
      <c r="E39" s="63" t="s">
        <v>5216</v>
      </c>
      <c r="F39" s="63" t="s">
        <v>5223</v>
      </c>
      <c r="G39" s="63" t="s">
        <v>5224</v>
      </c>
      <c r="H39" s="63" t="s">
        <v>5219</v>
      </c>
      <c r="I39" s="63" t="s">
        <v>4584</v>
      </c>
    </row>
    <row r="40" spans="1:9" ht="316.8" x14ac:dyDescent="0.3">
      <c r="A40" s="63" t="s">
        <v>5225</v>
      </c>
      <c r="B40" s="63" t="s">
        <v>5226</v>
      </c>
      <c r="C40" s="63" t="s">
        <v>5227</v>
      </c>
      <c r="D40" s="63" t="s">
        <v>5228</v>
      </c>
      <c r="E40" s="63" t="s">
        <v>5216</v>
      </c>
      <c r="F40" s="63" t="s">
        <v>5229</v>
      </c>
      <c r="G40" s="63" t="s">
        <v>5230</v>
      </c>
      <c r="H40" s="63" t="s">
        <v>5219</v>
      </c>
      <c r="I40" s="63" t="s">
        <v>4584</v>
      </c>
    </row>
    <row r="41" spans="1:9" ht="316.8" x14ac:dyDescent="0.3">
      <c r="A41" s="63" t="s">
        <v>5231</v>
      </c>
      <c r="B41" s="63" t="s">
        <v>5232</v>
      </c>
      <c r="C41" s="63" t="s">
        <v>5227</v>
      </c>
      <c r="D41" s="63" t="s">
        <v>5228</v>
      </c>
      <c r="E41" s="63" t="s">
        <v>5216</v>
      </c>
      <c r="F41" s="63" t="s">
        <v>5233</v>
      </c>
      <c r="G41" s="63" t="s">
        <v>5234</v>
      </c>
      <c r="H41" s="63" t="s">
        <v>5219</v>
      </c>
      <c r="I41" s="63" t="s">
        <v>4584</v>
      </c>
    </row>
    <row r="42" spans="1:9" ht="201.6" x14ac:dyDescent="0.3">
      <c r="A42" s="63" t="s">
        <v>5235</v>
      </c>
      <c r="B42" s="63" t="s">
        <v>5236</v>
      </c>
      <c r="C42" s="63" t="s">
        <v>5237</v>
      </c>
      <c r="D42" s="63" t="s">
        <v>5238</v>
      </c>
      <c r="E42" s="63" t="s">
        <v>5216</v>
      </c>
      <c r="F42" s="63" t="s">
        <v>5239</v>
      </c>
      <c r="G42" s="63" t="s">
        <v>5240</v>
      </c>
      <c r="H42" s="63" t="s">
        <v>5219</v>
      </c>
      <c r="I42" s="63" t="s">
        <v>4584</v>
      </c>
    </row>
    <row r="46" spans="1:9" x14ac:dyDescent="0.3">
      <c r="A46" s="25" t="s">
        <v>5241</v>
      </c>
      <c r="B46" s="25"/>
      <c r="C46" s="25"/>
      <c r="D46" s="25"/>
    </row>
    <row r="47" spans="1:9" x14ac:dyDescent="0.3">
      <c r="A47" s="1" t="s">
        <v>5242</v>
      </c>
      <c r="B47" s="4">
        <v>1</v>
      </c>
    </row>
    <row r="48" spans="1:9" x14ac:dyDescent="0.3">
      <c r="A48" s="1" t="s">
        <v>5243</v>
      </c>
      <c r="B48" s="4" t="s">
        <v>4675</v>
      </c>
    </row>
    <row r="49" spans="1:2" x14ac:dyDescent="0.3">
      <c r="A49" s="1" t="s">
        <v>5244</v>
      </c>
      <c r="B49" s="4" t="s">
        <v>5250</v>
      </c>
    </row>
    <row r="50" spans="1:2" x14ac:dyDescent="0.3">
      <c r="A50" s="1" t="s">
        <v>5245</v>
      </c>
      <c r="B50" s="4" t="s">
        <v>4656</v>
      </c>
    </row>
    <row r="51" spans="1:2" x14ac:dyDescent="0.3">
      <c r="A51" s="1" t="s">
        <v>5246</v>
      </c>
      <c r="B51" s="4" t="s">
        <v>4668</v>
      </c>
    </row>
    <row r="52" spans="1:2" x14ac:dyDescent="0.3">
      <c r="A52" s="1" t="s">
        <v>5247</v>
      </c>
      <c r="B52" s="4" t="s">
        <v>5251</v>
      </c>
    </row>
    <row r="53" spans="1:2" x14ac:dyDescent="0.3">
      <c r="A53" s="1" t="s">
        <v>5248</v>
      </c>
      <c r="B53" s="28" t="str" cm="1">
        <f t="array" ref="B53">IF($B$47="","",TRIM(LEFT(INDEX('TRIP MANAGER'!$D$74:$D$82,$B$47)&amp;",",FIND(",",INDEX('TRIP MANAGER'!$D$74:$D$82,$B$47)&amp;",")-1)))</f>
        <v>FALA</v>
      </c>
    </row>
    <row r="54" spans="1:2" x14ac:dyDescent="0.3">
      <c r="A54" s="1" t="s">
        <v>5249</v>
      </c>
      <c r="B54" s="28" t="str">
        <f>IF($B$47="","",'TRIP MANAGER'!$B$7&amp;" / "&amp;$B$53&amp;" / "&amp;'TRIP MANAGER'!$B$5&amp;" - HANDLING REQUEST")</f>
        <v>N450GA / FALA / JTL-2608-001 - HANDLING REQUEST</v>
      </c>
    </row>
    <row r="56" spans="1:2" x14ac:dyDescent="0.3">
      <c r="A56" s="54" t="s">
        <v>5252</v>
      </c>
    </row>
    <row r="57" spans="1:2" x14ac:dyDescent="0.3">
      <c r="A57" s="70" t="str">
        <f>"ATTN:      "&amp;$B$48&amp;"/"&amp;$B$53</f>
        <v>ATTN:      FIREBLADE AVIATION/FALA</v>
      </c>
    </row>
    <row r="58" spans="1:2" x14ac:dyDescent="0.3">
      <c r="A58" s="70" t="str">
        <f>"REF:       "&amp;'TRIP MANAGER'!$F$6</f>
        <v>REF:       JTL AVIATION INC</v>
      </c>
    </row>
    <row r="59" spans="1:2" x14ac:dyDescent="0.3">
      <c r="A59" s="70" t="str">
        <f>"           REGISTRY "&amp;'TRIP MANAGER'!$B$7&amp;" / "&amp;'TRIP MANAGER'!$B$8</f>
        <v xml:space="preserve">           REGISTRY N450GA / GLF6</v>
      </c>
    </row>
    <row r="60" spans="1:2" x14ac:dyDescent="0.3">
      <c r="A60" s="70" t="str">
        <f>"           CAPTAIN "&amp;IFERROR(INDEX('PAX &amp; CREW'!$G$3:$G$62,MATCH("PIC",'PAX &amp; CREW'!$D$3:$D$62,0))&amp;" "&amp;INDEX('PAX &amp; CREW'!$H$3:$H$62,MATCH("PIC",'PAX &amp; CREW'!$D$3:$D$62,0)),"TBA")</f>
        <v xml:space="preserve">           CAPTAIN WATSON CHARLES JAMES</v>
      </c>
    </row>
    <row r="61" spans="1:2" x14ac:dyDescent="0.3">
      <c r="A61" s="70" t="str">
        <f>"           JTL REFERENCE NBR "&amp;'TRIP MANAGER'!$B$5</f>
        <v xml:space="preserve">           JTL REFERENCE NBR JTL-2608-001</v>
      </c>
    </row>
    <row r="62" spans="1:2" x14ac:dyDescent="0.3">
      <c r="A62" s="70" t="str">
        <f>""</f>
        <v/>
      </c>
    </row>
    <row r="63" spans="1:2" x14ac:dyDescent="0.3">
      <c r="A63" s="70" t="str">
        <f>"ITINERARY:"</f>
        <v>ITINERARY:</v>
      </c>
    </row>
    <row r="64" spans="1:2" x14ac:dyDescent="0.3">
      <c r="A64" s="70" t="str" cm="1">
        <f t="array" ref="A64">IF(INT((ROW()-63-1)/2)+1&gt;COUNTA('TRIP MANAGER'!$G$18:$G$25),"",IF(MOD(ROW()-63,2)=1,"DEPART "&amp;UPPER(INDEX('TRIP MANAGER'!$C$18:$C$25,INT((ROW()-63-1)/2)+1))&amp;" / "&amp;INDEX('TRIP MANAGER'!$B$18:$B$25,INT((ROW()-63-1)/2)+1)&amp;"          "&amp;UPPER(TEXT(INDEX('TRIP MANAGER'!$E$18:$E$25,INT((ROW()-63-1)/2)+1)+INDEX('TRIP MANAGER'!$F$18:$F$25,INT((ROW()-63-1)/2)+1),"ddmmm"))&amp;"/"&amp;TEXT(INDEX('TRIP MANAGER'!$E$18:$E$25,INT((ROW()-63-1)/2)+1)+INDEX('TRIP MANAGER'!$F$18:$F$25,INT((ROW()-63-1)/2)+1),"hhmm")&amp;" UTC","ARRIVE "&amp;UPPER(INDEX('TRIP MANAGER'!$H$18:$H$25,INT((ROW()-63-1)/2)+1))&amp;" / "&amp;INDEX('TRIP MANAGER'!$G$18:$G$25,INT((ROW()-63-1)/2)+1)&amp;"          "&amp;UPPER(TEXT(INDEX('TRIP MANAGER'!$L$18:$L$25,INT((ROW()-63-1)/2)+1)+INDEX('TRIP MANAGER'!$M$18:$M$25,INT((ROW()-63-1)/2)+1),"ddmmm"))&amp;"/"&amp;TEXT(INDEX('TRIP MANAGER'!$L$18:$L$25,INT((ROW()-63-1)/2)+1)+INDEX('TRIP MANAGER'!$M$18:$M$25,INT((ROW()-63-1)/2)+1),"hhmm")&amp;" UTC"))</f>
        <v>DEPART LANSERIA INTERNATIONAL AIRPORT / FALA          14AUG/0900 UTC</v>
      </c>
    </row>
    <row r="65" spans="1:1" x14ac:dyDescent="0.3">
      <c r="A65" s="70" t="str" cm="1">
        <f t="array" ref="A65">IF(INT((ROW()-63-1)/2)+1&gt;COUNTA('TRIP MANAGER'!$G$18:$G$25),"",IF(MOD(ROW()-63,2)=1,"DEPART "&amp;UPPER(INDEX('TRIP MANAGER'!$C$18:$C$25,INT((ROW()-63-1)/2)+1))&amp;" / "&amp;INDEX('TRIP MANAGER'!$B$18:$B$25,INT((ROW()-63-1)/2)+1)&amp;"          "&amp;UPPER(TEXT(INDEX('TRIP MANAGER'!$E$18:$E$25,INT((ROW()-63-1)/2)+1)+INDEX('TRIP MANAGER'!$F$18:$F$25,INT((ROW()-63-1)/2)+1),"ddmmm"))&amp;"/"&amp;TEXT(INDEX('TRIP MANAGER'!$E$18:$E$25,INT((ROW()-63-1)/2)+1)+INDEX('TRIP MANAGER'!$F$18:$F$25,INT((ROW()-63-1)/2)+1),"hhmm")&amp;" UTC","ARRIVE "&amp;UPPER(INDEX('TRIP MANAGER'!$H$18:$H$25,INT((ROW()-63-1)/2)+1))&amp;" / "&amp;INDEX('TRIP MANAGER'!$G$18:$G$25,INT((ROW()-63-1)/2)+1)&amp;"          "&amp;UPPER(TEXT(INDEX('TRIP MANAGER'!$L$18:$L$25,INT((ROW()-63-1)/2)+1)+INDEX('TRIP MANAGER'!$M$18:$M$25,INT((ROW()-63-1)/2)+1),"ddmmm"))&amp;"/"&amp;TEXT(INDEX('TRIP MANAGER'!$L$18:$L$25,INT((ROW()-63-1)/2)+1)+INDEX('TRIP MANAGER'!$M$18:$M$25,INT((ROW()-63-1)/2)+1),"hhmm")&amp;" UTC"))</f>
        <v>ARRIVE N'DJAMENA INTERNATIONAL AIRPORT / FTTJ          14AUG/1431 UTC</v>
      </c>
    </row>
    <row r="66" spans="1:1" x14ac:dyDescent="0.3">
      <c r="A66" s="70" t="str" cm="1">
        <f t="array" ref="A66">IF(INT((ROW()-63-1)/2)+1&gt;COUNTA('TRIP MANAGER'!$G$18:$G$25),"",IF(MOD(ROW()-63,2)=1,"DEPART "&amp;UPPER(INDEX('TRIP MANAGER'!$C$18:$C$25,INT((ROW()-63-1)/2)+1))&amp;" / "&amp;INDEX('TRIP MANAGER'!$B$18:$B$25,INT((ROW()-63-1)/2)+1)&amp;"          "&amp;UPPER(TEXT(INDEX('TRIP MANAGER'!$E$18:$E$25,INT((ROW()-63-1)/2)+1)+INDEX('TRIP MANAGER'!$F$18:$F$25,INT((ROW()-63-1)/2)+1),"ddmmm"))&amp;"/"&amp;TEXT(INDEX('TRIP MANAGER'!$E$18:$E$25,INT((ROW()-63-1)/2)+1)+INDEX('TRIP MANAGER'!$F$18:$F$25,INT((ROW()-63-1)/2)+1),"hhmm")&amp;" UTC","ARRIVE "&amp;UPPER(INDEX('TRIP MANAGER'!$H$18:$H$25,INT((ROW()-63-1)/2)+1))&amp;" / "&amp;INDEX('TRIP MANAGER'!$G$18:$G$25,INT((ROW()-63-1)/2)+1)&amp;"          "&amp;UPPER(TEXT(INDEX('TRIP MANAGER'!$L$18:$L$25,INT((ROW()-63-1)/2)+1)+INDEX('TRIP MANAGER'!$M$18:$M$25,INT((ROW()-63-1)/2)+1),"ddmmm"))&amp;"/"&amp;TEXT(INDEX('TRIP MANAGER'!$L$18:$L$25,INT((ROW()-63-1)/2)+1)+INDEX('TRIP MANAGER'!$M$18:$M$25,INT((ROW()-63-1)/2)+1),"hhmm")&amp;" UTC"))</f>
        <v>DEPART N'DJAMENA INTERNATIONAL AIRPORT / FTTJ          16AUG/0600 UTC</v>
      </c>
    </row>
    <row r="67" spans="1:1" x14ac:dyDescent="0.3">
      <c r="A67" s="70" t="str" cm="1">
        <f t="array" ref="A67">IF(INT((ROW()-63-1)/2)+1&gt;COUNTA('TRIP MANAGER'!$G$18:$G$25),"",IF(MOD(ROW()-63,2)=1,"DEPART "&amp;UPPER(INDEX('TRIP MANAGER'!$C$18:$C$25,INT((ROW()-63-1)/2)+1))&amp;" / "&amp;INDEX('TRIP MANAGER'!$B$18:$B$25,INT((ROW()-63-1)/2)+1)&amp;"          "&amp;UPPER(TEXT(INDEX('TRIP MANAGER'!$E$18:$E$25,INT((ROW()-63-1)/2)+1)+INDEX('TRIP MANAGER'!$F$18:$F$25,INT((ROW()-63-1)/2)+1),"ddmmm"))&amp;"/"&amp;TEXT(INDEX('TRIP MANAGER'!$E$18:$E$25,INT((ROW()-63-1)/2)+1)+INDEX('TRIP MANAGER'!$F$18:$F$25,INT((ROW()-63-1)/2)+1),"hhmm")&amp;" UTC","ARRIVE "&amp;UPPER(INDEX('TRIP MANAGER'!$H$18:$H$25,INT((ROW()-63-1)/2)+1))&amp;" / "&amp;INDEX('TRIP MANAGER'!$G$18:$G$25,INT((ROW()-63-1)/2)+1)&amp;"          "&amp;UPPER(TEXT(INDEX('TRIP MANAGER'!$L$18:$L$25,INT((ROW()-63-1)/2)+1)+INDEX('TRIP MANAGER'!$M$18:$M$25,INT((ROW()-63-1)/2)+1),"ddmmm"))&amp;"/"&amp;TEXT(INDEX('TRIP MANAGER'!$L$18:$L$25,INT((ROW()-63-1)/2)+1)+INDEX('TRIP MANAGER'!$M$18:$M$25,INT((ROW()-63-1)/2)+1),"hhmm")&amp;" UTC"))</f>
        <v>ARRIVE CAIRO INTERNATIONAL AIRPORT / HECA          16AUG/0924 UTC</v>
      </c>
    </row>
    <row r="68" spans="1:1" x14ac:dyDescent="0.3">
      <c r="A68" s="70" t="str" cm="1">
        <f t="array" ref="A68">IF(INT((ROW()-63-1)/2)+1&gt;COUNTA('TRIP MANAGER'!$G$18:$G$25),"",IF(MOD(ROW()-63,2)=1,"DEPART "&amp;UPPER(INDEX('TRIP MANAGER'!$C$18:$C$25,INT((ROW()-63-1)/2)+1))&amp;" / "&amp;INDEX('TRIP MANAGER'!$B$18:$B$25,INT((ROW()-63-1)/2)+1)&amp;"          "&amp;UPPER(TEXT(INDEX('TRIP MANAGER'!$E$18:$E$25,INT((ROW()-63-1)/2)+1)+INDEX('TRIP MANAGER'!$F$18:$F$25,INT((ROW()-63-1)/2)+1),"ddmmm"))&amp;"/"&amp;TEXT(INDEX('TRIP MANAGER'!$E$18:$E$25,INT((ROW()-63-1)/2)+1)+INDEX('TRIP MANAGER'!$F$18:$F$25,INT((ROW()-63-1)/2)+1),"hhmm")&amp;" UTC","ARRIVE "&amp;UPPER(INDEX('TRIP MANAGER'!$H$18:$H$25,INT((ROW()-63-1)/2)+1))&amp;" / "&amp;INDEX('TRIP MANAGER'!$G$18:$G$25,INT((ROW()-63-1)/2)+1)&amp;"          "&amp;UPPER(TEXT(INDEX('TRIP MANAGER'!$L$18:$L$25,INT((ROW()-63-1)/2)+1)+INDEX('TRIP MANAGER'!$M$18:$M$25,INT((ROW()-63-1)/2)+1),"ddmmm"))&amp;"/"&amp;TEXT(INDEX('TRIP MANAGER'!$L$18:$L$25,INT((ROW()-63-1)/2)+1)+INDEX('TRIP MANAGER'!$M$18:$M$25,INT((ROW()-63-1)/2)+1),"hhmm")&amp;" UTC"))</f>
        <v>DEPART CAIRO INTERNATIONAL AIRPORT / HECA          17AUG/0400 UTC</v>
      </c>
    </row>
    <row r="69" spans="1:1" x14ac:dyDescent="0.3">
      <c r="A69" s="70" t="str" cm="1">
        <f t="array" ref="A69">IF(INT((ROW()-63-1)/2)+1&gt;COUNTA('TRIP MANAGER'!$G$18:$G$25),"",IF(MOD(ROW()-63,2)=1,"DEPART "&amp;UPPER(INDEX('TRIP MANAGER'!$C$18:$C$25,INT((ROW()-63-1)/2)+1))&amp;" / "&amp;INDEX('TRIP MANAGER'!$B$18:$B$25,INT((ROW()-63-1)/2)+1)&amp;"          "&amp;UPPER(TEXT(INDEX('TRIP MANAGER'!$E$18:$E$25,INT((ROW()-63-1)/2)+1)+INDEX('TRIP MANAGER'!$F$18:$F$25,INT((ROW()-63-1)/2)+1),"ddmmm"))&amp;"/"&amp;TEXT(INDEX('TRIP MANAGER'!$E$18:$E$25,INT((ROW()-63-1)/2)+1)+INDEX('TRIP MANAGER'!$F$18:$F$25,INT((ROW()-63-1)/2)+1),"hhmm")&amp;" UTC","ARRIVE "&amp;UPPER(INDEX('TRIP MANAGER'!$H$18:$H$25,INT((ROW()-63-1)/2)+1))&amp;" / "&amp;INDEX('TRIP MANAGER'!$G$18:$G$25,INT((ROW()-63-1)/2)+1)&amp;"          "&amp;UPPER(TEXT(INDEX('TRIP MANAGER'!$L$18:$L$25,INT((ROW()-63-1)/2)+1)+INDEX('TRIP MANAGER'!$M$18:$M$25,INT((ROW()-63-1)/2)+1),"ddmmm"))&amp;"/"&amp;TEXT(INDEX('TRIP MANAGER'!$L$18:$L$25,INT((ROW()-63-1)/2)+1)+INDEX('TRIP MANAGER'!$M$18:$M$25,INT((ROW()-63-1)/2)+1),"hhmm")&amp;" UTC"))</f>
        <v>ARRIVE AL MASSIRA AIRPORT / GMAD          17AUG/0852 UTC</v>
      </c>
    </row>
    <row r="70" spans="1:1" x14ac:dyDescent="0.3">
      <c r="A70" s="70" t="str" cm="1">
        <f t="array" ref="A70">IF(INT((ROW()-63-1)/2)+1&gt;COUNTA('TRIP MANAGER'!$G$18:$G$25),"",IF(MOD(ROW()-63,2)=1,"DEPART "&amp;UPPER(INDEX('TRIP MANAGER'!$C$18:$C$25,INT((ROW()-63-1)/2)+1))&amp;" / "&amp;INDEX('TRIP MANAGER'!$B$18:$B$25,INT((ROW()-63-1)/2)+1)&amp;"          "&amp;UPPER(TEXT(INDEX('TRIP MANAGER'!$E$18:$E$25,INT((ROW()-63-1)/2)+1)+INDEX('TRIP MANAGER'!$F$18:$F$25,INT((ROW()-63-1)/2)+1),"ddmmm"))&amp;"/"&amp;TEXT(INDEX('TRIP MANAGER'!$E$18:$E$25,INT((ROW()-63-1)/2)+1)+INDEX('TRIP MANAGER'!$F$18:$F$25,INT((ROW()-63-1)/2)+1),"hhmm")&amp;" UTC","ARRIVE "&amp;UPPER(INDEX('TRIP MANAGER'!$H$18:$H$25,INT((ROW()-63-1)/2)+1))&amp;" / "&amp;INDEX('TRIP MANAGER'!$G$18:$G$25,INT((ROW()-63-1)/2)+1)&amp;"          "&amp;UPPER(TEXT(INDEX('TRIP MANAGER'!$L$18:$L$25,INT((ROW()-63-1)/2)+1)+INDEX('TRIP MANAGER'!$M$18:$M$25,INT((ROW()-63-1)/2)+1),"ddmmm"))&amp;"/"&amp;TEXT(INDEX('TRIP MANAGER'!$L$18:$L$25,INT((ROW()-63-1)/2)+1)+INDEX('TRIP MANAGER'!$M$18:$M$25,INT((ROW()-63-1)/2)+1),"hhmm")&amp;" UTC"))</f>
        <v>DEPART AL MASSIRA AIRPORT / GMAD          19AUG/0100 UTC</v>
      </c>
    </row>
    <row r="71" spans="1:1" x14ac:dyDescent="0.3">
      <c r="A71" s="70" t="str" cm="1">
        <f t="array" ref="A71">IF(INT((ROW()-63-1)/2)+1&gt;COUNTA('TRIP MANAGER'!$G$18:$G$25),"",IF(MOD(ROW()-63,2)=1,"DEPART "&amp;UPPER(INDEX('TRIP MANAGER'!$C$18:$C$25,INT((ROW()-63-1)/2)+1))&amp;" / "&amp;INDEX('TRIP MANAGER'!$B$18:$B$25,INT((ROW()-63-1)/2)+1)&amp;"          "&amp;UPPER(TEXT(INDEX('TRIP MANAGER'!$E$18:$E$25,INT((ROW()-63-1)/2)+1)+INDEX('TRIP MANAGER'!$F$18:$F$25,INT((ROW()-63-1)/2)+1),"ddmmm"))&amp;"/"&amp;TEXT(INDEX('TRIP MANAGER'!$E$18:$E$25,INT((ROW()-63-1)/2)+1)+INDEX('TRIP MANAGER'!$F$18:$F$25,INT((ROW()-63-1)/2)+1),"hhmm")&amp;" UTC","ARRIVE "&amp;UPPER(INDEX('TRIP MANAGER'!$H$18:$H$25,INT((ROW()-63-1)/2)+1))&amp;" / "&amp;INDEX('TRIP MANAGER'!$G$18:$G$25,INT((ROW()-63-1)/2)+1)&amp;"          "&amp;UPPER(TEXT(INDEX('TRIP MANAGER'!$L$18:$L$25,INT((ROW()-63-1)/2)+1)+INDEX('TRIP MANAGER'!$M$18:$M$25,INT((ROW()-63-1)/2)+1),"ddmmm"))&amp;"/"&amp;TEXT(INDEX('TRIP MANAGER'!$L$18:$L$25,INT((ROW()-63-1)/2)+1)+INDEX('TRIP MANAGER'!$M$18:$M$25,INT((ROW()-63-1)/2)+1),"hhmm")&amp;" UTC"))</f>
        <v>ARRIVE O.R. TAMBO INTERNATIONAL AIRPORT / FAOR          19AUG/0957 UTC</v>
      </c>
    </row>
    <row r="72" spans="1:1" x14ac:dyDescent="0.3">
      <c r="A72" s="70" t="str" cm="1">
        <f t="array" ref="A72">IF(INT((ROW()-63-1)/2)+1&gt;COUNTA('TRIP MANAGER'!$G$18:$G$25),"",IF(MOD(ROW()-63,2)=1,"DEPART "&amp;UPPER(INDEX('TRIP MANAGER'!$C$18:$C$25,INT((ROW()-63-1)/2)+1))&amp;" / "&amp;INDEX('TRIP MANAGER'!$B$18:$B$25,INT((ROW()-63-1)/2)+1)&amp;"          "&amp;UPPER(TEXT(INDEX('TRIP MANAGER'!$E$18:$E$25,INT((ROW()-63-1)/2)+1)+INDEX('TRIP MANAGER'!$F$18:$F$25,INT((ROW()-63-1)/2)+1),"ddmmm"))&amp;"/"&amp;TEXT(INDEX('TRIP MANAGER'!$E$18:$E$25,INT((ROW()-63-1)/2)+1)+INDEX('TRIP MANAGER'!$F$18:$F$25,INT((ROW()-63-1)/2)+1),"hhmm")&amp;" UTC","ARRIVE "&amp;UPPER(INDEX('TRIP MANAGER'!$H$18:$H$25,INT((ROW()-63-1)/2)+1))&amp;" / "&amp;INDEX('TRIP MANAGER'!$G$18:$G$25,INT((ROW()-63-1)/2)+1)&amp;"          "&amp;UPPER(TEXT(INDEX('TRIP MANAGER'!$L$18:$L$25,INT((ROW()-63-1)/2)+1)+INDEX('TRIP MANAGER'!$M$18:$M$25,INT((ROW()-63-1)/2)+1),"ddmmm"))&amp;"/"&amp;TEXT(INDEX('TRIP MANAGER'!$L$18:$L$25,INT((ROW()-63-1)/2)+1)+INDEX('TRIP MANAGER'!$M$18:$M$25,INT((ROW()-63-1)/2)+1),"hhmm")&amp;" UTC"))</f>
        <v/>
      </c>
    </row>
    <row r="73" spans="1:1" x14ac:dyDescent="0.3">
      <c r="A73" s="70" t="str" cm="1">
        <f t="array" ref="A73">IF(INT((ROW()-63-1)/2)+1&gt;COUNTA('TRIP MANAGER'!$G$18:$G$25),"",IF(MOD(ROW()-63,2)=1,"DEPART "&amp;UPPER(INDEX('TRIP MANAGER'!$C$18:$C$25,INT((ROW()-63-1)/2)+1))&amp;" / "&amp;INDEX('TRIP MANAGER'!$B$18:$B$25,INT((ROW()-63-1)/2)+1)&amp;"          "&amp;UPPER(TEXT(INDEX('TRIP MANAGER'!$E$18:$E$25,INT((ROW()-63-1)/2)+1)+INDEX('TRIP MANAGER'!$F$18:$F$25,INT((ROW()-63-1)/2)+1),"ddmmm"))&amp;"/"&amp;TEXT(INDEX('TRIP MANAGER'!$E$18:$E$25,INT((ROW()-63-1)/2)+1)+INDEX('TRIP MANAGER'!$F$18:$F$25,INT((ROW()-63-1)/2)+1),"hhmm")&amp;" UTC","ARRIVE "&amp;UPPER(INDEX('TRIP MANAGER'!$H$18:$H$25,INT((ROW()-63-1)/2)+1))&amp;" / "&amp;INDEX('TRIP MANAGER'!$G$18:$G$25,INT((ROW()-63-1)/2)+1)&amp;"          "&amp;UPPER(TEXT(INDEX('TRIP MANAGER'!$L$18:$L$25,INT((ROW()-63-1)/2)+1)+INDEX('TRIP MANAGER'!$M$18:$M$25,INT((ROW()-63-1)/2)+1),"ddmmm"))&amp;"/"&amp;TEXT(INDEX('TRIP MANAGER'!$L$18:$L$25,INT((ROW()-63-1)/2)+1)+INDEX('TRIP MANAGER'!$M$18:$M$25,INT((ROW()-63-1)/2)+1),"hhmm")&amp;" UTC"))</f>
        <v/>
      </c>
    </row>
    <row r="74" spans="1:1" x14ac:dyDescent="0.3">
      <c r="A74" s="70" t="str" cm="1">
        <f t="array" ref="A74">IF(INT((ROW()-63-1)/2)+1&gt;COUNTA('TRIP MANAGER'!$G$18:$G$25),"",IF(MOD(ROW()-63,2)=1,"DEPART "&amp;UPPER(INDEX('TRIP MANAGER'!$C$18:$C$25,INT((ROW()-63-1)/2)+1))&amp;" / "&amp;INDEX('TRIP MANAGER'!$B$18:$B$25,INT((ROW()-63-1)/2)+1)&amp;"          "&amp;UPPER(TEXT(INDEX('TRIP MANAGER'!$E$18:$E$25,INT((ROW()-63-1)/2)+1)+INDEX('TRIP MANAGER'!$F$18:$F$25,INT((ROW()-63-1)/2)+1),"ddmmm"))&amp;"/"&amp;TEXT(INDEX('TRIP MANAGER'!$E$18:$E$25,INT((ROW()-63-1)/2)+1)+INDEX('TRIP MANAGER'!$F$18:$F$25,INT((ROW()-63-1)/2)+1),"hhmm")&amp;" UTC","ARRIVE "&amp;UPPER(INDEX('TRIP MANAGER'!$H$18:$H$25,INT((ROW()-63-1)/2)+1))&amp;" / "&amp;INDEX('TRIP MANAGER'!$G$18:$G$25,INT((ROW()-63-1)/2)+1)&amp;"          "&amp;UPPER(TEXT(INDEX('TRIP MANAGER'!$L$18:$L$25,INT((ROW()-63-1)/2)+1)+INDEX('TRIP MANAGER'!$M$18:$M$25,INT((ROW()-63-1)/2)+1),"ddmmm"))&amp;"/"&amp;TEXT(INDEX('TRIP MANAGER'!$L$18:$L$25,INT((ROW()-63-1)/2)+1)+INDEX('TRIP MANAGER'!$M$18:$M$25,INT((ROW()-63-1)/2)+1),"hhmm")&amp;" UTC"))</f>
        <v/>
      </c>
    </row>
    <row r="75" spans="1:1" x14ac:dyDescent="0.3">
      <c r="A75" s="70" t="str" cm="1">
        <f t="array" ref="A75">IF(INT((ROW()-63-1)/2)+1&gt;COUNTA('TRIP MANAGER'!$G$18:$G$25),"",IF(MOD(ROW()-63,2)=1,"DEPART "&amp;UPPER(INDEX('TRIP MANAGER'!$C$18:$C$25,INT((ROW()-63-1)/2)+1))&amp;" / "&amp;INDEX('TRIP MANAGER'!$B$18:$B$25,INT((ROW()-63-1)/2)+1)&amp;"          "&amp;UPPER(TEXT(INDEX('TRIP MANAGER'!$E$18:$E$25,INT((ROW()-63-1)/2)+1)+INDEX('TRIP MANAGER'!$F$18:$F$25,INT((ROW()-63-1)/2)+1),"ddmmm"))&amp;"/"&amp;TEXT(INDEX('TRIP MANAGER'!$E$18:$E$25,INT((ROW()-63-1)/2)+1)+INDEX('TRIP MANAGER'!$F$18:$F$25,INT((ROW()-63-1)/2)+1),"hhmm")&amp;" UTC","ARRIVE "&amp;UPPER(INDEX('TRIP MANAGER'!$H$18:$H$25,INT((ROW()-63-1)/2)+1))&amp;" / "&amp;INDEX('TRIP MANAGER'!$G$18:$G$25,INT((ROW()-63-1)/2)+1)&amp;"          "&amp;UPPER(TEXT(INDEX('TRIP MANAGER'!$L$18:$L$25,INT((ROW()-63-1)/2)+1)+INDEX('TRIP MANAGER'!$M$18:$M$25,INT((ROW()-63-1)/2)+1),"ddmmm"))&amp;"/"&amp;TEXT(INDEX('TRIP MANAGER'!$L$18:$L$25,INT((ROW()-63-1)/2)+1)+INDEX('TRIP MANAGER'!$M$18:$M$25,INT((ROW()-63-1)/2)+1),"hhmm")&amp;" UTC"))</f>
        <v/>
      </c>
    </row>
    <row r="76" spans="1:1" x14ac:dyDescent="0.3">
      <c r="A76" s="70" t="str" cm="1">
        <f t="array" ref="A76">IF(INT((ROW()-63-1)/2)+1&gt;COUNTA('TRIP MANAGER'!$G$18:$G$25),"",IF(MOD(ROW()-63,2)=1,"DEPART "&amp;UPPER(INDEX('TRIP MANAGER'!$C$18:$C$25,INT((ROW()-63-1)/2)+1))&amp;" / "&amp;INDEX('TRIP MANAGER'!$B$18:$B$25,INT((ROW()-63-1)/2)+1)&amp;"          "&amp;UPPER(TEXT(INDEX('TRIP MANAGER'!$E$18:$E$25,INT((ROW()-63-1)/2)+1)+INDEX('TRIP MANAGER'!$F$18:$F$25,INT((ROW()-63-1)/2)+1),"ddmmm"))&amp;"/"&amp;TEXT(INDEX('TRIP MANAGER'!$E$18:$E$25,INT((ROW()-63-1)/2)+1)+INDEX('TRIP MANAGER'!$F$18:$F$25,INT((ROW()-63-1)/2)+1),"hhmm")&amp;" UTC","ARRIVE "&amp;UPPER(INDEX('TRIP MANAGER'!$H$18:$H$25,INT((ROW()-63-1)/2)+1))&amp;" / "&amp;INDEX('TRIP MANAGER'!$G$18:$G$25,INT((ROW()-63-1)/2)+1)&amp;"          "&amp;UPPER(TEXT(INDEX('TRIP MANAGER'!$L$18:$L$25,INT((ROW()-63-1)/2)+1)+INDEX('TRIP MANAGER'!$M$18:$M$25,INT((ROW()-63-1)/2)+1),"ddmmm"))&amp;"/"&amp;TEXT(INDEX('TRIP MANAGER'!$L$18:$L$25,INT((ROW()-63-1)/2)+1)+INDEX('TRIP MANAGER'!$M$18:$M$25,INT((ROW()-63-1)/2)+1),"hhmm")&amp;" UTC"))</f>
        <v/>
      </c>
    </row>
    <row r="77" spans="1:1" x14ac:dyDescent="0.3">
      <c r="A77" s="70" t="str" cm="1">
        <f t="array" ref="A77">IF(INT((ROW()-63-1)/2)+1&gt;COUNTA('TRIP MANAGER'!$G$18:$G$25),"",IF(MOD(ROW()-63,2)=1,"DEPART "&amp;UPPER(INDEX('TRIP MANAGER'!$C$18:$C$25,INT((ROW()-63-1)/2)+1))&amp;" / "&amp;INDEX('TRIP MANAGER'!$B$18:$B$25,INT((ROW()-63-1)/2)+1)&amp;"          "&amp;UPPER(TEXT(INDEX('TRIP MANAGER'!$E$18:$E$25,INT((ROW()-63-1)/2)+1)+INDEX('TRIP MANAGER'!$F$18:$F$25,INT((ROW()-63-1)/2)+1),"ddmmm"))&amp;"/"&amp;TEXT(INDEX('TRIP MANAGER'!$E$18:$E$25,INT((ROW()-63-1)/2)+1)+INDEX('TRIP MANAGER'!$F$18:$F$25,INT((ROW()-63-1)/2)+1),"hhmm")&amp;" UTC","ARRIVE "&amp;UPPER(INDEX('TRIP MANAGER'!$H$18:$H$25,INT((ROW()-63-1)/2)+1))&amp;" / "&amp;INDEX('TRIP MANAGER'!$G$18:$G$25,INT((ROW()-63-1)/2)+1)&amp;"          "&amp;UPPER(TEXT(INDEX('TRIP MANAGER'!$L$18:$L$25,INT((ROW()-63-1)/2)+1)+INDEX('TRIP MANAGER'!$M$18:$M$25,INT((ROW()-63-1)/2)+1),"ddmmm"))&amp;"/"&amp;TEXT(INDEX('TRIP MANAGER'!$L$18:$L$25,INT((ROW()-63-1)/2)+1)+INDEX('TRIP MANAGER'!$M$18:$M$25,INT((ROW()-63-1)/2)+1),"hhmm")&amp;" UTC"))</f>
        <v/>
      </c>
    </row>
    <row r="78" spans="1:1" x14ac:dyDescent="0.3">
      <c r="A78" s="70" t="str" cm="1">
        <f t="array" ref="A78">IF(INT((ROW()-63-1)/2)+1&gt;COUNTA('TRIP MANAGER'!$G$18:$G$25),"",IF(MOD(ROW()-63,2)=1,"DEPART "&amp;UPPER(INDEX('TRIP MANAGER'!$C$18:$C$25,INT((ROW()-63-1)/2)+1))&amp;" / "&amp;INDEX('TRIP MANAGER'!$B$18:$B$25,INT((ROW()-63-1)/2)+1)&amp;"          "&amp;UPPER(TEXT(INDEX('TRIP MANAGER'!$E$18:$E$25,INT((ROW()-63-1)/2)+1)+INDEX('TRIP MANAGER'!$F$18:$F$25,INT((ROW()-63-1)/2)+1),"ddmmm"))&amp;"/"&amp;TEXT(INDEX('TRIP MANAGER'!$E$18:$E$25,INT((ROW()-63-1)/2)+1)+INDEX('TRIP MANAGER'!$F$18:$F$25,INT((ROW()-63-1)/2)+1),"hhmm")&amp;" UTC","ARRIVE "&amp;UPPER(INDEX('TRIP MANAGER'!$H$18:$H$25,INT((ROW()-63-1)/2)+1))&amp;" / "&amp;INDEX('TRIP MANAGER'!$G$18:$G$25,INT((ROW()-63-1)/2)+1)&amp;"          "&amp;UPPER(TEXT(INDEX('TRIP MANAGER'!$L$18:$L$25,INT((ROW()-63-1)/2)+1)+INDEX('TRIP MANAGER'!$M$18:$M$25,INT((ROW()-63-1)/2)+1),"ddmmm"))&amp;"/"&amp;TEXT(INDEX('TRIP MANAGER'!$L$18:$L$25,INT((ROW()-63-1)/2)+1)+INDEX('TRIP MANAGER'!$M$18:$M$25,INT((ROW()-63-1)/2)+1),"hhmm")&amp;" UTC"))</f>
        <v/>
      </c>
    </row>
    <row r="79" spans="1:1" x14ac:dyDescent="0.3">
      <c r="A79" s="70" t="str" cm="1">
        <f t="array" ref="A79">IF(INT((ROW()-63-1)/2)+1&gt;COUNTA('TRIP MANAGER'!$G$18:$G$25),"",IF(MOD(ROW()-63,2)=1,"DEPART "&amp;UPPER(INDEX('TRIP MANAGER'!$C$18:$C$25,INT((ROW()-63-1)/2)+1))&amp;" / "&amp;INDEX('TRIP MANAGER'!$B$18:$B$25,INT((ROW()-63-1)/2)+1)&amp;"          "&amp;UPPER(TEXT(INDEX('TRIP MANAGER'!$E$18:$E$25,INT((ROW()-63-1)/2)+1)+INDEX('TRIP MANAGER'!$F$18:$F$25,INT((ROW()-63-1)/2)+1),"ddmmm"))&amp;"/"&amp;TEXT(INDEX('TRIP MANAGER'!$E$18:$E$25,INT((ROW()-63-1)/2)+1)+INDEX('TRIP MANAGER'!$F$18:$F$25,INT((ROW()-63-1)/2)+1),"hhmm")&amp;" UTC","ARRIVE "&amp;UPPER(INDEX('TRIP MANAGER'!$H$18:$H$25,INT((ROW()-63-1)/2)+1))&amp;" / "&amp;INDEX('TRIP MANAGER'!$G$18:$G$25,INT((ROW()-63-1)/2)+1)&amp;"          "&amp;UPPER(TEXT(INDEX('TRIP MANAGER'!$L$18:$L$25,INT((ROW()-63-1)/2)+1)+INDEX('TRIP MANAGER'!$M$18:$M$25,INT((ROW()-63-1)/2)+1),"ddmmm"))&amp;"/"&amp;TEXT(INDEX('TRIP MANAGER'!$L$18:$L$25,INT((ROW()-63-1)/2)+1)+INDEX('TRIP MANAGER'!$M$18:$M$25,INT((ROW()-63-1)/2)+1),"hhmm")&amp;" UTC"))</f>
        <v/>
      </c>
    </row>
    <row r="80" spans="1:1" x14ac:dyDescent="0.3">
      <c r="A80" s="70" t="str">
        <f>""</f>
        <v/>
      </c>
    </row>
    <row r="81" spans="1:1" x14ac:dyDescent="0.3">
      <c r="A81" s="70" t="str">
        <f>"PLEASE SPECIFICALLY CONFIRM THE FOLLOWING:"</f>
        <v>PLEASE SPECIFICALLY CONFIRM THE FOLLOWING:</v>
      </c>
    </row>
    <row r="82" spans="1:1" x14ac:dyDescent="0.3">
      <c r="A82" s="70" t="str">
        <f>""</f>
        <v/>
      </c>
    </row>
    <row r="83" spans="1:1" x14ac:dyDescent="0.3">
      <c r="A83" s="70" t="str">
        <f>"PENDING CONFIRMATION"</f>
        <v>PENDING CONFIRMATION</v>
      </c>
    </row>
    <row r="84" spans="1:1" x14ac:dyDescent="0.3">
      <c r="A84" s="70" t="str" cm="1">
        <f t="array" ref="A84">IFERROR("   "&amp;ROW()-83&amp;". "&amp;UPPER(INDEX('TRIP MANAGER'!$H$72:$V$72,SMALL(IF(INDEX('TRIP MANAGER'!$H$74:$V$82,$B$47,0)&lt;&gt;"",COLUMN($H$1:$V$1)-7),ROW()-83)))&amp;": PLEASE ARRANGE FOR THE ARRIVAL AND DEPARTURE."&amp;IF(INDEX(INDEX('TRIP MANAGER'!$H$74:$V$82,$B$47,0),SMALL(IF(INDEX('TRIP MANAGER'!$H$74:$V$82,$B$47,0)&lt;&gt;"",COLUMN($H$1:$V$1)-7),ROW()-83))="THIRD PARTY"," (THIRD PARTY SUPPLIER)",""),"")</f>
        <v xml:space="preserve">   1. GROUND HANDLING: PLEASE ARRANGE FOR THE ARRIVAL AND DEPARTURE.</v>
      </c>
    </row>
    <row r="85" spans="1:1" x14ac:dyDescent="0.3">
      <c r="A85" s="70" t="str" cm="1">
        <f t="array" ref="A85">IFERROR("   "&amp;ROW()-83&amp;". "&amp;UPPER(INDEX('TRIP MANAGER'!$H$72:$V$72,SMALL(IF(INDEX('TRIP MANAGER'!$H$74:$V$82,$B$47,0)&lt;&gt;"",COLUMN($H$1:$V$1)-7),ROW()-83)))&amp;": PLEASE ARRANGE FOR THE ARRIVAL AND DEPARTURE."&amp;IF(INDEX(INDEX('TRIP MANAGER'!$H$74:$V$82,$B$47,0),SMALL(IF(INDEX('TRIP MANAGER'!$H$74:$V$82,$B$47,0)&lt;&gt;"",COLUMN($H$1:$V$1)-7),ROW()-83))="THIRD PARTY"," (THIRD PARTY SUPPLIER)",""),"")</f>
        <v/>
      </c>
    </row>
    <row r="86" spans="1:1" x14ac:dyDescent="0.3">
      <c r="A86" s="70" t="str" cm="1">
        <f t="array" ref="A86">IFERROR("   "&amp;ROW()-83&amp;". "&amp;UPPER(INDEX('TRIP MANAGER'!$H$72:$V$72,SMALL(IF(INDEX('TRIP MANAGER'!$H$74:$V$82,$B$47,0)&lt;&gt;"",COLUMN($H$1:$V$1)-7),ROW()-83)))&amp;": PLEASE ARRANGE FOR THE ARRIVAL AND DEPARTURE."&amp;IF(INDEX(INDEX('TRIP MANAGER'!$H$74:$V$82,$B$47,0),SMALL(IF(INDEX('TRIP MANAGER'!$H$74:$V$82,$B$47,0)&lt;&gt;"",COLUMN($H$1:$V$1)-7),ROW()-83))="THIRD PARTY"," (THIRD PARTY SUPPLIER)",""),"")</f>
        <v/>
      </c>
    </row>
    <row r="87" spans="1:1" x14ac:dyDescent="0.3">
      <c r="A87" s="70" t="str" cm="1">
        <f t="array" ref="A87">IFERROR("   "&amp;ROW()-83&amp;". "&amp;UPPER(INDEX('TRIP MANAGER'!$H$72:$V$72,SMALL(IF(INDEX('TRIP MANAGER'!$H$74:$V$82,$B$47,0)&lt;&gt;"",COLUMN($H$1:$V$1)-7),ROW()-83)))&amp;": PLEASE ARRANGE FOR THE ARRIVAL AND DEPARTURE."&amp;IF(INDEX(INDEX('TRIP MANAGER'!$H$74:$V$82,$B$47,0),SMALL(IF(INDEX('TRIP MANAGER'!$H$74:$V$82,$B$47,0)&lt;&gt;"",COLUMN($H$1:$V$1)-7),ROW()-83))="THIRD PARTY"," (THIRD PARTY SUPPLIER)",""),"")</f>
        <v/>
      </c>
    </row>
    <row r="88" spans="1:1" x14ac:dyDescent="0.3">
      <c r="A88" s="70" t="str" cm="1">
        <f t="array" ref="A88">IFERROR("   "&amp;ROW()-83&amp;". "&amp;UPPER(INDEX('TRIP MANAGER'!$H$72:$V$72,SMALL(IF(INDEX('TRIP MANAGER'!$H$74:$V$82,$B$47,0)&lt;&gt;"",COLUMN($H$1:$V$1)-7),ROW()-83)))&amp;": PLEASE ARRANGE FOR THE ARRIVAL AND DEPARTURE."&amp;IF(INDEX(INDEX('TRIP MANAGER'!$H$74:$V$82,$B$47,0),SMALL(IF(INDEX('TRIP MANAGER'!$H$74:$V$82,$B$47,0)&lt;&gt;"",COLUMN($H$1:$V$1)-7),ROW()-83))="THIRD PARTY"," (THIRD PARTY SUPPLIER)",""),"")</f>
        <v/>
      </c>
    </row>
    <row r="89" spans="1:1" x14ac:dyDescent="0.3">
      <c r="A89" s="70" t="str" cm="1">
        <f t="array" ref="A89">IFERROR("   "&amp;ROW()-83&amp;". "&amp;UPPER(INDEX('TRIP MANAGER'!$H$72:$V$72,SMALL(IF(INDEX('TRIP MANAGER'!$H$74:$V$82,$B$47,0)&lt;&gt;"",COLUMN($H$1:$V$1)-7),ROW()-83)))&amp;": PLEASE ARRANGE FOR THE ARRIVAL AND DEPARTURE."&amp;IF(INDEX(INDEX('TRIP MANAGER'!$H$74:$V$82,$B$47,0),SMALL(IF(INDEX('TRIP MANAGER'!$H$74:$V$82,$B$47,0)&lt;&gt;"",COLUMN($H$1:$V$1)-7),ROW()-83))="THIRD PARTY"," (THIRD PARTY SUPPLIER)",""),"")</f>
        <v/>
      </c>
    </row>
    <row r="90" spans="1:1" x14ac:dyDescent="0.3">
      <c r="A90" s="70" t="str" cm="1">
        <f t="array" ref="A90">IFERROR("   "&amp;ROW()-83&amp;". "&amp;UPPER(INDEX('TRIP MANAGER'!$H$72:$V$72,SMALL(IF(INDEX('TRIP MANAGER'!$H$74:$V$82,$B$47,0)&lt;&gt;"",COLUMN($H$1:$V$1)-7),ROW()-83)))&amp;": PLEASE ARRANGE FOR THE ARRIVAL AND DEPARTURE."&amp;IF(INDEX(INDEX('TRIP MANAGER'!$H$74:$V$82,$B$47,0),SMALL(IF(INDEX('TRIP MANAGER'!$H$74:$V$82,$B$47,0)&lt;&gt;"",COLUMN($H$1:$V$1)-7),ROW()-83))="THIRD PARTY"," (THIRD PARTY SUPPLIER)",""),"")</f>
        <v/>
      </c>
    </row>
    <row r="91" spans="1:1" x14ac:dyDescent="0.3">
      <c r="A91" s="70" t="str" cm="1">
        <f t="array" ref="A91">IFERROR("   "&amp;ROW()-83&amp;". "&amp;UPPER(INDEX('TRIP MANAGER'!$H$72:$V$72,SMALL(IF(INDEX('TRIP MANAGER'!$H$74:$V$82,$B$47,0)&lt;&gt;"",COLUMN($H$1:$V$1)-7),ROW()-83)))&amp;": PLEASE ARRANGE FOR THE ARRIVAL AND DEPARTURE."&amp;IF(INDEX(INDEX('TRIP MANAGER'!$H$74:$V$82,$B$47,0),SMALL(IF(INDEX('TRIP MANAGER'!$H$74:$V$82,$B$47,0)&lt;&gt;"",COLUMN($H$1:$V$1)-7),ROW()-83))="THIRD PARTY"," (THIRD PARTY SUPPLIER)",""),"")</f>
        <v/>
      </c>
    </row>
    <row r="92" spans="1:1" x14ac:dyDescent="0.3">
      <c r="A92" s="70" t="str" cm="1">
        <f t="array" ref="A92">IFERROR("   "&amp;ROW()-83&amp;". "&amp;UPPER(INDEX('TRIP MANAGER'!$H$72:$V$72,SMALL(IF(INDEX('TRIP MANAGER'!$H$74:$V$82,$B$47,0)&lt;&gt;"",COLUMN($H$1:$V$1)-7),ROW()-83)))&amp;": PLEASE ARRANGE FOR THE ARRIVAL AND DEPARTURE."&amp;IF(INDEX(INDEX('TRIP MANAGER'!$H$74:$V$82,$B$47,0),SMALL(IF(INDEX('TRIP MANAGER'!$H$74:$V$82,$B$47,0)&lt;&gt;"",COLUMN($H$1:$V$1)-7),ROW()-83))="THIRD PARTY"," (THIRD PARTY SUPPLIER)",""),"")</f>
        <v/>
      </c>
    </row>
    <row r="93" spans="1:1" x14ac:dyDescent="0.3">
      <c r="A93" s="70" t="str" cm="1">
        <f t="array" ref="A93">IFERROR("   "&amp;ROW()-83&amp;". "&amp;UPPER(INDEX('TRIP MANAGER'!$H$72:$V$72,SMALL(IF(INDEX('TRIP MANAGER'!$H$74:$V$82,$B$47,0)&lt;&gt;"",COLUMN($H$1:$V$1)-7),ROW()-83)))&amp;": PLEASE ARRANGE FOR THE ARRIVAL AND DEPARTURE."&amp;IF(INDEX(INDEX('TRIP MANAGER'!$H$74:$V$82,$B$47,0),SMALL(IF(INDEX('TRIP MANAGER'!$H$74:$V$82,$B$47,0)&lt;&gt;"",COLUMN($H$1:$V$1)-7),ROW()-83))="THIRD PARTY"," (THIRD PARTY SUPPLIER)",""),"")</f>
        <v/>
      </c>
    </row>
    <row r="94" spans="1:1" x14ac:dyDescent="0.3">
      <c r="A94" s="70" t="str" cm="1">
        <f t="array" ref="A94">IFERROR("   "&amp;ROW()-83&amp;". "&amp;UPPER(INDEX('TRIP MANAGER'!$H$72:$V$72,SMALL(IF(INDEX('TRIP MANAGER'!$H$74:$V$82,$B$47,0)&lt;&gt;"",COLUMN($H$1:$V$1)-7),ROW()-83)))&amp;": PLEASE ARRANGE FOR THE ARRIVAL AND DEPARTURE."&amp;IF(INDEX(INDEX('TRIP MANAGER'!$H$74:$V$82,$B$47,0),SMALL(IF(INDEX('TRIP MANAGER'!$H$74:$V$82,$B$47,0)&lt;&gt;"",COLUMN($H$1:$V$1)-7),ROW()-83))="THIRD PARTY"," (THIRD PARTY SUPPLIER)",""),"")</f>
        <v/>
      </c>
    </row>
    <row r="95" spans="1:1" x14ac:dyDescent="0.3">
      <c r="A95" s="70" t="str" cm="1">
        <f t="array" ref="A95">IFERROR("   "&amp;ROW()-83&amp;". "&amp;UPPER(INDEX('TRIP MANAGER'!$H$72:$V$72,SMALL(IF(INDEX('TRIP MANAGER'!$H$74:$V$82,$B$47,0)&lt;&gt;"",COLUMN($H$1:$V$1)-7),ROW()-83)))&amp;": PLEASE ARRANGE FOR THE ARRIVAL AND DEPARTURE."&amp;IF(INDEX(INDEX('TRIP MANAGER'!$H$74:$V$82,$B$47,0),SMALL(IF(INDEX('TRIP MANAGER'!$H$74:$V$82,$B$47,0)&lt;&gt;"",COLUMN($H$1:$V$1)-7),ROW()-83))="THIRD PARTY"," (THIRD PARTY SUPPLIER)",""),"")</f>
        <v/>
      </c>
    </row>
    <row r="96" spans="1:1" x14ac:dyDescent="0.3">
      <c r="A96" s="70" t="str" cm="1">
        <f t="array" ref="A96">IFERROR("   "&amp;ROW()-83&amp;". "&amp;UPPER(INDEX('TRIP MANAGER'!$H$72:$V$72,SMALL(IF(INDEX('TRIP MANAGER'!$H$74:$V$82,$B$47,0)&lt;&gt;"",COLUMN($H$1:$V$1)-7),ROW()-83)))&amp;": PLEASE ARRANGE FOR THE ARRIVAL AND DEPARTURE."&amp;IF(INDEX(INDEX('TRIP MANAGER'!$H$74:$V$82,$B$47,0),SMALL(IF(INDEX('TRIP MANAGER'!$H$74:$V$82,$B$47,0)&lt;&gt;"",COLUMN($H$1:$V$1)-7),ROW()-83))="THIRD PARTY"," (THIRD PARTY SUPPLIER)",""),"")</f>
        <v/>
      </c>
    </row>
    <row r="97" spans="1:1" x14ac:dyDescent="0.3">
      <c r="A97" s="70" t="str" cm="1">
        <f t="array" ref="A97">IFERROR("   "&amp;ROW()-83&amp;". "&amp;UPPER(INDEX('TRIP MANAGER'!$H$72:$V$72,SMALL(IF(INDEX('TRIP MANAGER'!$H$74:$V$82,$B$47,0)&lt;&gt;"",COLUMN($H$1:$V$1)-7),ROW()-83)))&amp;": PLEASE ARRANGE FOR THE ARRIVAL AND DEPARTURE."&amp;IF(INDEX(INDEX('TRIP MANAGER'!$H$74:$V$82,$B$47,0),SMALL(IF(INDEX('TRIP MANAGER'!$H$74:$V$82,$B$47,0)&lt;&gt;"",COLUMN($H$1:$V$1)-7),ROW()-83))="THIRD PARTY"," (THIRD PARTY SUPPLIER)",""),"")</f>
        <v/>
      </c>
    </row>
    <row r="98" spans="1:1" x14ac:dyDescent="0.3">
      <c r="A98" s="70" t="str" cm="1">
        <f t="array" ref="A98">IFERROR("   "&amp;ROW()-83&amp;". "&amp;UPPER(INDEX('TRIP MANAGER'!$H$72:$V$72,SMALL(IF(INDEX('TRIP MANAGER'!$H$74:$V$82,$B$47,0)&lt;&gt;"",COLUMN($H$1:$V$1)-7),ROW()-83)))&amp;": PLEASE ARRANGE FOR THE ARRIVAL AND DEPARTURE."&amp;IF(INDEX(INDEX('TRIP MANAGER'!$H$74:$V$82,$B$47,0),SMALL(IF(INDEX('TRIP MANAGER'!$H$74:$V$82,$B$47,0)&lt;&gt;"",COLUMN($H$1:$V$1)-7),ROW()-83))="THIRD PARTY"," (THIRD PARTY SUPPLIER)",""),"")</f>
        <v/>
      </c>
    </row>
    <row r="99" spans="1:1" x14ac:dyDescent="0.3">
      <c r="A99" s="70" t="str">
        <f>"   "&amp;(COUNTA(INDEX('TRIP MANAGER'!$H$74:$V$82,$B$47,0))+1)&amp;". INVOICE REQUIREMENT:"</f>
        <v xml:space="preserve">   2. INVOICE REQUIREMENT:</v>
      </c>
    </row>
    <row r="100" spans="1:1" x14ac:dyDescent="0.3">
      <c r="A100" s="70" t="str">
        <f>"      PLS CONFIRM ALL INVOICES AND SUPPORTING DOCUMENTATION ARE SENT"</f>
        <v xml:space="preserve">      PLS CONFIRM ALL INVOICES AND SUPPORTING DOCUMENTATION ARE SENT</v>
      </c>
    </row>
    <row r="101" spans="1:1" x14ac:dyDescent="0.3">
      <c r="A101" s="70" t="str">
        <f>"      TO "&amp;UPPER('TRIP MANAGER'!$F$6)&amp;" WITHIN 7 DAYS AFTER THE DATE(S) OF SERVICE."</f>
        <v xml:space="preserve">      TO JTL AVIATION INC WITHIN 7 DAYS AFTER THE DATE(S) OF SERVICE.</v>
      </c>
    </row>
    <row r="102" spans="1:1" x14ac:dyDescent="0.3">
      <c r="A102" s="70" t="str">
        <f>"      ANY FUEL INVOICES SHOULD BE SENT TO THE FUELLER AS ARRANGED BY THE CUSTOMER."</f>
        <v xml:space="preserve">      ANY FUEL INVOICES SHOULD BE SENT TO THE FUELLER AS ARRANGED BY THE CUSTOMER.</v>
      </c>
    </row>
    <row r="103" spans="1:1" x14ac:dyDescent="0.3">
      <c r="A103" s="70" t="str">
        <f>"      TO ENSURE PAYMENT, PLEASE ENSURE CREW SIGNATURES ON ALL 3RD PARTY INVOICES."</f>
        <v xml:space="preserve">      TO ENSURE PAYMENT, PLEASE ENSURE CREW SIGNATURES ON ALL 3RD PARTY INVOICES.</v>
      </c>
    </row>
    <row r="104" spans="1:1" x14ac:dyDescent="0.3">
      <c r="A104" s="70" t="str">
        <f>"      SEND INVOICES TO: "&amp;UPPER('TRIP MANAGER'!$F$8)&amp;"."</f>
        <v xml:space="preserve">      SEND INVOICES TO: OPS@JETELIO.COM.</v>
      </c>
    </row>
    <row r="105" spans="1:1" x14ac:dyDescent="0.3">
      <c r="A105" s="70" t="str">
        <f>""</f>
        <v/>
      </c>
    </row>
    <row r="106" spans="1:1" x14ac:dyDescent="0.3">
      <c r="A106" s="70" t="str">
        <f>"ALL OTHER INFORMATION REMAINS UNCHANGED."</f>
        <v>ALL OTHER INFORMATION REMAINS UNCHANGED.</v>
      </c>
    </row>
    <row r="107" spans="1:1" x14ac:dyDescent="0.3">
      <c r="A107" s="70" t="str">
        <f>"PLEASE ACKNOWLEDGE AND CONFIRM RECEIPT OF THIS MESSAGE CONFIRMING ALL ITEMS CAN BE ARRANGED AS REQUESTED."</f>
        <v>PLEASE ACKNOWLEDGE AND CONFIRM RECEIPT OF THIS MESSAGE CONFIRMING ALL ITEMS CAN BE ARRANGED AS REQUESTED.</v>
      </c>
    </row>
    <row r="108" spans="1:1" x14ac:dyDescent="0.3">
      <c r="A108" s="70" t="str">
        <f>""</f>
        <v/>
      </c>
    </row>
    <row r="109" spans="1:1" x14ac:dyDescent="0.3">
      <c r="A109" s="70" t="str">
        <f>_xlfn._LONGTEXT("ANY WRITTEN AGREEMENT SIGNED BY AND CURRENTLY IN EFFECT BETWEEN JTL AND YOU, AS JTL'S SERVICE PROVIDER TO WHOM THIS CONFIDENTIAL SERVICE REQUEST HAS BEEN SENT, GOVERNS ALL ACTIVITIES PURSUANT TO THIS REQUEST. IF NO SUCH AGREEMENT IS IN EFFECT, JTL'S GENER","AL TERMS AND CONDITIONS SHALL GOVERN. BY PROVIDING THE SERVICES REQUESTED HEREIN, YOU HAVE AGREED THAT SUCH TERMS APPLY.")</f>
        <v>ANY WRITTEN AGREEMENT SIGNED BY AND CURRENTLY IN EFFECT BETWEEN JTL AND YOU, AS JTL'S SERVICE PROVIDER TO WHOM THIS CONFIDENTIAL SERVICE REQUEST HAS BEEN SENT, GOVERNS ALL ACTIVITIES PURSUANT TO THIS REQUEST. IF NO SUCH AGREEMENT IS IN EFFECT, JTL'S GENERAL TERMS AND CONDITIONS SHALL GOVERN. BY PROVIDING THE SERVICES REQUESTED HEREIN, YOU HAVE AGREED THAT SUCH TERMS APPLY.</v>
      </c>
    </row>
    <row r="110" spans="1:1" x14ac:dyDescent="0.3">
      <c r="A110" s="70" t="str">
        <f>""</f>
        <v/>
      </c>
    </row>
    <row r="111" spans="1:1" x14ac:dyDescent="0.3">
      <c r="A111" s="70" t="str">
        <f>"THANK YOU AND BEST REGARDS - "&amp;UPPER($B$51)&amp;" / "&amp;UPPER($B$52)&amp;" / JTL TRIP SUPPORT SERVICES FOR THE OPERATIONS OF "&amp;UPPER('TRIP MANAGER'!$F$6)&amp;" / "&amp;'TRIP MANAGER'!$B$7&amp;" / END"</f>
        <v>THANK YOU AND BEST REGARDS - A DESK / ECHO TEAM / JTL TRIP SUPPORT SERVICES FOR THE OPERATIONS OF JTL AVIATION INC / N450GA / END</v>
      </c>
    </row>
    <row r="112" spans="1:1" x14ac:dyDescent="0.3">
      <c r="A112" s="70" t="str">
        <f>"                           CONFIDENTIAL"</f>
        <v xml:space="preserve">                           CONFIDENTIAL</v>
      </c>
    </row>
    <row r="113" spans="1:1" x14ac:dyDescent="0.3">
      <c r="A113" s="70" t="str">
        <f>"REQUEST SENT TO: "&amp;UPPER($B$49)</f>
        <v>REQUEST SENT TO: FBO.OPS@FIREBLADEAVIATION.EXAMPLE</v>
      </c>
    </row>
    <row r="114" spans="1:1" x14ac:dyDescent="0.3">
      <c r="A114" s="70" t="str">
        <f>"                 "&amp;UPPER($B$50)</f>
        <v xml:space="preserve">                 OPS@JETELIO.COM</v>
      </c>
    </row>
    <row r="115" spans="1:1" x14ac:dyDescent="0.3">
      <c r="A115" s="70" t="str">
        <f>"T/N: "&amp;'TRIP MANAGER'!$B$5</f>
        <v>T/N: JTL-2608-001</v>
      </c>
    </row>
    <row r="116" spans="1:1" x14ac:dyDescent="0.3">
      <c r="A116" s="70" t="str">
        <f>"PHONE: +1 208 134 6478   E-MAIL: ops@jetelio.com"</f>
        <v>PHONE: +1 208 134 6478   E-MAIL: ops@jetelio.com</v>
      </c>
    </row>
    <row r="117" spans="1:1" x14ac:dyDescent="0.3">
      <c r="A117" s="70" t="str">
        <f>"SITA: TBA  ARINC: TBA  AFTN: TBA /END"</f>
        <v>SITA: TBA  ARINC: TBA  AFTN: TBA /END</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D8898-888A-4C52-AA39-B92F7AB042AF}">
  <dimension ref="A1:T60"/>
  <sheetViews>
    <sheetView workbookViewId="0">
      <pane ySplit="4" topLeftCell="A5" activePane="bottomLeft" state="frozen"/>
      <selection pane="bottomLeft"/>
    </sheetView>
  </sheetViews>
  <sheetFormatPr defaultRowHeight="14.4" x14ac:dyDescent="0.3"/>
  <cols>
    <col min="1" max="12" width="27.77734375" customWidth="1"/>
    <col min="13" max="13" width="55.5546875" customWidth="1"/>
    <col min="14" max="18" width="27.77734375" customWidth="1"/>
    <col min="19" max="19" width="37" customWidth="1"/>
    <col min="20" max="20" width="27.77734375" customWidth="1"/>
  </cols>
  <sheetData>
    <row r="1" spans="1:20" ht="18" x14ac:dyDescent="0.35">
      <c r="A1" s="44" t="s">
        <v>5290</v>
      </c>
    </row>
    <row r="2" spans="1:20" x14ac:dyDescent="0.3">
      <c r="A2" s="32" t="s">
        <v>5291</v>
      </c>
    </row>
    <row r="4" spans="1:20" x14ac:dyDescent="0.3">
      <c r="A4" s="25" t="s">
        <v>5002</v>
      </c>
      <c r="B4" s="25" t="s">
        <v>3834</v>
      </c>
      <c r="C4" s="25" t="s">
        <v>5292</v>
      </c>
      <c r="D4" s="25" t="s">
        <v>5293</v>
      </c>
      <c r="E4" s="25" t="s">
        <v>3837</v>
      </c>
      <c r="F4" s="25" t="s">
        <v>5005</v>
      </c>
      <c r="G4" s="25" t="s">
        <v>5294</v>
      </c>
      <c r="H4" s="25" t="s">
        <v>5295</v>
      </c>
      <c r="I4" s="25" t="s">
        <v>5296</v>
      </c>
      <c r="J4" s="25" t="s">
        <v>5297</v>
      </c>
      <c r="K4" s="25" t="s">
        <v>5298</v>
      </c>
      <c r="L4" s="25" t="s">
        <v>5006</v>
      </c>
      <c r="M4" s="25" t="s">
        <v>5007</v>
      </c>
      <c r="N4" s="25" t="s">
        <v>5008</v>
      </c>
      <c r="O4" s="25" t="s">
        <v>5009</v>
      </c>
      <c r="P4" s="25" t="s">
        <v>5299</v>
      </c>
      <c r="Q4" s="25" t="s">
        <v>5300</v>
      </c>
      <c r="R4" s="25" t="s">
        <v>2305</v>
      </c>
      <c r="S4" s="25" t="s">
        <v>4311</v>
      </c>
      <c r="T4" s="25" t="s">
        <v>2300</v>
      </c>
    </row>
    <row r="5" spans="1:20" x14ac:dyDescent="0.3">
      <c r="A5" t="str">
        <f>IF($C5="","","FDOC-"&amp;TEXT(ROW()-4,"000"))</f>
        <v>FDOC-001</v>
      </c>
      <c r="B5" s="4" t="s">
        <v>5301</v>
      </c>
      <c r="C5" s="4" t="s">
        <v>4070</v>
      </c>
      <c r="D5" t="str">
        <f>IF($C5="","",IF($B5="AIRCRAFT",IFERROR(IF(INDEX(Aircraft!$T:$T,MATCH($C5,Aircraft!$B:$B,0))="","OPERATOR NAME NOT SET",INDEX(Aircraft!$T:$T,MATCH($C5,Aircraft!$B:$B,0))),"AIRCRAFT NOT IN FLEET"),IFERROR(INDEX(Operators!$B:$B,MATCH($C5,Operators!$A:$A,0)),"OPERATOR NOT FOUND")))</f>
        <v>OPERATOR NAME NOT SET</v>
      </c>
      <c r="E5" t="str">
        <f>IF($C5="","",IF($B5="AIRCRAFT",IFERROR(INDEX(Aircraft!$C:$C,MATCH($C5,Aircraft!$B:$B,0)),"-"),"-"))</f>
        <v>GLF6</v>
      </c>
      <c r="F5" s="4" t="s">
        <v>5302</v>
      </c>
      <c r="G5" s="4" t="s">
        <v>5303</v>
      </c>
      <c r="H5" s="4" t="s">
        <v>5304</v>
      </c>
      <c r="I5" s="9">
        <v>45292</v>
      </c>
      <c r="J5" s="9">
        <v>47118</v>
      </c>
      <c r="K5" s="9">
        <v>46753</v>
      </c>
      <c r="L5" s="4" t="s">
        <v>5305</v>
      </c>
      <c r="M5" t="str">
        <f>IF(OR($C5="",$L5=""),"",admin!$B$2&amp;"\FleetDocs\"&amp;$C5&amp;"\"&amp;$L5)</f>
        <v>C:\Backups\InsiderTechSol\Aviation\Jetelio_v3\.LAYOUT\resources\FleetDocs\N450GA\registration.pdf</v>
      </c>
      <c r="N5" s="4"/>
      <c r="O5" s="50"/>
      <c r="P5" s="4"/>
      <c r="Q5" s="50"/>
      <c r="R5" s="43">
        <f ca="1">IF($J5="","",INT($J5-TODAY()))</f>
        <v>875</v>
      </c>
      <c r="S5" t="str">
        <f ca="1">IF($C5="","",IF($J5="","NO EXPIRY RECORDED",IF($R5&lt;0,"EXPIRED",IF($R5&lt;=30,"EXPIRES WITHIN 30 DAYS",IF($R5&lt;=90,"EXPIRES WITHIN 90 DAYS",IF(AND($K5&lt;&gt;"",$K5&lt;TODAY()),"REVIEW OVERDUE","VALID"))))))</f>
        <v>VALID</v>
      </c>
      <c r="T5" s="4"/>
    </row>
    <row r="6" spans="1:20" x14ac:dyDescent="0.3">
      <c r="A6" t="str">
        <f t="shared" ref="A6:A60" si="0">IF($C6="","","FDOC-"&amp;TEXT(ROW()-4,"000"))</f>
        <v>FDOC-002</v>
      </c>
      <c r="B6" s="4" t="s">
        <v>5301</v>
      </c>
      <c r="C6" s="4" t="s">
        <v>4070</v>
      </c>
      <c r="D6" t="str">
        <f>IF($C6="","",IF($B6="AIRCRAFT",IFERROR(IF(INDEX(Aircraft!$T:$T,MATCH($C6,Aircraft!$B:$B,0))="","OPERATOR NAME NOT SET",INDEX(Aircraft!$T:$T,MATCH($C6,Aircraft!$B:$B,0))),"AIRCRAFT NOT IN FLEET"),IFERROR(INDEX(Operators!$B:$B,MATCH($C6,Operators!$A:$A,0)),"OPERATOR NOT FOUND")))</f>
        <v>OPERATOR NAME NOT SET</v>
      </c>
      <c r="E6" t="str">
        <f>IF($C6="","",IF($B6="AIRCRAFT",IFERROR(INDEX(Aircraft!$C:$C,MATCH($C6,Aircraft!$B:$B,0)),"-"),"-"))</f>
        <v>GLF6</v>
      </c>
      <c r="F6" s="4" t="s">
        <v>5306</v>
      </c>
      <c r="G6" s="4" t="s">
        <v>5307</v>
      </c>
      <c r="H6" s="4" t="s">
        <v>5308</v>
      </c>
      <c r="I6" s="9">
        <v>46023</v>
      </c>
      <c r="J6" s="9">
        <v>46388</v>
      </c>
      <c r="K6" s="9">
        <v>46358</v>
      </c>
      <c r="L6" s="4" t="s">
        <v>5309</v>
      </c>
      <c r="M6" t="str">
        <f>IF(OR($C6="",$L6=""),"",admin!$B$2&amp;"\FleetDocs\"&amp;$C6&amp;"\"&amp;$L6)</f>
        <v>C:\Backups\InsiderTechSol\Aviation\Jetelio_v3\.LAYOUT\resources\FleetDocs\N450GA\insurance_hull.pdf</v>
      </c>
      <c r="N6" s="4"/>
      <c r="O6" s="50"/>
      <c r="P6" s="4"/>
      <c r="Q6" s="50"/>
      <c r="R6" s="43">
        <f t="shared" ref="R6:R60" ca="1" si="1">IF($J6="","",INT($J6-TODAY()))</f>
        <v>145</v>
      </c>
      <c r="S6" t="str">
        <f t="shared" ref="S6:S60" ca="1" si="2">IF($C6="","",IF($J6="","NO EXPIRY RECORDED",IF($R6&lt;0,"EXPIRED",IF($R6&lt;=30,"EXPIRES WITHIN 30 DAYS",IF($R6&lt;=90,"EXPIRES WITHIN 90 DAYS",IF(AND($K6&lt;&gt;"",$K6&lt;TODAY()),"REVIEW OVERDUE","VALID"))))))</f>
        <v>VALID</v>
      </c>
      <c r="T6" s="4"/>
    </row>
    <row r="7" spans="1:20" x14ac:dyDescent="0.3">
      <c r="A7" t="str">
        <f t="shared" si="0"/>
        <v>FDOC-003</v>
      </c>
      <c r="B7" s="4" t="s">
        <v>5301</v>
      </c>
      <c r="C7" s="4" t="s">
        <v>4070</v>
      </c>
      <c r="D7" t="str">
        <f>IF($C7="","",IF($B7="AIRCRAFT",IFERROR(IF(INDEX(Aircraft!$T:$T,MATCH($C7,Aircraft!$B:$B,0))="","OPERATOR NAME NOT SET",INDEX(Aircraft!$T:$T,MATCH($C7,Aircraft!$B:$B,0))),"AIRCRAFT NOT IN FLEET"),IFERROR(INDEX(Operators!$B:$B,MATCH($C7,Operators!$A:$A,0)),"OPERATOR NOT FOUND")))</f>
        <v>OPERATOR NAME NOT SET</v>
      </c>
      <c r="E7" t="str">
        <f>IF($C7="","",IF($B7="AIRCRAFT",IFERROR(INDEX(Aircraft!$C:$C,MATCH($C7,Aircraft!$B:$B,0)),"-"),"-"))</f>
        <v>GLF6</v>
      </c>
      <c r="F7" s="4" t="s">
        <v>5310</v>
      </c>
      <c r="G7" s="4" t="s">
        <v>5311</v>
      </c>
      <c r="H7" s="4" t="s">
        <v>5304</v>
      </c>
      <c r="I7" s="9">
        <v>45658</v>
      </c>
      <c r="J7" s="9">
        <v>46023</v>
      </c>
      <c r="K7" s="9">
        <v>45992</v>
      </c>
      <c r="L7" s="4" t="s">
        <v>5312</v>
      </c>
      <c r="M7" t="str">
        <f>IF(OR($C7="",$L7=""),"",admin!$B$2&amp;"\FleetDocs\"&amp;$C7&amp;"\"&amp;$L7)</f>
        <v>C:\Backups\InsiderTechSol\Aviation\Jetelio_v3\.LAYOUT\resources\FleetDocs\N450GA\arc.pdf</v>
      </c>
      <c r="N7" s="4"/>
      <c r="O7" s="50"/>
      <c r="P7" s="4"/>
      <c r="Q7" s="50"/>
      <c r="R7" s="43">
        <f t="shared" ca="1" si="1"/>
        <v>-220</v>
      </c>
      <c r="S7" t="str">
        <f t="shared" ca="1" si="2"/>
        <v>EXPIRED</v>
      </c>
      <c r="T7" s="4"/>
    </row>
    <row r="8" spans="1:20" x14ac:dyDescent="0.3">
      <c r="A8" t="str">
        <f t="shared" si="0"/>
        <v/>
      </c>
      <c r="B8" s="4"/>
      <c r="C8" s="4"/>
      <c r="D8" t="str">
        <f>IF($C8="","",IF($B8="AIRCRAFT",IFERROR(IF(INDEX(Aircraft!$T:$T,MATCH($C8,Aircraft!$B:$B,0))="","OPERATOR NAME NOT SET",INDEX(Aircraft!$T:$T,MATCH($C8,Aircraft!$B:$B,0))),"AIRCRAFT NOT IN FLEET"),IFERROR(INDEX(Operators!$B:$B,MATCH($C8,Operators!$A:$A,0)),"OPERATOR NOT FOUND")))</f>
        <v/>
      </c>
      <c r="E8" t="str">
        <f>IF($C8="","",IF($B8="AIRCRAFT",IFERROR(INDEX(Aircraft!$C:$C,MATCH($C8,Aircraft!$B:$B,0)),"-"),"-"))</f>
        <v/>
      </c>
      <c r="F8" s="4"/>
      <c r="G8" s="4"/>
      <c r="H8" s="4"/>
      <c r="I8" s="9"/>
      <c r="J8" s="9"/>
      <c r="K8" s="9"/>
      <c r="L8" s="4"/>
      <c r="M8" t="str">
        <f>IF(OR($C8="",$L8=""),"",admin!$B$2&amp;"\FleetDocs\"&amp;$C8&amp;"\"&amp;$L8)</f>
        <v/>
      </c>
      <c r="N8" s="4"/>
      <c r="O8" s="50"/>
      <c r="P8" s="4"/>
      <c r="Q8" s="50"/>
      <c r="R8" s="43" t="str">
        <f t="shared" ca="1" si="1"/>
        <v/>
      </c>
      <c r="S8" t="str">
        <f t="shared" ca="1" si="2"/>
        <v/>
      </c>
      <c r="T8" s="4"/>
    </row>
    <row r="9" spans="1:20" x14ac:dyDescent="0.3">
      <c r="A9" t="str">
        <f t="shared" si="0"/>
        <v/>
      </c>
      <c r="B9" s="4"/>
      <c r="C9" s="4"/>
      <c r="D9" t="str">
        <f>IF($C9="","",IF($B9="AIRCRAFT",IFERROR(IF(INDEX(Aircraft!$T:$T,MATCH($C9,Aircraft!$B:$B,0))="","OPERATOR NAME NOT SET",INDEX(Aircraft!$T:$T,MATCH($C9,Aircraft!$B:$B,0))),"AIRCRAFT NOT IN FLEET"),IFERROR(INDEX(Operators!$B:$B,MATCH($C9,Operators!$A:$A,0)),"OPERATOR NOT FOUND")))</f>
        <v/>
      </c>
      <c r="E9" t="str">
        <f>IF($C9="","",IF($B9="AIRCRAFT",IFERROR(INDEX(Aircraft!$C:$C,MATCH($C9,Aircraft!$B:$B,0)),"-"),"-"))</f>
        <v/>
      </c>
      <c r="F9" s="4"/>
      <c r="G9" s="4"/>
      <c r="H9" s="4"/>
      <c r="I9" s="9"/>
      <c r="J9" s="9"/>
      <c r="K9" s="9"/>
      <c r="L9" s="4"/>
      <c r="M9" t="str">
        <f>IF(OR($C9="",$L9=""),"",admin!$B$2&amp;"\FleetDocs\"&amp;$C9&amp;"\"&amp;$L9)</f>
        <v/>
      </c>
      <c r="N9" s="4"/>
      <c r="O9" s="50"/>
      <c r="P9" s="4"/>
      <c r="Q9" s="50"/>
      <c r="R9" s="43" t="str">
        <f t="shared" ca="1" si="1"/>
        <v/>
      </c>
      <c r="S9" t="str">
        <f t="shared" ca="1" si="2"/>
        <v/>
      </c>
      <c r="T9" s="4"/>
    </row>
    <row r="10" spans="1:20" x14ac:dyDescent="0.3">
      <c r="A10" t="str">
        <f t="shared" si="0"/>
        <v/>
      </c>
      <c r="B10" s="4"/>
      <c r="C10" s="4"/>
      <c r="D10" t="str">
        <f>IF($C10="","",IF($B10="AIRCRAFT",IFERROR(IF(INDEX(Aircraft!$T:$T,MATCH($C10,Aircraft!$B:$B,0))="","OPERATOR NAME NOT SET",INDEX(Aircraft!$T:$T,MATCH($C10,Aircraft!$B:$B,0))),"AIRCRAFT NOT IN FLEET"),IFERROR(INDEX(Operators!$B:$B,MATCH($C10,Operators!$A:$A,0)),"OPERATOR NOT FOUND")))</f>
        <v/>
      </c>
      <c r="E10" t="str">
        <f>IF($C10="","",IF($B10="AIRCRAFT",IFERROR(INDEX(Aircraft!$C:$C,MATCH($C10,Aircraft!$B:$B,0)),"-"),"-"))</f>
        <v/>
      </c>
      <c r="F10" s="4"/>
      <c r="G10" s="4"/>
      <c r="H10" s="4"/>
      <c r="I10" s="9"/>
      <c r="J10" s="9"/>
      <c r="K10" s="9"/>
      <c r="L10" s="4"/>
      <c r="M10" t="str">
        <f>IF(OR($C10="",$L10=""),"",admin!$B$2&amp;"\FleetDocs\"&amp;$C10&amp;"\"&amp;$L10)</f>
        <v/>
      </c>
      <c r="N10" s="4"/>
      <c r="O10" s="50"/>
      <c r="P10" s="4"/>
      <c r="Q10" s="50"/>
      <c r="R10" s="43" t="str">
        <f t="shared" ca="1" si="1"/>
        <v/>
      </c>
      <c r="S10" t="str">
        <f t="shared" ca="1" si="2"/>
        <v/>
      </c>
      <c r="T10" s="4"/>
    </row>
    <row r="11" spans="1:20" x14ac:dyDescent="0.3">
      <c r="A11" t="str">
        <f t="shared" si="0"/>
        <v/>
      </c>
      <c r="B11" s="4"/>
      <c r="C11" s="4"/>
      <c r="D11" t="str">
        <f>IF($C11="","",IF($B11="AIRCRAFT",IFERROR(IF(INDEX(Aircraft!$T:$T,MATCH($C11,Aircraft!$B:$B,0))="","OPERATOR NAME NOT SET",INDEX(Aircraft!$T:$T,MATCH($C11,Aircraft!$B:$B,0))),"AIRCRAFT NOT IN FLEET"),IFERROR(INDEX(Operators!$B:$B,MATCH($C11,Operators!$A:$A,0)),"OPERATOR NOT FOUND")))</f>
        <v/>
      </c>
      <c r="E11" t="str">
        <f>IF($C11="","",IF($B11="AIRCRAFT",IFERROR(INDEX(Aircraft!$C:$C,MATCH($C11,Aircraft!$B:$B,0)),"-"),"-"))</f>
        <v/>
      </c>
      <c r="F11" s="4"/>
      <c r="G11" s="4"/>
      <c r="H11" s="4"/>
      <c r="I11" s="9"/>
      <c r="J11" s="9"/>
      <c r="K11" s="9"/>
      <c r="L11" s="4"/>
      <c r="M11" t="str">
        <f>IF(OR($C11="",$L11=""),"",admin!$B$2&amp;"\FleetDocs\"&amp;$C11&amp;"\"&amp;$L11)</f>
        <v/>
      </c>
      <c r="N11" s="4"/>
      <c r="O11" s="50"/>
      <c r="P11" s="4"/>
      <c r="Q11" s="50"/>
      <c r="R11" s="43" t="str">
        <f t="shared" ca="1" si="1"/>
        <v/>
      </c>
      <c r="S11" t="str">
        <f t="shared" ca="1" si="2"/>
        <v/>
      </c>
      <c r="T11" s="4"/>
    </row>
    <row r="12" spans="1:20" x14ac:dyDescent="0.3">
      <c r="A12" t="str">
        <f t="shared" si="0"/>
        <v/>
      </c>
      <c r="B12" s="4"/>
      <c r="C12" s="4"/>
      <c r="D12" t="str">
        <f>IF($C12="","",IF($B12="AIRCRAFT",IFERROR(IF(INDEX(Aircraft!$T:$T,MATCH($C12,Aircraft!$B:$B,0))="","OPERATOR NAME NOT SET",INDEX(Aircraft!$T:$T,MATCH($C12,Aircraft!$B:$B,0))),"AIRCRAFT NOT IN FLEET"),IFERROR(INDEX(Operators!$B:$B,MATCH($C12,Operators!$A:$A,0)),"OPERATOR NOT FOUND")))</f>
        <v/>
      </c>
      <c r="E12" t="str">
        <f>IF($C12="","",IF($B12="AIRCRAFT",IFERROR(INDEX(Aircraft!$C:$C,MATCH($C12,Aircraft!$B:$B,0)),"-"),"-"))</f>
        <v/>
      </c>
      <c r="F12" s="4"/>
      <c r="G12" s="4"/>
      <c r="H12" s="4"/>
      <c r="I12" s="9"/>
      <c r="J12" s="9"/>
      <c r="K12" s="9"/>
      <c r="L12" s="4"/>
      <c r="M12" t="str">
        <f>IF(OR($C12="",$L12=""),"",admin!$B$2&amp;"\FleetDocs\"&amp;$C12&amp;"\"&amp;$L12)</f>
        <v/>
      </c>
      <c r="N12" s="4"/>
      <c r="O12" s="50"/>
      <c r="P12" s="4"/>
      <c r="Q12" s="50"/>
      <c r="R12" s="43" t="str">
        <f t="shared" ca="1" si="1"/>
        <v/>
      </c>
      <c r="S12" t="str">
        <f t="shared" ca="1" si="2"/>
        <v/>
      </c>
      <c r="T12" s="4"/>
    </row>
    <row r="13" spans="1:20" x14ac:dyDescent="0.3">
      <c r="A13" t="str">
        <f t="shared" si="0"/>
        <v/>
      </c>
      <c r="B13" s="4"/>
      <c r="C13" s="4"/>
      <c r="D13" t="str">
        <f>IF($C13="","",IF($B13="AIRCRAFT",IFERROR(IF(INDEX(Aircraft!$T:$T,MATCH($C13,Aircraft!$B:$B,0))="","OPERATOR NAME NOT SET",INDEX(Aircraft!$T:$T,MATCH($C13,Aircraft!$B:$B,0))),"AIRCRAFT NOT IN FLEET"),IFERROR(INDEX(Operators!$B:$B,MATCH($C13,Operators!$A:$A,0)),"OPERATOR NOT FOUND")))</f>
        <v/>
      </c>
      <c r="E13" t="str">
        <f>IF($C13="","",IF($B13="AIRCRAFT",IFERROR(INDEX(Aircraft!$C:$C,MATCH($C13,Aircraft!$B:$B,0)),"-"),"-"))</f>
        <v/>
      </c>
      <c r="F13" s="4"/>
      <c r="G13" s="4"/>
      <c r="H13" s="4"/>
      <c r="I13" s="9"/>
      <c r="J13" s="9"/>
      <c r="K13" s="9"/>
      <c r="L13" s="4"/>
      <c r="M13" t="str">
        <f>IF(OR($C13="",$L13=""),"",admin!$B$2&amp;"\FleetDocs\"&amp;$C13&amp;"\"&amp;$L13)</f>
        <v/>
      </c>
      <c r="N13" s="4"/>
      <c r="O13" s="50"/>
      <c r="P13" s="4"/>
      <c r="Q13" s="50"/>
      <c r="R13" s="43" t="str">
        <f t="shared" ca="1" si="1"/>
        <v/>
      </c>
      <c r="S13" t="str">
        <f t="shared" ca="1" si="2"/>
        <v/>
      </c>
      <c r="T13" s="4"/>
    </row>
    <row r="14" spans="1:20" x14ac:dyDescent="0.3">
      <c r="A14" t="str">
        <f t="shared" si="0"/>
        <v/>
      </c>
      <c r="B14" s="4"/>
      <c r="C14" s="4"/>
      <c r="D14" t="str">
        <f>IF($C14="","",IF($B14="AIRCRAFT",IFERROR(IF(INDEX(Aircraft!$T:$T,MATCH($C14,Aircraft!$B:$B,0))="","OPERATOR NAME NOT SET",INDEX(Aircraft!$T:$T,MATCH($C14,Aircraft!$B:$B,0))),"AIRCRAFT NOT IN FLEET"),IFERROR(INDEX(Operators!$B:$B,MATCH($C14,Operators!$A:$A,0)),"OPERATOR NOT FOUND")))</f>
        <v/>
      </c>
      <c r="E14" t="str">
        <f>IF($C14="","",IF($B14="AIRCRAFT",IFERROR(INDEX(Aircraft!$C:$C,MATCH($C14,Aircraft!$B:$B,0)),"-"),"-"))</f>
        <v/>
      </c>
      <c r="F14" s="4"/>
      <c r="G14" s="4"/>
      <c r="H14" s="4"/>
      <c r="I14" s="9"/>
      <c r="J14" s="9"/>
      <c r="K14" s="9"/>
      <c r="L14" s="4"/>
      <c r="M14" t="str">
        <f>IF(OR($C14="",$L14=""),"",admin!$B$2&amp;"\FleetDocs\"&amp;$C14&amp;"\"&amp;$L14)</f>
        <v/>
      </c>
      <c r="N14" s="4"/>
      <c r="O14" s="50"/>
      <c r="P14" s="4"/>
      <c r="Q14" s="50"/>
      <c r="R14" s="43" t="str">
        <f t="shared" ca="1" si="1"/>
        <v/>
      </c>
      <c r="S14" t="str">
        <f t="shared" ca="1" si="2"/>
        <v/>
      </c>
      <c r="T14" s="4"/>
    </row>
    <row r="15" spans="1:20" x14ac:dyDescent="0.3">
      <c r="A15" t="str">
        <f t="shared" si="0"/>
        <v/>
      </c>
      <c r="B15" s="4"/>
      <c r="C15" s="4"/>
      <c r="D15" t="str">
        <f>IF($C15="","",IF($B15="AIRCRAFT",IFERROR(IF(INDEX(Aircraft!$T:$T,MATCH($C15,Aircraft!$B:$B,0))="","OPERATOR NAME NOT SET",INDEX(Aircraft!$T:$T,MATCH($C15,Aircraft!$B:$B,0))),"AIRCRAFT NOT IN FLEET"),IFERROR(INDEX(Operators!$B:$B,MATCH($C15,Operators!$A:$A,0)),"OPERATOR NOT FOUND")))</f>
        <v/>
      </c>
      <c r="E15" t="str">
        <f>IF($C15="","",IF($B15="AIRCRAFT",IFERROR(INDEX(Aircraft!$C:$C,MATCH($C15,Aircraft!$B:$B,0)),"-"),"-"))</f>
        <v/>
      </c>
      <c r="F15" s="4"/>
      <c r="G15" s="4"/>
      <c r="H15" s="4"/>
      <c r="I15" s="9"/>
      <c r="J15" s="9"/>
      <c r="K15" s="9"/>
      <c r="L15" s="4"/>
      <c r="M15" t="str">
        <f>IF(OR($C15="",$L15=""),"",admin!$B$2&amp;"\FleetDocs\"&amp;$C15&amp;"\"&amp;$L15)</f>
        <v/>
      </c>
      <c r="N15" s="4"/>
      <c r="O15" s="50"/>
      <c r="P15" s="4"/>
      <c r="Q15" s="50"/>
      <c r="R15" s="43" t="str">
        <f t="shared" ca="1" si="1"/>
        <v/>
      </c>
      <c r="S15" t="str">
        <f t="shared" ca="1" si="2"/>
        <v/>
      </c>
      <c r="T15" s="4"/>
    </row>
    <row r="16" spans="1:20" x14ac:dyDescent="0.3">
      <c r="A16" t="str">
        <f t="shared" si="0"/>
        <v/>
      </c>
      <c r="B16" s="4"/>
      <c r="C16" s="4"/>
      <c r="D16" t="str">
        <f>IF($C16="","",IF($B16="AIRCRAFT",IFERROR(IF(INDEX(Aircraft!$T:$T,MATCH($C16,Aircraft!$B:$B,0))="","OPERATOR NAME NOT SET",INDEX(Aircraft!$T:$T,MATCH($C16,Aircraft!$B:$B,0))),"AIRCRAFT NOT IN FLEET"),IFERROR(INDEX(Operators!$B:$B,MATCH($C16,Operators!$A:$A,0)),"OPERATOR NOT FOUND")))</f>
        <v/>
      </c>
      <c r="E16" t="str">
        <f>IF($C16="","",IF($B16="AIRCRAFT",IFERROR(INDEX(Aircraft!$C:$C,MATCH($C16,Aircraft!$B:$B,0)),"-"),"-"))</f>
        <v/>
      </c>
      <c r="F16" s="4"/>
      <c r="G16" s="4"/>
      <c r="H16" s="4"/>
      <c r="I16" s="9"/>
      <c r="J16" s="9"/>
      <c r="K16" s="9"/>
      <c r="L16" s="4"/>
      <c r="M16" t="str">
        <f>IF(OR($C16="",$L16=""),"",admin!$B$2&amp;"\FleetDocs\"&amp;$C16&amp;"\"&amp;$L16)</f>
        <v/>
      </c>
      <c r="N16" s="4"/>
      <c r="O16" s="50"/>
      <c r="P16" s="4"/>
      <c r="Q16" s="50"/>
      <c r="R16" s="43" t="str">
        <f t="shared" ca="1" si="1"/>
        <v/>
      </c>
      <c r="S16" t="str">
        <f t="shared" ca="1" si="2"/>
        <v/>
      </c>
      <c r="T16" s="4"/>
    </row>
    <row r="17" spans="1:20" x14ac:dyDescent="0.3">
      <c r="A17" t="str">
        <f t="shared" si="0"/>
        <v/>
      </c>
      <c r="B17" s="4"/>
      <c r="C17" s="4"/>
      <c r="D17" t="str">
        <f>IF($C17="","",IF($B17="AIRCRAFT",IFERROR(IF(INDEX(Aircraft!$T:$T,MATCH($C17,Aircraft!$B:$B,0))="","OPERATOR NAME NOT SET",INDEX(Aircraft!$T:$T,MATCH($C17,Aircraft!$B:$B,0))),"AIRCRAFT NOT IN FLEET"),IFERROR(INDEX(Operators!$B:$B,MATCH($C17,Operators!$A:$A,0)),"OPERATOR NOT FOUND")))</f>
        <v/>
      </c>
      <c r="E17" t="str">
        <f>IF($C17="","",IF($B17="AIRCRAFT",IFERROR(INDEX(Aircraft!$C:$C,MATCH($C17,Aircraft!$B:$B,0)),"-"),"-"))</f>
        <v/>
      </c>
      <c r="F17" s="4"/>
      <c r="G17" s="4"/>
      <c r="H17" s="4"/>
      <c r="I17" s="9"/>
      <c r="J17" s="9"/>
      <c r="K17" s="9"/>
      <c r="L17" s="4"/>
      <c r="M17" t="str">
        <f>IF(OR($C17="",$L17=""),"",admin!$B$2&amp;"\FleetDocs\"&amp;$C17&amp;"\"&amp;$L17)</f>
        <v/>
      </c>
      <c r="N17" s="4"/>
      <c r="O17" s="50"/>
      <c r="P17" s="4"/>
      <c r="Q17" s="50"/>
      <c r="R17" s="43" t="str">
        <f t="shared" ca="1" si="1"/>
        <v/>
      </c>
      <c r="S17" t="str">
        <f t="shared" ca="1" si="2"/>
        <v/>
      </c>
      <c r="T17" s="4"/>
    </row>
    <row r="18" spans="1:20" x14ac:dyDescent="0.3">
      <c r="A18" t="str">
        <f t="shared" si="0"/>
        <v/>
      </c>
      <c r="B18" s="4"/>
      <c r="C18" s="4"/>
      <c r="D18" t="str">
        <f>IF($C18="","",IF($B18="AIRCRAFT",IFERROR(IF(INDEX(Aircraft!$T:$T,MATCH($C18,Aircraft!$B:$B,0))="","OPERATOR NAME NOT SET",INDEX(Aircraft!$T:$T,MATCH($C18,Aircraft!$B:$B,0))),"AIRCRAFT NOT IN FLEET"),IFERROR(INDEX(Operators!$B:$B,MATCH($C18,Operators!$A:$A,0)),"OPERATOR NOT FOUND")))</f>
        <v/>
      </c>
      <c r="E18" t="str">
        <f>IF($C18="","",IF($B18="AIRCRAFT",IFERROR(INDEX(Aircraft!$C:$C,MATCH($C18,Aircraft!$B:$B,0)),"-"),"-"))</f>
        <v/>
      </c>
      <c r="F18" s="4"/>
      <c r="G18" s="4"/>
      <c r="H18" s="4"/>
      <c r="I18" s="9"/>
      <c r="J18" s="9"/>
      <c r="K18" s="9"/>
      <c r="L18" s="4"/>
      <c r="M18" t="str">
        <f>IF(OR($C18="",$L18=""),"",admin!$B$2&amp;"\FleetDocs\"&amp;$C18&amp;"\"&amp;$L18)</f>
        <v/>
      </c>
      <c r="N18" s="4"/>
      <c r="O18" s="50"/>
      <c r="P18" s="4"/>
      <c r="Q18" s="50"/>
      <c r="R18" s="43" t="str">
        <f t="shared" ca="1" si="1"/>
        <v/>
      </c>
      <c r="S18" t="str">
        <f t="shared" ca="1" si="2"/>
        <v/>
      </c>
      <c r="T18" s="4"/>
    </row>
    <row r="19" spans="1:20" x14ac:dyDescent="0.3">
      <c r="A19" t="str">
        <f t="shared" si="0"/>
        <v/>
      </c>
      <c r="B19" s="4"/>
      <c r="C19" s="4"/>
      <c r="D19" t="str">
        <f>IF($C19="","",IF($B19="AIRCRAFT",IFERROR(IF(INDEX(Aircraft!$T:$T,MATCH($C19,Aircraft!$B:$B,0))="","OPERATOR NAME NOT SET",INDEX(Aircraft!$T:$T,MATCH($C19,Aircraft!$B:$B,0))),"AIRCRAFT NOT IN FLEET"),IFERROR(INDEX(Operators!$B:$B,MATCH($C19,Operators!$A:$A,0)),"OPERATOR NOT FOUND")))</f>
        <v/>
      </c>
      <c r="E19" t="str">
        <f>IF($C19="","",IF($B19="AIRCRAFT",IFERROR(INDEX(Aircraft!$C:$C,MATCH($C19,Aircraft!$B:$B,0)),"-"),"-"))</f>
        <v/>
      </c>
      <c r="F19" s="4"/>
      <c r="G19" s="4"/>
      <c r="H19" s="4"/>
      <c r="I19" s="9"/>
      <c r="J19" s="9"/>
      <c r="K19" s="9"/>
      <c r="L19" s="4"/>
      <c r="M19" t="str">
        <f>IF(OR($C19="",$L19=""),"",admin!$B$2&amp;"\FleetDocs\"&amp;$C19&amp;"\"&amp;$L19)</f>
        <v/>
      </c>
      <c r="N19" s="4"/>
      <c r="O19" s="50"/>
      <c r="P19" s="4"/>
      <c r="Q19" s="50"/>
      <c r="R19" s="43" t="str">
        <f t="shared" ca="1" si="1"/>
        <v/>
      </c>
      <c r="S19" t="str">
        <f t="shared" ca="1" si="2"/>
        <v/>
      </c>
      <c r="T19" s="4"/>
    </row>
    <row r="20" spans="1:20" x14ac:dyDescent="0.3">
      <c r="A20" t="str">
        <f t="shared" si="0"/>
        <v/>
      </c>
      <c r="B20" s="4"/>
      <c r="C20" s="4"/>
      <c r="D20" t="str">
        <f>IF($C20="","",IF($B20="AIRCRAFT",IFERROR(IF(INDEX(Aircraft!$T:$T,MATCH($C20,Aircraft!$B:$B,0))="","OPERATOR NAME NOT SET",INDEX(Aircraft!$T:$T,MATCH($C20,Aircraft!$B:$B,0))),"AIRCRAFT NOT IN FLEET"),IFERROR(INDEX(Operators!$B:$B,MATCH($C20,Operators!$A:$A,0)),"OPERATOR NOT FOUND")))</f>
        <v/>
      </c>
      <c r="E20" t="str">
        <f>IF($C20="","",IF($B20="AIRCRAFT",IFERROR(INDEX(Aircraft!$C:$C,MATCH($C20,Aircraft!$B:$B,0)),"-"),"-"))</f>
        <v/>
      </c>
      <c r="F20" s="4"/>
      <c r="G20" s="4"/>
      <c r="H20" s="4"/>
      <c r="I20" s="9"/>
      <c r="J20" s="9"/>
      <c r="K20" s="9"/>
      <c r="L20" s="4"/>
      <c r="M20" t="str">
        <f>IF(OR($C20="",$L20=""),"",admin!$B$2&amp;"\FleetDocs\"&amp;$C20&amp;"\"&amp;$L20)</f>
        <v/>
      </c>
      <c r="N20" s="4"/>
      <c r="O20" s="50"/>
      <c r="P20" s="4"/>
      <c r="Q20" s="50"/>
      <c r="R20" s="43" t="str">
        <f t="shared" ca="1" si="1"/>
        <v/>
      </c>
      <c r="S20" t="str">
        <f t="shared" ca="1" si="2"/>
        <v/>
      </c>
      <c r="T20" s="4"/>
    </row>
    <row r="21" spans="1:20" x14ac:dyDescent="0.3">
      <c r="A21" t="str">
        <f t="shared" si="0"/>
        <v/>
      </c>
      <c r="B21" s="4"/>
      <c r="C21" s="4"/>
      <c r="D21" t="str">
        <f>IF($C21="","",IF($B21="AIRCRAFT",IFERROR(IF(INDEX(Aircraft!$T:$T,MATCH($C21,Aircraft!$B:$B,0))="","OPERATOR NAME NOT SET",INDEX(Aircraft!$T:$T,MATCH($C21,Aircraft!$B:$B,0))),"AIRCRAFT NOT IN FLEET"),IFERROR(INDEX(Operators!$B:$B,MATCH($C21,Operators!$A:$A,0)),"OPERATOR NOT FOUND")))</f>
        <v/>
      </c>
      <c r="E21" t="str">
        <f>IF($C21="","",IF($B21="AIRCRAFT",IFERROR(INDEX(Aircraft!$C:$C,MATCH($C21,Aircraft!$B:$B,0)),"-"),"-"))</f>
        <v/>
      </c>
      <c r="F21" s="4"/>
      <c r="G21" s="4"/>
      <c r="H21" s="4"/>
      <c r="I21" s="9"/>
      <c r="J21" s="9"/>
      <c r="K21" s="9"/>
      <c r="L21" s="4"/>
      <c r="M21" t="str">
        <f>IF(OR($C21="",$L21=""),"",admin!$B$2&amp;"\FleetDocs\"&amp;$C21&amp;"\"&amp;$L21)</f>
        <v/>
      </c>
      <c r="N21" s="4"/>
      <c r="O21" s="50"/>
      <c r="P21" s="4"/>
      <c r="Q21" s="50"/>
      <c r="R21" s="43" t="str">
        <f t="shared" ca="1" si="1"/>
        <v/>
      </c>
      <c r="S21" t="str">
        <f t="shared" ca="1" si="2"/>
        <v/>
      </c>
      <c r="T21" s="4"/>
    </row>
    <row r="22" spans="1:20" x14ac:dyDescent="0.3">
      <c r="A22" t="str">
        <f t="shared" si="0"/>
        <v/>
      </c>
      <c r="B22" s="4"/>
      <c r="C22" s="4"/>
      <c r="D22" t="str">
        <f>IF($C22="","",IF($B22="AIRCRAFT",IFERROR(IF(INDEX(Aircraft!$T:$T,MATCH($C22,Aircraft!$B:$B,0))="","OPERATOR NAME NOT SET",INDEX(Aircraft!$T:$T,MATCH($C22,Aircraft!$B:$B,0))),"AIRCRAFT NOT IN FLEET"),IFERROR(INDEX(Operators!$B:$B,MATCH($C22,Operators!$A:$A,0)),"OPERATOR NOT FOUND")))</f>
        <v/>
      </c>
      <c r="E22" t="str">
        <f>IF($C22="","",IF($B22="AIRCRAFT",IFERROR(INDEX(Aircraft!$C:$C,MATCH($C22,Aircraft!$B:$B,0)),"-"),"-"))</f>
        <v/>
      </c>
      <c r="F22" s="4"/>
      <c r="G22" s="4"/>
      <c r="H22" s="4"/>
      <c r="I22" s="9"/>
      <c r="J22" s="9"/>
      <c r="K22" s="9"/>
      <c r="L22" s="4"/>
      <c r="M22" t="str">
        <f>IF(OR($C22="",$L22=""),"",admin!$B$2&amp;"\FleetDocs\"&amp;$C22&amp;"\"&amp;$L22)</f>
        <v/>
      </c>
      <c r="N22" s="4"/>
      <c r="O22" s="50"/>
      <c r="P22" s="4"/>
      <c r="Q22" s="50"/>
      <c r="R22" s="43" t="str">
        <f t="shared" ca="1" si="1"/>
        <v/>
      </c>
      <c r="S22" t="str">
        <f t="shared" ca="1" si="2"/>
        <v/>
      </c>
      <c r="T22" s="4"/>
    </row>
    <row r="23" spans="1:20" x14ac:dyDescent="0.3">
      <c r="A23" t="str">
        <f t="shared" si="0"/>
        <v/>
      </c>
      <c r="B23" s="4"/>
      <c r="C23" s="4"/>
      <c r="D23" t="str">
        <f>IF($C23="","",IF($B23="AIRCRAFT",IFERROR(IF(INDEX(Aircraft!$T:$T,MATCH($C23,Aircraft!$B:$B,0))="","OPERATOR NAME NOT SET",INDEX(Aircraft!$T:$T,MATCH($C23,Aircraft!$B:$B,0))),"AIRCRAFT NOT IN FLEET"),IFERROR(INDEX(Operators!$B:$B,MATCH($C23,Operators!$A:$A,0)),"OPERATOR NOT FOUND")))</f>
        <v/>
      </c>
      <c r="E23" t="str">
        <f>IF($C23="","",IF($B23="AIRCRAFT",IFERROR(INDEX(Aircraft!$C:$C,MATCH($C23,Aircraft!$B:$B,0)),"-"),"-"))</f>
        <v/>
      </c>
      <c r="F23" s="4"/>
      <c r="G23" s="4"/>
      <c r="H23" s="4"/>
      <c r="I23" s="9"/>
      <c r="J23" s="9"/>
      <c r="K23" s="9"/>
      <c r="L23" s="4"/>
      <c r="M23" t="str">
        <f>IF(OR($C23="",$L23=""),"",admin!$B$2&amp;"\FleetDocs\"&amp;$C23&amp;"\"&amp;$L23)</f>
        <v/>
      </c>
      <c r="N23" s="4"/>
      <c r="O23" s="50"/>
      <c r="P23" s="4"/>
      <c r="Q23" s="50"/>
      <c r="R23" s="43" t="str">
        <f t="shared" ca="1" si="1"/>
        <v/>
      </c>
      <c r="S23" t="str">
        <f t="shared" ca="1" si="2"/>
        <v/>
      </c>
      <c r="T23" s="4"/>
    </row>
    <row r="24" spans="1:20" x14ac:dyDescent="0.3">
      <c r="A24" t="str">
        <f t="shared" si="0"/>
        <v/>
      </c>
      <c r="B24" s="4"/>
      <c r="C24" s="4"/>
      <c r="D24" t="str">
        <f>IF($C24="","",IF($B24="AIRCRAFT",IFERROR(IF(INDEX(Aircraft!$T:$T,MATCH($C24,Aircraft!$B:$B,0))="","OPERATOR NAME NOT SET",INDEX(Aircraft!$T:$T,MATCH($C24,Aircraft!$B:$B,0))),"AIRCRAFT NOT IN FLEET"),IFERROR(INDEX(Operators!$B:$B,MATCH($C24,Operators!$A:$A,0)),"OPERATOR NOT FOUND")))</f>
        <v/>
      </c>
      <c r="E24" t="str">
        <f>IF($C24="","",IF($B24="AIRCRAFT",IFERROR(INDEX(Aircraft!$C:$C,MATCH($C24,Aircraft!$B:$B,0)),"-"),"-"))</f>
        <v/>
      </c>
      <c r="F24" s="4"/>
      <c r="G24" s="4"/>
      <c r="H24" s="4"/>
      <c r="I24" s="9"/>
      <c r="J24" s="9"/>
      <c r="K24" s="9"/>
      <c r="L24" s="4"/>
      <c r="M24" t="str">
        <f>IF(OR($C24="",$L24=""),"",admin!$B$2&amp;"\FleetDocs\"&amp;$C24&amp;"\"&amp;$L24)</f>
        <v/>
      </c>
      <c r="N24" s="4"/>
      <c r="O24" s="50"/>
      <c r="P24" s="4"/>
      <c r="Q24" s="50"/>
      <c r="R24" s="43" t="str">
        <f t="shared" ca="1" si="1"/>
        <v/>
      </c>
      <c r="S24" t="str">
        <f t="shared" ca="1" si="2"/>
        <v/>
      </c>
      <c r="T24" s="4"/>
    </row>
    <row r="25" spans="1:20" x14ac:dyDescent="0.3">
      <c r="A25" t="str">
        <f t="shared" si="0"/>
        <v/>
      </c>
      <c r="B25" s="4"/>
      <c r="C25" s="4"/>
      <c r="D25" t="str">
        <f>IF($C25="","",IF($B25="AIRCRAFT",IFERROR(IF(INDEX(Aircraft!$T:$T,MATCH($C25,Aircraft!$B:$B,0))="","OPERATOR NAME NOT SET",INDEX(Aircraft!$T:$T,MATCH($C25,Aircraft!$B:$B,0))),"AIRCRAFT NOT IN FLEET"),IFERROR(INDEX(Operators!$B:$B,MATCH($C25,Operators!$A:$A,0)),"OPERATOR NOT FOUND")))</f>
        <v/>
      </c>
      <c r="E25" t="str">
        <f>IF($C25="","",IF($B25="AIRCRAFT",IFERROR(INDEX(Aircraft!$C:$C,MATCH($C25,Aircraft!$B:$B,0)),"-"),"-"))</f>
        <v/>
      </c>
      <c r="F25" s="4"/>
      <c r="G25" s="4"/>
      <c r="H25" s="4"/>
      <c r="I25" s="9"/>
      <c r="J25" s="9"/>
      <c r="K25" s="9"/>
      <c r="L25" s="4"/>
      <c r="M25" t="str">
        <f>IF(OR($C25="",$L25=""),"",admin!$B$2&amp;"\FleetDocs\"&amp;$C25&amp;"\"&amp;$L25)</f>
        <v/>
      </c>
      <c r="N25" s="4"/>
      <c r="O25" s="50"/>
      <c r="P25" s="4"/>
      <c r="Q25" s="50"/>
      <c r="R25" s="43" t="str">
        <f t="shared" ca="1" si="1"/>
        <v/>
      </c>
      <c r="S25" t="str">
        <f t="shared" ca="1" si="2"/>
        <v/>
      </c>
      <c r="T25" s="4"/>
    </row>
    <row r="26" spans="1:20" x14ac:dyDescent="0.3">
      <c r="A26" t="str">
        <f t="shared" si="0"/>
        <v/>
      </c>
      <c r="B26" s="4"/>
      <c r="C26" s="4"/>
      <c r="D26" t="str">
        <f>IF($C26="","",IF($B26="AIRCRAFT",IFERROR(IF(INDEX(Aircraft!$T:$T,MATCH($C26,Aircraft!$B:$B,0))="","OPERATOR NAME NOT SET",INDEX(Aircraft!$T:$T,MATCH($C26,Aircraft!$B:$B,0))),"AIRCRAFT NOT IN FLEET"),IFERROR(INDEX(Operators!$B:$B,MATCH($C26,Operators!$A:$A,0)),"OPERATOR NOT FOUND")))</f>
        <v/>
      </c>
      <c r="E26" t="str">
        <f>IF($C26="","",IF($B26="AIRCRAFT",IFERROR(INDEX(Aircraft!$C:$C,MATCH($C26,Aircraft!$B:$B,0)),"-"),"-"))</f>
        <v/>
      </c>
      <c r="F26" s="4"/>
      <c r="G26" s="4"/>
      <c r="H26" s="4"/>
      <c r="I26" s="9"/>
      <c r="J26" s="9"/>
      <c r="K26" s="9"/>
      <c r="L26" s="4"/>
      <c r="M26" t="str">
        <f>IF(OR($C26="",$L26=""),"",admin!$B$2&amp;"\FleetDocs\"&amp;$C26&amp;"\"&amp;$L26)</f>
        <v/>
      </c>
      <c r="N26" s="4"/>
      <c r="O26" s="50"/>
      <c r="P26" s="4"/>
      <c r="Q26" s="50"/>
      <c r="R26" s="43" t="str">
        <f t="shared" ca="1" si="1"/>
        <v/>
      </c>
      <c r="S26" t="str">
        <f t="shared" ca="1" si="2"/>
        <v/>
      </c>
      <c r="T26" s="4"/>
    </row>
    <row r="27" spans="1:20" x14ac:dyDescent="0.3">
      <c r="A27" t="str">
        <f t="shared" si="0"/>
        <v/>
      </c>
      <c r="B27" s="4"/>
      <c r="C27" s="4"/>
      <c r="D27" t="str">
        <f>IF($C27="","",IF($B27="AIRCRAFT",IFERROR(IF(INDEX(Aircraft!$T:$T,MATCH($C27,Aircraft!$B:$B,0))="","OPERATOR NAME NOT SET",INDEX(Aircraft!$T:$T,MATCH($C27,Aircraft!$B:$B,0))),"AIRCRAFT NOT IN FLEET"),IFERROR(INDEX(Operators!$B:$B,MATCH($C27,Operators!$A:$A,0)),"OPERATOR NOT FOUND")))</f>
        <v/>
      </c>
      <c r="E27" t="str">
        <f>IF($C27="","",IF($B27="AIRCRAFT",IFERROR(INDEX(Aircraft!$C:$C,MATCH($C27,Aircraft!$B:$B,0)),"-"),"-"))</f>
        <v/>
      </c>
      <c r="F27" s="4"/>
      <c r="G27" s="4"/>
      <c r="H27" s="4"/>
      <c r="I27" s="9"/>
      <c r="J27" s="9"/>
      <c r="K27" s="9"/>
      <c r="L27" s="4"/>
      <c r="M27" t="str">
        <f>IF(OR($C27="",$L27=""),"",admin!$B$2&amp;"\FleetDocs\"&amp;$C27&amp;"\"&amp;$L27)</f>
        <v/>
      </c>
      <c r="N27" s="4"/>
      <c r="O27" s="50"/>
      <c r="P27" s="4"/>
      <c r="Q27" s="50"/>
      <c r="R27" s="43" t="str">
        <f t="shared" ca="1" si="1"/>
        <v/>
      </c>
      <c r="S27" t="str">
        <f t="shared" ca="1" si="2"/>
        <v/>
      </c>
      <c r="T27" s="4"/>
    </row>
    <row r="28" spans="1:20" x14ac:dyDescent="0.3">
      <c r="A28" t="str">
        <f t="shared" si="0"/>
        <v/>
      </c>
      <c r="B28" s="4"/>
      <c r="C28" s="4"/>
      <c r="D28" t="str">
        <f>IF($C28="","",IF($B28="AIRCRAFT",IFERROR(IF(INDEX(Aircraft!$T:$T,MATCH($C28,Aircraft!$B:$B,0))="","OPERATOR NAME NOT SET",INDEX(Aircraft!$T:$T,MATCH($C28,Aircraft!$B:$B,0))),"AIRCRAFT NOT IN FLEET"),IFERROR(INDEX(Operators!$B:$B,MATCH($C28,Operators!$A:$A,0)),"OPERATOR NOT FOUND")))</f>
        <v/>
      </c>
      <c r="E28" t="str">
        <f>IF($C28="","",IF($B28="AIRCRAFT",IFERROR(INDEX(Aircraft!$C:$C,MATCH($C28,Aircraft!$B:$B,0)),"-"),"-"))</f>
        <v/>
      </c>
      <c r="F28" s="4"/>
      <c r="G28" s="4"/>
      <c r="H28" s="4"/>
      <c r="I28" s="9"/>
      <c r="J28" s="9"/>
      <c r="K28" s="9"/>
      <c r="L28" s="4"/>
      <c r="M28" t="str">
        <f>IF(OR($C28="",$L28=""),"",admin!$B$2&amp;"\FleetDocs\"&amp;$C28&amp;"\"&amp;$L28)</f>
        <v/>
      </c>
      <c r="N28" s="4"/>
      <c r="O28" s="50"/>
      <c r="P28" s="4"/>
      <c r="Q28" s="50"/>
      <c r="R28" s="43" t="str">
        <f t="shared" ca="1" si="1"/>
        <v/>
      </c>
      <c r="S28" t="str">
        <f t="shared" ca="1" si="2"/>
        <v/>
      </c>
      <c r="T28" s="4"/>
    </row>
    <row r="29" spans="1:20" x14ac:dyDescent="0.3">
      <c r="A29" t="str">
        <f t="shared" si="0"/>
        <v/>
      </c>
      <c r="B29" s="4"/>
      <c r="C29" s="4"/>
      <c r="D29" t="str">
        <f>IF($C29="","",IF($B29="AIRCRAFT",IFERROR(IF(INDEX(Aircraft!$T:$T,MATCH($C29,Aircraft!$B:$B,0))="","OPERATOR NAME NOT SET",INDEX(Aircraft!$T:$T,MATCH($C29,Aircraft!$B:$B,0))),"AIRCRAFT NOT IN FLEET"),IFERROR(INDEX(Operators!$B:$B,MATCH($C29,Operators!$A:$A,0)),"OPERATOR NOT FOUND")))</f>
        <v/>
      </c>
      <c r="E29" t="str">
        <f>IF($C29="","",IF($B29="AIRCRAFT",IFERROR(INDEX(Aircraft!$C:$C,MATCH($C29,Aircraft!$B:$B,0)),"-"),"-"))</f>
        <v/>
      </c>
      <c r="F29" s="4"/>
      <c r="G29" s="4"/>
      <c r="H29" s="4"/>
      <c r="I29" s="9"/>
      <c r="J29" s="9"/>
      <c r="K29" s="9"/>
      <c r="L29" s="4"/>
      <c r="M29" t="str">
        <f>IF(OR($C29="",$L29=""),"",admin!$B$2&amp;"\FleetDocs\"&amp;$C29&amp;"\"&amp;$L29)</f>
        <v/>
      </c>
      <c r="N29" s="4"/>
      <c r="O29" s="50"/>
      <c r="P29" s="4"/>
      <c r="Q29" s="50"/>
      <c r="R29" s="43" t="str">
        <f t="shared" ca="1" si="1"/>
        <v/>
      </c>
      <c r="S29" t="str">
        <f t="shared" ca="1" si="2"/>
        <v/>
      </c>
      <c r="T29" s="4"/>
    </row>
    <row r="30" spans="1:20" x14ac:dyDescent="0.3">
      <c r="A30" t="str">
        <f t="shared" si="0"/>
        <v/>
      </c>
      <c r="B30" s="4"/>
      <c r="C30" s="4"/>
      <c r="D30" t="str">
        <f>IF($C30="","",IF($B30="AIRCRAFT",IFERROR(IF(INDEX(Aircraft!$T:$T,MATCH($C30,Aircraft!$B:$B,0))="","OPERATOR NAME NOT SET",INDEX(Aircraft!$T:$T,MATCH($C30,Aircraft!$B:$B,0))),"AIRCRAFT NOT IN FLEET"),IFERROR(INDEX(Operators!$B:$B,MATCH($C30,Operators!$A:$A,0)),"OPERATOR NOT FOUND")))</f>
        <v/>
      </c>
      <c r="E30" t="str">
        <f>IF($C30="","",IF($B30="AIRCRAFT",IFERROR(INDEX(Aircraft!$C:$C,MATCH($C30,Aircraft!$B:$B,0)),"-"),"-"))</f>
        <v/>
      </c>
      <c r="F30" s="4"/>
      <c r="G30" s="4"/>
      <c r="H30" s="4"/>
      <c r="I30" s="9"/>
      <c r="J30" s="9"/>
      <c r="K30" s="9"/>
      <c r="L30" s="4"/>
      <c r="M30" t="str">
        <f>IF(OR($C30="",$L30=""),"",admin!$B$2&amp;"\FleetDocs\"&amp;$C30&amp;"\"&amp;$L30)</f>
        <v/>
      </c>
      <c r="N30" s="4"/>
      <c r="O30" s="50"/>
      <c r="P30" s="4"/>
      <c r="Q30" s="50"/>
      <c r="R30" s="43" t="str">
        <f t="shared" ca="1" si="1"/>
        <v/>
      </c>
      <c r="S30" t="str">
        <f t="shared" ca="1" si="2"/>
        <v/>
      </c>
      <c r="T30" s="4"/>
    </row>
    <row r="31" spans="1:20" x14ac:dyDescent="0.3">
      <c r="A31" t="str">
        <f t="shared" si="0"/>
        <v/>
      </c>
      <c r="B31" s="4"/>
      <c r="C31" s="4"/>
      <c r="D31" t="str">
        <f>IF($C31="","",IF($B31="AIRCRAFT",IFERROR(IF(INDEX(Aircraft!$T:$T,MATCH($C31,Aircraft!$B:$B,0))="","OPERATOR NAME NOT SET",INDEX(Aircraft!$T:$T,MATCH($C31,Aircraft!$B:$B,0))),"AIRCRAFT NOT IN FLEET"),IFERROR(INDEX(Operators!$B:$B,MATCH($C31,Operators!$A:$A,0)),"OPERATOR NOT FOUND")))</f>
        <v/>
      </c>
      <c r="E31" t="str">
        <f>IF($C31="","",IF($B31="AIRCRAFT",IFERROR(INDEX(Aircraft!$C:$C,MATCH($C31,Aircraft!$B:$B,0)),"-"),"-"))</f>
        <v/>
      </c>
      <c r="F31" s="4"/>
      <c r="G31" s="4"/>
      <c r="H31" s="4"/>
      <c r="I31" s="9"/>
      <c r="J31" s="9"/>
      <c r="K31" s="9"/>
      <c r="L31" s="4"/>
      <c r="M31" t="str">
        <f>IF(OR($C31="",$L31=""),"",admin!$B$2&amp;"\FleetDocs\"&amp;$C31&amp;"\"&amp;$L31)</f>
        <v/>
      </c>
      <c r="N31" s="4"/>
      <c r="O31" s="50"/>
      <c r="P31" s="4"/>
      <c r="Q31" s="50"/>
      <c r="R31" s="43" t="str">
        <f t="shared" ca="1" si="1"/>
        <v/>
      </c>
      <c r="S31" t="str">
        <f t="shared" ca="1" si="2"/>
        <v/>
      </c>
      <c r="T31" s="4"/>
    </row>
    <row r="32" spans="1:20" x14ac:dyDescent="0.3">
      <c r="A32" t="str">
        <f t="shared" si="0"/>
        <v/>
      </c>
      <c r="B32" s="4"/>
      <c r="C32" s="4"/>
      <c r="D32" t="str">
        <f>IF($C32="","",IF($B32="AIRCRAFT",IFERROR(IF(INDEX(Aircraft!$T:$T,MATCH($C32,Aircraft!$B:$B,0))="","OPERATOR NAME NOT SET",INDEX(Aircraft!$T:$T,MATCH($C32,Aircraft!$B:$B,0))),"AIRCRAFT NOT IN FLEET"),IFERROR(INDEX(Operators!$B:$B,MATCH($C32,Operators!$A:$A,0)),"OPERATOR NOT FOUND")))</f>
        <v/>
      </c>
      <c r="E32" t="str">
        <f>IF($C32="","",IF($B32="AIRCRAFT",IFERROR(INDEX(Aircraft!$C:$C,MATCH($C32,Aircraft!$B:$B,0)),"-"),"-"))</f>
        <v/>
      </c>
      <c r="F32" s="4"/>
      <c r="G32" s="4"/>
      <c r="H32" s="4"/>
      <c r="I32" s="9"/>
      <c r="J32" s="9"/>
      <c r="K32" s="9"/>
      <c r="L32" s="4"/>
      <c r="M32" t="str">
        <f>IF(OR($C32="",$L32=""),"",admin!$B$2&amp;"\FleetDocs\"&amp;$C32&amp;"\"&amp;$L32)</f>
        <v/>
      </c>
      <c r="N32" s="4"/>
      <c r="O32" s="50"/>
      <c r="P32" s="4"/>
      <c r="Q32" s="50"/>
      <c r="R32" s="43" t="str">
        <f t="shared" ca="1" si="1"/>
        <v/>
      </c>
      <c r="S32" t="str">
        <f t="shared" ca="1" si="2"/>
        <v/>
      </c>
      <c r="T32" s="4"/>
    </row>
    <row r="33" spans="1:20" x14ac:dyDescent="0.3">
      <c r="A33" t="str">
        <f t="shared" si="0"/>
        <v/>
      </c>
      <c r="B33" s="4"/>
      <c r="C33" s="4"/>
      <c r="D33" t="str">
        <f>IF($C33="","",IF($B33="AIRCRAFT",IFERROR(IF(INDEX(Aircraft!$T:$T,MATCH($C33,Aircraft!$B:$B,0))="","OPERATOR NAME NOT SET",INDEX(Aircraft!$T:$T,MATCH($C33,Aircraft!$B:$B,0))),"AIRCRAFT NOT IN FLEET"),IFERROR(INDEX(Operators!$B:$B,MATCH($C33,Operators!$A:$A,0)),"OPERATOR NOT FOUND")))</f>
        <v/>
      </c>
      <c r="E33" t="str">
        <f>IF($C33="","",IF($B33="AIRCRAFT",IFERROR(INDEX(Aircraft!$C:$C,MATCH($C33,Aircraft!$B:$B,0)),"-"),"-"))</f>
        <v/>
      </c>
      <c r="F33" s="4"/>
      <c r="G33" s="4"/>
      <c r="H33" s="4"/>
      <c r="I33" s="9"/>
      <c r="J33" s="9"/>
      <c r="K33" s="9"/>
      <c r="L33" s="4"/>
      <c r="M33" t="str">
        <f>IF(OR($C33="",$L33=""),"",admin!$B$2&amp;"\FleetDocs\"&amp;$C33&amp;"\"&amp;$L33)</f>
        <v/>
      </c>
      <c r="N33" s="4"/>
      <c r="O33" s="50"/>
      <c r="P33" s="4"/>
      <c r="Q33" s="50"/>
      <c r="R33" s="43" t="str">
        <f t="shared" ca="1" si="1"/>
        <v/>
      </c>
      <c r="S33" t="str">
        <f t="shared" ca="1" si="2"/>
        <v/>
      </c>
      <c r="T33" s="4"/>
    </row>
    <row r="34" spans="1:20" x14ac:dyDescent="0.3">
      <c r="A34" t="str">
        <f t="shared" si="0"/>
        <v/>
      </c>
      <c r="B34" s="4"/>
      <c r="C34" s="4"/>
      <c r="D34" t="str">
        <f>IF($C34="","",IF($B34="AIRCRAFT",IFERROR(IF(INDEX(Aircraft!$T:$T,MATCH($C34,Aircraft!$B:$B,0))="","OPERATOR NAME NOT SET",INDEX(Aircraft!$T:$T,MATCH($C34,Aircraft!$B:$B,0))),"AIRCRAFT NOT IN FLEET"),IFERROR(INDEX(Operators!$B:$B,MATCH($C34,Operators!$A:$A,0)),"OPERATOR NOT FOUND")))</f>
        <v/>
      </c>
      <c r="E34" t="str">
        <f>IF($C34="","",IF($B34="AIRCRAFT",IFERROR(INDEX(Aircraft!$C:$C,MATCH($C34,Aircraft!$B:$B,0)),"-"),"-"))</f>
        <v/>
      </c>
      <c r="F34" s="4"/>
      <c r="G34" s="4"/>
      <c r="H34" s="4"/>
      <c r="I34" s="9"/>
      <c r="J34" s="9"/>
      <c r="K34" s="9"/>
      <c r="L34" s="4"/>
      <c r="M34" t="str">
        <f>IF(OR($C34="",$L34=""),"",admin!$B$2&amp;"\FleetDocs\"&amp;$C34&amp;"\"&amp;$L34)</f>
        <v/>
      </c>
      <c r="N34" s="4"/>
      <c r="O34" s="50"/>
      <c r="P34" s="4"/>
      <c r="Q34" s="50"/>
      <c r="R34" s="43" t="str">
        <f t="shared" ca="1" si="1"/>
        <v/>
      </c>
      <c r="S34" t="str">
        <f t="shared" ca="1" si="2"/>
        <v/>
      </c>
      <c r="T34" s="4"/>
    </row>
    <row r="35" spans="1:20" x14ac:dyDescent="0.3">
      <c r="A35" t="str">
        <f t="shared" si="0"/>
        <v/>
      </c>
      <c r="B35" s="4"/>
      <c r="C35" s="4"/>
      <c r="D35" t="str">
        <f>IF($C35="","",IF($B35="AIRCRAFT",IFERROR(IF(INDEX(Aircraft!$T:$T,MATCH($C35,Aircraft!$B:$B,0))="","OPERATOR NAME NOT SET",INDEX(Aircraft!$T:$T,MATCH($C35,Aircraft!$B:$B,0))),"AIRCRAFT NOT IN FLEET"),IFERROR(INDEX(Operators!$B:$B,MATCH($C35,Operators!$A:$A,0)),"OPERATOR NOT FOUND")))</f>
        <v/>
      </c>
      <c r="E35" t="str">
        <f>IF($C35="","",IF($B35="AIRCRAFT",IFERROR(INDEX(Aircraft!$C:$C,MATCH($C35,Aircraft!$B:$B,0)),"-"),"-"))</f>
        <v/>
      </c>
      <c r="F35" s="4"/>
      <c r="G35" s="4"/>
      <c r="H35" s="4"/>
      <c r="I35" s="9"/>
      <c r="J35" s="9"/>
      <c r="K35" s="9"/>
      <c r="L35" s="4"/>
      <c r="M35" t="str">
        <f>IF(OR($C35="",$L35=""),"",admin!$B$2&amp;"\FleetDocs\"&amp;$C35&amp;"\"&amp;$L35)</f>
        <v/>
      </c>
      <c r="N35" s="4"/>
      <c r="O35" s="50"/>
      <c r="P35" s="4"/>
      <c r="Q35" s="50"/>
      <c r="R35" s="43" t="str">
        <f t="shared" ca="1" si="1"/>
        <v/>
      </c>
      <c r="S35" t="str">
        <f t="shared" ca="1" si="2"/>
        <v/>
      </c>
      <c r="T35" s="4"/>
    </row>
    <row r="36" spans="1:20" x14ac:dyDescent="0.3">
      <c r="A36" t="str">
        <f t="shared" si="0"/>
        <v/>
      </c>
      <c r="B36" s="4"/>
      <c r="C36" s="4"/>
      <c r="D36" t="str">
        <f>IF($C36="","",IF($B36="AIRCRAFT",IFERROR(IF(INDEX(Aircraft!$T:$T,MATCH($C36,Aircraft!$B:$B,0))="","OPERATOR NAME NOT SET",INDEX(Aircraft!$T:$T,MATCH($C36,Aircraft!$B:$B,0))),"AIRCRAFT NOT IN FLEET"),IFERROR(INDEX(Operators!$B:$B,MATCH($C36,Operators!$A:$A,0)),"OPERATOR NOT FOUND")))</f>
        <v/>
      </c>
      <c r="E36" t="str">
        <f>IF($C36="","",IF($B36="AIRCRAFT",IFERROR(INDEX(Aircraft!$C:$C,MATCH($C36,Aircraft!$B:$B,0)),"-"),"-"))</f>
        <v/>
      </c>
      <c r="F36" s="4"/>
      <c r="G36" s="4"/>
      <c r="H36" s="4"/>
      <c r="I36" s="9"/>
      <c r="J36" s="9"/>
      <c r="K36" s="9"/>
      <c r="L36" s="4"/>
      <c r="M36" t="str">
        <f>IF(OR($C36="",$L36=""),"",admin!$B$2&amp;"\FleetDocs\"&amp;$C36&amp;"\"&amp;$L36)</f>
        <v/>
      </c>
      <c r="N36" s="4"/>
      <c r="O36" s="50"/>
      <c r="P36" s="4"/>
      <c r="Q36" s="50"/>
      <c r="R36" s="43" t="str">
        <f t="shared" ca="1" si="1"/>
        <v/>
      </c>
      <c r="S36" t="str">
        <f t="shared" ca="1" si="2"/>
        <v/>
      </c>
      <c r="T36" s="4"/>
    </row>
    <row r="37" spans="1:20" x14ac:dyDescent="0.3">
      <c r="A37" t="str">
        <f t="shared" si="0"/>
        <v/>
      </c>
      <c r="B37" s="4"/>
      <c r="C37" s="4"/>
      <c r="D37" t="str">
        <f>IF($C37="","",IF($B37="AIRCRAFT",IFERROR(IF(INDEX(Aircraft!$T:$T,MATCH($C37,Aircraft!$B:$B,0))="","OPERATOR NAME NOT SET",INDEX(Aircraft!$T:$T,MATCH($C37,Aircraft!$B:$B,0))),"AIRCRAFT NOT IN FLEET"),IFERROR(INDEX(Operators!$B:$B,MATCH($C37,Operators!$A:$A,0)),"OPERATOR NOT FOUND")))</f>
        <v/>
      </c>
      <c r="E37" t="str">
        <f>IF($C37="","",IF($B37="AIRCRAFT",IFERROR(INDEX(Aircraft!$C:$C,MATCH($C37,Aircraft!$B:$B,0)),"-"),"-"))</f>
        <v/>
      </c>
      <c r="F37" s="4"/>
      <c r="G37" s="4"/>
      <c r="H37" s="4"/>
      <c r="I37" s="9"/>
      <c r="J37" s="9"/>
      <c r="K37" s="9"/>
      <c r="L37" s="4"/>
      <c r="M37" t="str">
        <f>IF(OR($C37="",$L37=""),"",admin!$B$2&amp;"\FleetDocs\"&amp;$C37&amp;"\"&amp;$L37)</f>
        <v/>
      </c>
      <c r="N37" s="4"/>
      <c r="O37" s="50"/>
      <c r="P37" s="4"/>
      <c r="Q37" s="50"/>
      <c r="R37" s="43" t="str">
        <f t="shared" ca="1" si="1"/>
        <v/>
      </c>
      <c r="S37" t="str">
        <f t="shared" ca="1" si="2"/>
        <v/>
      </c>
      <c r="T37" s="4"/>
    </row>
    <row r="38" spans="1:20" x14ac:dyDescent="0.3">
      <c r="A38" t="str">
        <f t="shared" si="0"/>
        <v/>
      </c>
      <c r="B38" s="4"/>
      <c r="C38" s="4"/>
      <c r="D38" t="str">
        <f>IF($C38="","",IF($B38="AIRCRAFT",IFERROR(IF(INDEX(Aircraft!$T:$T,MATCH($C38,Aircraft!$B:$B,0))="","OPERATOR NAME NOT SET",INDEX(Aircraft!$T:$T,MATCH($C38,Aircraft!$B:$B,0))),"AIRCRAFT NOT IN FLEET"),IFERROR(INDEX(Operators!$B:$B,MATCH($C38,Operators!$A:$A,0)),"OPERATOR NOT FOUND")))</f>
        <v/>
      </c>
      <c r="E38" t="str">
        <f>IF($C38="","",IF($B38="AIRCRAFT",IFERROR(INDEX(Aircraft!$C:$C,MATCH($C38,Aircraft!$B:$B,0)),"-"),"-"))</f>
        <v/>
      </c>
      <c r="F38" s="4"/>
      <c r="G38" s="4"/>
      <c r="H38" s="4"/>
      <c r="I38" s="9"/>
      <c r="J38" s="9"/>
      <c r="K38" s="9"/>
      <c r="L38" s="4"/>
      <c r="M38" t="str">
        <f>IF(OR($C38="",$L38=""),"",admin!$B$2&amp;"\FleetDocs\"&amp;$C38&amp;"\"&amp;$L38)</f>
        <v/>
      </c>
      <c r="N38" s="4"/>
      <c r="O38" s="50"/>
      <c r="P38" s="4"/>
      <c r="Q38" s="50"/>
      <c r="R38" s="43" t="str">
        <f t="shared" ca="1" si="1"/>
        <v/>
      </c>
      <c r="S38" t="str">
        <f t="shared" ca="1" si="2"/>
        <v/>
      </c>
      <c r="T38" s="4"/>
    </row>
    <row r="39" spans="1:20" x14ac:dyDescent="0.3">
      <c r="A39" t="str">
        <f t="shared" si="0"/>
        <v/>
      </c>
      <c r="B39" s="4"/>
      <c r="C39" s="4"/>
      <c r="D39" t="str">
        <f>IF($C39="","",IF($B39="AIRCRAFT",IFERROR(IF(INDEX(Aircraft!$T:$T,MATCH($C39,Aircraft!$B:$B,0))="","OPERATOR NAME NOT SET",INDEX(Aircraft!$T:$T,MATCH($C39,Aircraft!$B:$B,0))),"AIRCRAFT NOT IN FLEET"),IFERROR(INDEX(Operators!$B:$B,MATCH($C39,Operators!$A:$A,0)),"OPERATOR NOT FOUND")))</f>
        <v/>
      </c>
      <c r="E39" t="str">
        <f>IF($C39="","",IF($B39="AIRCRAFT",IFERROR(INDEX(Aircraft!$C:$C,MATCH($C39,Aircraft!$B:$B,0)),"-"),"-"))</f>
        <v/>
      </c>
      <c r="F39" s="4"/>
      <c r="G39" s="4"/>
      <c r="H39" s="4"/>
      <c r="I39" s="9"/>
      <c r="J39" s="9"/>
      <c r="K39" s="9"/>
      <c r="L39" s="4"/>
      <c r="M39" t="str">
        <f>IF(OR($C39="",$L39=""),"",admin!$B$2&amp;"\FleetDocs\"&amp;$C39&amp;"\"&amp;$L39)</f>
        <v/>
      </c>
      <c r="N39" s="4"/>
      <c r="O39" s="50"/>
      <c r="P39" s="4"/>
      <c r="Q39" s="50"/>
      <c r="R39" s="43" t="str">
        <f t="shared" ca="1" si="1"/>
        <v/>
      </c>
      <c r="S39" t="str">
        <f t="shared" ca="1" si="2"/>
        <v/>
      </c>
      <c r="T39" s="4"/>
    </row>
    <row r="40" spans="1:20" x14ac:dyDescent="0.3">
      <c r="A40" t="str">
        <f t="shared" si="0"/>
        <v/>
      </c>
      <c r="B40" s="4"/>
      <c r="C40" s="4"/>
      <c r="D40" t="str">
        <f>IF($C40="","",IF($B40="AIRCRAFT",IFERROR(IF(INDEX(Aircraft!$T:$T,MATCH($C40,Aircraft!$B:$B,0))="","OPERATOR NAME NOT SET",INDEX(Aircraft!$T:$T,MATCH($C40,Aircraft!$B:$B,0))),"AIRCRAFT NOT IN FLEET"),IFERROR(INDEX(Operators!$B:$B,MATCH($C40,Operators!$A:$A,0)),"OPERATOR NOT FOUND")))</f>
        <v/>
      </c>
      <c r="E40" t="str">
        <f>IF($C40="","",IF($B40="AIRCRAFT",IFERROR(INDEX(Aircraft!$C:$C,MATCH($C40,Aircraft!$B:$B,0)),"-"),"-"))</f>
        <v/>
      </c>
      <c r="F40" s="4"/>
      <c r="G40" s="4"/>
      <c r="H40" s="4"/>
      <c r="I40" s="9"/>
      <c r="J40" s="9"/>
      <c r="K40" s="9"/>
      <c r="L40" s="4"/>
      <c r="M40" t="str">
        <f>IF(OR($C40="",$L40=""),"",admin!$B$2&amp;"\FleetDocs\"&amp;$C40&amp;"\"&amp;$L40)</f>
        <v/>
      </c>
      <c r="N40" s="4"/>
      <c r="O40" s="50"/>
      <c r="P40" s="4"/>
      <c r="Q40" s="50"/>
      <c r="R40" s="43" t="str">
        <f t="shared" ca="1" si="1"/>
        <v/>
      </c>
      <c r="S40" t="str">
        <f t="shared" ca="1" si="2"/>
        <v/>
      </c>
      <c r="T40" s="4"/>
    </row>
    <row r="41" spans="1:20" x14ac:dyDescent="0.3">
      <c r="A41" t="str">
        <f t="shared" si="0"/>
        <v/>
      </c>
      <c r="B41" s="4"/>
      <c r="C41" s="4"/>
      <c r="D41" t="str">
        <f>IF($C41="","",IF($B41="AIRCRAFT",IFERROR(IF(INDEX(Aircraft!$T:$T,MATCH($C41,Aircraft!$B:$B,0))="","OPERATOR NAME NOT SET",INDEX(Aircraft!$T:$T,MATCH($C41,Aircraft!$B:$B,0))),"AIRCRAFT NOT IN FLEET"),IFERROR(INDEX(Operators!$B:$B,MATCH($C41,Operators!$A:$A,0)),"OPERATOR NOT FOUND")))</f>
        <v/>
      </c>
      <c r="E41" t="str">
        <f>IF($C41="","",IF($B41="AIRCRAFT",IFERROR(INDEX(Aircraft!$C:$C,MATCH($C41,Aircraft!$B:$B,0)),"-"),"-"))</f>
        <v/>
      </c>
      <c r="F41" s="4"/>
      <c r="G41" s="4"/>
      <c r="H41" s="4"/>
      <c r="I41" s="9"/>
      <c r="J41" s="9"/>
      <c r="K41" s="9"/>
      <c r="L41" s="4"/>
      <c r="M41" t="str">
        <f>IF(OR($C41="",$L41=""),"",admin!$B$2&amp;"\FleetDocs\"&amp;$C41&amp;"\"&amp;$L41)</f>
        <v/>
      </c>
      <c r="N41" s="4"/>
      <c r="O41" s="50"/>
      <c r="P41" s="4"/>
      <c r="Q41" s="50"/>
      <c r="R41" s="43" t="str">
        <f t="shared" ca="1" si="1"/>
        <v/>
      </c>
      <c r="S41" t="str">
        <f t="shared" ca="1" si="2"/>
        <v/>
      </c>
      <c r="T41" s="4"/>
    </row>
    <row r="42" spans="1:20" x14ac:dyDescent="0.3">
      <c r="A42" t="str">
        <f t="shared" si="0"/>
        <v/>
      </c>
      <c r="B42" s="4"/>
      <c r="C42" s="4"/>
      <c r="D42" t="str">
        <f>IF($C42="","",IF($B42="AIRCRAFT",IFERROR(IF(INDEX(Aircraft!$T:$T,MATCH($C42,Aircraft!$B:$B,0))="","OPERATOR NAME NOT SET",INDEX(Aircraft!$T:$T,MATCH($C42,Aircraft!$B:$B,0))),"AIRCRAFT NOT IN FLEET"),IFERROR(INDEX(Operators!$B:$B,MATCH($C42,Operators!$A:$A,0)),"OPERATOR NOT FOUND")))</f>
        <v/>
      </c>
      <c r="E42" t="str">
        <f>IF($C42="","",IF($B42="AIRCRAFT",IFERROR(INDEX(Aircraft!$C:$C,MATCH($C42,Aircraft!$B:$B,0)),"-"),"-"))</f>
        <v/>
      </c>
      <c r="F42" s="4"/>
      <c r="G42" s="4"/>
      <c r="H42" s="4"/>
      <c r="I42" s="9"/>
      <c r="J42" s="9"/>
      <c r="K42" s="9"/>
      <c r="L42" s="4"/>
      <c r="M42" t="str">
        <f>IF(OR($C42="",$L42=""),"",admin!$B$2&amp;"\FleetDocs\"&amp;$C42&amp;"\"&amp;$L42)</f>
        <v/>
      </c>
      <c r="N42" s="4"/>
      <c r="O42" s="50"/>
      <c r="P42" s="4"/>
      <c r="Q42" s="50"/>
      <c r="R42" s="43" t="str">
        <f t="shared" ca="1" si="1"/>
        <v/>
      </c>
      <c r="S42" t="str">
        <f t="shared" ca="1" si="2"/>
        <v/>
      </c>
      <c r="T42" s="4"/>
    </row>
    <row r="43" spans="1:20" x14ac:dyDescent="0.3">
      <c r="A43" t="str">
        <f t="shared" si="0"/>
        <v/>
      </c>
      <c r="B43" s="4"/>
      <c r="C43" s="4"/>
      <c r="D43" t="str">
        <f>IF($C43="","",IF($B43="AIRCRAFT",IFERROR(IF(INDEX(Aircraft!$T:$T,MATCH($C43,Aircraft!$B:$B,0))="","OPERATOR NAME NOT SET",INDEX(Aircraft!$T:$T,MATCH($C43,Aircraft!$B:$B,0))),"AIRCRAFT NOT IN FLEET"),IFERROR(INDEX(Operators!$B:$B,MATCH($C43,Operators!$A:$A,0)),"OPERATOR NOT FOUND")))</f>
        <v/>
      </c>
      <c r="E43" t="str">
        <f>IF($C43="","",IF($B43="AIRCRAFT",IFERROR(INDEX(Aircraft!$C:$C,MATCH($C43,Aircraft!$B:$B,0)),"-"),"-"))</f>
        <v/>
      </c>
      <c r="F43" s="4"/>
      <c r="G43" s="4"/>
      <c r="H43" s="4"/>
      <c r="I43" s="9"/>
      <c r="J43" s="9"/>
      <c r="K43" s="9"/>
      <c r="L43" s="4"/>
      <c r="M43" t="str">
        <f>IF(OR($C43="",$L43=""),"",admin!$B$2&amp;"\FleetDocs\"&amp;$C43&amp;"\"&amp;$L43)</f>
        <v/>
      </c>
      <c r="N43" s="4"/>
      <c r="O43" s="50"/>
      <c r="P43" s="4"/>
      <c r="Q43" s="50"/>
      <c r="R43" s="43" t="str">
        <f t="shared" ca="1" si="1"/>
        <v/>
      </c>
      <c r="S43" t="str">
        <f t="shared" ca="1" si="2"/>
        <v/>
      </c>
      <c r="T43" s="4"/>
    </row>
    <row r="44" spans="1:20" x14ac:dyDescent="0.3">
      <c r="A44" t="str">
        <f t="shared" si="0"/>
        <v/>
      </c>
      <c r="B44" s="4"/>
      <c r="C44" s="4"/>
      <c r="D44" t="str">
        <f>IF($C44="","",IF($B44="AIRCRAFT",IFERROR(IF(INDEX(Aircraft!$T:$T,MATCH($C44,Aircraft!$B:$B,0))="","OPERATOR NAME NOT SET",INDEX(Aircraft!$T:$T,MATCH($C44,Aircraft!$B:$B,0))),"AIRCRAFT NOT IN FLEET"),IFERROR(INDEX(Operators!$B:$B,MATCH($C44,Operators!$A:$A,0)),"OPERATOR NOT FOUND")))</f>
        <v/>
      </c>
      <c r="E44" t="str">
        <f>IF($C44="","",IF($B44="AIRCRAFT",IFERROR(INDEX(Aircraft!$C:$C,MATCH($C44,Aircraft!$B:$B,0)),"-"),"-"))</f>
        <v/>
      </c>
      <c r="F44" s="4"/>
      <c r="G44" s="4"/>
      <c r="H44" s="4"/>
      <c r="I44" s="9"/>
      <c r="J44" s="9"/>
      <c r="K44" s="9"/>
      <c r="L44" s="4"/>
      <c r="M44" t="str">
        <f>IF(OR($C44="",$L44=""),"",admin!$B$2&amp;"\FleetDocs\"&amp;$C44&amp;"\"&amp;$L44)</f>
        <v/>
      </c>
      <c r="N44" s="4"/>
      <c r="O44" s="50"/>
      <c r="P44" s="4"/>
      <c r="Q44" s="50"/>
      <c r="R44" s="43" t="str">
        <f t="shared" ca="1" si="1"/>
        <v/>
      </c>
      <c r="S44" t="str">
        <f t="shared" ca="1" si="2"/>
        <v/>
      </c>
      <c r="T44" s="4"/>
    </row>
    <row r="45" spans="1:20" x14ac:dyDescent="0.3">
      <c r="A45" t="str">
        <f t="shared" si="0"/>
        <v/>
      </c>
      <c r="B45" s="4"/>
      <c r="C45" s="4"/>
      <c r="D45" t="str">
        <f>IF($C45="","",IF($B45="AIRCRAFT",IFERROR(IF(INDEX(Aircraft!$T:$T,MATCH($C45,Aircraft!$B:$B,0))="","OPERATOR NAME NOT SET",INDEX(Aircraft!$T:$T,MATCH($C45,Aircraft!$B:$B,0))),"AIRCRAFT NOT IN FLEET"),IFERROR(INDEX(Operators!$B:$B,MATCH($C45,Operators!$A:$A,0)),"OPERATOR NOT FOUND")))</f>
        <v/>
      </c>
      <c r="E45" t="str">
        <f>IF($C45="","",IF($B45="AIRCRAFT",IFERROR(INDEX(Aircraft!$C:$C,MATCH($C45,Aircraft!$B:$B,0)),"-"),"-"))</f>
        <v/>
      </c>
      <c r="F45" s="4"/>
      <c r="G45" s="4"/>
      <c r="H45" s="4"/>
      <c r="I45" s="9"/>
      <c r="J45" s="9"/>
      <c r="K45" s="9"/>
      <c r="L45" s="4"/>
      <c r="M45" t="str">
        <f>IF(OR($C45="",$L45=""),"",admin!$B$2&amp;"\FleetDocs\"&amp;$C45&amp;"\"&amp;$L45)</f>
        <v/>
      </c>
      <c r="N45" s="4"/>
      <c r="O45" s="50"/>
      <c r="P45" s="4"/>
      <c r="Q45" s="50"/>
      <c r="R45" s="43" t="str">
        <f t="shared" ca="1" si="1"/>
        <v/>
      </c>
      <c r="S45" t="str">
        <f t="shared" ca="1" si="2"/>
        <v/>
      </c>
      <c r="T45" s="4"/>
    </row>
    <row r="46" spans="1:20" x14ac:dyDescent="0.3">
      <c r="A46" t="str">
        <f t="shared" si="0"/>
        <v/>
      </c>
      <c r="B46" s="4"/>
      <c r="C46" s="4"/>
      <c r="D46" t="str">
        <f>IF($C46="","",IF($B46="AIRCRAFT",IFERROR(IF(INDEX(Aircraft!$T:$T,MATCH($C46,Aircraft!$B:$B,0))="","OPERATOR NAME NOT SET",INDEX(Aircraft!$T:$T,MATCH($C46,Aircraft!$B:$B,0))),"AIRCRAFT NOT IN FLEET"),IFERROR(INDEX(Operators!$B:$B,MATCH($C46,Operators!$A:$A,0)),"OPERATOR NOT FOUND")))</f>
        <v/>
      </c>
      <c r="E46" t="str">
        <f>IF($C46="","",IF($B46="AIRCRAFT",IFERROR(INDEX(Aircraft!$C:$C,MATCH($C46,Aircraft!$B:$B,0)),"-"),"-"))</f>
        <v/>
      </c>
      <c r="F46" s="4"/>
      <c r="G46" s="4"/>
      <c r="H46" s="4"/>
      <c r="I46" s="9"/>
      <c r="J46" s="9"/>
      <c r="K46" s="9"/>
      <c r="L46" s="4"/>
      <c r="M46" t="str">
        <f>IF(OR($C46="",$L46=""),"",admin!$B$2&amp;"\FleetDocs\"&amp;$C46&amp;"\"&amp;$L46)</f>
        <v/>
      </c>
      <c r="N46" s="4"/>
      <c r="O46" s="50"/>
      <c r="P46" s="4"/>
      <c r="Q46" s="50"/>
      <c r="R46" s="43" t="str">
        <f t="shared" ca="1" si="1"/>
        <v/>
      </c>
      <c r="S46" t="str">
        <f t="shared" ca="1" si="2"/>
        <v/>
      </c>
      <c r="T46" s="4"/>
    </row>
    <row r="47" spans="1:20" x14ac:dyDescent="0.3">
      <c r="A47" t="str">
        <f t="shared" si="0"/>
        <v/>
      </c>
      <c r="B47" s="4"/>
      <c r="C47" s="4"/>
      <c r="D47" t="str">
        <f>IF($C47="","",IF($B47="AIRCRAFT",IFERROR(IF(INDEX(Aircraft!$T:$T,MATCH($C47,Aircraft!$B:$B,0))="","OPERATOR NAME NOT SET",INDEX(Aircraft!$T:$T,MATCH($C47,Aircraft!$B:$B,0))),"AIRCRAFT NOT IN FLEET"),IFERROR(INDEX(Operators!$B:$B,MATCH($C47,Operators!$A:$A,0)),"OPERATOR NOT FOUND")))</f>
        <v/>
      </c>
      <c r="E47" t="str">
        <f>IF($C47="","",IF($B47="AIRCRAFT",IFERROR(INDEX(Aircraft!$C:$C,MATCH($C47,Aircraft!$B:$B,0)),"-"),"-"))</f>
        <v/>
      </c>
      <c r="F47" s="4"/>
      <c r="G47" s="4"/>
      <c r="H47" s="4"/>
      <c r="I47" s="9"/>
      <c r="J47" s="9"/>
      <c r="K47" s="9"/>
      <c r="L47" s="4"/>
      <c r="M47" t="str">
        <f>IF(OR($C47="",$L47=""),"",admin!$B$2&amp;"\FleetDocs\"&amp;$C47&amp;"\"&amp;$L47)</f>
        <v/>
      </c>
      <c r="N47" s="4"/>
      <c r="O47" s="50"/>
      <c r="P47" s="4"/>
      <c r="Q47" s="50"/>
      <c r="R47" s="43" t="str">
        <f t="shared" ca="1" si="1"/>
        <v/>
      </c>
      <c r="S47" t="str">
        <f t="shared" ca="1" si="2"/>
        <v/>
      </c>
      <c r="T47" s="4"/>
    </row>
    <row r="48" spans="1:20" x14ac:dyDescent="0.3">
      <c r="A48" t="str">
        <f t="shared" si="0"/>
        <v/>
      </c>
      <c r="B48" s="4"/>
      <c r="C48" s="4"/>
      <c r="D48" t="str">
        <f>IF($C48="","",IF($B48="AIRCRAFT",IFERROR(IF(INDEX(Aircraft!$T:$T,MATCH($C48,Aircraft!$B:$B,0))="","OPERATOR NAME NOT SET",INDEX(Aircraft!$T:$T,MATCH($C48,Aircraft!$B:$B,0))),"AIRCRAFT NOT IN FLEET"),IFERROR(INDEX(Operators!$B:$B,MATCH($C48,Operators!$A:$A,0)),"OPERATOR NOT FOUND")))</f>
        <v/>
      </c>
      <c r="E48" t="str">
        <f>IF($C48="","",IF($B48="AIRCRAFT",IFERROR(INDEX(Aircraft!$C:$C,MATCH($C48,Aircraft!$B:$B,0)),"-"),"-"))</f>
        <v/>
      </c>
      <c r="F48" s="4"/>
      <c r="G48" s="4"/>
      <c r="H48" s="4"/>
      <c r="I48" s="9"/>
      <c r="J48" s="9"/>
      <c r="K48" s="9"/>
      <c r="L48" s="4"/>
      <c r="M48" t="str">
        <f>IF(OR($C48="",$L48=""),"",admin!$B$2&amp;"\FleetDocs\"&amp;$C48&amp;"\"&amp;$L48)</f>
        <v/>
      </c>
      <c r="N48" s="4"/>
      <c r="O48" s="50"/>
      <c r="P48" s="4"/>
      <c r="Q48" s="50"/>
      <c r="R48" s="43" t="str">
        <f t="shared" ca="1" si="1"/>
        <v/>
      </c>
      <c r="S48" t="str">
        <f t="shared" ca="1" si="2"/>
        <v/>
      </c>
      <c r="T48" s="4"/>
    </row>
    <row r="49" spans="1:20" x14ac:dyDescent="0.3">
      <c r="A49" t="str">
        <f t="shared" si="0"/>
        <v/>
      </c>
      <c r="B49" s="4"/>
      <c r="C49" s="4"/>
      <c r="D49" t="str">
        <f>IF($C49="","",IF($B49="AIRCRAFT",IFERROR(IF(INDEX(Aircraft!$T:$T,MATCH($C49,Aircraft!$B:$B,0))="","OPERATOR NAME NOT SET",INDEX(Aircraft!$T:$T,MATCH($C49,Aircraft!$B:$B,0))),"AIRCRAFT NOT IN FLEET"),IFERROR(INDEX(Operators!$B:$B,MATCH($C49,Operators!$A:$A,0)),"OPERATOR NOT FOUND")))</f>
        <v/>
      </c>
      <c r="E49" t="str">
        <f>IF($C49="","",IF($B49="AIRCRAFT",IFERROR(INDEX(Aircraft!$C:$C,MATCH($C49,Aircraft!$B:$B,0)),"-"),"-"))</f>
        <v/>
      </c>
      <c r="F49" s="4"/>
      <c r="G49" s="4"/>
      <c r="H49" s="4"/>
      <c r="I49" s="9"/>
      <c r="J49" s="9"/>
      <c r="K49" s="9"/>
      <c r="L49" s="4"/>
      <c r="M49" t="str">
        <f>IF(OR($C49="",$L49=""),"",admin!$B$2&amp;"\FleetDocs\"&amp;$C49&amp;"\"&amp;$L49)</f>
        <v/>
      </c>
      <c r="N49" s="4"/>
      <c r="O49" s="50"/>
      <c r="P49" s="4"/>
      <c r="Q49" s="50"/>
      <c r="R49" s="43" t="str">
        <f t="shared" ca="1" si="1"/>
        <v/>
      </c>
      <c r="S49" t="str">
        <f t="shared" ca="1" si="2"/>
        <v/>
      </c>
      <c r="T49" s="4"/>
    </row>
    <row r="50" spans="1:20" x14ac:dyDescent="0.3">
      <c r="A50" t="str">
        <f t="shared" si="0"/>
        <v/>
      </c>
      <c r="B50" s="4"/>
      <c r="C50" s="4"/>
      <c r="D50" t="str">
        <f>IF($C50="","",IF($B50="AIRCRAFT",IFERROR(IF(INDEX(Aircraft!$T:$T,MATCH($C50,Aircraft!$B:$B,0))="","OPERATOR NAME NOT SET",INDEX(Aircraft!$T:$T,MATCH($C50,Aircraft!$B:$B,0))),"AIRCRAFT NOT IN FLEET"),IFERROR(INDEX(Operators!$B:$B,MATCH($C50,Operators!$A:$A,0)),"OPERATOR NOT FOUND")))</f>
        <v/>
      </c>
      <c r="E50" t="str">
        <f>IF($C50="","",IF($B50="AIRCRAFT",IFERROR(INDEX(Aircraft!$C:$C,MATCH($C50,Aircraft!$B:$B,0)),"-"),"-"))</f>
        <v/>
      </c>
      <c r="F50" s="4"/>
      <c r="G50" s="4"/>
      <c r="H50" s="4"/>
      <c r="I50" s="9"/>
      <c r="J50" s="9"/>
      <c r="K50" s="9"/>
      <c r="L50" s="4"/>
      <c r="M50" t="str">
        <f>IF(OR($C50="",$L50=""),"",admin!$B$2&amp;"\FleetDocs\"&amp;$C50&amp;"\"&amp;$L50)</f>
        <v/>
      </c>
      <c r="N50" s="4"/>
      <c r="O50" s="50"/>
      <c r="P50" s="4"/>
      <c r="Q50" s="50"/>
      <c r="R50" s="43" t="str">
        <f t="shared" ca="1" si="1"/>
        <v/>
      </c>
      <c r="S50" t="str">
        <f t="shared" ca="1" si="2"/>
        <v/>
      </c>
      <c r="T50" s="4"/>
    </row>
    <row r="51" spans="1:20" x14ac:dyDescent="0.3">
      <c r="A51" t="str">
        <f t="shared" si="0"/>
        <v/>
      </c>
      <c r="B51" s="4"/>
      <c r="C51" s="4"/>
      <c r="D51" t="str">
        <f>IF($C51="","",IF($B51="AIRCRAFT",IFERROR(IF(INDEX(Aircraft!$T:$T,MATCH($C51,Aircraft!$B:$B,0))="","OPERATOR NAME NOT SET",INDEX(Aircraft!$T:$T,MATCH($C51,Aircraft!$B:$B,0))),"AIRCRAFT NOT IN FLEET"),IFERROR(INDEX(Operators!$B:$B,MATCH($C51,Operators!$A:$A,0)),"OPERATOR NOT FOUND")))</f>
        <v/>
      </c>
      <c r="E51" t="str">
        <f>IF($C51="","",IF($B51="AIRCRAFT",IFERROR(INDEX(Aircraft!$C:$C,MATCH($C51,Aircraft!$B:$B,0)),"-"),"-"))</f>
        <v/>
      </c>
      <c r="F51" s="4"/>
      <c r="G51" s="4"/>
      <c r="H51" s="4"/>
      <c r="I51" s="9"/>
      <c r="J51" s="9"/>
      <c r="K51" s="9"/>
      <c r="L51" s="4"/>
      <c r="M51" t="str">
        <f>IF(OR($C51="",$L51=""),"",admin!$B$2&amp;"\FleetDocs\"&amp;$C51&amp;"\"&amp;$L51)</f>
        <v/>
      </c>
      <c r="N51" s="4"/>
      <c r="O51" s="50"/>
      <c r="P51" s="4"/>
      <c r="Q51" s="50"/>
      <c r="R51" s="43" t="str">
        <f t="shared" ca="1" si="1"/>
        <v/>
      </c>
      <c r="S51" t="str">
        <f t="shared" ca="1" si="2"/>
        <v/>
      </c>
      <c r="T51" s="4"/>
    </row>
    <row r="52" spans="1:20" x14ac:dyDescent="0.3">
      <c r="A52" t="str">
        <f t="shared" si="0"/>
        <v/>
      </c>
      <c r="B52" s="4"/>
      <c r="C52" s="4"/>
      <c r="D52" t="str">
        <f>IF($C52="","",IF($B52="AIRCRAFT",IFERROR(IF(INDEX(Aircraft!$T:$T,MATCH($C52,Aircraft!$B:$B,0))="","OPERATOR NAME NOT SET",INDEX(Aircraft!$T:$T,MATCH($C52,Aircraft!$B:$B,0))),"AIRCRAFT NOT IN FLEET"),IFERROR(INDEX(Operators!$B:$B,MATCH($C52,Operators!$A:$A,0)),"OPERATOR NOT FOUND")))</f>
        <v/>
      </c>
      <c r="E52" t="str">
        <f>IF($C52="","",IF($B52="AIRCRAFT",IFERROR(INDEX(Aircraft!$C:$C,MATCH($C52,Aircraft!$B:$B,0)),"-"),"-"))</f>
        <v/>
      </c>
      <c r="F52" s="4"/>
      <c r="G52" s="4"/>
      <c r="H52" s="4"/>
      <c r="I52" s="9"/>
      <c r="J52" s="9"/>
      <c r="K52" s="9"/>
      <c r="L52" s="4"/>
      <c r="M52" t="str">
        <f>IF(OR($C52="",$L52=""),"",admin!$B$2&amp;"\FleetDocs\"&amp;$C52&amp;"\"&amp;$L52)</f>
        <v/>
      </c>
      <c r="N52" s="4"/>
      <c r="O52" s="50"/>
      <c r="P52" s="4"/>
      <c r="Q52" s="50"/>
      <c r="R52" s="43" t="str">
        <f t="shared" ca="1" si="1"/>
        <v/>
      </c>
      <c r="S52" t="str">
        <f t="shared" ca="1" si="2"/>
        <v/>
      </c>
      <c r="T52" s="4"/>
    </row>
    <row r="53" spans="1:20" x14ac:dyDescent="0.3">
      <c r="A53" t="str">
        <f t="shared" si="0"/>
        <v/>
      </c>
      <c r="B53" s="4"/>
      <c r="C53" s="4"/>
      <c r="D53" t="str">
        <f>IF($C53="","",IF($B53="AIRCRAFT",IFERROR(IF(INDEX(Aircraft!$T:$T,MATCH($C53,Aircraft!$B:$B,0))="","OPERATOR NAME NOT SET",INDEX(Aircraft!$T:$T,MATCH($C53,Aircraft!$B:$B,0))),"AIRCRAFT NOT IN FLEET"),IFERROR(INDEX(Operators!$B:$B,MATCH($C53,Operators!$A:$A,0)),"OPERATOR NOT FOUND")))</f>
        <v/>
      </c>
      <c r="E53" t="str">
        <f>IF($C53="","",IF($B53="AIRCRAFT",IFERROR(INDEX(Aircraft!$C:$C,MATCH($C53,Aircraft!$B:$B,0)),"-"),"-"))</f>
        <v/>
      </c>
      <c r="F53" s="4"/>
      <c r="G53" s="4"/>
      <c r="H53" s="4"/>
      <c r="I53" s="9"/>
      <c r="J53" s="9"/>
      <c r="K53" s="9"/>
      <c r="L53" s="4"/>
      <c r="M53" t="str">
        <f>IF(OR($C53="",$L53=""),"",admin!$B$2&amp;"\FleetDocs\"&amp;$C53&amp;"\"&amp;$L53)</f>
        <v/>
      </c>
      <c r="N53" s="4"/>
      <c r="O53" s="50"/>
      <c r="P53" s="4"/>
      <c r="Q53" s="50"/>
      <c r="R53" s="43" t="str">
        <f t="shared" ca="1" si="1"/>
        <v/>
      </c>
      <c r="S53" t="str">
        <f t="shared" ca="1" si="2"/>
        <v/>
      </c>
      <c r="T53" s="4"/>
    </row>
    <row r="54" spans="1:20" x14ac:dyDescent="0.3">
      <c r="A54" t="str">
        <f t="shared" si="0"/>
        <v/>
      </c>
      <c r="B54" s="4"/>
      <c r="C54" s="4"/>
      <c r="D54" t="str">
        <f>IF($C54="","",IF($B54="AIRCRAFT",IFERROR(IF(INDEX(Aircraft!$T:$T,MATCH($C54,Aircraft!$B:$B,0))="","OPERATOR NAME NOT SET",INDEX(Aircraft!$T:$T,MATCH($C54,Aircraft!$B:$B,0))),"AIRCRAFT NOT IN FLEET"),IFERROR(INDEX(Operators!$B:$B,MATCH($C54,Operators!$A:$A,0)),"OPERATOR NOT FOUND")))</f>
        <v/>
      </c>
      <c r="E54" t="str">
        <f>IF($C54="","",IF($B54="AIRCRAFT",IFERROR(INDEX(Aircraft!$C:$C,MATCH($C54,Aircraft!$B:$B,0)),"-"),"-"))</f>
        <v/>
      </c>
      <c r="F54" s="4"/>
      <c r="G54" s="4"/>
      <c r="H54" s="4"/>
      <c r="I54" s="9"/>
      <c r="J54" s="9"/>
      <c r="K54" s="9"/>
      <c r="L54" s="4"/>
      <c r="M54" t="str">
        <f>IF(OR($C54="",$L54=""),"",admin!$B$2&amp;"\FleetDocs\"&amp;$C54&amp;"\"&amp;$L54)</f>
        <v/>
      </c>
      <c r="N54" s="4"/>
      <c r="O54" s="50"/>
      <c r="P54" s="4"/>
      <c r="Q54" s="50"/>
      <c r="R54" s="43" t="str">
        <f t="shared" ca="1" si="1"/>
        <v/>
      </c>
      <c r="S54" t="str">
        <f t="shared" ca="1" si="2"/>
        <v/>
      </c>
      <c r="T54" s="4"/>
    </row>
    <row r="55" spans="1:20" x14ac:dyDescent="0.3">
      <c r="A55" t="str">
        <f t="shared" si="0"/>
        <v/>
      </c>
      <c r="B55" s="4"/>
      <c r="C55" s="4"/>
      <c r="D55" t="str">
        <f>IF($C55="","",IF($B55="AIRCRAFT",IFERROR(IF(INDEX(Aircraft!$T:$T,MATCH($C55,Aircraft!$B:$B,0))="","OPERATOR NAME NOT SET",INDEX(Aircraft!$T:$T,MATCH($C55,Aircraft!$B:$B,0))),"AIRCRAFT NOT IN FLEET"),IFERROR(INDEX(Operators!$B:$B,MATCH($C55,Operators!$A:$A,0)),"OPERATOR NOT FOUND")))</f>
        <v/>
      </c>
      <c r="E55" t="str">
        <f>IF($C55="","",IF($B55="AIRCRAFT",IFERROR(INDEX(Aircraft!$C:$C,MATCH($C55,Aircraft!$B:$B,0)),"-"),"-"))</f>
        <v/>
      </c>
      <c r="F55" s="4"/>
      <c r="G55" s="4"/>
      <c r="H55" s="4"/>
      <c r="I55" s="9"/>
      <c r="J55" s="9"/>
      <c r="K55" s="9"/>
      <c r="L55" s="4"/>
      <c r="M55" t="str">
        <f>IF(OR($C55="",$L55=""),"",admin!$B$2&amp;"\FleetDocs\"&amp;$C55&amp;"\"&amp;$L55)</f>
        <v/>
      </c>
      <c r="N55" s="4"/>
      <c r="O55" s="50"/>
      <c r="P55" s="4"/>
      <c r="Q55" s="50"/>
      <c r="R55" s="43" t="str">
        <f t="shared" ca="1" si="1"/>
        <v/>
      </c>
      <c r="S55" t="str">
        <f t="shared" ca="1" si="2"/>
        <v/>
      </c>
      <c r="T55" s="4"/>
    </row>
    <row r="56" spans="1:20" x14ac:dyDescent="0.3">
      <c r="A56" t="str">
        <f t="shared" si="0"/>
        <v/>
      </c>
      <c r="B56" s="4"/>
      <c r="C56" s="4"/>
      <c r="D56" t="str">
        <f>IF($C56="","",IF($B56="AIRCRAFT",IFERROR(IF(INDEX(Aircraft!$T:$T,MATCH($C56,Aircraft!$B:$B,0))="","OPERATOR NAME NOT SET",INDEX(Aircraft!$T:$T,MATCH($C56,Aircraft!$B:$B,0))),"AIRCRAFT NOT IN FLEET"),IFERROR(INDEX(Operators!$B:$B,MATCH($C56,Operators!$A:$A,0)),"OPERATOR NOT FOUND")))</f>
        <v/>
      </c>
      <c r="E56" t="str">
        <f>IF($C56="","",IF($B56="AIRCRAFT",IFERROR(INDEX(Aircraft!$C:$C,MATCH($C56,Aircraft!$B:$B,0)),"-"),"-"))</f>
        <v/>
      </c>
      <c r="F56" s="4"/>
      <c r="G56" s="4"/>
      <c r="H56" s="4"/>
      <c r="I56" s="9"/>
      <c r="J56" s="9"/>
      <c r="K56" s="9"/>
      <c r="L56" s="4"/>
      <c r="M56" t="str">
        <f>IF(OR($C56="",$L56=""),"",admin!$B$2&amp;"\FleetDocs\"&amp;$C56&amp;"\"&amp;$L56)</f>
        <v/>
      </c>
      <c r="N56" s="4"/>
      <c r="O56" s="50"/>
      <c r="P56" s="4"/>
      <c r="Q56" s="50"/>
      <c r="R56" s="43" t="str">
        <f t="shared" ca="1" si="1"/>
        <v/>
      </c>
      <c r="S56" t="str">
        <f t="shared" ca="1" si="2"/>
        <v/>
      </c>
      <c r="T56" s="4"/>
    </row>
    <row r="57" spans="1:20" x14ac:dyDescent="0.3">
      <c r="A57" t="str">
        <f t="shared" si="0"/>
        <v/>
      </c>
      <c r="B57" s="4"/>
      <c r="C57" s="4"/>
      <c r="D57" t="str">
        <f>IF($C57="","",IF($B57="AIRCRAFT",IFERROR(IF(INDEX(Aircraft!$T:$T,MATCH($C57,Aircraft!$B:$B,0))="","OPERATOR NAME NOT SET",INDEX(Aircraft!$T:$T,MATCH($C57,Aircraft!$B:$B,0))),"AIRCRAFT NOT IN FLEET"),IFERROR(INDEX(Operators!$B:$B,MATCH($C57,Operators!$A:$A,0)),"OPERATOR NOT FOUND")))</f>
        <v/>
      </c>
      <c r="E57" t="str">
        <f>IF($C57="","",IF($B57="AIRCRAFT",IFERROR(INDEX(Aircraft!$C:$C,MATCH($C57,Aircraft!$B:$B,0)),"-"),"-"))</f>
        <v/>
      </c>
      <c r="F57" s="4"/>
      <c r="G57" s="4"/>
      <c r="H57" s="4"/>
      <c r="I57" s="9"/>
      <c r="J57" s="9"/>
      <c r="K57" s="9"/>
      <c r="L57" s="4"/>
      <c r="M57" t="str">
        <f>IF(OR($C57="",$L57=""),"",admin!$B$2&amp;"\FleetDocs\"&amp;$C57&amp;"\"&amp;$L57)</f>
        <v/>
      </c>
      <c r="N57" s="4"/>
      <c r="O57" s="50"/>
      <c r="P57" s="4"/>
      <c r="Q57" s="50"/>
      <c r="R57" s="43" t="str">
        <f t="shared" ca="1" si="1"/>
        <v/>
      </c>
      <c r="S57" t="str">
        <f t="shared" ca="1" si="2"/>
        <v/>
      </c>
      <c r="T57" s="4"/>
    </row>
    <row r="58" spans="1:20" x14ac:dyDescent="0.3">
      <c r="A58" t="str">
        <f t="shared" si="0"/>
        <v/>
      </c>
      <c r="B58" s="4"/>
      <c r="C58" s="4"/>
      <c r="D58" t="str">
        <f>IF($C58="","",IF($B58="AIRCRAFT",IFERROR(IF(INDEX(Aircraft!$T:$T,MATCH($C58,Aircraft!$B:$B,0))="","OPERATOR NAME NOT SET",INDEX(Aircraft!$T:$T,MATCH($C58,Aircraft!$B:$B,0))),"AIRCRAFT NOT IN FLEET"),IFERROR(INDEX(Operators!$B:$B,MATCH($C58,Operators!$A:$A,0)),"OPERATOR NOT FOUND")))</f>
        <v/>
      </c>
      <c r="E58" t="str">
        <f>IF($C58="","",IF($B58="AIRCRAFT",IFERROR(INDEX(Aircraft!$C:$C,MATCH($C58,Aircraft!$B:$B,0)),"-"),"-"))</f>
        <v/>
      </c>
      <c r="F58" s="4"/>
      <c r="G58" s="4"/>
      <c r="H58" s="4"/>
      <c r="I58" s="9"/>
      <c r="J58" s="9"/>
      <c r="K58" s="9"/>
      <c r="L58" s="4"/>
      <c r="M58" t="str">
        <f>IF(OR($C58="",$L58=""),"",admin!$B$2&amp;"\FleetDocs\"&amp;$C58&amp;"\"&amp;$L58)</f>
        <v/>
      </c>
      <c r="N58" s="4"/>
      <c r="O58" s="50"/>
      <c r="P58" s="4"/>
      <c r="Q58" s="50"/>
      <c r="R58" s="43" t="str">
        <f t="shared" ca="1" si="1"/>
        <v/>
      </c>
      <c r="S58" t="str">
        <f t="shared" ca="1" si="2"/>
        <v/>
      </c>
      <c r="T58" s="4"/>
    </row>
    <row r="59" spans="1:20" x14ac:dyDescent="0.3">
      <c r="A59" t="str">
        <f t="shared" si="0"/>
        <v/>
      </c>
      <c r="B59" s="4"/>
      <c r="C59" s="4"/>
      <c r="D59" t="str">
        <f>IF($C59="","",IF($B59="AIRCRAFT",IFERROR(IF(INDEX(Aircraft!$T:$T,MATCH($C59,Aircraft!$B:$B,0))="","OPERATOR NAME NOT SET",INDEX(Aircraft!$T:$T,MATCH($C59,Aircraft!$B:$B,0))),"AIRCRAFT NOT IN FLEET"),IFERROR(INDEX(Operators!$B:$B,MATCH($C59,Operators!$A:$A,0)),"OPERATOR NOT FOUND")))</f>
        <v/>
      </c>
      <c r="E59" t="str">
        <f>IF($C59="","",IF($B59="AIRCRAFT",IFERROR(INDEX(Aircraft!$C:$C,MATCH($C59,Aircraft!$B:$B,0)),"-"),"-"))</f>
        <v/>
      </c>
      <c r="F59" s="4"/>
      <c r="G59" s="4"/>
      <c r="H59" s="4"/>
      <c r="I59" s="9"/>
      <c r="J59" s="9"/>
      <c r="K59" s="9"/>
      <c r="L59" s="4"/>
      <c r="M59" t="str">
        <f>IF(OR($C59="",$L59=""),"",admin!$B$2&amp;"\FleetDocs\"&amp;$C59&amp;"\"&amp;$L59)</f>
        <v/>
      </c>
      <c r="N59" s="4"/>
      <c r="O59" s="50"/>
      <c r="P59" s="4"/>
      <c r="Q59" s="50"/>
      <c r="R59" s="43" t="str">
        <f t="shared" ca="1" si="1"/>
        <v/>
      </c>
      <c r="S59" t="str">
        <f t="shared" ca="1" si="2"/>
        <v/>
      </c>
      <c r="T59" s="4"/>
    </row>
    <row r="60" spans="1:20" x14ac:dyDescent="0.3">
      <c r="A60" t="str">
        <f t="shared" si="0"/>
        <v/>
      </c>
      <c r="B60" s="4"/>
      <c r="C60" s="4"/>
      <c r="D60" t="str">
        <f>IF($C60="","",IF($B60="AIRCRAFT",IFERROR(IF(INDEX(Aircraft!$T:$T,MATCH($C60,Aircraft!$B:$B,0))="","OPERATOR NAME NOT SET",INDEX(Aircraft!$T:$T,MATCH($C60,Aircraft!$B:$B,0))),"AIRCRAFT NOT IN FLEET"),IFERROR(INDEX(Operators!$B:$B,MATCH($C60,Operators!$A:$A,0)),"OPERATOR NOT FOUND")))</f>
        <v/>
      </c>
      <c r="E60" t="str">
        <f>IF($C60="","",IF($B60="AIRCRAFT",IFERROR(INDEX(Aircraft!$C:$C,MATCH($C60,Aircraft!$B:$B,0)),"-"),"-"))</f>
        <v/>
      </c>
      <c r="F60" s="4"/>
      <c r="G60" s="4"/>
      <c r="H60" s="4"/>
      <c r="I60" s="9"/>
      <c r="J60" s="9"/>
      <c r="K60" s="9"/>
      <c r="L60" s="4"/>
      <c r="M60" t="str">
        <f>IF(OR($C60="",$L60=""),"",admin!$B$2&amp;"\FleetDocs\"&amp;$C60&amp;"\"&amp;$L60)</f>
        <v/>
      </c>
      <c r="N60" s="4"/>
      <c r="O60" s="50"/>
      <c r="P60" s="4"/>
      <c r="Q60" s="50"/>
      <c r="R60" s="43" t="str">
        <f t="shared" ca="1" si="1"/>
        <v/>
      </c>
      <c r="S60" t="str">
        <f t="shared" ca="1" si="2"/>
        <v/>
      </c>
      <c r="T60" s="4"/>
    </row>
  </sheetData>
  <dataValidations count="2">
    <dataValidation type="list" allowBlank="1" showInputMessage="1" showErrorMessage="1" sqref="B5:B60" xr:uid="{E2F164CF-A881-4A8A-895C-2496FFD6FF65}">
      <formula1>"AIRCRAFT,OPERATOR"</formula1>
    </dataValidation>
    <dataValidation type="list" allowBlank="1" showInputMessage="1" showErrorMessage="1" sqref="F5:F60" xr:uid="{B342C79E-34E9-4F76-8AF3-9BF35057881A}">
      <formula1>_xlfn._LONGTEXT("Certificate of Registration,Certificate of Airworthiness,Airworthiness Review Certificate (ARC),Insurance - Hull,Insurance - Liability,Insurance - War Risk,Noise Certificate,Weight and Balance Report,Radio Station Licence,Air Operator Certificate (AOC),Op","erations Specifications,MEL,RVSM Approval,RNP/PBN Approval,ETOPS Approval,Maintenance Programme,Other")</formula1>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AAD4D-AE3A-4133-9952-ADBE9DEB65B5}">
  <dimension ref="A1:K78"/>
  <sheetViews>
    <sheetView workbookViewId="0">
      <pane ySplit="1" topLeftCell="A2" activePane="bottomLeft" state="frozen"/>
      <selection pane="bottomLeft"/>
    </sheetView>
  </sheetViews>
  <sheetFormatPr defaultRowHeight="14.4" x14ac:dyDescent="0.3"/>
  <cols>
    <col min="1" max="1" width="46.33203125" customWidth="1"/>
    <col min="2" max="3" width="79.6640625" customWidth="1"/>
    <col min="4" max="11" width="30.5546875" customWidth="1"/>
  </cols>
  <sheetData>
    <row r="1" spans="1:11" ht="18" x14ac:dyDescent="0.35">
      <c r="A1" s="44" t="s">
        <v>5317</v>
      </c>
    </row>
    <row r="3" spans="1:11" x14ac:dyDescent="0.3">
      <c r="A3" s="25" t="s">
        <v>5318</v>
      </c>
      <c r="B3" s="25"/>
      <c r="C3" s="25"/>
      <c r="D3" s="25"/>
      <c r="E3" s="25"/>
      <c r="F3" s="25"/>
      <c r="G3" s="25"/>
      <c r="H3" s="25"/>
    </row>
    <row r="4" spans="1:11" x14ac:dyDescent="0.3">
      <c r="A4" s="33" t="s">
        <v>5319</v>
      </c>
      <c r="B4" s="33" t="s">
        <v>5320</v>
      </c>
      <c r="C4" s="33" t="s">
        <v>5321</v>
      </c>
      <c r="D4" s="33" t="s">
        <v>5322</v>
      </c>
      <c r="E4" s="33" t="s">
        <v>5323</v>
      </c>
      <c r="F4" s="33" t="s">
        <v>5324</v>
      </c>
      <c r="G4" s="33" t="s">
        <v>5325</v>
      </c>
      <c r="H4" s="33" t="s">
        <v>5326</v>
      </c>
    </row>
    <row r="5" spans="1:11" x14ac:dyDescent="0.3">
      <c r="A5" t="s">
        <v>5327</v>
      </c>
      <c r="B5" t="s">
        <v>4560</v>
      </c>
      <c r="C5" t="s">
        <v>4584</v>
      </c>
      <c r="D5" t="s">
        <v>4584</v>
      </c>
      <c r="E5" t="s">
        <v>4584</v>
      </c>
      <c r="F5" t="s">
        <v>4584</v>
      </c>
      <c r="G5" t="s">
        <v>4584</v>
      </c>
      <c r="H5" t="s">
        <v>4584</v>
      </c>
    </row>
    <row r="6" spans="1:11" x14ac:dyDescent="0.3">
      <c r="A6" t="s">
        <v>5328</v>
      </c>
      <c r="B6" t="s">
        <v>4560</v>
      </c>
      <c r="C6" t="s">
        <v>4584</v>
      </c>
      <c r="D6" t="s">
        <v>4584</v>
      </c>
      <c r="E6" t="s">
        <v>4583</v>
      </c>
      <c r="F6" t="s">
        <v>4584</v>
      </c>
      <c r="G6" t="s">
        <v>4584</v>
      </c>
      <c r="H6" t="s">
        <v>4583</v>
      </c>
    </row>
    <row r="7" spans="1:11" x14ac:dyDescent="0.3">
      <c r="A7" t="s">
        <v>5329</v>
      </c>
      <c r="B7" t="s">
        <v>4560</v>
      </c>
      <c r="C7" t="s">
        <v>4583</v>
      </c>
      <c r="D7" t="s">
        <v>4583</v>
      </c>
      <c r="E7" t="s">
        <v>4583</v>
      </c>
      <c r="F7" t="s">
        <v>4583</v>
      </c>
      <c r="G7" t="s">
        <v>4583</v>
      </c>
      <c r="H7" t="s">
        <v>4583</v>
      </c>
    </row>
    <row r="8" spans="1:11" x14ac:dyDescent="0.3">
      <c r="A8" t="s">
        <v>5330</v>
      </c>
      <c r="B8" t="s">
        <v>5331</v>
      </c>
      <c r="C8" t="s">
        <v>4584</v>
      </c>
      <c r="D8" t="s">
        <v>4584</v>
      </c>
      <c r="E8" t="s">
        <v>4583</v>
      </c>
      <c r="F8" t="s">
        <v>4583</v>
      </c>
      <c r="G8" t="s">
        <v>4583</v>
      </c>
      <c r="H8" t="s">
        <v>4583</v>
      </c>
    </row>
    <row r="9" spans="1:11" x14ac:dyDescent="0.3">
      <c r="A9" t="s">
        <v>5332</v>
      </c>
      <c r="B9" t="s">
        <v>5331</v>
      </c>
      <c r="C9" t="s">
        <v>4583</v>
      </c>
      <c r="D9" t="s">
        <v>4583</v>
      </c>
      <c r="E9" t="s">
        <v>4583</v>
      </c>
      <c r="F9" t="s">
        <v>4583</v>
      </c>
      <c r="G9" t="s">
        <v>4583</v>
      </c>
      <c r="H9" t="s">
        <v>4583</v>
      </c>
    </row>
    <row r="10" spans="1:11" x14ac:dyDescent="0.3">
      <c r="A10" t="s">
        <v>5333</v>
      </c>
      <c r="B10" t="s">
        <v>4560</v>
      </c>
      <c r="C10" t="s">
        <v>4583</v>
      </c>
      <c r="D10" t="s">
        <v>5334</v>
      </c>
      <c r="E10" t="s">
        <v>4583</v>
      </c>
      <c r="F10" t="s">
        <v>4583</v>
      </c>
      <c r="G10" t="s">
        <v>4583</v>
      </c>
      <c r="H10" t="s">
        <v>4583</v>
      </c>
    </row>
    <row r="13" spans="1:11" x14ac:dyDescent="0.3">
      <c r="A13" s="25" t="s">
        <v>5335</v>
      </c>
      <c r="B13" s="25"/>
      <c r="C13" s="25"/>
      <c r="D13" s="25"/>
      <c r="E13" s="25"/>
      <c r="F13" s="25"/>
      <c r="G13" s="25"/>
      <c r="H13" s="25"/>
      <c r="I13" s="25"/>
      <c r="J13" s="25"/>
      <c r="K13" s="25"/>
    </row>
    <row r="14" spans="1:11" x14ac:dyDescent="0.3">
      <c r="A14" s="33" t="s">
        <v>5336</v>
      </c>
      <c r="B14" s="33" t="s">
        <v>5337</v>
      </c>
      <c r="C14" s="33" t="s">
        <v>2294</v>
      </c>
      <c r="D14" s="33" t="s">
        <v>5319</v>
      </c>
      <c r="E14" s="33" t="s">
        <v>5338</v>
      </c>
      <c r="F14" s="33" t="s">
        <v>5339</v>
      </c>
      <c r="G14" s="33" t="s">
        <v>3826</v>
      </c>
      <c r="H14" s="33" t="s">
        <v>5340</v>
      </c>
      <c r="I14" s="33" t="s">
        <v>5341</v>
      </c>
      <c r="J14" s="33" t="s">
        <v>5342</v>
      </c>
      <c r="K14" s="33" t="s">
        <v>2300</v>
      </c>
    </row>
    <row r="15" spans="1:11" x14ac:dyDescent="0.3">
      <c r="A15" t="s">
        <v>5343</v>
      </c>
      <c r="B15" t="s">
        <v>4668</v>
      </c>
      <c r="C15" t="s">
        <v>4656</v>
      </c>
      <c r="D15" t="s">
        <v>5327</v>
      </c>
      <c r="E15" t="s">
        <v>4560</v>
      </c>
      <c r="F15" t="s">
        <v>4560</v>
      </c>
      <c r="G15" t="s">
        <v>3830</v>
      </c>
      <c r="H15" t="s">
        <v>4584</v>
      </c>
      <c r="I15" s="41"/>
      <c r="J15" s="6">
        <v>46242</v>
      </c>
      <c r="K15" t="s">
        <v>5344</v>
      </c>
    </row>
    <row r="16" spans="1:11" x14ac:dyDescent="0.3">
      <c r="A16" t="s">
        <v>5345</v>
      </c>
      <c r="B16" t="s">
        <v>5346</v>
      </c>
      <c r="C16" t="s">
        <v>5347</v>
      </c>
      <c r="D16" t="s">
        <v>5328</v>
      </c>
      <c r="E16" t="s">
        <v>4560</v>
      </c>
      <c r="F16" t="s">
        <v>4560</v>
      </c>
      <c r="G16" t="s">
        <v>3830</v>
      </c>
      <c r="H16" t="s">
        <v>4584</v>
      </c>
      <c r="I16" s="41"/>
      <c r="J16" s="6">
        <v>46242</v>
      </c>
      <c r="K16" t="s">
        <v>5348</v>
      </c>
    </row>
    <row r="17" spans="1:11" x14ac:dyDescent="0.3">
      <c r="A17" t="s">
        <v>5349</v>
      </c>
      <c r="B17" t="s">
        <v>5350</v>
      </c>
      <c r="C17" t="s">
        <v>4741</v>
      </c>
      <c r="D17" t="s">
        <v>5332</v>
      </c>
      <c r="E17" t="s">
        <v>4071</v>
      </c>
      <c r="F17" t="s">
        <v>4651</v>
      </c>
      <c r="G17" t="s">
        <v>3830</v>
      </c>
      <c r="H17" t="s">
        <v>4583</v>
      </c>
      <c r="I17" s="41"/>
      <c r="J17" s="6">
        <v>46242</v>
      </c>
      <c r="K17" t="s">
        <v>5351</v>
      </c>
    </row>
    <row r="18" spans="1:11" x14ac:dyDescent="0.3">
      <c r="A18" t="s">
        <v>5352</v>
      </c>
      <c r="B18" t="s">
        <v>5353</v>
      </c>
      <c r="C18" t="s">
        <v>5354</v>
      </c>
      <c r="D18" t="s">
        <v>5329</v>
      </c>
      <c r="E18" t="s">
        <v>4560</v>
      </c>
      <c r="F18" t="s">
        <v>4560</v>
      </c>
      <c r="G18" t="s">
        <v>3830</v>
      </c>
      <c r="H18" t="s">
        <v>4584</v>
      </c>
      <c r="I18" s="41"/>
      <c r="J18" s="6">
        <v>46242</v>
      </c>
      <c r="K18" t="s">
        <v>5355</v>
      </c>
    </row>
    <row r="19" spans="1:11" x14ac:dyDescent="0.3">
      <c r="I19" s="41"/>
    </row>
    <row r="20" spans="1:11" x14ac:dyDescent="0.3">
      <c r="I20" s="41"/>
    </row>
    <row r="21" spans="1:11" x14ac:dyDescent="0.3">
      <c r="A21" s="25" t="s">
        <v>5356</v>
      </c>
      <c r="B21" s="25"/>
      <c r="C21" s="25"/>
      <c r="I21" s="41"/>
    </row>
    <row r="22" spans="1:11" x14ac:dyDescent="0.3">
      <c r="A22" s="33" t="s">
        <v>5357</v>
      </c>
      <c r="B22" s="33" t="s">
        <v>5358</v>
      </c>
      <c r="C22" s="33" t="s">
        <v>2300</v>
      </c>
      <c r="I22" s="41"/>
    </row>
    <row r="23" spans="1:11" x14ac:dyDescent="0.3">
      <c r="A23" t="s">
        <v>5359</v>
      </c>
      <c r="B23" s="4" t="s">
        <v>5360</v>
      </c>
      <c r="C23" t="s">
        <v>5361</v>
      </c>
      <c r="I23" s="41"/>
    </row>
    <row r="24" spans="1:11" x14ac:dyDescent="0.3">
      <c r="A24" t="s">
        <v>5362</v>
      </c>
      <c r="B24" s="4" t="s">
        <v>17</v>
      </c>
      <c r="C24" t="s">
        <v>5363</v>
      </c>
      <c r="I24" s="41"/>
    </row>
    <row r="25" spans="1:11" x14ac:dyDescent="0.3">
      <c r="A25" t="s">
        <v>5364</v>
      </c>
      <c r="B25" s="4" t="s">
        <v>5365</v>
      </c>
      <c r="C25" t="s">
        <v>5366</v>
      </c>
      <c r="I25" s="41"/>
    </row>
    <row r="26" spans="1:11" x14ac:dyDescent="0.3">
      <c r="A26" t="s">
        <v>5367</v>
      </c>
      <c r="B26" s="4" t="s">
        <v>5368</v>
      </c>
      <c r="C26" t="s">
        <v>5369</v>
      </c>
      <c r="I26" s="41"/>
    </row>
    <row r="27" spans="1:11" x14ac:dyDescent="0.3">
      <c r="A27" t="s">
        <v>5370</v>
      </c>
      <c r="B27" s="4" t="s">
        <v>5371</v>
      </c>
      <c r="C27" t="s">
        <v>5372</v>
      </c>
      <c r="I27" s="41"/>
    </row>
    <row r="28" spans="1:11" x14ac:dyDescent="0.3">
      <c r="A28" t="s">
        <v>5373</v>
      </c>
      <c r="B28" s="4" t="s">
        <v>5374</v>
      </c>
      <c r="C28" t="s">
        <v>5375</v>
      </c>
      <c r="I28" s="41"/>
    </row>
    <row r="29" spans="1:11" x14ac:dyDescent="0.3">
      <c r="A29" t="s">
        <v>5376</v>
      </c>
      <c r="B29" s="4" t="s">
        <v>5377</v>
      </c>
      <c r="C29" t="s">
        <v>5378</v>
      </c>
      <c r="I29" s="41"/>
    </row>
    <row r="30" spans="1:11" x14ac:dyDescent="0.3">
      <c r="A30" t="s">
        <v>5379</v>
      </c>
      <c r="B30" s="4" t="s">
        <v>5380</v>
      </c>
      <c r="C30" t="s">
        <v>5381</v>
      </c>
      <c r="I30" s="41"/>
    </row>
    <row r="31" spans="1:11" x14ac:dyDescent="0.3">
      <c r="A31" t="s">
        <v>5382</v>
      </c>
      <c r="B31" s="4" t="s">
        <v>5383</v>
      </c>
      <c r="C31" t="s">
        <v>5384</v>
      </c>
      <c r="I31" s="41"/>
    </row>
    <row r="32" spans="1:11" x14ac:dyDescent="0.3">
      <c r="A32" t="s">
        <v>5385</v>
      </c>
      <c r="B32" s="4" t="s">
        <v>5386</v>
      </c>
      <c r="C32" t="s">
        <v>5387</v>
      </c>
      <c r="I32" s="41"/>
    </row>
    <row r="33" spans="1:9" x14ac:dyDescent="0.3">
      <c r="A33" t="s">
        <v>5388</v>
      </c>
      <c r="B33" s="4" t="s">
        <v>5389</v>
      </c>
      <c r="C33" t="s">
        <v>5390</v>
      </c>
      <c r="I33" s="41"/>
    </row>
    <row r="34" spans="1:9" x14ac:dyDescent="0.3">
      <c r="A34" t="s">
        <v>5391</v>
      </c>
      <c r="B34" s="4" t="s">
        <v>5392</v>
      </c>
      <c r="C34" t="s">
        <v>5393</v>
      </c>
      <c r="I34" s="41"/>
    </row>
    <row r="35" spans="1:9" x14ac:dyDescent="0.3">
      <c r="A35" t="s">
        <v>5394</v>
      </c>
      <c r="B35" s="4" t="s">
        <v>5395</v>
      </c>
      <c r="C35" t="s">
        <v>5396</v>
      </c>
      <c r="I35" s="41"/>
    </row>
    <row r="36" spans="1:9" x14ac:dyDescent="0.3">
      <c r="A36" t="s">
        <v>5397</v>
      </c>
      <c r="B36" s="4" t="s">
        <v>5398</v>
      </c>
      <c r="C36" t="s">
        <v>5399</v>
      </c>
      <c r="I36" s="41"/>
    </row>
    <row r="37" spans="1:9" x14ac:dyDescent="0.3">
      <c r="A37" t="s">
        <v>5400</v>
      </c>
      <c r="B37" s="4" t="s">
        <v>5401</v>
      </c>
      <c r="C37" t="s">
        <v>5402</v>
      </c>
      <c r="I37" s="41"/>
    </row>
    <row r="38" spans="1:9" x14ac:dyDescent="0.3">
      <c r="A38" t="s">
        <v>5403</v>
      </c>
      <c r="B38" s="4" t="s">
        <v>5404</v>
      </c>
      <c r="C38" t="s">
        <v>5405</v>
      </c>
      <c r="I38" s="41"/>
    </row>
    <row r="39" spans="1:9" x14ac:dyDescent="0.3">
      <c r="A39" t="s">
        <v>5406</v>
      </c>
      <c r="B39" s="4" t="s">
        <v>5407</v>
      </c>
      <c r="C39" t="s">
        <v>5408</v>
      </c>
      <c r="I39" s="41"/>
    </row>
    <row r="40" spans="1:9" x14ac:dyDescent="0.3">
      <c r="A40" t="s">
        <v>5409</v>
      </c>
      <c r="B40" s="4" t="s">
        <v>5410</v>
      </c>
      <c r="C40" t="s">
        <v>5411</v>
      </c>
      <c r="I40" s="41"/>
    </row>
    <row r="41" spans="1:9" x14ac:dyDescent="0.3">
      <c r="A41" t="s">
        <v>5412</v>
      </c>
      <c r="B41" s="4" t="s">
        <v>5413</v>
      </c>
      <c r="C41" t="s">
        <v>5414</v>
      </c>
    </row>
    <row r="42" spans="1:9" x14ac:dyDescent="0.3">
      <c r="A42" t="s">
        <v>5415</v>
      </c>
      <c r="B42" s="4" t="s">
        <v>4656</v>
      </c>
      <c r="C42" t="s">
        <v>5416</v>
      </c>
    </row>
    <row r="43" spans="1:9" x14ac:dyDescent="0.3">
      <c r="A43" t="s">
        <v>5417</v>
      </c>
      <c r="B43" s="4" t="s">
        <v>4305</v>
      </c>
      <c r="C43" t="s">
        <v>5418</v>
      </c>
    </row>
    <row r="44" spans="1:9" x14ac:dyDescent="0.3">
      <c r="A44" t="s">
        <v>2296</v>
      </c>
      <c r="B44" s="4"/>
      <c r="C44" t="s">
        <v>5419</v>
      </c>
    </row>
    <row r="45" spans="1:9" x14ac:dyDescent="0.3">
      <c r="A45" t="s">
        <v>2297</v>
      </c>
      <c r="B45" s="4"/>
      <c r="C45" t="s">
        <v>5419</v>
      </c>
    </row>
    <row r="46" spans="1:9" x14ac:dyDescent="0.3">
      <c r="A46" t="s">
        <v>5420</v>
      </c>
      <c r="B46" s="4">
        <v>72</v>
      </c>
      <c r="C46" t="s">
        <v>5421</v>
      </c>
    </row>
    <row r="47" spans="1:9" x14ac:dyDescent="0.3">
      <c r="A47" t="s">
        <v>5422</v>
      </c>
      <c r="B47" s="4">
        <v>24</v>
      </c>
      <c r="C47" t="s">
        <v>5423</v>
      </c>
    </row>
    <row r="48" spans="1:9" x14ac:dyDescent="0.3">
      <c r="A48" t="s">
        <v>5424</v>
      </c>
      <c r="B48" s="4">
        <v>470</v>
      </c>
      <c r="C48" t="s">
        <v>5425</v>
      </c>
    </row>
    <row r="49" spans="1:4" x14ac:dyDescent="0.3">
      <c r="A49" t="s">
        <v>5426</v>
      </c>
      <c r="B49" s="4">
        <v>0.4</v>
      </c>
      <c r="C49" t="s">
        <v>5427</v>
      </c>
    </row>
    <row r="50" spans="1:4" x14ac:dyDescent="0.3">
      <c r="A50" t="s">
        <v>5428</v>
      </c>
      <c r="B50" s="4">
        <v>7</v>
      </c>
      <c r="C50" t="s">
        <v>5429</v>
      </c>
    </row>
    <row r="51" spans="1:4" x14ac:dyDescent="0.3">
      <c r="A51" t="s">
        <v>5430</v>
      </c>
      <c r="B51" s="4">
        <v>72</v>
      </c>
      <c r="C51" t="s">
        <v>5431</v>
      </c>
    </row>
    <row r="52" spans="1:4" x14ac:dyDescent="0.3">
      <c r="A52" t="s">
        <v>5432</v>
      </c>
      <c r="B52" s="4" t="s">
        <v>5433</v>
      </c>
      <c r="C52" t="s">
        <v>5434</v>
      </c>
    </row>
    <row r="53" spans="1:4" x14ac:dyDescent="0.3">
      <c r="A53" t="s">
        <v>5435</v>
      </c>
      <c r="B53" s="4" t="s">
        <v>5436</v>
      </c>
      <c r="C53" t="s">
        <v>5437</v>
      </c>
    </row>
    <row r="54" spans="1:4" x14ac:dyDescent="0.3">
      <c r="A54" t="s">
        <v>5438</v>
      </c>
      <c r="B54" s="4">
        <v>30</v>
      </c>
      <c r="C54" t="s">
        <v>5439</v>
      </c>
    </row>
    <row r="55" spans="1:4" x14ac:dyDescent="0.3">
      <c r="A55" t="s">
        <v>5440</v>
      </c>
      <c r="B55" s="4" t="s">
        <v>5441</v>
      </c>
      <c r="C55" t="s">
        <v>5442</v>
      </c>
    </row>
    <row r="58" spans="1:4" x14ac:dyDescent="0.3">
      <c r="A58" s="25" t="s">
        <v>6067</v>
      </c>
      <c r="B58" s="25"/>
      <c r="C58" s="25"/>
      <c r="D58" s="25"/>
    </row>
    <row r="59" spans="1:4" x14ac:dyDescent="0.3">
      <c r="A59" s="33" t="s">
        <v>6068</v>
      </c>
      <c r="B59" s="33" t="s">
        <v>6069</v>
      </c>
      <c r="C59" s="33" t="s">
        <v>6070</v>
      </c>
      <c r="D59" s="33" t="s">
        <v>6071</v>
      </c>
    </row>
    <row r="60" spans="1:4" x14ac:dyDescent="0.3">
      <c r="A60" t="s">
        <v>6072</v>
      </c>
      <c r="B60" t="s">
        <v>6073</v>
      </c>
      <c r="C60" t="s">
        <v>6073</v>
      </c>
      <c r="D60" t="s">
        <v>6074</v>
      </c>
    </row>
    <row r="61" spans="1:4" x14ac:dyDescent="0.3">
      <c r="A61" t="s">
        <v>6075</v>
      </c>
      <c r="B61" t="s">
        <v>6076</v>
      </c>
      <c r="C61" t="s">
        <v>6076</v>
      </c>
      <c r="D61" t="s">
        <v>6077</v>
      </c>
    </row>
    <row r="62" spans="1:4" x14ac:dyDescent="0.3">
      <c r="A62" t="s">
        <v>1224</v>
      </c>
      <c r="B62" t="s">
        <v>6078</v>
      </c>
      <c r="C62" t="s">
        <v>6078</v>
      </c>
      <c r="D62" t="s">
        <v>6079</v>
      </c>
    </row>
    <row r="63" spans="1:4" x14ac:dyDescent="0.3">
      <c r="A63" t="s">
        <v>6080</v>
      </c>
      <c r="B63" t="s">
        <v>6081</v>
      </c>
      <c r="C63" t="s">
        <v>6081</v>
      </c>
      <c r="D63" t="s">
        <v>6082</v>
      </c>
    </row>
    <row r="64" spans="1:4" x14ac:dyDescent="0.3">
      <c r="A64" t="s">
        <v>6083</v>
      </c>
      <c r="B64" t="s">
        <v>6084</v>
      </c>
      <c r="C64" t="s">
        <v>6084</v>
      </c>
      <c r="D64" t="s">
        <v>6085</v>
      </c>
    </row>
    <row r="65" spans="1:4" x14ac:dyDescent="0.3">
      <c r="A65" t="s">
        <v>6086</v>
      </c>
      <c r="B65" t="s">
        <v>6087</v>
      </c>
      <c r="C65" t="s">
        <v>6087</v>
      </c>
      <c r="D65" t="s">
        <v>6088</v>
      </c>
    </row>
    <row r="66" spans="1:4" x14ac:dyDescent="0.3">
      <c r="A66" t="s">
        <v>6089</v>
      </c>
      <c r="B66" t="s">
        <v>6090</v>
      </c>
      <c r="C66" t="s">
        <v>6090</v>
      </c>
      <c r="D66" t="s">
        <v>6091</v>
      </c>
    </row>
    <row r="67" spans="1:4" x14ac:dyDescent="0.3">
      <c r="A67" t="s">
        <v>6092</v>
      </c>
      <c r="B67" t="s">
        <v>6093</v>
      </c>
      <c r="C67" t="s">
        <v>6093</v>
      </c>
      <c r="D67" t="s">
        <v>6094</v>
      </c>
    </row>
    <row r="68" spans="1:4" x14ac:dyDescent="0.3">
      <c r="A68" t="s">
        <v>6095</v>
      </c>
      <c r="B68" t="s">
        <v>6096</v>
      </c>
      <c r="C68" t="s">
        <v>6096</v>
      </c>
      <c r="D68" t="s">
        <v>6097</v>
      </c>
    </row>
    <row r="69" spans="1:4" x14ac:dyDescent="0.3">
      <c r="A69" t="s">
        <v>6098</v>
      </c>
      <c r="B69" t="s">
        <v>6099</v>
      </c>
      <c r="C69" t="s">
        <v>6099</v>
      </c>
      <c r="D69" t="s">
        <v>6100</v>
      </c>
    </row>
    <row r="70" spans="1:4" x14ac:dyDescent="0.3">
      <c r="A70" t="s">
        <v>6101</v>
      </c>
      <c r="B70" t="s">
        <v>6102</v>
      </c>
      <c r="C70" t="s">
        <v>6102</v>
      </c>
      <c r="D70" t="s">
        <v>6103</v>
      </c>
    </row>
    <row r="71" spans="1:4" x14ac:dyDescent="0.3">
      <c r="A71" t="s">
        <v>6104</v>
      </c>
      <c r="B71" t="s">
        <v>6105</v>
      </c>
      <c r="C71" t="s">
        <v>6105</v>
      </c>
      <c r="D71" t="s">
        <v>6106</v>
      </c>
    </row>
    <row r="72" spans="1:4" x14ac:dyDescent="0.3">
      <c r="A72" t="s">
        <v>6107</v>
      </c>
      <c r="B72" t="s">
        <v>6108</v>
      </c>
      <c r="C72" t="s">
        <v>6108</v>
      </c>
      <c r="D72" t="s">
        <v>6109</v>
      </c>
    </row>
    <row r="73" spans="1:4" x14ac:dyDescent="0.3">
      <c r="A73" t="s">
        <v>6110</v>
      </c>
      <c r="B73" t="s">
        <v>6111</v>
      </c>
      <c r="C73" t="s">
        <v>6111</v>
      </c>
      <c r="D73" t="s">
        <v>6112</v>
      </c>
    </row>
    <row r="74" spans="1:4" x14ac:dyDescent="0.3">
      <c r="A74" t="s">
        <v>6113</v>
      </c>
      <c r="B74" t="s">
        <v>6114</v>
      </c>
      <c r="C74" t="s">
        <v>6114</v>
      </c>
      <c r="D74" t="s">
        <v>6115</v>
      </c>
    </row>
    <row r="75" spans="1:4" x14ac:dyDescent="0.3">
      <c r="A75" t="s">
        <v>6116</v>
      </c>
      <c r="B75" t="s">
        <v>6117</v>
      </c>
      <c r="C75" t="s">
        <v>6117</v>
      </c>
      <c r="D75" t="s">
        <v>6118</v>
      </c>
    </row>
    <row r="76" spans="1:4" x14ac:dyDescent="0.3">
      <c r="A76" t="s">
        <v>6119</v>
      </c>
      <c r="B76" t="s">
        <v>6120</v>
      </c>
      <c r="C76" t="s">
        <v>6120</v>
      </c>
      <c r="D76" t="s">
        <v>6121</v>
      </c>
    </row>
    <row r="77" spans="1:4" x14ac:dyDescent="0.3">
      <c r="A77" t="s">
        <v>6122</v>
      </c>
      <c r="B77" t="s">
        <v>6123</v>
      </c>
      <c r="C77" t="s">
        <v>6123</v>
      </c>
      <c r="D77" t="s">
        <v>6124</v>
      </c>
    </row>
    <row r="78" spans="1:4" x14ac:dyDescent="0.3">
      <c r="A78" t="s">
        <v>6125</v>
      </c>
      <c r="B78" t="s">
        <v>6126</v>
      </c>
      <c r="C78" t="s">
        <v>6126</v>
      </c>
      <c r="D78" t="s">
        <v>6127</v>
      </c>
    </row>
  </sheetData>
  <dataValidations count="2">
    <dataValidation type="list" allowBlank="1" showInputMessage="1" showErrorMessage="1" sqref="D15:D40" xr:uid="{7B8F0108-12C1-4DC3-8051-71D2EBAF96A4}">
      <formula1>"SUPER ADMIN,OPERATIONS SPECIALIST,AUDITOR,CLIENT - MODIFY,CLIENT - VIEW ONLY,FINANCE"</formula1>
    </dataValidation>
    <dataValidation type="list" allowBlank="1" showInputMessage="1" showErrorMessage="1" sqref="G15:G40" xr:uid="{1C1DFF69-AEBD-4DF9-9120-0AADD29C614C}">
      <formula1>"ACTIVE,SUSPENDED,INVITED,DISABLED"</formula1>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90822-7AE1-4108-9625-8A46666187B6}">
  <dimension ref="A1:H250"/>
  <sheetViews>
    <sheetView workbookViewId="0">
      <pane ySplit="3" topLeftCell="A4" activePane="bottomLeft" state="frozen"/>
      <selection pane="bottomLeft"/>
    </sheetView>
  </sheetViews>
  <sheetFormatPr defaultRowHeight="14.4" x14ac:dyDescent="0.3"/>
  <cols>
    <col min="1" max="3" width="34.21875" customWidth="1"/>
    <col min="4" max="4" width="42.5546875" customWidth="1"/>
    <col min="5" max="5" width="53.6640625" customWidth="1"/>
    <col min="6" max="8" width="34.21875" customWidth="1"/>
  </cols>
  <sheetData>
    <row r="1" spans="1:8" ht="18" x14ac:dyDescent="0.35">
      <c r="A1" s="44" t="s">
        <v>5507</v>
      </c>
    </row>
    <row r="2" spans="1:8" x14ac:dyDescent="0.3">
      <c r="A2" s="32" t="s">
        <v>5508</v>
      </c>
    </row>
    <row r="3" spans="1:8" x14ac:dyDescent="0.3">
      <c r="A3" s="25" t="s">
        <v>4644</v>
      </c>
      <c r="B3" s="25" t="s">
        <v>5509</v>
      </c>
      <c r="C3" s="25" t="s">
        <v>5510</v>
      </c>
      <c r="D3" s="25" t="s">
        <v>2293</v>
      </c>
      <c r="E3" s="25" t="s">
        <v>2294</v>
      </c>
      <c r="F3" s="25" t="s">
        <v>3833</v>
      </c>
      <c r="G3" s="25" t="s">
        <v>5511</v>
      </c>
      <c r="H3" s="25" t="s">
        <v>5451</v>
      </c>
    </row>
    <row r="4" spans="1:8" x14ac:dyDescent="0.3">
      <c r="A4" t="s">
        <v>789</v>
      </c>
      <c r="B4" t="s">
        <v>5512</v>
      </c>
      <c r="C4" t="s">
        <v>307</v>
      </c>
      <c r="D4" t="s">
        <v>5513</v>
      </c>
      <c r="E4" t="s">
        <v>5514</v>
      </c>
      <c r="F4" s="20" t="s">
        <v>5515</v>
      </c>
      <c r="G4">
        <v>0</v>
      </c>
    </row>
    <row r="5" spans="1:8" x14ac:dyDescent="0.3">
      <c r="A5" t="s">
        <v>789</v>
      </c>
      <c r="B5" t="s">
        <v>5516</v>
      </c>
      <c r="C5" t="s">
        <v>307</v>
      </c>
      <c r="D5" t="s">
        <v>5517</v>
      </c>
      <c r="E5" t="s">
        <v>5518</v>
      </c>
      <c r="F5" s="20" t="s">
        <v>6234</v>
      </c>
      <c r="G5">
        <v>0</v>
      </c>
    </row>
    <row r="6" spans="1:8" x14ac:dyDescent="0.3">
      <c r="A6" t="s">
        <v>789</v>
      </c>
      <c r="B6" t="s">
        <v>5516</v>
      </c>
      <c r="C6" t="s">
        <v>5519</v>
      </c>
      <c r="D6" t="s">
        <v>5520</v>
      </c>
      <c r="E6" t="s">
        <v>5518</v>
      </c>
      <c r="F6" s="20" t="s">
        <v>6235</v>
      </c>
      <c r="G6">
        <v>0</v>
      </c>
    </row>
    <row r="7" spans="1:8" x14ac:dyDescent="0.3">
      <c r="A7" t="s">
        <v>702</v>
      </c>
      <c r="B7" t="s">
        <v>5512</v>
      </c>
      <c r="C7" t="s">
        <v>195</v>
      </c>
      <c r="D7" t="s">
        <v>5521</v>
      </c>
      <c r="E7" t="s">
        <v>5522</v>
      </c>
      <c r="F7" s="20" t="s">
        <v>6236</v>
      </c>
      <c r="G7">
        <v>0</v>
      </c>
    </row>
    <row r="8" spans="1:8" x14ac:dyDescent="0.3">
      <c r="A8" t="s">
        <v>692</v>
      </c>
      <c r="B8" t="s">
        <v>5523</v>
      </c>
      <c r="C8" t="s">
        <v>183</v>
      </c>
      <c r="D8" t="s">
        <v>5524</v>
      </c>
      <c r="E8" t="s">
        <v>5525</v>
      </c>
      <c r="F8" s="20" t="s">
        <v>5526</v>
      </c>
      <c r="G8">
        <v>0</v>
      </c>
    </row>
    <row r="9" spans="1:8" x14ac:dyDescent="0.3">
      <c r="A9" t="s">
        <v>692</v>
      </c>
      <c r="B9" t="s">
        <v>5527</v>
      </c>
      <c r="C9" t="s">
        <v>183</v>
      </c>
      <c r="D9" t="s">
        <v>5528</v>
      </c>
      <c r="E9" t="s">
        <v>5529</v>
      </c>
      <c r="F9" s="20" t="s">
        <v>5530</v>
      </c>
      <c r="G9">
        <v>0</v>
      </c>
    </row>
    <row r="10" spans="1:8" x14ac:dyDescent="0.3">
      <c r="A10" t="s">
        <v>836</v>
      </c>
      <c r="B10" t="s">
        <v>5531</v>
      </c>
      <c r="C10" t="s">
        <v>367</v>
      </c>
      <c r="D10" t="s">
        <v>5532</v>
      </c>
      <c r="E10" t="s">
        <v>5533</v>
      </c>
      <c r="F10" s="20" t="s">
        <v>5534</v>
      </c>
      <c r="G10">
        <v>0</v>
      </c>
    </row>
    <row r="11" spans="1:8" x14ac:dyDescent="0.3">
      <c r="A11" t="s">
        <v>836</v>
      </c>
      <c r="B11" t="s">
        <v>5535</v>
      </c>
      <c r="C11" t="s">
        <v>367</v>
      </c>
      <c r="D11" t="s">
        <v>5536</v>
      </c>
      <c r="E11" t="s">
        <v>5537</v>
      </c>
      <c r="F11" s="20" t="s">
        <v>6237</v>
      </c>
      <c r="G11">
        <v>1</v>
      </c>
    </row>
    <row r="12" spans="1:8" x14ac:dyDescent="0.3">
      <c r="A12" t="s">
        <v>836</v>
      </c>
      <c r="B12" t="s">
        <v>5538</v>
      </c>
      <c r="C12" t="s">
        <v>367</v>
      </c>
      <c r="D12" t="s">
        <v>5539</v>
      </c>
      <c r="E12" t="s">
        <v>5537</v>
      </c>
      <c r="F12" s="20" t="s">
        <v>6238</v>
      </c>
      <c r="G12">
        <v>0</v>
      </c>
    </row>
    <row r="13" spans="1:8" x14ac:dyDescent="0.3">
      <c r="A13" t="s">
        <v>836</v>
      </c>
      <c r="B13" t="s">
        <v>5512</v>
      </c>
      <c r="C13" t="s">
        <v>367</v>
      </c>
      <c r="D13" t="s">
        <v>5540</v>
      </c>
      <c r="E13" t="s">
        <v>5541</v>
      </c>
      <c r="F13" s="20" t="s">
        <v>5542</v>
      </c>
      <c r="G13">
        <v>1</v>
      </c>
    </row>
    <row r="14" spans="1:8" x14ac:dyDescent="0.3">
      <c r="A14" t="s">
        <v>836</v>
      </c>
      <c r="B14" t="s">
        <v>5538</v>
      </c>
      <c r="C14" t="s">
        <v>5543</v>
      </c>
      <c r="D14" t="s">
        <v>5539</v>
      </c>
      <c r="E14" t="s">
        <v>5537</v>
      </c>
      <c r="F14" s="20" t="s">
        <v>6238</v>
      </c>
      <c r="G14">
        <v>0</v>
      </c>
    </row>
    <row r="15" spans="1:8" x14ac:dyDescent="0.3">
      <c r="A15" t="s">
        <v>836</v>
      </c>
      <c r="B15" t="s">
        <v>5544</v>
      </c>
      <c r="C15" t="s">
        <v>5545</v>
      </c>
      <c r="D15" t="s">
        <v>5546</v>
      </c>
      <c r="E15" t="s">
        <v>5547</v>
      </c>
      <c r="F15" s="20" t="s">
        <v>6239</v>
      </c>
      <c r="G15">
        <v>0</v>
      </c>
    </row>
    <row r="16" spans="1:8" x14ac:dyDescent="0.3">
      <c r="A16" t="s">
        <v>5548</v>
      </c>
      <c r="B16" t="s">
        <v>5512</v>
      </c>
      <c r="C16" t="s">
        <v>247</v>
      </c>
      <c r="D16" t="s">
        <v>5549</v>
      </c>
      <c r="E16" t="s">
        <v>5550</v>
      </c>
      <c r="F16" s="20" t="s">
        <v>5551</v>
      </c>
      <c r="G16">
        <v>0</v>
      </c>
    </row>
    <row r="17" spans="1:7" x14ac:dyDescent="0.3">
      <c r="A17" t="s">
        <v>5548</v>
      </c>
      <c r="B17" t="s">
        <v>5512</v>
      </c>
      <c r="C17" t="s">
        <v>249</v>
      </c>
      <c r="D17" t="s">
        <v>5549</v>
      </c>
      <c r="E17" t="s">
        <v>5550</v>
      </c>
      <c r="F17" s="20" t="s">
        <v>5552</v>
      </c>
      <c r="G17">
        <v>0</v>
      </c>
    </row>
    <row r="18" spans="1:7" x14ac:dyDescent="0.3">
      <c r="A18" t="s">
        <v>1822</v>
      </c>
      <c r="B18" t="s">
        <v>5553</v>
      </c>
      <c r="C18" t="s">
        <v>1315</v>
      </c>
      <c r="D18" t="s">
        <v>5554</v>
      </c>
      <c r="E18" t="s">
        <v>5555</v>
      </c>
      <c r="F18" s="20" t="s">
        <v>5556</v>
      </c>
      <c r="G18">
        <v>0</v>
      </c>
    </row>
    <row r="19" spans="1:7" x14ac:dyDescent="0.3">
      <c r="A19" t="s">
        <v>1822</v>
      </c>
      <c r="B19" t="s">
        <v>5557</v>
      </c>
      <c r="C19" t="s">
        <v>1315</v>
      </c>
      <c r="D19" t="s">
        <v>5558</v>
      </c>
      <c r="E19" t="s">
        <v>5559</v>
      </c>
      <c r="F19" s="20" t="s">
        <v>5560</v>
      </c>
      <c r="G19">
        <v>0</v>
      </c>
    </row>
    <row r="20" spans="1:7" x14ac:dyDescent="0.3">
      <c r="A20" t="s">
        <v>1822</v>
      </c>
      <c r="B20" t="s">
        <v>5561</v>
      </c>
      <c r="C20" t="s">
        <v>5562</v>
      </c>
      <c r="D20" t="s">
        <v>5563</v>
      </c>
      <c r="E20" t="s">
        <v>5564</v>
      </c>
      <c r="F20" s="20" t="s">
        <v>5565</v>
      </c>
      <c r="G20">
        <v>0</v>
      </c>
    </row>
    <row r="21" spans="1:7" x14ac:dyDescent="0.3">
      <c r="A21" t="s">
        <v>1822</v>
      </c>
      <c r="B21" t="s">
        <v>5561</v>
      </c>
      <c r="C21" t="s">
        <v>5566</v>
      </c>
      <c r="D21" t="s">
        <v>5563</v>
      </c>
      <c r="E21" t="s">
        <v>5564</v>
      </c>
      <c r="F21" s="20" t="s">
        <v>5565</v>
      </c>
      <c r="G21">
        <v>0</v>
      </c>
    </row>
    <row r="22" spans="1:7" x14ac:dyDescent="0.3">
      <c r="A22" t="s">
        <v>1822</v>
      </c>
      <c r="B22" t="s">
        <v>5561</v>
      </c>
      <c r="C22" t="s">
        <v>5567</v>
      </c>
      <c r="D22" t="s">
        <v>5563</v>
      </c>
      <c r="E22" t="s">
        <v>5564</v>
      </c>
      <c r="F22" s="20" t="s">
        <v>5565</v>
      </c>
      <c r="G22">
        <v>0</v>
      </c>
    </row>
    <row r="23" spans="1:7" x14ac:dyDescent="0.3">
      <c r="A23" t="s">
        <v>1822</v>
      </c>
      <c r="B23" t="s">
        <v>5561</v>
      </c>
      <c r="C23" t="s">
        <v>5568</v>
      </c>
      <c r="D23" t="s">
        <v>5563</v>
      </c>
      <c r="E23" t="s">
        <v>5564</v>
      </c>
      <c r="F23" s="20" t="s">
        <v>5565</v>
      </c>
      <c r="G23">
        <v>0</v>
      </c>
    </row>
    <row r="24" spans="1:7" x14ac:dyDescent="0.3">
      <c r="A24" t="s">
        <v>1822</v>
      </c>
      <c r="B24" t="s">
        <v>5561</v>
      </c>
      <c r="C24" t="s">
        <v>5569</v>
      </c>
      <c r="D24" t="s">
        <v>5563</v>
      </c>
      <c r="E24" t="s">
        <v>5564</v>
      </c>
      <c r="F24" s="20" t="s">
        <v>5565</v>
      </c>
      <c r="G24">
        <v>0</v>
      </c>
    </row>
    <row r="25" spans="1:7" x14ac:dyDescent="0.3">
      <c r="A25" t="s">
        <v>1822</v>
      </c>
      <c r="B25" t="s">
        <v>5561</v>
      </c>
      <c r="C25" t="s">
        <v>5570</v>
      </c>
      <c r="D25" t="s">
        <v>5563</v>
      </c>
      <c r="E25" t="s">
        <v>5564</v>
      </c>
      <c r="F25" s="20" t="s">
        <v>5565</v>
      </c>
      <c r="G25">
        <v>0</v>
      </c>
    </row>
    <row r="26" spans="1:7" x14ac:dyDescent="0.3">
      <c r="A26" t="s">
        <v>1822</v>
      </c>
      <c r="B26" t="s">
        <v>5571</v>
      </c>
      <c r="C26" t="s">
        <v>3505</v>
      </c>
      <c r="D26" t="s">
        <v>5572</v>
      </c>
      <c r="E26" t="s">
        <v>5573</v>
      </c>
      <c r="F26" s="20" t="s">
        <v>5574</v>
      </c>
      <c r="G26">
        <v>0</v>
      </c>
    </row>
    <row r="27" spans="1:7" x14ac:dyDescent="0.3">
      <c r="A27" t="s">
        <v>1822</v>
      </c>
      <c r="B27" t="s">
        <v>5561</v>
      </c>
      <c r="C27" t="s">
        <v>3505</v>
      </c>
      <c r="D27" t="s">
        <v>5563</v>
      </c>
      <c r="E27" t="s">
        <v>5564</v>
      </c>
      <c r="F27" s="20" t="s">
        <v>5565</v>
      </c>
      <c r="G27">
        <v>1</v>
      </c>
    </row>
    <row r="28" spans="1:7" x14ac:dyDescent="0.3">
      <c r="A28" t="s">
        <v>1822</v>
      </c>
      <c r="B28" t="s">
        <v>5561</v>
      </c>
      <c r="C28" t="s">
        <v>5575</v>
      </c>
      <c r="D28" t="s">
        <v>5563</v>
      </c>
      <c r="E28" t="s">
        <v>5564</v>
      </c>
      <c r="F28" s="20" t="s">
        <v>5565</v>
      </c>
      <c r="G28">
        <v>0</v>
      </c>
    </row>
    <row r="29" spans="1:7" x14ac:dyDescent="0.3">
      <c r="A29" t="s">
        <v>5576</v>
      </c>
      <c r="B29" t="s">
        <v>5512</v>
      </c>
      <c r="C29" t="s">
        <v>1313</v>
      </c>
      <c r="D29" t="s">
        <v>5577</v>
      </c>
      <c r="E29" t="s">
        <v>5578</v>
      </c>
      <c r="F29" s="20" t="s">
        <v>5579</v>
      </c>
      <c r="G29">
        <v>0</v>
      </c>
    </row>
    <row r="30" spans="1:7" x14ac:dyDescent="0.3">
      <c r="A30" t="s">
        <v>5576</v>
      </c>
      <c r="B30" t="s">
        <v>5512</v>
      </c>
      <c r="C30" t="s">
        <v>5580</v>
      </c>
      <c r="D30" t="s">
        <v>5577</v>
      </c>
      <c r="E30" t="s">
        <v>5578</v>
      </c>
      <c r="F30" s="20" t="s">
        <v>5579</v>
      </c>
      <c r="G30">
        <v>0</v>
      </c>
    </row>
    <row r="31" spans="1:7" x14ac:dyDescent="0.3">
      <c r="A31" t="s">
        <v>5576</v>
      </c>
      <c r="B31" t="s">
        <v>5512</v>
      </c>
      <c r="C31" t="s">
        <v>5581</v>
      </c>
      <c r="D31" t="s">
        <v>5577</v>
      </c>
      <c r="E31" t="s">
        <v>5578</v>
      </c>
      <c r="F31" s="20" t="s">
        <v>5579</v>
      </c>
      <c r="G31">
        <v>0</v>
      </c>
    </row>
    <row r="32" spans="1:7" x14ac:dyDescent="0.3">
      <c r="A32" t="s">
        <v>1943</v>
      </c>
      <c r="B32" t="s">
        <v>5582</v>
      </c>
      <c r="C32" t="s">
        <v>5583</v>
      </c>
      <c r="D32" t="s">
        <v>5584</v>
      </c>
      <c r="E32" t="s">
        <v>5585</v>
      </c>
      <c r="F32" s="20" t="s">
        <v>5586</v>
      </c>
      <c r="G32">
        <v>0</v>
      </c>
    </row>
    <row r="33" spans="1:7" x14ac:dyDescent="0.3">
      <c r="A33" t="s">
        <v>1943</v>
      </c>
      <c r="B33" t="s">
        <v>5582</v>
      </c>
      <c r="C33" t="s">
        <v>5587</v>
      </c>
      <c r="D33" t="s">
        <v>5584</v>
      </c>
      <c r="E33" t="s">
        <v>5585</v>
      </c>
      <c r="F33" s="20" t="s">
        <v>5586</v>
      </c>
      <c r="G33">
        <v>0</v>
      </c>
    </row>
    <row r="34" spans="1:7" x14ac:dyDescent="0.3">
      <c r="A34" t="s">
        <v>1943</v>
      </c>
      <c r="B34" t="s">
        <v>5582</v>
      </c>
      <c r="C34" t="s">
        <v>1471</v>
      </c>
      <c r="D34" t="s">
        <v>5588</v>
      </c>
      <c r="E34" t="s">
        <v>5589</v>
      </c>
      <c r="F34" s="20" t="s">
        <v>5590</v>
      </c>
      <c r="G34">
        <v>0</v>
      </c>
    </row>
    <row r="35" spans="1:7" x14ac:dyDescent="0.3">
      <c r="A35" t="s">
        <v>1943</v>
      </c>
      <c r="B35" t="s">
        <v>5582</v>
      </c>
      <c r="C35" t="s">
        <v>1473</v>
      </c>
      <c r="D35" t="s">
        <v>5591</v>
      </c>
      <c r="E35" t="s">
        <v>5592</v>
      </c>
      <c r="F35" s="20" t="s">
        <v>5593</v>
      </c>
      <c r="G35">
        <v>0</v>
      </c>
    </row>
    <row r="36" spans="1:7" x14ac:dyDescent="0.3">
      <c r="A36" t="s">
        <v>1929</v>
      </c>
      <c r="B36" t="s">
        <v>5512</v>
      </c>
      <c r="C36" t="s">
        <v>1451</v>
      </c>
      <c r="D36" t="s">
        <v>5594</v>
      </c>
      <c r="E36" t="s">
        <v>5595</v>
      </c>
      <c r="F36" s="20" t="s">
        <v>5596</v>
      </c>
      <c r="G36">
        <v>0</v>
      </c>
    </row>
    <row r="37" spans="1:7" x14ac:dyDescent="0.3">
      <c r="A37" t="s">
        <v>1929</v>
      </c>
      <c r="B37" t="s">
        <v>5512</v>
      </c>
      <c r="C37" t="s">
        <v>1453</v>
      </c>
      <c r="D37" t="s">
        <v>5594</v>
      </c>
      <c r="E37" t="s">
        <v>5595</v>
      </c>
      <c r="F37" s="20" t="s">
        <v>5596</v>
      </c>
      <c r="G37">
        <v>0</v>
      </c>
    </row>
    <row r="38" spans="1:7" x14ac:dyDescent="0.3">
      <c r="A38" t="s">
        <v>1998</v>
      </c>
      <c r="B38" t="s">
        <v>5553</v>
      </c>
      <c r="C38" t="s">
        <v>1541</v>
      </c>
      <c r="D38" t="s">
        <v>5597</v>
      </c>
      <c r="E38" t="s">
        <v>5598</v>
      </c>
      <c r="F38" s="20" t="s">
        <v>5599</v>
      </c>
      <c r="G38">
        <v>0</v>
      </c>
    </row>
    <row r="39" spans="1:7" x14ac:dyDescent="0.3">
      <c r="A39" t="s">
        <v>1998</v>
      </c>
      <c r="B39" t="s">
        <v>5600</v>
      </c>
      <c r="C39" t="s">
        <v>1541</v>
      </c>
      <c r="D39" t="s">
        <v>5601</v>
      </c>
      <c r="E39" t="s">
        <v>5602</v>
      </c>
      <c r="F39" s="20" t="s">
        <v>5599</v>
      </c>
      <c r="G39">
        <v>0</v>
      </c>
    </row>
    <row r="40" spans="1:7" x14ac:dyDescent="0.3">
      <c r="A40" t="s">
        <v>1998</v>
      </c>
      <c r="B40" t="s">
        <v>5603</v>
      </c>
      <c r="C40" t="s">
        <v>1541</v>
      </c>
      <c r="D40" t="s">
        <v>5604</v>
      </c>
      <c r="E40" t="s">
        <v>5605</v>
      </c>
      <c r="F40" s="20" t="s">
        <v>5606</v>
      </c>
      <c r="G40">
        <v>0</v>
      </c>
    </row>
    <row r="41" spans="1:7" x14ac:dyDescent="0.3">
      <c r="A41" t="s">
        <v>1998</v>
      </c>
      <c r="B41" t="s">
        <v>5553</v>
      </c>
      <c r="C41" t="s">
        <v>5607</v>
      </c>
      <c r="D41" t="s">
        <v>5608</v>
      </c>
      <c r="E41" t="s">
        <v>5609</v>
      </c>
      <c r="F41" s="20" t="s">
        <v>5610</v>
      </c>
      <c r="G41">
        <v>1</v>
      </c>
    </row>
    <row r="42" spans="1:7" x14ac:dyDescent="0.3">
      <c r="A42" t="s">
        <v>1998</v>
      </c>
      <c r="B42" t="s">
        <v>5553</v>
      </c>
      <c r="C42" t="s">
        <v>3428</v>
      </c>
      <c r="D42" t="s">
        <v>5611</v>
      </c>
      <c r="E42" t="s">
        <v>5612</v>
      </c>
      <c r="F42" s="20" t="s">
        <v>6240</v>
      </c>
      <c r="G42">
        <v>1</v>
      </c>
    </row>
    <row r="43" spans="1:7" x14ac:dyDescent="0.3">
      <c r="A43" t="s">
        <v>1998</v>
      </c>
      <c r="B43" t="s">
        <v>5600</v>
      </c>
      <c r="C43" t="s">
        <v>3428</v>
      </c>
      <c r="D43" t="s">
        <v>5613</v>
      </c>
      <c r="E43" t="s">
        <v>5614</v>
      </c>
      <c r="F43" s="20" t="s">
        <v>5615</v>
      </c>
      <c r="G43">
        <v>0</v>
      </c>
    </row>
    <row r="44" spans="1:7" x14ac:dyDescent="0.3">
      <c r="A44" t="s">
        <v>1998</v>
      </c>
      <c r="B44" t="s">
        <v>5616</v>
      </c>
      <c r="C44" t="s">
        <v>5</v>
      </c>
      <c r="D44" t="s">
        <v>5617</v>
      </c>
      <c r="E44" t="s">
        <v>5618</v>
      </c>
      <c r="F44" s="20" t="s">
        <v>6241</v>
      </c>
      <c r="G44">
        <v>3</v>
      </c>
    </row>
    <row r="45" spans="1:7" x14ac:dyDescent="0.3">
      <c r="A45" t="s">
        <v>1998</v>
      </c>
      <c r="B45" t="s">
        <v>3829</v>
      </c>
      <c r="C45" t="s">
        <v>5</v>
      </c>
      <c r="D45" t="s">
        <v>5619</v>
      </c>
      <c r="E45" t="s">
        <v>5620</v>
      </c>
      <c r="F45" s="20" t="s">
        <v>5621</v>
      </c>
      <c r="G45">
        <v>1</v>
      </c>
    </row>
    <row r="46" spans="1:7" x14ac:dyDescent="0.3">
      <c r="A46" t="s">
        <v>1998</v>
      </c>
      <c r="B46" t="s">
        <v>5553</v>
      </c>
      <c r="C46" t="s">
        <v>5622</v>
      </c>
      <c r="D46" t="s">
        <v>5623</v>
      </c>
      <c r="E46" t="s">
        <v>5624</v>
      </c>
      <c r="F46" s="20" t="s">
        <v>6242</v>
      </c>
      <c r="G46">
        <v>0</v>
      </c>
    </row>
    <row r="47" spans="1:7" x14ac:dyDescent="0.3">
      <c r="A47" t="s">
        <v>721</v>
      </c>
      <c r="B47" t="s">
        <v>5512</v>
      </c>
      <c r="C47" t="s">
        <v>5625</v>
      </c>
      <c r="D47" t="s">
        <v>5626</v>
      </c>
      <c r="E47" t="s">
        <v>5627</v>
      </c>
      <c r="F47" s="20" t="s">
        <v>5628</v>
      </c>
      <c r="G47">
        <v>0</v>
      </c>
    </row>
    <row r="48" spans="1:7" x14ac:dyDescent="0.3">
      <c r="A48" t="s">
        <v>721</v>
      </c>
      <c r="B48" t="s">
        <v>5512</v>
      </c>
      <c r="C48" t="s">
        <v>217</v>
      </c>
      <c r="D48" t="s">
        <v>5626</v>
      </c>
      <c r="E48" t="s">
        <v>5627</v>
      </c>
      <c r="F48" s="20" t="s">
        <v>5628</v>
      </c>
      <c r="G48">
        <v>0</v>
      </c>
    </row>
    <row r="49" spans="1:7" x14ac:dyDescent="0.3">
      <c r="A49" t="s">
        <v>721</v>
      </c>
      <c r="B49" t="s">
        <v>5512</v>
      </c>
      <c r="C49" t="s">
        <v>219</v>
      </c>
      <c r="D49" t="s">
        <v>5629</v>
      </c>
      <c r="E49" t="s">
        <v>5630</v>
      </c>
      <c r="F49" s="20" t="s">
        <v>6243</v>
      </c>
      <c r="G49">
        <v>0</v>
      </c>
    </row>
    <row r="50" spans="1:7" x14ac:dyDescent="0.3">
      <c r="A50" t="s">
        <v>721</v>
      </c>
      <c r="B50" t="s">
        <v>5512</v>
      </c>
      <c r="C50" t="s">
        <v>3501</v>
      </c>
      <c r="D50" t="s">
        <v>5629</v>
      </c>
      <c r="E50" t="s">
        <v>5630</v>
      </c>
      <c r="F50" s="20" t="s">
        <v>6243</v>
      </c>
      <c r="G50">
        <v>0</v>
      </c>
    </row>
    <row r="51" spans="1:7" x14ac:dyDescent="0.3">
      <c r="A51" t="s">
        <v>721</v>
      </c>
      <c r="B51" t="s">
        <v>5512</v>
      </c>
      <c r="C51" t="s">
        <v>5631</v>
      </c>
      <c r="D51" t="s">
        <v>5626</v>
      </c>
      <c r="E51" t="s">
        <v>5627</v>
      </c>
      <c r="F51" s="20" t="s">
        <v>5628</v>
      </c>
      <c r="G51">
        <v>0</v>
      </c>
    </row>
    <row r="52" spans="1:7" x14ac:dyDescent="0.3">
      <c r="A52" t="s">
        <v>5632</v>
      </c>
      <c r="B52" t="s">
        <v>5512</v>
      </c>
      <c r="C52" t="s">
        <v>239</v>
      </c>
      <c r="D52" t="s">
        <v>5633</v>
      </c>
      <c r="E52" t="s">
        <v>5634</v>
      </c>
      <c r="F52" s="20" t="s">
        <v>5635</v>
      </c>
      <c r="G52">
        <v>0</v>
      </c>
    </row>
    <row r="53" spans="1:7" x14ac:dyDescent="0.3">
      <c r="A53" t="s">
        <v>5632</v>
      </c>
      <c r="B53" t="s">
        <v>5636</v>
      </c>
      <c r="C53" t="s">
        <v>239</v>
      </c>
      <c r="D53" t="s">
        <v>5636</v>
      </c>
      <c r="E53" t="s">
        <v>5637</v>
      </c>
      <c r="F53" s="20" t="s">
        <v>5638</v>
      </c>
      <c r="G53">
        <v>0</v>
      </c>
    </row>
    <row r="54" spans="1:7" x14ac:dyDescent="0.3">
      <c r="A54" t="s">
        <v>5632</v>
      </c>
      <c r="B54" t="s">
        <v>5512</v>
      </c>
      <c r="C54" t="s">
        <v>5639</v>
      </c>
      <c r="D54" t="s">
        <v>5633</v>
      </c>
      <c r="E54" t="s">
        <v>5634</v>
      </c>
      <c r="F54" s="20" t="s">
        <v>5635</v>
      </c>
      <c r="G54">
        <v>0</v>
      </c>
    </row>
    <row r="55" spans="1:7" x14ac:dyDescent="0.3">
      <c r="A55" t="s">
        <v>5632</v>
      </c>
      <c r="B55" t="s">
        <v>5512</v>
      </c>
      <c r="C55" t="s">
        <v>241</v>
      </c>
      <c r="D55" t="s">
        <v>5633</v>
      </c>
      <c r="E55" t="s">
        <v>5634</v>
      </c>
      <c r="F55" s="20" t="s">
        <v>5635</v>
      </c>
      <c r="G55">
        <v>0</v>
      </c>
    </row>
    <row r="56" spans="1:7" x14ac:dyDescent="0.3">
      <c r="A56" t="s">
        <v>1923</v>
      </c>
      <c r="B56" t="s">
        <v>5512</v>
      </c>
      <c r="C56" t="s">
        <v>5640</v>
      </c>
      <c r="D56" t="s">
        <v>5641</v>
      </c>
      <c r="E56" t="s">
        <v>5595</v>
      </c>
      <c r="F56" s="20" t="s">
        <v>5596</v>
      </c>
      <c r="G56">
        <v>0</v>
      </c>
    </row>
    <row r="57" spans="1:7" x14ac:dyDescent="0.3">
      <c r="A57" t="s">
        <v>1923</v>
      </c>
      <c r="B57" t="s">
        <v>5512</v>
      </c>
      <c r="C57" t="s">
        <v>1445</v>
      </c>
      <c r="D57" t="s">
        <v>5641</v>
      </c>
      <c r="E57" t="s">
        <v>5595</v>
      </c>
      <c r="F57" s="20" t="s">
        <v>5596</v>
      </c>
      <c r="G57">
        <v>1</v>
      </c>
    </row>
    <row r="58" spans="1:7" x14ac:dyDescent="0.3">
      <c r="A58" t="s">
        <v>5642</v>
      </c>
      <c r="B58" t="s">
        <v>5512</v>
      </c>
      <c r="C58" t="s">
        <v>237</v>
      </c>
      <c r="D58" t="s">
        <v>5643</v>
      </c>
      <c r="E58" t="s">
        <v>5644</v>
      </c>
      <c r="F58" s="20" t="s">
        <v>5645</v>
      </c>
      <c r="G58">
        <v>0</v>
      </c>
    </row>
    <row r="59" spans="1:7" x14ac:dyDescent="0.3">
      <c r="A59" t="s">
        <v>1802</v>
      </c>
      <c r="B59" t="s">
        <v>5646</v>
      </c>
      <c r="C59" t="s">
        <v>1289</v>
      </c>
      <c r="D59" t="s">
        <v>5647</v>
      </c>
      <c r="E59" t="s">
        <v>5648</v>
      </c>
      <c r="F59" s="20" t="s">
        <v>5649</v>
      </c>
      <c r="G59">
        <v>1</v>
      </c>
    </row>
    <row r="60" spans="1:7" x14ac:dyDescent="0.3">
      <c r="A60" t="s">
        <v>753</v>
      </c>
      <c r="B60" t="s">
        <v>5512</v>
      </c>
      <c r="C60" t="s">
        <v>257</v>
      </c>
      <c r="D60" t="s">
        <v>5650</v>
      </c>
      <c r="E60" t="s">
        <v>5651</v>
      </c>
      <c r="F60" s="20" t="s">
        <v>5652</v>
      </c>
      <c r="G60">
        <v>0</v>
      </c>
    </row>
    <row r="61" spans="1:7" x14ac:dyDescent="0.3">
      <c r="A61" t="s">
        <v>753</v>
      </c>
      <c r="B61" t="s">
        <v>5512</v>
      </c>
      <c r="C61" t="s">
        <v>5653</v>
      </c>
      <c r="D61" t="s">
        <v>5650</v>
      </c>
      <c r="E61" t="s">
        <v>5651</v>
      </c>
      <c r="F61" s="20" t="s">
        <v>5652</v>
      </c>
      <c r="G61">
        <v>0</v>
      </c>
    </row>
    <row r="62" spans="1:7" x14ac:dyDescent="0.3">
      <c r="A62" t="s">
        <v>753</v>
      </c>
      <c r="B62" t="s">
        <v>5512</v>
      </c>
      <c r="C62" t="s">
        <v>259</v>
      </c>
      <c r="D62" t="s">
        <v>5650</v>
      </c>
      <c r="E62" t="s">
        <v>5651</v>
      </c>
      <c r="F62" s="20" t="s">
        <v>5652</v>
      </c>
      <c r="G62">
        <v>0</v>
      </c>
    </row>
    <row r="63" spans="1:7" x14ac:dyDescent="0.3">
      <c r="A63" t="s">
        <v>753</v>
      </c>
      <c r="B63" t="s">
        <v>5512</v>
      </c>
      <c r="C63" t="s">
        <v>5654</v>
      </c>
      <c r="D63" t="s">
        <v>5650</v>
      </c>
      <c r="E63" t="s">
        <v>5651</v>
      </c>
      <c r="F63" s="20" t="s">
        <v>5652</v>
      </c>
      <c r="G63">
        <v>0</v>
      </c>
    </row>
    <row r="64" spans="1:7" x14ac:dyDescent="0.3">
      <c r="A64" t="s">
        <v>11</v>
      </c>
      <c r="B64" t="s">
        <v>5512</v>
      </c>
      <c r="C64" t="s">
        <v>1543</v>
      </c>
      <c r="D64" t="s">
        <v>5655</v>
      </c>
      <c r="E64" t="s">
        <v>5656</v>
      </c>
      <c r="F64" s="20" t="s">
        <v>5657</v>
      </c>
      <c r="G64">
        <v>1</v>
      </c>
    </row>
    <row r="65" spans="1:7" x14ac:dyDescent="0.3">
      <c r="A65" t="s">
        <v>11</v>
      </c>
      <c r="B65" t="s">
        <v>5512</v>
      </c>
      <c r="C65" t="s">
        <v>1545</v>
      </c>
      <c r="D65" t="s">
        <v>5655</v>
      </c>
      <c r="E65" t="s">
        <v>5656</v>
      </c>
      <c r="F65" s="20" t="s">
        <v>5657</v>
      </c>
      <c r="G65">
        <v>3</v>
      </c>
    </row>
    <row r="66" spans="1:7" x14ac:dyDescent="0.3">
      <c r="A66" t="s">
        <v>11</v>
      </c>
      <c r="B66" t="s">
        <v>5658</v>
      </c>
      <c r="C66" t="s">
        <v>1545</v>
      </c>
      <c r="D66" t="s">
        <v>5659</v>
      </c>
      <c r="E66" t="s">
        <v>5660</v>
      </c>
      <c r="F66" s="20" t="s">
        <v>5661</v>
      </c>
      <c r="G66">
        <v>2</v>
      </c>
    </row>
    <row r="67" spans="1:7" x14ac:dyDescent="0.3">
      <c r="A67" t="s">
        <v>11</v>
      </c>
      <c r="B67" t="s">
        <v>5512</v>
      </c>
      <c r="C67" t="s">
        <v>5662</v>
      </c>
      <c r="D67" t="s">
        <v>5655</v>
      </c>
      <c r="E67" t="s">
        <v>5656</v>
      </c>
      <c r="F67" s="20" t="s">
        <v>5657</v>
      </c>
      <c r="G67">
        <v>0</v>
      </c>
    </row>
    <row r="68" spans="1:7" x14ac:dyDescent="0.3">
      <c r="A68" t="s">
        <v>11</v>
      </c>
      <c r="B68" t="s">
        <v>5512</v>
      </c>
      <c r="C68" t="s">
        <v>5663</v>
      </c>
      <c r="D68" t="s">
        <v>5655</v>
      </c>
      <c r="E68" t="s">
        <v>5656</v>
      </c>
      <c r="F68" s="20" t="s">
        <v>5657</v>
      </c>
      <c r="G68">
        <v>0</v>
      </c>
    </row>
    <row r="69" spans="1:7" x14ac:dyDescent="0.3">
      <c r="A69" t="s">
        <v>11</v>
      </c>
      <c r="B69" t="s">
        <v>5512</v>
      </c>
      <c r="C69" t="s">
        <v>5664</v>
      </c>
      <c r="D69" t="s">
        <v>5665</v>
      </c>
      <c r="E69" t="s">
        <v>5666</v>
      </c>
      <c r="F69" s="20" t="s">
        <v>5667</v>
      </c>
      <c r="G69">
        <v>0</v>
      </c>
    </row>
    <row r="70" spans="1:7" x14ac:dyDescent="0.3">
      <c r="A70" t="s">
        <v>5668</v>
      </c>
      <c r="B70" t="s">
        <v>5512</v>
      </c>
      <c r="C70" t="s">
        <v>1197</v>
      </c>
      <c r="D70" t="s">
        <v>5669</v>
      </c>
      <c r="E70" t="s">
        <v>5670</v>
      </c>
      <c r="F70" s="20" t="s">
        <v>5671</v>
      </c>
      <c r="G70">
        <v>1</v>
      </c>
    </row>
    <row r="71" spans="1:7" x14ac:dyDescent="0.3">
      <c r="A71" t="s">
        <v>5672</v>
      </c>
      <c r="B71" t="s">
        <v>5512</v>
      </c>
      <c r="C71" t="s">
        <v>1537</v>
      </c>
      <c r="D71" t="s">
        <v>5669</v>
      </c>
      <c r="E71" t="s">
        <v>5670</v>
      </c>
      <c r="F71" s="20" t="s">
        <v>5671</v>
      </c>
      <c r="G71">
        <v>0</v>
      </c>
    </row>
    <row r="72" spans="1:7" x14ac:dyDescent="0.3">
      <c r="A72" t="s">
        <v>5673</v>
      </c>
      <c r="B72" t="s">
        <v>5512</v>
      </c>
      <c r="C72" t="s">
        <v>1381</v>
      </c>
      <c r="D72" t="s">
        <v>5669</v>
      </c>
      <c r="E72" t="s">
        <v>5670</v>
      </c>
      <c r="F72" s="20" t="s">
        <v>5671</v>
      </c>
      <c r="G72">
        <v>0</v>
      </c>
    </row>
    <row r="73" spans="1:7" x14ac:dyDescent="0.3">
      <c r="A73" t="s">
        <v>5673</v>
      </c>
      <c r="B73" t="s">
        <v>5512</v>
      </c>
      <c r="C73" t="s">
        <v>1383</v>
      </c>
      <c r="D73" t="s">
        <v>5669</v>
      </c>
      <c r="E73" t="s">
        <v>5670</v>
      </c>
      <c r="F73" s="20" t="s">
        <v>5671</v>
      </c>
      <c r="G73">
        <v>0</v>
      </c>
    </row>
    <row r="74" spans="1:7" x14ac:dyDescent="0.3">
      <c r="A74" t="s">
        <v>1773</v>
      </c>
      <c r="B74" t="s">
        <v>5512</v>
      </c>
      <c r="C74" t="s">
        <v>1253</v>
      </c>
      <c r="D74" t="s">
        <v>5674</v>
      </c>
      <c r="E74" t="s">
        <v>5675</v>
      </c>
      <c r="F74" s="20" t="s">
        <v>6244</v>
      </c>
      <c r="G74">
        <v>1</v>
      </c>
    </row>
    <row r="75" spans="1:7" x14ac:dyDescent="0.3">
      <c r="A75" t="s">
        <v>1773</v>
      </c>
      <c r="B75" t="s">
        <v>5676</v>
      </c>
      <c r="C75" t="s">
        <v>1253</v>
      </c>
      <c r="D75" t="s">
        <v>5677</v>
      </c>
      <c r="E75" t="s">
        <v>5675</v>
      </c>
      <c r="F75" s="20" t="s">
        <v>6245</v>
      </c>
      <c r="G75">
        <v>0</v>
      </c>
    </row>
    <row r="76" spans="1:7" x14ac:dyDescent="0.3">
      <c r="A76" t="s">
        <v>1773</v>
      </c>
      <c r="B76" t="s">
        <v>5512</v>
      </c>
      <c r="C76" t="s">
        <v>5678</v>
      </c>
      <c r="E76" t="s">
        <v>5679</v>
      </c>
      <c r="F76" s="20" t="s">
        <v>5680</v>
      </c>
      <c r="G76">
        <v>0</v>
      </c>
    </row>
    <row r="77" spans="1:7" x14ac:dyDescent="0.3">
      <c r="A77" t="s">
        <v>1773</v>
      </c>
      <c r="B77" t="s">
        <v>5512</v>
      </c>
      <c r="C77" t="s">
        <v>1255</v>
      </c>
      <c r="D77" t="s">
        <v>5674</v>
      </c>
      <c r="E77" t="s">
        <v>5675</v>
      </c>
      <c r="F77" s="20" t="s">
        <v>6244</v>
      </c>
      <c r="G77">
        <v>0</v>
      </c>
    </row>
    <row r="78" spans="1:7" x14ac:dyDescent="0.3">
      <c r="A78" t="s">
        <v>1773</v>
      </c>
      <c r="B78" t="s">
        <v>5512</v>
      </c>
      <c r="C78" t="s">
        <v>5681</v>
      </c>
      <c r="D78" t="s">
        <v>5674</v>
      </c>
      <c r="E78" t="s">
        <v>5675</v>
      </c>
      <c r="F78" s="20" t="s">
        <v>6244</v>
      </c>
      <c r="G78">
        <v>0</v>
      </c>
    </row>
    <row r="79" spans="1:7" x14ac:dyDescent="0.3">
      <c r="A79" t="s">
        <v>1773</v>
      </c>
      <c r="B79" t="s">
        <v>5512</v>
      </c>
      <c r="C79" t="s">
        <v>5682</v>
      </c>
      <c r="D79" t="s">
        <v>5674</v>
      </c>
      <c r="E79" t="s">
        <v>5675</v>
      </c>
      <c r="F79" s="20" t="s">
        <v>6244</v>
      </c>
      <c r="G79">
        <v>0</v>
      </c>
    </row>
    <row r="80" spans="1:7" x14ac:dyDescent="0.3">
      <c r="A80" t="s">
        <v>1773</v>
      </c>
      <c r="B80" t="s">
        <v>5512</v>
      </c>
      <c r="C80" t="s">
        <v>5683</v>
      </c>
      <c r="D80" t="s">
        <v>5674</v>
      </c>
      <c r="E80" t="s">
        <v>5675</v>
      </c>
      <c r="F80" s="20" t="s">
        <v>6244</v>
      </c>
      <c r="G80">
        <v>3</v>
      </c>
    </row>
    <row r="81" spans="1:7" x14ac:dyDescent="0.3">
      <c r="A81" t="s">
        <v>1773</v>
      </c>
      <c r="B81" t="s">
        <v>5676</v>
      </c>
      <c r="C81" t="s">
        <v>5683</v>
      </c>
      <c r="D81" t="s">
        <v>5684</v>
      </c>
      <c r="E81" t="s">
        <v>5675</v>
      </c>
      <c r="F81" s="20" t="s">
        <v>5685</v>
      </c>
      <c r="G81">
        <v>0</v>
      </c>
    </row>
    <row r="82" spans="1:7" x14ac:dyDescent="0.3">
      <c r="A82" t="s">
        <v>1773</v>
      </c>
      <c r="B82" t="s">
        <v>5512</v>
      </c>
      <c r="C82" t="s">
        <v>5686</v>
      </c>
      <c r="D82" t="s">
        <v>5674</v>
      </c>
      <c r="E82" t="s">
        <v>5675</v>
      </c>
      <c r="F82" s="20" t="s">
        <v>6244</v>
      </c>
      <c r="G82">
        <v>0</v>
      </c>
    </row>
    <row r="83" spans="1:7" x14ac:dyDescent="0.3">
      <c r="A83" t="s">
        <v>1773</v>
      </c>
      <c r="B83" t="s">
        <v>5512</v>
      </c>
      <c r="C83" t="s">
        <v>5687</v>
      </c>
      <c r="D83" t="s">
        <v>5674</v>
      </c>
      <c r="E83" t="s">
        <v>5675</v>
      </c>
      <c r="F83" s="20" t="s">
        <v>6244</v>
      </c>
      <c r="G83">
        <v>0</v>
      </c>
    </row>
    <row r="84" spans="1:7" x14ac:dyDescent="0.3">
      <c r="A84" t="s">
        <v>663</v>
      </c>
      <c r="B84" t="s">
        <v>5688</v>
      </c>
      <c r="C84" t="s">
        <v>5689</v>
      </c>
      <c r="D84" t="s">
        <v>5690</v>
      </c>
      <c r="E84" t="s">
        <v>5691</v>
      </c>
      <c r="F84" s="20" t="s">
        <v>6246</v>
      </c>
      <c r="G84">
        <v>0</v>
      </c>
    </row>
    <row r="85" spans="1:7" x14ac:dyDescent="0.3">
      <c r="A85" t="s">
        <v>663</v>
      </c>
      <c r="B85" t="s">
        <v>5692</v>
      </c>
      <c r="C85" t="s">
        <v>5693</v>
      </c>
      <c r="D85" t="s">
        <v>5694</v>
      </c>
      <c r="E85" t="s">
        <v>5695</v>
      </c>
      <c r="F85" s="20" t="s">
        <v>5696</v>
      </c>
      <c r="G85">
        <v>0</v>
      </c>
    </row>
    <row r="86" spans="1:7" x14ac:dyDescent="0.3">
      <c r="A86" t="s">
        <v>663</v>
      </c>
      <c r="B86" t="s">
        <v>5688</v>
      </c>
      <c r="C86" t="s">
        <v>147</v>
      </c>
      <c r="D86" t="s">
        <v>5690</v>
      </c>
      <c r="E86" t="s">
        <v>5691</v>
      </c>
      <c r="F86" s="20" t="s">
        <v>6246</v>
      </c>
      <c r="G86">
        <v>0</v>
      </c>
    </row>
    <row r="87" spans="1:7" x14ac:dyDescent="0.3">
      <c r="A87" t="s">
        <v>663</v>
      </c>
      <c r="B87" t="s">
        <v>5697</v>
      </c>
      <c r="C87" t="s">
        <v>147</v>
      </c>
      <c r="D87" t="s">
        <v>5698</v>
      </c>
      <c r="E87" t="s">
        <v>5699</v>
      </c>
      <c r="F87" s="20" t="s">
        <v>6247</v>
      </c>
      <c r="G87">
        <v>0</v>
      </c>
    </row>
    <row r="88" spans="1:7" x14ac:dyDescent="0.3">
      <c r="A88" t="s">
        <v>663</v>
      </c>
      <c r="B88" t="s">
        <v>5692</v>
      </c>
      <c r="C88" t="s">
        <v>147</v>
      </c>
      <c r="D88" t="s">
        <v>5700</v>
      </c>
      <c r="E88" t="s">
        <v>5701</v>
      </c>
      <c r="F88" s="20" t="s">
        <v>6248</v>
      </c>
      <c r="G88">
        <v>1</v>
      </c>
    </row>
    <row r="89" spans="1:7" x14ac:dyDescent="0.3">
      <c r="A89" t="s">
        <v>663</v>
      </c>
      <c r="B89" t="s">
        <v>5688</v>
      </c>
      <c r="C89" t="s">
        <v>5702</v>
      </c>
      <c r="D89" t="s">
        <v>5690</v>
      </c>
      <c r="E89" t="s">
        <v>5691</v>
      </c>
      <c r="F89" s="20" t="s">
        <v>6246</v>
      </c>
      <c r="G89">
        <v>0</v>
      </c>
    </row>
    <row r="90" spans="1:7" x14ac:dyDescent="0.3">
      <c r="A90" t="s">
        <v>663</v>
      </c>
      <c r="B90" t="s">
        <v>5688</v>
      </c>
      <c r="C90" t="s">
        <v>5703</v>
      </c>
      <c r="D90" t="s">
        <v>5690</v>
      </c>
      <c r="E90" t="s">
        <v>5691</v>
      </c>
      <c r="F90" s="20" t="s">
        <v>6246</v>
      </c>
      <c r="G90">
        <v>0</v>
      </c>
    </row>
    <row r="91" spans="1:7" x14ac:dyDescent="0.3">
      <c r="A91" t="s">
        <v>823</v>
      </c>
      <c r="B91" t="s">
        <v>5512</v>
      </c>
      <c r="C91" t="s">
        <v>353</v>
      </c>
      <c r="D91" t="s">
        <v>5704</v>
      </c>
      <c r="E91" t="s">
        <v>5705</v>
      </c>
      <c r="F91" s="20" t="s">
        <v>5706</v>
      </c>
      <c r="G91">
        <v>0</v>
      </c>
    </row>
    <row r="92" spans="1:7" x14ac:dyDescent="0.3">
      <c r="A92" t="s">
        <v>823</v>
      </c>
      <c r="B92" t="s">
        <v>5512</v>
      </c>
      <c r="C92" t="s">
        <v>5707</v>
      </c>
      <c r="D92" t="s">
        <v>5704</v>
      </c>
      <c r="E92" t="s">
        <v>5705</v>
      </c>
      <c r="F92" s="20" t="s">
        <v>5706</v>
      </c>
      <c r="G92">
        <v>0</v>
      </c>
    </row>
    <row r="93" spans="1:7" x14ac:dyDescent="0.3">
      <c r="A93" t="s">
        <v>5708</v>
      </c>
      <c r="B93" t="s">
        <v>5512</v>
      </c>
      <c r="C93" t="s">
        <v>5709</v>
      </c>
      <c r="D93" t="s">
        <v>5710</v>
      </c>
      <c r="E93" t="s">
        <v>5711</v>
      </c>
      <c r="F93" s="20" t="s">
        <v>5712</v>
      </c>
      <c r="G93">
        <v>0</v>
      </c>
    </row>
    <row r="94" spans="1:7" x14ac:dyDescent="0.3">
      <c r="A94" t="s">
        <v>5708</v>
      </c>
      <c r="B94" t="s">
        <v>5512</v>
      </c>
      <c r="C94" t="s">
        <v>1435</v>
      </c>
      <c r="D94" t="s">
        <v>5710</v>
      </c>
      <c r="E94" t="s">
        <v>5711</v>
      </c>
      <c r="F94" s="20" t="s">
        <v>5712</v>
      </c>
      <c r="G94">
        <v>0</v>
      </c>
    </row>
    <row r="95" spans="1:7" x14ac:dyDescent="0.3">
      <c r="A95" t="s">
        <v>1815</v>
      </c>
      <c r="B95" t="s">
        <v>5512</v>
      </c>
      <c r="C95" t="s">
        <v>1307</v>
      </c>
      <c r="D95" t="s">
        <v>5713</v>
      </c>
      <c r="E95" t="s">
        <v>5714</v>
      </c>
      <c r="F95" s="20" t="s">
        <v>5715</v>
      </c>
      <c r="G95">
        <v>1</v>
      </c>
    </row>
    <row r="96" spans="1:7" x14ac:dyDescent="0.3">
      <c r="A96" t="s">
        <v>1815</v>
      </c>
      <c r="B96" t="s">
        <v>5512</v>
      </c>
      <c r="C96" t="s">
        <v>1309</v>
      </c>
      <c r="D96" t="s">
        <v>5713</v>
      </c>
      <c r="E96" t="s">
        <v>5714</v>
      </c>
      <c r="F96" s="20" t="s">
        <v>5715</v>
      </c>
      <c r="G96">
        <v>0</v>
      </c>
    </row>
    <row r="97" spans="1:7" x14ac:dyDescent="0.3">
      <c r="A97" t="s">
        <v>1815</v>
      </c>
      <c r="B97" t="s">
        <v>5512</v>
      </c>
      <c r="C97" t="s">
        <v>5716</v>
      </c>
      <c r="D97" t="s">
        <v>5713</v>
      </c>
      <c r="E97" t="s">
        <v>5714</v>
      </c>
      <c r="F97" s="20" t="s">
        <v>5715</v>
      </c>
      <c r="G97">
        <v>0</v>
      </c>
    </row>
    <row r="98" spans="1:7" x14ac:dyDescent="0.3">
      <c r="A98" t="s">
        <v>1815</v>
      </c>
      <c r="B98" t="s">
        <v>5512</v>
      </c>
      <c r="C98" t="s">
        <v>5717</v>
      </c>
      <c r="D98" t="s">
        <v>5713</v>
      </c>
      <c r="E98" t="s">
        <v>5714</v>
      </c>
      <c r="F98" s="20" t="s">
        <v>5715</v>
      </c>
      <c r="G98">
        <v>0</v>
      </c>
    </row>
    <row r="99" spans="1:7" x14ac:dyDescent="0.3">
      <c r="A99" t="s">
        <v>1815</v>
      </c>
      <c r="B99" t="s">
        <v>5512</v>
      </c>
      <c r="C99" t="s">
        <v>5718</v>
      </c>
      <c r="D99" t="s">
        <v>5713</v>
      </c>
      <c r="E99" t="s">
        <v>5714</v>
      </c>
      <c r="F99" s="20" t="s">
        <v>5715</v>
      </c>
      <c r="G99">
        <v>0</v>
      </c>
    </row>
    <row r="100" spans="1:7" x14ac:dyDescent="0.3">
      <c r="A100" t="s">
        <v>1815</v>
      </c>
      <c r="B100" t="s">
        <v>5512</v>
      </c>
      <c r="C100" t="s">
        <v>5719</v>
      </c>
      <c r="D100" t="s">
        <v>5713</v>
      </c>
      <c r="E100" t="s">
        <v>5714</v>
      </c>
      <c r="F100" s="20" t="s">
        <v>5715</v>
      </c>
      <c r="G100">
        <v>0</v>
      </c>
    </row>
    <row r="101" spans="1:7" x14ac:dyDescent="0.3">
      <c r="A101" t="s">
        <v>1891</v>
      </c>
      <c r="B101" t="s">
        <v>5720</v>
      </c>
      <c r="C101" t="s">
        <v>1405</v>
      </c>
      <c r="D101" t="s">
        <v>5721</v>
      </c>
      <c r="E101" t="s">
        <v>5722</v>
      </c>
      <c r="F101" s="20" t="s">
        <v>5723</v>
      </c>
      <c r="G101">
        <v>5</v>
      </c>
    </row>
    <row r="102" spans="1:7" x14ac:dyDescent="0.3">
      <c r="A102" t="s">
        <v>5724</v>
      </c>
      <c r="B102" t="s">
        <v>5512</v>
      </c>
      <c r="C102" t="s">
        <v>5725</v>
      </c>
      <c r="D102" t="s">
        <v>5726</v>
      </c>
      <c r="E102" t="s">
        <v>5727</v>
      </c>
      <c r="F102" s="20" t="s">
        <v>5728</v>
      </c>
      <c r="G102">
        <v>0</v>
      </c>
    </row>
    <row r="103" spans="1:7" x14ac:dyDescent="0.3">
      <c r="A103" t="s">
        <v>5724</v>
      </c>
      <c r="B103" t="s">
        <v>5512</v>
      </c>
      <c r="C103" t="s">
        <v>1449</v>
      </c>
      <c r="D103" t="s">
        <v>5726</v>
      </c>
      <c r="E103" t="s">
        <v>5727</v>
      </c>
      <c r="F103" s="20" t="s">
        <v>5728</v>
      </c>
      <c r="G103">
        <v>0</v>
      </c>
    </row>
    <row r="104" spans="1:7" x14ac:dyDescent="0.3">
      <c r="A104" t="s">
        <v>2003</v>
      </c>
      <c r="B104" t="s">
        <v>5729</v>
      </c>
      <c r="C104" t="s">
        <v>5730</v>
      </c>
      <c r="D104" t="s">
        <v>5731</v>
      </c>
      <c r="E104" t="s">
        <v>5732</v>
      </c>
      <c r="F104" s="20" t="s">
        <v>5733</v>
      </c>
      <c r="G104">
        <v>0</v>
      </c>
    </row>
    <row r="105" spans="1:7" x14ac:dyDescent="0.3">
      <c r="A105" t="s">
        <v>2003</v>
      </c>
      <c r="B105" t="s">
        <v>5729</v>
      </c>
      <c r="C105" t="s">
        <v>5734</v>
      </c>
      <c r="D105" t="s">
        <v>5731</v>
      </c>
      <c r="E105" t="s">
        <v>5732</v>
      </c>
      <c r="F105" s="20" t="s">
        <v>5733</v>
      </c>
      <c r="G105">
        <v>1</v>
      </c>
    </row>
    <row r="106" spans="1:7" x14ac:dyDescent="0.3">
      <c r="A106" t="s">
        <v>2003</v>
      </c>
      <c r="B106" t="s">
        <v>5729</v>
      </c>
      <c r="C106" t="s">
        <v>1547</v>
      </c>
      <c r="D106" t="s">
        <v>5731</v>
      </c>
      <c r="E106" t="s">
        <v>5732</v>
      </c>
      <c r="F106" s="20" t="s">
        <v>5733</v>
      </c>
      <c r="G106">
        <v>1</v>
      </c>
    </row>
    <row r="107" spans="1:7" x14ac:dyDescent="0.3">
      <c r="A107" t="s">
        <v>2003</v>
      </c>
      <c r="B107" t="s">
        <v>5729</v>
      </c>
      <c r="C107" t="s">
        <v>1549</v>
      </c>
      <c r="D107" t="s">
        <v>5731</v>
      </c>
      <c r="E107" t="s">
        <v>5732</v>
      </c>
      <c r="F107" s="20" t="s">
        <v>5733</v>
      </c>
      <c r="G107">
        <v>1</v>
      </c>
    </row>
    <row r="108" spans="1:7" x14ac:dyDescent="0.3">
      <c r="A108" t="s">
        <v>2003</v>
      </c>
      <c r="B108" t="s">
        <v>5729</v>
      </c>
      <c r="C108" t="s">
        <v>3466</v>
      </c>
      <c r="D108" t="s">
        <v>5731</v>
      </c>
      <c r="E108" t="s">
        <v>5732</v>
      </c>
      <c r="F108" s="20" t="s">
        <v>5733</v>
      </c>
      <c r="G108">
        <v>2</v>
      </c>
    </row>
    <row r="109" spans="1:7" x14ac:dyDescent="0.3">
      <c r="A109" t="s">
        <v>10</v>
      </c>
      <c r="B109" t="s">
        <v>5512</v>
      </c>
      <c r="C109" t="s">
        <v>1295</v>
      </c>
      <c r="D109" t="s">
        <v>5735</v>
      </c>
      <c r="E109" t="s">
        <v>5736</v>
      </c>
      <c r="F109" s="20" t="s">
        <v>5737</v>
      </c>
      <c r="G109">
        <v>0</v>
      </c>
    </row>
    <row r="110" spans="1:7" x14ac:dyDescent="0.3">
      <c r="A110" t="s">
        <v>10</v>
      </c>
      <c r="B110" t="s">
        <v>5512</v>
      </c>
      <c r="C110" t="s">
        <v>5738</v>
      </c>
      <c r="D110" t="s">
        <v>5735</v>
      </c>
      <c r="E110" t="s">
        <v>5736</v>
      </c>
      <c r="F110" s="20" t="s">
        <v>5737</v>
      </c>
      <c r="G110">
        <v>0</v>
      </c>
    </row>
    <row r="111" spans="1:7" x14ac:dyDescent="0.3">
      <c r="A111" t="s">
        <v>10</v>
      </c>
      <c r="B111" t="s">
        <v>5512</v>
      </c>
      <c r="C111" t="s">
        <v>1297</v>
      </c>
      <c r="D111" t="s">
        <v>5735</v>
      </c>
      <c r="E111" t="s">
        <v>5736</v>
      </c>
      <c r="F111" s="20" t="s">
        <v>5737</v>
      </c>
      <c r="G111">
        <v>0</v>
      </c>
    </row>
    <row r="112" spans="1:7" x14ac:dyDescent="0.3">
      <c r="A112" t="s">
        <v>10</v>
      </c>
      <c r="B112" t="s">
        <v>5512</v>
      </c>
      <c r="C112" t="s">
        <v>5739</v>
      </c>
      <c r="D112" t="s">
        <v>5735</v>
      </c>
      <c r="E112" t="s">
        <v>5736</v>
      </c>
      <c r="F112" s="20" t="s">
        <v>5737</v>
      </c>
      <c r="G112">
        <v>0</v>
      </c>
    </row>
    <row r="113" spans="1:7" x14ac:dyDescent="0.3">
      <c r="A113" t="s">
        <v>1754</v>
      </c>
      <c r="B113" t="s">
        <v>5512</v>
      </c>
      <c r="C113" t="s">
        <v>1229</v>
      </c>
      <c r="D113" t="s">
        <v>5669</v>
      </c>
      <c r="E113" t="s">
        <v>5670</v>
      </c>
      <c r="F113" s="20" t="s">
        <v>5671</v>
      </c>
      <c r="G113">
        <v>0</v>
      </c>
    </row>
    <row r="114" spans="1:7" x14ac:dyDescent="0.3">
      <c r="A114" t="s">
        <v>2651</v>
      </c>
      <c r="B114" t="s">
        <v>5740</v>
      </c>
      <c r="C114" t="s">
        <v>5741</v>
      </c>
      <c r="D114" t="s">
        <v>5742</v>
      </c>
      <c r="E114" t="s">
        <v>5743</v>
      </c>
      <c r="F114" s="20" t="s">
        <v>5744</v>
      </c>
      <c r="G114">
        <v>0</v>
      </c>
    </row>
    <row r="115" spans="1:7" x14ac:dyDescent="0.3">
      <c r="A115" t="s">
        <v>2651</v>
      </c>
      <c r="B115" t="s">
        <v>5740</v>
      </c>
      <c r="C115" t="s">
        <v>5745</v>
      </c>
      <c r="D115" t="s">
        <v>5742</v>
      </c>
      <c r="E115" t="s">
        <v>5743</v>
      </c>
      <c r="F115" s="20" t="s">
        <v>5744</v>
      </c>
      <c r="G115">
        <v>0</v>
      </c>
    </row>
    <row r="116" spans="1:7" x14ac:dyDescent="0.3">
      <c r="A116" t="s">
        <v>2651</v>
      </c>
      <c r="B116" t="s">
        <v>5740</v>
      </c>
      <c r="C116" t="s">
        <v>3511</v>
      </c>
      <c r="D116" t="s">
        <v>5742</v>
      </c>
      <c r="E116" t="s">
        <v>5743</v>
      </c>
      <c r="F116" s="20" t="s">
        <v>5744</v>
      </c>
      <c r="G116">
        <v>0</v>
      </c>
    </row>
    <row r="117" spans="1:7" x14ac:dyDescent="0.3">
      <c r="A117" t="s">
        <v>2651</v>
      </c>
      <c r="B117" t="s">
        <v>5512</v>
      </c>
      <c r="C117" t="s">
        <v>3509</v>
      </c>
      <c r="D117" t="s">
        <v>5746</v>
      </c>
      <c r="E117" t="s">
        <v>5747</v>
      </c>
      <c r="F117" s="20" t="s">
        <v>5748</v>
      </c>
      <c r="G117">
        <v>0</v>
      </c>
    </row>
    <row r="118" spans="1:7" x14ac:dyDescent="0.3">
      <c r="A118" t="s">
        <v>2651</v>
      </c>
      <c r="B118" t="s">
        <v>5740</v>
      </c>
      <c r="C118" t="s">
        <v>3509</v>
      </c>
      <c r="D118" t="s">
        <v>5742</v>
      </c>
      <c r="E118" t="s">
        <v>5743</v>
      </c>
      <c r="F118" s="20" t="s">
        <v>5744</v>
      </c>
      <c r="G118">
        <v>0</v>
      </c>
    </row>
    <row r="119" spans="1:7" x14ac:dyDescent="0.3">
      <c r="A119" t="s">
        <v>5749</v>
      </c>
      <c r="B119" t="s">
        <v>5512</v>
      </c>
      <c r="C119" t="s">
        <v>233</v>
      </c>
      <c r="D119" t="s">
        <v>5750</v>
      </c>
      <c r="E119" t="s">
        <v>5751</v>
      </c>
      <c r="F119" s="20" t="s">
        <v>5752</v>
      </c>
      <c r="G119">
        <v>0</v>
      </c>
    </row>
    <row r="120" spans="1:7" x14ac:dyDescent="0.3">
      <c r="A120" t="s">
        <v>5749</v>
      </c>
      <c r="B120" t="s">
        <v>5512</v>
      </c>
      <c r="C120" t="s">
        <v>5753</v>
      </c>
      <c r="D120" t="s">
        <v>5750</v>
      </c>
      <c r="E120" t="s">
        <v>5751</v>
      </c>
      <c r="F120" s="20" t="s">
        <v>5752</v>
      </c>
      <c r="G120">
        <v>0</v>
      </c>
    </row>
    <row r="121" spans="1:7" x14ac:dyDescent="0.3">
      <c r="A121" t="s">
        <v>5749</v>
      </c>
      <c r="B121" t="s">
        <v>5512</v>
      </c>
      <c r="C121" t="s">
        <v>235</v>
      </c>
      <c r="D121" t="s">
        <v>5750</v>
      </c>
      <c r="E121" t="s">
        <v>5751</v>
      </c>
      <c r="F121" s="20" t="s">
        <v>5752</v>
      </c>
      <c r="G121">
        <v>0</v>
      </c>
    </row>
    <row r="122" spans="1:7" x14ac:dyDescent="0.3">
      <c r="A122" t="s">
        <v>5749</v>
      </c>
      <c r="B122" t="s">
        <v>5512</v>
      </c>
      <c r="C122" t="s">
        <v>5754</v>
      </c>
      <c r="D122" t="s">
        <v>5750</v>
      </c>
      <c r="E122" t="s">
        <v>5751</v>
      </c>
      <c r="F122" s="20" t="s">
        <v>5752</v>
      </c>
      <c r="G122">
        <v>0</v>
      </c>
    </row>
    <row r="123" spans="1:7" x14ac:dyDescent="0.3">
      <c r="A123" t="s">
        <v>5749</v>
      </c>
      <c r="B123" t="s">
        <v>5512</v>
      </c>
      <c r="C123" t="s">
        <v>5755</v>
      </c>
      <c r="D123" t="s">
        <v>5750</v>
      </c>
      <c r="E123" t="s">
        <v>5751</v>
      </c>
      <c r="F123" s="20" t="s">
        <v>5752</v>
      </c>
      <c r="G123">
        <v>0</v>
      </c>
    </row>
    <row r="124" spans="1:7" x14ac:dyDescent="0.3">
      <c r="A124" t="s">
        <v>5749</v>
      </c>
      <c r="B124" t="s">
        <v>5512</v>
      </c>
      <c r="C124" t="s">
        <v>5756</v>
      </c>
      <c r="D124" t="s">
        <v>5750</v>
      </c>
      <c r="E124" t="s">
        <v>5751</v>
      </c>
      <c r="F124" s="20" t="s">
        <v>5752</v>
      </c>
      <c r="G124">
        <v>0</v>
      </c>
    </row>
    <row r="125" spans="1:7" x14ac:dyDescent="0.3">
      <c r="A125" t="s">
        <v>1781</v>
      </c>
      <c r="B125" t="s">
        <v>5512</v>
      </c>
      <c r="C125" t="s">
        <v>1263</v>
      </c>
      <c r="D125" t="s">
        <v>5757</v>
      </c>
      <c r="E125" t="s">
        <v>5758</v>
      </c>
      <c r="F125" s="20" t="s">
        <v>5759</v>
      </c>
      <c r="G125">
        <v>0</v>
      </c>
    </row>
    <row r="126" spans="1:7" x14ac:dyDescent="0.3">
      <c r="A126" t="s">
        <v>1781</v>
      </c>
      <c r="B126" t="s">
        <v>5512</v>
      </c>
      <c r="C126" t="s">
        <v>5760</v>
      </c>
      <c r="D126" t="s">
        <v>5757</v>
      </c>
      <c r="E126" t="s">
        <v>5758</v>
      </c>
      <c r="F126" s="20" t="s">
        <v>5759</v>
      </c>
      <c r="G126">
        <v>0</v>
      </c>
    </row>
    <row r="127" spans="1:7" x14ac:dyDescent="0.3">
      <c r="A127" t="s">
        <v>1781</v>
      </c>
      <c r="B127" t="s">
        <v>5512</v>
      </c>
      <c r="C127" t="s">
        <v>5761</v>
      </c>
      <c r="D127" t="s">
        <v>5757</v>
      </c>
      <c r="E127" t="s">
        <v>5758</v>
      </c>
      <c r="F127" s="20" t="s">
        <v>5759</v>
      </c>
      <c r="G127">
        <v>0</v>
      </c>
    </row>
    <row r="128" spans="1:7" x14ac:dyDescent="0.3">
      <c r="A128" t="s">
        <v>1781</v>
      </c>
      <c r="B128" t="s">
        <v>5512</v>
      </c>
      <c r="C128" t="s">
        <v>1265</v>
      </c>
      <c r="D128" t="s">
        <v>5757</v>
      </c>
      <c r="E128" t="s">
        <v>5758</v>
      </c>
      <c r="F128" s="20" t="s">
        <v>5759</v>
      </c>
      <c r="G128">
        <v>0</v>
      </c>
    </row>
    <row r="129" spans="1:7" x14ac:dyDescent="0.3">
      <c r="A129" t="s">
        <v>842</v>
      </c>
      <c r="B129" t="s">
        <v>5512</v>
      </c>
      <c r="C129" t="s">
        <v>375</v>
      </c>
      <c r="D129" t="s">
        <v>5762</v>
      </c>
      <c r="E129" t="s">
        <v>5763</v>
      </c>
      <c r="F129" s="20" t="s">
        <v>5764</v>
      </c>
      <c r="G129">
        <v>2</v>
      </c>
    </row>
    <row r="130" spans="1:7" x14ac:dyDescent="0.3">
      <c r="A130" t="s">
        <v>1904</v>
      </c>
      <c r="B130" t="s">
        <v>5512</v>
      </c>
      <c r="C130" t="s">
        <v>1421</v>
      </c>
      <c r="D130" t="s">
        <v>5765</v>
      </c>
      <c r="E130" t="s">
        <v>5766</v>
      </c>
      <c r="F130" s="20" t="s">
        <v>5767</v>
      </c>
      <c r="G130">
        <v>1</v>
      </c>
    </row>
    <row r="131" spans="1:7" x14ac:dyDescent="0.3">
      <c r="A131" t="s">
        <v>5768</v>
      </c>
      <c r="B131" t="s">
        <v>5512</v>
      </c>
      <c r="C131" t="s">
        <v>393</v>
      </c>
      <c r="D131" t="s">
        <v>5769</v>
      </c>
      <c r="E131" t="s">
        <v>5770</v>
      </c>
      <c r="F131" s="20" t="s">
        <v>5771</v>
      </c>
      <c r="G131">
        <v>1</v>
      </c>
    </row>
    <row r="132" spans="1:7" x14ac:dyDescent="0.3">
      <c r="A132" t="s">
        <v>762</v>
      </c>
      <c r="B132" t="s">
        <v>5512</v>
      </c>
      <c r="C132" t="s">
        <v>1227</v>
      </c>
      <c r="D132" t="s">
        <v>5772</v>
      </c>
      <c r="E132" t="s">
        <v>5773</v>
      </c>
      <c r="F132" s="20" t="s">
        <v>5774</v>
      </c>
      <c r="G132">
        <v>0</v>
      </c>
    </row>
    <row r="133" spans="1:7" x14ac:dyDescent="0.3">
      <c r="A133" t="s">
        <v>1766</v>
      </c>
      <c r="B133" t="s">
        <v>5516</v>
      </c>
      <c r="C133" t="s">
        <v>1245</v>
      </c>
      <c r="D133" t="s">
        <v>5775</v>
      </c>
      <c r="E133" t="s">
        <v>5776</v>
      </c>
      <c r="F133" s="20" t="s">
        <v>5777</v>
      </c>
      <c r="G133">
        <v>2</v>
      </c>
    </row>
    <row r="134" spans="1:7" x14ac:dyDescent="0.3">
      <c r="A134" t="s">
        <v>1766</v>
      </c>
      <c r="B134" t="s">
        <v>5516</v>
      </c>
      <c r="C134" t="s">
        <v>5778</v>
      </c>
      <c r="D134" t="s">
        <v>5779</v>
      </c>
      <c r="E134" t="s">
        <v>5780</v>
      </c>
      <c r="F134" s="20" t="s">
        <v>5781</v>
      </c>
      <c r="G134">
        <v>0</v>
      </c>
    </row>
    <row r="135" spans="1:7" x14ac:dyDescent="0.3">
      <c r="A135" t="s">
        <v>1766</v>
      </c>
      <c r="B135" t="s">
        <v>5516</v>
      </c>
      <c r="C135" t="s">
        <v>5782</v>
      </c>
      <c r="D135" t="s">
        <v>5783</v>
      </c>
      <c r="E135" t="s">
        <v>5784</v>
      </c>
      <c r="F135" s="20" t="s">
        <v>5785</v>
      </c>
      <c r="G135">
        <v>3</v>
      </c>
    </row>
    <row r="136" spans="1:7" x14ac:dyDescent="0.3">
      <c r="A136" t="s">
        <v>1766</v>
      </c>
      <c r="B136" t="s">
        <v>5516</v>
      </c>
      <c r="C136" t="s">
        <v>5786</v>
      </c>
      <c r="D136" t="s">
        <v>5787</v>
      </c>
      <c r="E136" t="s">
        <v>5788</v>
      </c>
      <c r="F136" s="20" t="s">
        <v>5789</v>
      </c>
      <c r="G136">
        <v>0</v>
      </c>
    </row>
    <row r="137" spans="1:7" x14ac:dyDescent="0.3">
      <c r="A137" t="s">
        <v>1766</v>
      </c>
      <c r="B137" t="s">
        <v>5516</v>
      </c>
      <c r="C137" t="s">
        <v>3449</v>
      </c>
      <c r="D137" t="s">
        <v>5790</v>
      </c>
      <c r="E137" t="s">
        <v>5791</v>
      </c>
      <c r="F137" s="20" t="s">
        <v>6249</v>
      </c>
      <c r="G137">
        <v>1</v>
      </c>
    </row>
    <row r="138" spans="1:7" x14ac:dyDescent="0.3">
      <c r="A138" t="s">
        <v>1766</v>
      </c>
      <c r="B138" t="s">
        <v>5792</v>
      </c>
      <c r="C138" t="s">
        <v>18</v>
      </c>
      <c r="D138" t="s">
        <v>5793</v>
      </c>
      <c r="E138" t="s">
        <v>5794</v>
      </c>
      <c r="F138" s="20" t="s">
        <v>5795</v>
      </c>
      <c r="G138">
        <v>1</v>
      </c>
    </row>
    <row r="139" spans="1:7" x14ac:dyDescent="0.3">
      <c r="A139" t="s">
        <v>1766</v>
      </c>
      <c r="B139" t="s">
        <v>5516</v>
      </c>
      <c r="C139" t="s">
        <v>18</v>
      </c>
      <c r="D139" t="s">
        <v>5796</v>
      </c>
      <c r="E139" t="s">
        <v>5797</v>
      </c>
      <c r="F139" s="20" t="s">
        <v>6250</v>
      </c>
      <c r="G139">
        <v>0</v>
      </c>
    </row>
    <row r="140" spans="1:7" x14ac:dyDescent="0.3">
      <c r="A140" t="s">
        <v>1766</v>
      </c>
      <c r="B140" t="s">
        <v>5516</v>
      </c>
      <c r="C140" t="s">
        <v>5798</v>
      </c>
      <c r="D140" t="s">
        <v>5799</v>
      </c>
      <c r="E140" t="s">
        <v>5800</v>
      </c>
      <c r="F140" s="20" t="s">
        <v>5801</v>
      </c>
      <c r="G140">
        <v>1</v>
      </c>
    </row>
    <row r="141" spans="1:7" x14ac:dyDescent="0.3">
      <c r="A141" t="s">
        <v>1766</v>
      </c>
      <c r="B141" t="s">
        <v>5802</v>
      </c>
      <c r="C141" t="s">
        <v>5803</v>
      </c>
      <c r="D141" t="s">
        <v>5804</v>
      </c>
      <c r="E141" t="s">
        <v>5805</v>
      </c>
      <c r="F141" s="20" t="s">
        <v>5806</v>
      </c>
      <c r="G141">
        <v>0</v>
      </c>
    </row>
    <row r="142" spans="1:7" x14ac:dyDescent="0.3">
      <c r="A142" t="s">
        <v>1766</v>
      </c>
      <c r="B142" t="s">
        <v>5516</v>
      </c>
      <c r="C142" t="s">
        <v>5803</v>
      </c>
      <c r="D142" t="s">
        <v>5807</v>
      </c>
      <c r="E142" t="s">
        <v>5808</v>
      </c>
      <c r="F142" s="20" t="s">
        <v>5809</v>
      </c>
      <c r="G142">
        <v>0</v>
      </c>
    </row>
    <row r="143" spans="1:7" x14ac:dyDescent="0.3">
      <c r="A143" t="s">
        <v>1906</v>
      </c>
      <c r="B143" t="s">
        <v>5512</v>
      </c>
      <c r="C143" t="s">
        <v>1423</v>
      </c>
      <c r="D143" t="s">
        <v>5810</v>
      </c>
      <c r="E143" t="s">
        <v>5811</v>
      </c>
      <c r="F143" s="20" t="s">
        <v>5812</v>
      </c>
      <c r="G143">
        <v>1</v>
      </c>
    </row>
    <row r="144" spans="1:7" x14ac:dyDescent="0.3">
      <c r="A144" t="s">
        <v>1906</v>
      </c>
      <c r="B144" t="s">
        <v>5512</v>
      </c>
      <c r="C144" t="s">
        <v>5813</v>
      </c>
      <c r="D144" t="s">
        <v>5810</v>
      </c>
      <c r="E144" t="s">
        <v>5811</v>
      </c>
      <c r="F144" s="20" t="s">
        <v>5812</v>
      </c>
      <c r="G144">
        <v>0</v>
      </c>
    </row>
    <row r="145" spans="1:7" x14ac:dyDescent="0.3">
      <c r="A145" t="s">
        <v>1906</v>
      </c>
      <c r="B145" t="s">
        <v>5512</v>
      </c>
      <c r="C145" t="s">
        <v>5814</v>
      </c>
      <c r="D145" t="s">
        <v>5810</v>
      </c>
      <c r="E145" t="s">
        <v>5811</v>
      </c>
      <c r="F145" s="20" t="s">
        <v>5812</v>
      </c>
      <c r="G145">
        <v>0</v>
      </c>
    </row>
    <row r="146" spans="1:7" x14ac:dyDescent="0.3">
      <c r="A146" t="s">
        <v>1906</v>
      </c>
      <c r="B146" t="s">
        <v>5512</v>
      </c>
      <c r="C146" t="s">
        <v>1425</v>
      </c>
      <c r="D146" t="s">
        <v>5810</v>
      </c>
      <c r="E146" t="s">
        <v>5811</v>
      </c>
      <c r="F146" s="20" t="s">
        <v>5812</v>
      </c>
      <c r="G146">
        <v>1</v>
      </c>
    </row>
    <row r="147" spans="1:7" x14ac:dyDescent="0.3">
      <c r="A147" t="s">
        <v>1906</v>
      </c>
      <c r="B147" t="s">
        <v>5815</v>
      </c>
      <c r="C147" t="s">
        <v>1425</v>
      </c>
      <c r="D147" t="s">
        <v>5816</v>
      </c>
      <c r="E147" t="s">
        <v>5817</v>
      </c>
      <c r="F147" s="20" t="s">
        <v>6251</v>
      </c>
      <c r="G147">
        <v>0</v>
      </c>
    </row>
    <row r="148" spans="1:7" x14ac:dyDescent="0.3">
      <c r="A148" t="s">
        <v>1906</v>
      </c>
      <c r="B148" t="s">
        <v>5512</v>
      </c>
      <c r="C148" t="s">
        <v>5818</v>
      </c>
      <c r="D148" t="s">
        <v>5810</v>
      </c>
      <c r="E148" t="s">
        <v>5811</v>
      </c>
      <c r="F148" s="20" t="s">
        <v>5812</v>
      </c>
      <c r="G148">
        <v>0</v>
      </c>
    </row>
    <row r="149" spans="1:7" x14ac:dyDescent="0.3">
      <c r="A149" t="s">
        <v>1906</v>
      </c>
      <c r="B149" t="s">
        <v>5512</v>
      </c>
      <c r="C149" t="s">
        <v>5819</v>
      </c>
      <c r="D149" t="s">
        <v>5810</v>
      </c>
      <c r="E149" t="s">
        <v>5811</v>
      </c>
      <c r="F149" s="20" t="s">
        <v>5812</v>
      </c>
      <c r="G149">
        <v>0</v>
      </c>
    </row>
    <row r="150" spans="1:7" x14ac:dyDescent="0.3">
      <c r="A150" t="s">
        <v>1795</v>
      </c>
      <c r="B150" t="s">
        <v>5820</v>
      </c>
      <c r="C150" t="s">
        <v>5821</v>
      </c>
      <c r="D150" t="s">
        <v>5822</v>
      </c>
      <c r="E150" t="s">
        <v>5823</v>
      </c>
      <c r="F150" s="20" t="s">
        <v>6252</v>
      </c>
      <c r="G150">
        <v>0</v>
      </c>
    </row>
    <row r="151" spans="1:7" x14ac:dyDescent="0.3">
      <c r="A151" t="s">
        <v>1795</v>
      </c>
      <c r="B151" t="s">
        <v>5820</v>
      </c>
      <c r="C151" t="s">
        <v>1281</v>
      </c>
      <c r="D151" t="s">
        <v>5822</v>
      </c>
      <c r="E151" t="s">
        <v>5823</v>
      </c>
      <c r="F151" s="20" t="s">
        <v>6252</v>
      </c>
      <c r="G151">
        <v>0</v>
      </c>
    </row>
    <row r="152" spans="1:7" x14ac:dyDescent="0.3">
      <c r="A152" t="s">
        <v>844</v>
      </c>
      <c r="B152" t="s">
        <v>5512</v>
      </c>
      <c r="C152" t="s">
        <v>377</v>
      </c>
      <c r="D152" t="s">
        <v>5824</v>
      </c>
      <c r="E152" t="s">
        <v>5825</v>
      </c>
      <c r="F152" s="20" t="s">
        <v>5826</v>
      </c>
      <c r="G152">
        <v>0</v>
      </c>
    </row>
    <row r="153" spans="1:7" x14ac:dyDescent="0.3">
      <c r="A153" t="s">
        <v>767</v>
      </c>
      <c r="B153" t="s">
        <v>5827</v>
      </c>
      <c r="C153" t="s">
        <v>277</v>
      </c>
      <c r="D153" t="s">
        <v>5828</v>
      </c>
      <c r="E153" t="s">
        <v>5829</v>
      </c>
      <c r="F153" s="20" t="s">
        <v>5830</v>
      </c>
      <c r="G153">
        <v>1</v>
      </c>
    </row>
    <row r="154" spans="1:7" x14ac:dyDescent="0.3">
      <c r="A154" t="s">
        <v>767</v>
      </c>
      <c r="B154" t="s">
        <v>5827</v>
      </c>
      <c r="C154" t="s">
        <v>5831</v>
      </c>
      <c r="D154" t="s">
        <v>5832</v>
      </c>
      <c r="E154" t="s">
        <v>5833</v>
      </c>
      <c r="F154" s="20" t="s">
        <v>6253</v>
      </c>
      <c r="G154">
        <v>0</v>
      </c>
    </row>
    <row r="155" spans="1:7" x14ac:dyDescent="0.3">
      <c r="A155" t="s">
        <v>767</v>
      </c>
      <c r="B155" t="s">
        <v>5834</v>
      </c>
      <c r="C155" t="s">
        <v>5835</v>
      </c>
      <c r="D155" t="s">
        <v>5836</v>
      </c>
      <c r="E155" t="s">
        <v>5837</v>
      </c>
      <c r="F155" s="20" t="s">
        <v>5838</v>
      </c>
      <c r="G155">
        <v>1</v>
      </c>
    </row>
    <row r="156" spans="1:7" x14ac:dyDescent="0.3">
      <c r="A156" t="s">
        <v>7</v>
      </c>
      <c r="B156" t="s">
        <v>2598</v>
      </c>
      <c r="C156" t="s">
        <v>327</v>
      </c>
      <c r="D156" t="s">
        <v>5839</v>
      </c>
      <c r="E156" t="s">
        <v>5840</v>
      </c>
      <c r="F156" s="20" t="s">
        <v>5841</v>
      </c>
      <c r="G156">
        <v>0</v>
      </c>
    </row>
    <row r="157" spans="1:7" x14ac:dyDescent="0.3">
      <c r="A157" t="s">
        <v>7</v>
      </c>
      <c r="B157" t="s">
        <v>2598</v>
      </c>
      <c r="C157" t="s">
        <v>5842</v>
      </c>
      <c r="D157" t="s">
        <v>5839</v>
      </c>
      <c r="E157" t="s">
        <v>5840</v>
      </c>
      <c r="F157" s="20" t="s">
        <v>5841</v>
      </c>
      <c r="G157">
        <v>0</v>
      </c>
    </row>
    <row r="158" spans="1:7" x14ac:dyDescent="0.3">
      <c r="A158" t="s">
        <v>7</v>
      </c>
      <c r="B158" t="s">
        <v>2598</v>
      </c>
      <c r="C158" t="s">
        <v>5843</v>
      </c>
      <c r="D158" t="s">
        <v>5839</v>
      </c>
      <c r="E158" t="s">
        <v>5840</v>
      </c>
      <c r="F158" s="20" t="s">
        <v>5841</v>
      </c>
      <c r="G158">
        <v>0</v>
      </c>
    </row>
    <row r="159" spans="1:7" x14ac:dyDescent="0.3">
      <c r="A159" t="s">
        <v>7</v>
      </c>
      <c r="B159" t="s">
        <v>2598</v>
      </c>
      <c r="C159" t="s">
        <v>329</v>
      </c>
      <c r="D159" t="s">
        <v>5839</v>
      </c>
      <c r="E159" t="s">
        <v>5840</v>
      </c>
      <c r="F159" s="20" t="s">
        <v>5841</v>
      </c>
      <c r="G159">
        <v>0</v>
      </c>
    </row>
    <row r="160" spans="1:7" x14ac:dyDescent="0.3">
      <c r="A160" t="s">
        <v>7</v>
      </c>
      <c r="B160" t="s">
        <v>2598</v>
      </c>
      <c r="C160" t="s">
        <v>5844</v>
      </c>
      <c r="D160" t="s">
        <v>5839</v>
      </c>
      <c r="E160" t="s">
        <v>5840</v>
      </c>
      <c r="F160" s="20" t="s">
        <v>5841</v>
      </c>
      <c r="G160">
        <v>0</v>
      </c>
    </row>
    <row r="161" spans="1:7" x14ac:dyDescent="0.3">
      <c r="A161" t="s">
        <v>7</v>
      </c>
      <c r="B161" t="s">
        <v>2598</v>
      </c>
      <c r="C161" t="s">
        <v>5845</v>
      </c>
      <c r="D161" t="s">
        <v>5839</v>
      </c>
      <c r="E161" t="s">
        <v>5840</v>
      </c>
      <c r="F161" s="20" t="s">
        <v>5841</v>
      </c>
      <c r="G161">
        <v>0</v>
      </c>
    </row>
    <row r="162" spans="1:7" x14ac:dyDescent="0.3">
      <c r="A162" t="s">
        <v>700</v>
      </c>
      <c r="B162" t="s">
        <v>5512</v>
      </c>
      <c r="C162" t="s">
        <v>193</v>
      </c>
      <c r="D162" t="s">
        <v>5846</v>
      </c>
      <c r="E162" t="s">
        <v>5847</v>
      </c>
      <c r="F162" s="20" t="s">
        <v>5848</v>
      </c>
      <c r="G162">
        <v>0</v>
      </c>
    </row>
    <row r="163" spans="1:7" x14ac:dyDescent="0.3">
      <c r="A163" t="s">
        <v>1908</v>
      </c>
      <c r="B163" t="s">
        <v>5512</v>
      </c>
      <c r="C163" t="s">
        <v>1427</v>
      </c>
      <c r="D163" t="s">
        <v>5849</v>
      </c>
      <c r="E163" t="s">
        <v>5670</v>
      </c>
      <c r="F163" s="20" t="s">
        <v>5671</v>
      </c>
      <c r="G163">
        <v>0</v>
      </c>
    </row>
    <row r="164" spans="1:7" x14ac:dyDescent="0.3">
      <c r="A164" t="s">
        <v>1908</v>
      </c>
      <c r="B164" t="s">
        <v>5512</v>
      </c>
      <c r="C164" t="s">
        <v>5850</v>
      </c>
      <c r="D164" t="s">
        <v>5849</v>
      </c>
      <c r="E164" t="s">
        <v>5670</v>
      </c>
      <c r="F164" s="20" t="s">
        <v>5671</v>
      </c>
      <c r="G164">
        <v>0</v>
      </c>
    </row>
    <row r="165" spans="1:7" x14ac:dyDescent="0.3">
      <c r="A165" t="s">
        <v>1908</v>
      </c>
      <c r="B165" t="s">
        <v>5512</v>
      </c>
      <c r="C165" t="s">
        <v>3574</v>
      </c>
      <c r="D165" t="s">
        <v>5851</v>
      </c>
      <c r="E165" t="s">
        <v>5852</v>
      </c>
      <c r="F165" s="20" t="s">
        <v>5853</v>
      </c>
      <c r="G165">
        <v>2</v>
      </c>
    </row>
    <row r="166" spans="1:7" x14ac:dyDescent="0.3">
      <c r="A166" t="s">
        <v>781</v>
      </c>
      <c r="B166" t="s">
        <v>5512</v>
      </c>
      <c r="C166" t="s">
        <v>295</v>
      </c>
      <c r="D166" t="s">
        <v>5854</v>
      </c>
      <c r="E166" t="s">
        <v>5855</v>
      </c>
      <c r="F166" s="20" t="s">
        <v>5856</v>
      </c>
      <c r="G166">
        <v>2</v>
      </c>
    </row>
    <row r="167" spans="1:7" x14ac:dyDescent="0.3">
      <c r="A167" t="s">
        <v>16</v>
      </c>
      <c r="B167" t="s">
        <v>5857</v>
      </c>
      <c r="C167" t="s">
        <v>315</v>
      </c>
      <c r="D167" t="s">
        <v>5858</v>
      </c>
      <c r="E167" t="s">
        <v>5859</v>
      </c>
      <c r="F167" s="20" t="s">
        <v>5860</v>
      </c>
      <c r="G167">
        <v>0</v>
      </c>
    </row>
    <row r="168" spans="1:7" x14ac:dyDescent="0.3">
      <c r="A168" t="s">
        <v>16</v>
      </c>
      <c r="B168" t="s">
        <v>5861</v>
      </c>
      <c r="C168" t="s">
        <v>315</v>
      </c>
      <c r="D168" t="s">
        <v>5862</v>
      </c>
      <c r="E168" t="s">
        <v>5863</v>
      </c>
      <c r="F168" s="20" t="s">
        <v>6254</v>
      </c>
      <c r="G168">
        <v>1</v>
      </c>
    </row>
    <row r="169" spans="1:7" x14ac:dyDescent="0.3">
      <c r="A169" t="s">
        <v>16</v>
      </c>
      <c r="B169" t="s">
        <v>5864</v>
      </c>
      <c r="C169" t="s">
        <v>315</v>
      </c>
      <c r="D169" t="s">
        <v>5865</v>
      </c>
      <c r="E169" t="s">
        <v>5866</v>
      </c>
      <c r="F169" s="20" t="s">
        <v>5867</v>
      </c>
      <c r="G169">
        <v>0</v>
      </c>
    </row>
    <row r="170" spans="1:7" x14ac:dyDescent="0.3">
      <c r="A170" t="s">
        <v>16</v>
      </c>
      <c r="B170" t="s">
        <v>5861</v>
      </c>
      <c r="C170" t="s">
        <v>317</v>
      </c>
      <c r="D170" t="s">
        <v>5868</v>
      </c>
      <c r="E170" t="s">
        <v>5863</v>
      </c>
      <c r="F170" s="20" t="s">
        <v>6255</v>
      </c>
      <c r="G170">
        <v>0</v>
      </c>
    </row>
    <row r="171" spans="1:7" x14ac:dyDescent="0.3">
      <c r="A171" t="s">
        <v>16</v>
      </c>
      <c r="B171" t="s">
        <v>5861</v>
      </c>
      <c r="C171" t="s">
        <v>5869</v>
      </c>
      <c r="D171" t="s">
        <v>5870</v>
      </c>
      <c r="E171" t="s">
        <v>5863</v>
      </c>
      <c r="F171" s="20" t="s">
        <v>6256</v>
      </c>
      <c r="G171">
        <v>0</v>
      </c>
    </row>
    <row r="172" spans="1:7" x14ac:dyDescent="0.3">
      <c r="A172" t="s">
        <v>16</v>
      </c>
      <c r="B172" t="s">
        <v>5861</v>
      </c>
      <c r="C172" t="s">
        <v>5871</v>
      </c>
      <c r="D172" t="s">
        <v>5862</v>
      </c>
      <c r="E172" t="s">
        <v>5863</v>
      </c>
      <c r="F172" s="20" t="s">
        <v>6254</v>
      </c>
      <c r="G172">
        <v>1</v>
      </c>
    </row>
    <row r="173" spans="1:7" x14ac:dyDescent="0.3">
      <c r="A173" t="s">
        <v>16</v>
      </c>
      <c r="B173" t="s">
        <v>5861</v>
      </c>
      <c r="C173" t="s">
        <v>5872</v>
      </c>
      <c r="D173" t="s">
        <v>5862</v>
      </c>
      <c r="E173" t="s">
        <v>5863</v>
      </c>
      <c r="F173" s="20" t="s">
        <v>6254</v>
      </c>
      <c r="G173">
        <v>0</v>
      </c>
    </row>
    <row r="174" spans="1:7" x14ac:dyDescent="0.3">
      <c r="A174" t="s">
        <v>16</v>
      </c>
      <c r="B174" t="s">
        <v>5861</v>
      </c>
      <c r="C174" t="s">
        <v>5873</v>
      </c>
      <c r="D174" t="s">
        <v>5870</v>
      </c>
      <c r="E174" t="s">
        <v>5863</v>
      </c>
      <c r="F174" s="20" t="s">
        <v>6256</v>
      </c>
      <c r="G174">
        <v>2</v>
      </c>
    </row>
    <row r="175" spans="1:7" x14ac:dyDescent="0.3">
      <c r="A175" t="s">
        <v>16</v>
      </c>
      <c r="B175" t="s">
        <v>5874</v>
      </c>
      <c r="C175" t="s">
        <v>4</v>
      </c>
      <c r="D175" t="s">
        <v>5875</v>
      </c>
      <c r="E175" t="s">
        <v>5876</v>
      </c>
      <c r="F175" s="20" t="s">
        <v>5877</v>
      </c>
      <c r="G175">
        <v>0</v>
      </c>
    </row>
    <row r="176" spans="1:7" x14ac:dyDescent="0.3">
      <c r="A176" t="s">
        <v>16</v>
      </c>
      <c r="B176" t="s">
        <v>5857</v>
      </c>
      <c r="C176" t="s">
        <v>4</v>
      </c>
      <c r="D176" t="s">
        <v>5878</v>
      </c>
      <c r="E176" t="s">
        <v>5859</v>
      </c>
      <c r="F176" s="20" t="s">
        <v>5879</v>
      </c>
      <c r="G176">
        <v>0</v>
      </c>
    </row>
    <row r="177" spans="1:7" x14ac:dyDescent="0.3">
      <c r="A177" t="s">
        <v>16</v>
      </c>
      <c r="B177" t="s">
        <v>5861</v>
      </c>
      <c r="C177" t="s">
        <v>4</v>
      </c>
      <c r="D177" t="s">
        <v>5880</v>
      </c>
      <c r="E177" t="s">
        <v>5863</v>
      </c>
      <c r="F177" s="20" t="s">
        <v>6257</v>
      </c>
      <c r="G177">
        <v>0</v>
      </c>
    </row>
    <row r="178" spans="1:7" x14ac:dyDescent="0.3">
      <c r="A178" t="s">
        <v>16</v>
      </c>
      <c r="B178" t="s">
        <v>5864</v>
      </c>
      <c r="C178" t="s">
        <v>4</v>
      </c>
      <c r="D178" t="s">
        <v>5881</v>
      </c>
      <c r="E178" t="s">
        <v>5882</v>
      </c>
      <c r="F178" s="20" t="s">
        <v>5883</v>
      </c>
      <c r="G178">
        <v>0</v>
      </c>
    </row>
    <row r="179" spans="1:7" x14ac:dyDescent="0.3">
      <c r="A179" t="s">
        <v>16</v>
      </c>
      <c r="B179" t="s">
        <v>19</v>
      </c>
      <c r="C179" t="s">
        <v>4</v>
      </c>
      <c r="D179" t="s">
        <v>5884</v>
      </c>
      <c r="E179" t="s">
        <v>5885</v>
      </c>
      <c r="F179" s="20" t="s">
        <v>6258</v>
      </c>
      <c r="G179">
        <v>0</v>
      </c>
    </row>
    <row r="180" spans="1:7" x14ac:dyDescent="0.3">
      <c r="A180" t="s">
        <v>16</v>
      </c>
      <c r="B180" t="s">
        <v>5861</v>
      </c>
      <c r="C180" t="s">
        <v>5886</v>
      </c>
      <c r="D180" t="s">
        <v>5880</v>
      </c>
      <c r="E180" t="s">
        <v>5863</v>
      </c>
      <c r="F180" s="20" t="s">
        <v>6257</v>
      </c>
      <c r="G180">
        <v>0</v>
      </c>
    </row>
    <row r="181" spans="1:7" x14ac:dyDescent="0.3">
      <c r="A181" t="s">
        <v>16</v>
      </c>
      <c r="B181" t="s">
        <v>5861</v>
      </c>
      <c r="C181" t="s">
        <v>5887</v>
      </c>
      <c r="D181" t="s">
        <v>5888</v>
      </c>
      <c r="E181" t="s">
        <v>5863</v>
      </c>
      <c r="F181" s="20" t="s">
        <v>6259</v>
      </c>
      <c r="G181">
        <v>2</v>
      </c>
    </row>
    <row r="182" spans="1:7" x14ac:dyDescent="0.3">
      <c r="A182" t="s">
        <v>16</v>
      </c>
      <c r="B182" t="s">
        <v>5861</v>
      </c>
      <c r="C182" t="s">
        <v>5889</v>
      </c>
      <c r="D182" t="s">
        <v>5888</v>
      </c>
      <c r="E182" t="s">
        <v>5863</v>
      </c>
      <c r="F182" s="20" t="s">
        <v>6259</v>
      </c>
      <c r="G182">
        <v>0</v>
      </c>
    </row>
    <row r="183" spans="1:7" x14ac:dyDescent="0.3">
      <c r="A183" t="s">
        <v>16</v>
      </c>
      <c r="B183" t="s">
        <v>5864</v>
      </c>
      <c r="C183" t="s">
        <v>5889</v>
      </c>
      <c r="D183" t="s">
        <v>5890</v>
      </c>
      <c r="E183" t="s">
        <v>5891</v>
      </c>
      <c r="F183" s="20" t="s">
        <v>6260</v>
      </c>
      <c r="G183">
        <v>0</v>
      </c>
    </row>
    <row r="184" spans="1:7" x14ac:dyDescent="0.3">
      <c r="A184" t="s">
        <v>16</v>
      </c>
      <c r="B184" t="s">
        <v>5861</v>
      </c>
      <c r="C184" t="s">
        <v>5892</v>
      </c>
      <c r="D184" t="s">
        <v>5870</v>
      </c>
      <c r="E184" t="s">
        <v>5863</v>
      </c>
      <c r="F184" s="20" t="s">
        <v>6256</v>
      </c>
      <c r="G184">
        <v>1</v>
      </c>
    </row>
    <row r="185" spans="1:7" x14ac:dyDescent="0.3">
      <c r="A185" t="s">
        <v>16</v>
      </c>
      <c r="B185" t="s">
        <v>19</v>
      </c>
      <c r="C185" t="s">
        <v>5892</v>
      </c>
      <c r="D185" t="s">
        <v>5893</v>
      </c>
      <c r="E185" t="s">
        <v>5894</v>
      </c>
      <c r="F185" s="20" t="s">
        <v>6261</v>
      </c>
      <c r="G185">
        <v>0</v>
      </c>
    </row>
    <row r="186" spans="1:7" x14ac:dyDescent="0.3">
      <c r="A186" t="s">
        <v>16</v>
      </c>
      <c r="B186" t="s">
        <v>5861</v>
      </c>
      <c r="C186" t="s">
        <v>5895</v>
      </c>
      <c r="D186" t="s">
        <v>5888</v>
      </c>
      <c r="E186" t="s">
        <v>5863</v>
      </c>
      <c r="F186" s="20" t="s">
        <v>6259</v>
      </c>
      <c r="G186">
        <v>0</v>
      </c>
    </row>
    <row r="187" spans="1:7" x14ac:dyDescent="0.3">
      <c r="A187" t="s">
        <v>16</v>
      </c>
      <c r="B187" t="s">
        <v>5861</v>
      </c>
      <c r="C187" t="s">
        <v>5896</v>
      </c>
      <c r="D187" t="s">
        <v>5862</v>
      </c>
      <c r="E187" t="s">
        <v>5863</v>
      </c>
      <c r="F187" s="20" t="s">
        <v>6254</v>
      </c>
      <c r="G187">
        <v>0</v>
      </c>
    </row>
    <row r="188" spans="1:7" x14ac:dyDescent="0.3">
      <c r="A188" t="s">
        <v>16</v>
      </c>
      <c r="B188" t="s">
        <v>5861</v>
      </c>
      <c r="C188" t="s">
        <v>5897</v>
      </c>
      <c r="D188" t="s">
        <v>5880</v>
      </c>
      <c r="E188" t="s">
        <v>5863</v>
      </c>
      <c r="F188" s="20" t="s">
        <v>6257</v>
      </c>
      <c r="G188">
        <v>0</v>
      </c>
    </row>
    <row r="189" spans="1:7" x14ac:dyDescent="0.3">
      <c r="A189" t="s">
        <v>16</v>
      </c>
      <c r="B189" t="s">
        <v>5861</v>
      </c>
      <c r="C189" t="s">
        <v>5898</v>
      </c>
      <c r="D189" t="s">
        <v>5870</v>
      </c>
      <c r="E189" t="s">
        <v>5863</v>
      </c>
      <c r="F189" s="20" t="s">
        <v>6256</v>
      </c>
      <c r="G189">
        <v>0</v>
      </c>
    </row>
    <row r="190" spans="1:7" x14ac:dyDescent="0.3">
      <c r="A190" t="s">
        <v>16</v>
      </c>
      <c r="B190" t="s">
        <v>5861</v>
      </c>
      <c r="C190" t="s">
        <v>5899</v>
      </c>
      <c r="D190" t="s">
        <v>5868</v>
      </c>
      <c r="E190" t="s">
        <v>5863</v>
      </c>
      <c r="F190" s="20" t="s">
        <v>6255</v>
      </c>
      <c r="G190">
        <v>0</v>
      </c>
    </row>
    <row r="191" spans="1:7" x14ac:dyDescent="0.3">
      <c r="A191" t="s">
        <v>16</v>
      </c>
      <c r="B191" t="s">
        <v>19</v>
      </c>
      <c r="C191" t="s">
        <v>5899</v>
      </c>
      <c r="D191" t="s">
        <v>5900</v>
      </c>
      <c r="E191" t="s">
        <v>5901</v>
      </c>
      <c r="F191" s="20" t="s">
        <v>6262</v>
      </c>
      <c r="G191">
        <v>0</v>
      </c>
    </row>
    <row r="192" spans="1:7" x14ac:dyDescent="0.3">
      <c r="A192" t="s">
        <v>16</v>
      </c>
      <c r="B192" t="s">
        <v>5861</v>
      </c>
      <c r="C192" t="s">
        <v>5902</v>
      </c>
      <c r="D192" t="s">
        <v>5870</v>
      </c>
      <c r="E192" t="s">
        <v>5863</v>
      </c>
      <c r="F192" s="20" t="s">
        <v>6256</v>
      </c>
      <c r="G192">
        <v>1</v>
      </c>
    </row>
    <row r="193" spans="1:7" x14ac:dyDescent="0.3">
      <c r="A193" t="s">
        <v>16</v>
      </c>
      <c r="B193" t="s">
        <v>19</v>
      </c>
      <c r="C193" t="s">
        <v>5902</v>
      </c>
      <c r="D193" t="s">
        <v>5903</v>
      </c>
      <c r="E193" t="s">
        <v>5904</v>
      </c>
      <c r="F193" s="20" t="s">
        <v>6263</v>
      </c>
      <c r="G193">
        <v>0</v>
      </c>
    </row>
    <row r="194" spans="1:7" x14ac:dyDescent="0.3">
      <c r="A194" t="s">
        <v>16</v>
      </c>
      <c r="B194" t="s">
        <v>5861</v>
      </c>
      <c r="C194" t="s">
        <v>5905</v>
      </c>
      <c r="D194" t="s">
        <v>5906</v>
      </c>
      <c r="E194" t="s">
        <v>5863</v>
      </c>
      <c r="F194" s="20" t="s">
        <v>6259</v>
      </c>
      <c r="G194">
        <v>3</v>
      </c>
    </row>
    <row r="195" spans="1:7" x14ac:dyDescent="0.3">
      <c r="A195" t="s">
        <v>6</v>
      </c>
      <c r="B195" t="s">
        <v>5512</v>
      </c>
      <c r="C195" t="s">
        <v>3557</v>
      </c>
      <c r="D195" t="s">
        <v>5907</v>
      </c>
      <c r="E195" t="s">
        <v>5908</v>
      </c>
      <c r="F195" s="20" t="s">
        <v>5909</v>
      </c>
      <c r="G195">
        <v>1</v>
      </c>
    </row>
    <row r="196" spans="1:7" x14ac:dyDescent="0.3">
      <c r="A196" t="s">
        <v>6</v>
      </c>
      <c r="B196" t="s">
        <v>5512</v>
      </c>
      <c r="C196" t="s">
        <v>5910</v>
      </c>
      <c r="D196" t="s">
        <v>5907</v>
      </c>
      <c r="E196" t="s">
        <v>5911</v>
      </c>
      <c r="F196" s="20" t="s">
        <v>5909</v>
      </c>
      <c r="G196">
        <v>0</v>
      </c>
    </row>
    <row r="197" spans="1:7" x14ac:dyDescent="0.3">
      <c r="A197" t="s">
        <v>6</v>
      </c>
      <c r="B197" t="s">
        <v>5512</v>
      </c>
      <c r="C197" t="s">
        <v>5912</v>
      </c>
      <c r="D197" t="s">
        <v>5907</v>
      </c>
      <c r="E197" t="s">
        <v>5911</v>
      </c>
      <c r="F197" s="20" t="s">
        <v>5909</v>
      </c>
      <c r="G197">
        <v>0</v>
      </c>
    </row>
    <row r="198" spans="1:7" x14ac:dyDescent="0.3">
      <c r="A198" t="s">
        <v>8</v>
      </c>
      <c r="B198" t="s">
        <v>5913</v>
      </c>
      <c r="C198" t="s">
        <v>5914</v>
      </c>
      <c r="D198" t="s">
        <v>5915</v>
      </c>
      <c r="E198" t="s">
        <v>5916</v>
      </c>
      <c r="F198" s="20" t="s">
        <v>6264</v>
      </c>
      <c r="G198">
        <v>0</v>
      </c>
    </row>
    <row r="199" spans="1:7" x14ac:dyDescent="0.3">
      <c r="A199" t="s">
        <v>8</v>
      </c>
      <c r="B199" t="s">
        <v>5917</v>
      </c>
      <c r="C199" t="s">
        <v>463</v>
      </c>
      <c r="D199" t="s">
        <v>5918</v>
      </c>
      <c r="E199" t="s">
        <v>5919</v>
      </c>
      <c r="F199" s="20" t="s">
        <v>5920</v>
      </c>
      <c r="G199">
        <v>0</v>
      </c>
    </row>
    <row r="200" spans="1:7" x14ac:dyDescent="0.3">
      <c r="A200" t="s">
        <v>8</v>
      </c>
      <c r="B200" t="s">
        <v>5512</v>
      </c>
      <c r="C200" t="s">
        <v>463</v>
      </c>
      <c r="D200" t="s">
        <v>5921</v>
      </c>
      <c r="E200" t="s">
        <v>5922</v>
      </c>
      <c r="F200" s="20" t="s">
        <v>5923</v>
      </c>
      <c r="G200">
        <v>3</v>
      </c>
    </row>
    <row r="201" spans="1:7" x14ac:dyDescent="0.3">
      <c r="A201" t="s">
        <v>8</v>
      </c>
      <c r="B201" t="s">
        <v>5924</v>
      </c>
      <c r="C201" t="s">
        <v>463</v>
      </c>
      <c r="D201" t="s">
        <v>5925</v>
      </c>
      <c r="E201" t="s">
        <v>5926</v>
      </c>
      <c r="F201" s="20" t="s">
        <v>6265</v>
      </c>
      <c r="G201">
        <v>1</v>
      </c>
    </row>
    <row r="202" spans="1:7" x14ac:dyDescent="0.3">
      <c r="A202" t="s">
        <v>8</v>
      </c>
      <c r="B202" t="s">
        <v>5913</v>
      </c>
      <c r="C202" t="s">
        <v>5927</v>
      </c>
      <c r="D202" t="s">
        <v>5915</v>
      </c>
      <c r="E202" t="s">
        <v>5916</v>
      </c>
      <c r="F202" s="20" t="s">
        <v>6264</v>
      </c>
      <c r="G202">
        <v>0</v>
      </c>
    </row>
    <row r="203" spans="1:7" x14ac:dyDescent="0.3">
      <c r="A203" t="s">
        <v>8</v>
      </c>
      <c r="B203" t="s">
        <v>5913</v>
      </c>
      <c r="C203" t="s">
        <v>3934</v>
      </c>
      <c r="D203" t="s">
        <v>5915</v>
      </c>
      <c r="E203" t="s">
        <v>5916</v>
      </c>
      <c r="F203" s="20" t="s">
        <v>6264</v>
      </c>
      <c r="G203">
        <v>0</v>
      </c>
    </row>
    <row r="204" spans="1:7" x14ac:dyDescent="0.3">
      <c r="A204" t="s">
        <v>8</v>
      </c>
      <c r="B204" t="s">
        <v>5928</v>
      </c>
      <c r="C204" t="s">
        <v>3934</v>
      </c>
      <c r="D204" t="s">
        <v>5929</v>
      </c>
      <c r="E204" t="s">
        <v>5930</v>
      </c>
      <c r="F204" s="20" t="s">
        <v>6266</v>
      </c>
      <c r="G204">
        <v>0</v>
      </c>
    </row>
    <row r="205" spans="1:7" x14ac:dyDescent="0.3">
      <c r="A205" t="s">
        <v>8</v>
      </c>
      <c r="B205" t="s">
        <v>5913</v>
      </c>
      <c r="C205" t="s">
        <v>5931</v>
      </c>
      <c r="D205" t="s">
        <v>5915</v>
      </c>
      <c r="E205" t="s">
        <v>5916</v>
      </c>
      <c r="F205" s="20" t="s">
        <v>6264</v>
      </c>
      <c r="G205">
        <v>0</v>
      </c>
    </row>
    <row r="206" spans="1:7" x14ac:dyDescent="0.3">
      <c r="A206" t="s">
        <v>8</v>
      </c>
      <c r="B206" t="s">
        <v>5913</v>
      </c>
      <c r="C206" t="s">
        <v>5932</v>
      </c>
      <c r="D206" t="s">
        <v>5915</v>
      </c>
      <c r="E206" t="s">
        <v>5916</v>
      </c>
      <c r="F206" s="20" t="s">
        <v>6264</v>
      </c>
      <c r="G206">
        <v>0</v>
      </c>
    </row>
    <row r="207" spans="1:7" x14ac:dyDescent="0.3">
      <c r="A207" t="s">
        <v>1884</v>
      </c>
      <c r="B207" t="s">
        <v>5512</v>
      </c>
      <c r="C207" t="s">
        <v>1397</v>
      </c>
      <c r="D207" t="s">
        <v>5933</v>
      </c>
      <c r="E207" t="s">
        <v>5934</v>
      </c>
      <c r="F207" s="20" t="s">
        <v>5935</v>
      </c>
      <c r="G207">
        <v>4</v>
      </c>
    </row>
    <row r="208" spans="1:7" x14ac:dyDescent="0.3">
      <c r="A208" t="s">
        <v>1913</v>
      </c>
      <c r="B208" t="s">
        <v>5512</v>
      </c>
      <c r="C208" t="s">
        <v>5936</v>
      </c>
      <c r="D208" t="s">
        <v>5937</v>
      </c>
      <c r="E208" t="s">
        <v>5938</v>
      </c>
      <c r="F208" s="20" t="s">
        <v>5939</v>
      </c>
      <c r="G208">
        <v>0</v>
      </c>
    </row>
    <row r="209" spans="1:7" x14ac:dyDescent="0.3">
      <c r="A209" t="s">
        <v>1893</v>
      </c>
      <c r="B209" t="s">
        <v>5512</v>
      </c>
      <c r="C209" t="s">
        <v>1409</v>
      </c>
      <c r="D209" t="s">
        <v>5940</v>
      </c>
      <c r="E209" t="s">
        <v>5941</v>
      </c>
      <c r="F209" s="20" t="s">
        <v>5942</v>
      </c>
      <c r="G209">
        <v>0</v>
      </c>
    </row>
    <row r="210" spans="1:7" x14ac:dyDescent="0.3">
      <c r="A210" t="s">
        <v>9</v>
      </c>
      <c r="B210" t="s">
        <v>5943</v>
      </c>
      <c r="C210" t="s">
        <v>1491</v>
      </c>
      <c r="D210" t="s">
        <v>5944</v>
      </c>
      <c r="E210" t="s">
        <v>5945</v>
      </c>
      <c r="F210" s="20" t="s">
        <v>5946</v>
      </c>
      <c r="G210">
        <v>1</v>
      </c>
    </row>
    <row r="211" spans="1:7" x14ac:dyDescent="0.3">
      <c r="A211" t="s">
        <v>9</v>
      </c>
      <c r="B211" t="s">
        <v>5943</v>
      </c>
      <c r="C211" t="s">
        <v>1493</v>
      </c>
      <c r="D211" t="s">
        <v>5947</v>
      </c>
      <c r="E211" t="s">
        <v>5948</v>
      </c>
      <c r="F211" s="20" t="s">
        <v>5949</v>
      </c>
      <c r="G211">
        <v>2</v>
      </c>
    </row>
    <row r="212" spans="1:7" x14ac:dyDescent="0.3">
      <c r="A212" t="s">
        <v>9</v>
      </c>
      <c r="B212" t="s">
        <v>5950</v>
      </c>
      <c r="C212" t="s">
        <v>5951</v>
      </c>
      <c r="D212" t="s">
        <v>5952</v>
      </c>
      <c r="E212" t="s">
        <v>5953</v>
      </c>
      <c r="F212" s="20" t="s">
        <v>5954</v>
      </c>
      <c r="G212">
        <v>0</v>
      </c>
    </row>
    <row r="213" spans="1:7" x14ac:dyDescent="0.3">
      <c r="A213" t="s">
        <v>1963</v>
      </c>
      <c r="B213" t="s">
        <v>5512</v>
      </c>
      <c r="C213" t="s">
        <v>1499</v>
      </c>
      <c r="D213" t="s">
        <v>5955</v>
      </c>
      <c r="E213" t="s">
        <v>5956</v>
      </c>
      <c r="F213" s="20" t="s">
        <v>6267</v>
      </c>
      <c r="G213">
        <v>0</v>
      </c>
    </row>
    <row r="214" spans="1:7" x14ac:dyDescent="0.3">
      <c r="A214" t="s">
        <v>1963</v>
      </c>
      <c r="B214" t="s">
        <v>5512</v>
      </c>
      <c r="C214" t="s">
        <v>5957</v>
      </c>
      <c r="D214" t="s">
        <v>5955</v>
      </c>
      <c r="E214" t="s">
        <v>5956</v>
      </c>
      <c r="F214" s="20" t="s">
        <v>6267</v>
      </c>
      <c r="G214">
        <v>0</v>
      </c>
    </row>
    <row r="215" spans="1:7" x14ac:dyDescent="0.3">
      <c r="A215" t="s">
        <v>881</v>
      </c>
      <c r="B215" t="s">
        <v>5958</v>
      </c>
      <c r="C215" t="s">
        <v>423</v>
      </c>
      <c r="D215" t="s">
        <v>5959</v>
      </c>
      <c r="E215" t="s">
        <v>5960</v>
      </c>
      <c r="F215" s="20" t="s">
        <v>6268</v>
      </c>
      <c r="G215">
        <v>19</v>
      </c>
    </row>
    <row r="216" spans="1:7" x14ac:dyDescent="0.3">
      <c r="A216" t="s">
        <v>698</v>
      </c>
      <c r="B216" t="s">
        <v>5961</v>
      </c>
      <c r="C216" t="s">
        <v>191</v>
      </c>
      <c r="D216" t="s">
        <v>5962</v>
      </c>
      <c r="E216" t="s">
        <v>5963</v>
      </c>
      <c r="F216" s="20" t="s">
        <v>5964</v>
      </c>
      <c r="G216">
        <v>1</v>
      </c>
    </row>
    <row r="217" spans="1:7" x14ac:dyDescent="0.3">
      <c r="A217" t="s">
        <v>1886</v>
      </c>
      <c r="B217" t="s">
        <v>5965</v>
      </c>
      <c r="C217" t="s">
        <v>5966</v>
      </c>
      <c r="D217" t="s">
        <v>5967</v>
      </c>
      <c r="E217" t="s">
        <v>5968</v>
      </c>
      <c r="F217" s="20" t="s">
        <v>6269</v>
      </c>
      <c r="G217">
        <v>1</v>
      </c>
    </row>
    <row r="218" spans="1:7" x14ac:dyDescent="0.3">
      <c r="A218" t="s">
        <v>1886</v>
      </c>
      <c r="B218" t="s">
        <v>5969</v>
      </c>
      <c r="C218" t="s">
        <v>5966</v>
      </c>
      <c r="D218" t="s">
        <v>5970</v>
      </c>
      <c r="E218" t="s">
        <v>5971</v>
      </c>
      <c r="F218" s="20" t="s">
        <v>5972</v>
      </c>
      <c r="G218">
        <v>0</v>
      </c>
    </row>
    <row r="219" spans="1:7" x14ac:dyDescent="0.3">
      <c r="A219" t="s">
        <v>1886</v>
      </c>
      <c r="B219" t="s">
        <v>5965</v>
      </c>
      <c r="C219" t="s">
        <v>5973</v>
      </c>
      <c r="E219" t="s">
        <v>5974</v>
      </c>
      <c r="F219" s="20" t="s">
        <v>5975</v>
      </c>
      <c r="G219">
        <v>0</v>
      </c>
    </row>
    <row r="220" spans="1:7" x14ac:dyDescent="0.3">
      <c r="A220" t="s">
        <v>1886</v>
      </c>
      <c r="B220" t="s">
        <v>5965</v>
      </c>
      <c r="C220" t="s">
        <v>3640</v>
      </c>
      <c r="D220" t="s">
        <v>5976</v>
      </c>
      <c r="E220" t="s">
        <v>5968</v>
      </c>
      <c r="F220" s="20" t="s">
        <v>5977</v>
      </c>
      <c r="G220">
        <v>11</v>
      </c>
    </row>
    <row r="221" spans="1:7" x14ac:dyDescent="0.3">
      <c r="A221" t="s">
        <v>1886</v>
      </c>
      <c r="B221" t="s">
        <v>5978</v>
      </c>
      <c r="C221" t="s">
        <v>3640</v>
      </c>
      <c r="D221" t="s">
        <v>5979</v>
      </c>
      <c r="E221" t="s">
        <v>5980</v>
      </c>
      <c r="F221" s="20" t="s">
        <v>6270</v>
      </c>
      <c r="G221">
        <v>0</v>
      </c>
    </row>
    <row r="222" spans="1:7" x14ac:dyDescent="0.3">
      <c r="A222" t="s">
        <v>1886</v>
      </c>
      <c r="B222" t="s">
        <v>5965</v>
      </c>
      <c r="C222" t="s">
        <v>5981</v>
      </c>
      <c r="D222" t="s">
        <v>5982</v>
      </c>
      <c r="E222" t="s">
        <v>5983</v>
      </c>
      <c r="F222" s="20" t="s">
        <v>5984</v>
      </c>
      <c r="G222">
        <v>2</v>
      </c>
    </row>
    <row r="223" spans="1:7" x14ac:dyDescent="0.3">
      <c r="A223" t="s">
        <v>1886</v>
      </c>
      <c r="B223" t="s">
        <v>5965</v>
      </c>
      <c r="C223" t="s">
        <v>3638</v>
      </c>
      <c r="D223" t="s">
        <v>5985</v>
      </c>
      <c r="E223" t="s">
        <v>5986</v>
      </c>
      <c r="F223" s="20" t="s">
        <v>5987</v>
      </c>
      <c r="G223">
        <v>26</v>
      </c>
    </row>
    <row r="224" spans="1:7" x14ac:dyDescent="0.3">
      <c r="A224" t="s">
        <v>1886</v>
      </c>
      <c r="B224" t="s">
        <v>5978</v>
      </c>
      <c r="C224" t="s">
        <v>3638</v>
      </c>
      <c r="D224" t="s">
        <v>5988</v>
      </c>
      <c r="E224" t="s">
        <v>5989</v>
      </c>
      <c r="F224" s="20" t="s">
        <v>5990</v>
      </c>
      <c r="G224">
        <v>0</v>
      </c>
    </row>
    <row r="225" spans="1:7" x14ac:dyDescent="0.3">
      <c r="A225" t="s">
        <v>904</v>
      </c>
      <c r="B225" t="s">
        <v>5991</v>
      </c>
      <c r="C225" t="s">
        <v>453</v>
      </c>
      <c r="D225" t="s">
        <v>5992</v>
      </c>
      <c r="E225" t="s">
        <v>5993</v>
      </c>
      <c r="F225" s="20" t="s">
        <v>5994</v>
      </c>
      <c r="G225">
        <v>1</v>
      </c>
    </row>
    <row r="226" spans="1:7" x14ac:dyDescent="0.3">
      <c r="A226" t="s">
        <v>904</v>
      </c>
      <c r="B226" t="s">
        <v>5991</v>
      </c>
      <c r="C226" t="s">
        <v>455</v>
      </c>
      <c r="D226" t="s">
        <v>5995</v>
      </c>
      <c r="E226" t="s">
        <v>5993</v>
      </c>
      <c r="F226" s="20" t="s">
        <v>6271</v>
      </c>
      <c r="G226">
        <v>2</v>
      </c>
    </row>
    <row r="227" spans="1:7" x14ac:dyDescent="0.3">
      <c r="A227" t="s">
        <v>1737</v>
      </c>
      <c r="B227" t="s">
        <v>5961</v>
      </c>
      <c r="C227" t="s">
        <v>1207</v>
      </c>
      <c r="D227" t="s">
        <v>5996</v>
      </c>
      <c r="E227" t="s">
        <v>5997</v>
      </c>
      <c r="F227" s="20" t="s">
        <v>5998</v>
      </c>
      <c r="G227">
        <v>7</v>
      </c>
    </row>
    <row r="228" spans="1:7" x14ac:dyDescent="0.3">
      <c r="A228" t="s">
        <v>5999</v>
      </c>
      <c r="B228" t="s">
        <v>6000</v>
      </c>
      <c r="C228" t="s">
        <v>129</v>
      </c>
      <c r="D228" t="s">
        <v>6001</v>
      </c>
      <c r="E228" t="s">
        <v>6002</v>
      </c>
      <c r="F228" s="20" t="s">
        <v>6272</v>
      </c>
      <c r="G228">
        <v>2</v>
      </c>
    </row>
    <row r="229" spans="1:7" x14ac:dyDescent="0.3">
      <c r="A229" t="s">
        <v>5999</v>
      </c>
      <c r="B229" t="s">
        <v>6003</v>
      </c>
      <c r="C229" t="s">
        <v>131</v>
      </c>
      <c r="D229" t="s">
        <v>6004</v>
      </c>
      <c r="E229" t="s">
        <v>6005</v>
      </c>
      <c r="F229" s="20" t="s">
        <v>6006</v>
      </c>
      <c r="G229">
        <v>0</v>
      </c>
    </row>
    <row r="230" spans="1:7" x14ac:dyDescent="0.3">
      <c r="A230" t="s">
        <v>5999</v>
      </c>
      <c r="B230" t="s">
        <v>6000</v>
      </c>
      <c r="C230" t="s">
        <v>131</v>
      </c>
      <c r="D230" t="s">
        <v>6007</v>
      </c>
      <c r="E230" t="s">
        <v>6002</v>
      </c>
      <c r="F230" s="20" t="s">
        <v>6272</v>
      </c>
      <c r="G230">
        <v>4</v>
      </c>
    </row>
    <row r="231" spans="1:7" x14ac:dyDescent="0.3">
      <c r="A231" t="s">
        <v>5999</v>
      </c>
      <c r="B231" t="s">
        <v>5553</v>
      </c>
      <c r="C231" t="s">
        <v>3651</v>
      </c>
      <c r="D231" t="s">
        <v>6008</v>
      </c>
      <c r="E231" t="s">
        <v>6009</v>
      </c>
      <c r="F231" s="20" t="s">
        <v>6010</v>
      </c>
      <c r="G231">
        <v>1</v>
      </c>
    </row>
    <row r="232" spans="1:7" x14ac:dyDescent="0.3">
      <c r="A232" t="s">
        <v>5999</v>
      </c>
      <c r="B232" t="s">
        <v>6011</v>
      </c>
      <c r="C232" t="s">
        <v>3651</v>
      </c>
      <c r="D232" t="s">
        <v>6012</v>
      </c>
      <c r="E232" t="s">
        <v>6013</v>
      </c>
      <c r="F232" s="20" t="s">
        <v>6014</v>
      </c>
      <c r="G232">
        <v>0</v>
      </c>
    </row>
    <row r="233" spans="1:7" x14ac:dyDescent="0.3">
      <c r="A233" t="s">
        <v>5999</v>
      </c>
      <c r="B233" t="s">
        <v>5965</v>
      </c>
      <c r="C233" t="s">
        <v>3651</v>
      </c>
      <c r="D233" t="s">
        <v>6015</v>
      </c>
      <c r="E233" t="s">
        <v>6016</v>
      </c>
      <c r="F233" s="20" t="s">
        <v>6273</v>
      </c>
      <c r="G233">
        <v>17</v>
      </c>
    </row>
    <row r="234" spans="1:7" x14ac:dyDescent="0.3">
      <c r="A234" t="s">
        <v>5999</v>
      </c>
      <c r="B234" t="s">
        <v>5553</v>
      </c>
      <c r="C234" t="s">
        <v>6017</v>
      </c>
      <c r="D234" t="s">
        <v>6018</v>
      </c>
      <c r="E234" t="s">
        <v>6013</v>
      </c>
      <c r="F234" s="20" t="s">
        <v>6274</v>
      </c>
      <c r="G234">
        <v>2</v>
      </c>
    </row>
    <row r="235" spans="1:7" x14ac:dyDescent="0.3">
      <c r="A235" t="s">
        <v>5999</v>
      </c>
      <c r="B235" t="s">
        <v>6011</v>
      </c>
      <c r="C235" t="s">
        <v>6017</v>
      </c>
      <c r="D235" t="s">
        <v>6019</v>
      </c>
      <c r="E235" t="s">
        <v>6020</v>
      </c>
      <c r="F235" s="20" t="s">
        <v>6274</v>
      </c>
      <c r="G235">
        <v>4</v>
      </c>
    </row>
    <row r="236" spans="1:7" x14ac:dyDescent="0.3">
      <c r="A236" t="s">
        <v>84</v>
      </c>
      <c r="B236" t="s">
        <v>6003</v>
      </c>
      <c r="C236" t="s">
        <v>1339</v>
      </c>
      <c r="D236" t="s">
        <v>6021</v>
      </c>
      <c r="E236" t="s">
        <v>6022</v>
      </c>
      <c r="F236" s="20" t="s">
        <v>6023</v>
      </c>
      <c r="G236">
        <v>0</v>
      </c>
    </row>
    <row r="237" spans="1:7" x14ac:dyDescent="0.3">
      <c r="A237" t="s">
        <v>84</v>
      </c>
      <c r="B237" t="s">
        <v>6003</v>
      </c>
      <c r="C237" t="s">
        <v>6024</v>
      </c>
      <c r="D237" t="s">
        <v>6025</v>
      </c>
      <c r="E237" t="s">
        <v>6026</v>
      </c>
      <c r="F237" s="20" t="s">
        <v>6027</v>
      </c>
      <c r="G237">
        <v>1</v>
      </c>
    </row>
    <row r="238" spans="1:7" x14ac:dyDescent="0.3">
      <c r="A238" t="s">
        <v>1854</v>
      </c>
      <c r="B238" t="s">
        <v>6028</v>
      </c>
      <c r="C238" t="s">
        <v>6029</v>
      </c>
      <c r="D238" t="s">
        <v>6030</v>
      </c>
      <c r="E238" t="s">
        <v>6031</v>
      </c>
      <c r="F238" s="20" t="s">
        <v>6275</v>
      </c>
      <c r="G238">
        <v>0</v>
      </c>
    </row>
    <row r="239" spans="1:7" x14ac:dyDescent="0.3">
      <c r="A239" t="s">
        <v>889</v>
      </c>
      <c r="B239" t="s">
        <v>6032</v>
      </c>
      <c r="C239" t="s">
        <v>6033</v>
      </c>
      <c r="D239" t="s">
        <v>6034</v>
      </c>
      <c r="E239" t="s">
        <v>6035</v>
      </c>
      <c r="F239" s="20" t="s">
        <v>6036</v>
      </c>
      <c r="G239">
        <v>0</v>
      </c>
    </row>
    <row r="240" spans="1:7" x14ac:dyDescent="0.3">
      <c r="A240" t="s">
        <v>1870</v>
      </c>
      <c r="B240" t="s">
        <v>5961</v>
      </c>
      <c r="C240" t="s">
        <v>1377</v>
      </c>
      <c r="D240" t="s">
        <v>6037</v>
      </c>
      <c r="E240" t="s">
        <v>6038</v>
      </c>
      <c r="F240" s="20" t="s">
        <v>6039</v>
      </c>
      <c r="G240">
        <v>2</v>
      </c>
    </row>
    <row r="241" spans="1:7" x14ac:dyDescent="0.3">
      <c r="A241" t="s">
        <v>1993</v>
      </c>
      <c r="B241" t="s">
        <v>6040</v>
      </c>
      <c r="C241" t="s">
        <v>1533</v>
      </c>
      <c r="D241" t="s">
        <v>6041</v>
      </c>
      <c r="E241" t="s">
        <v>6042</v>
      </c>
      <c r="F241" s="20" t="s">
        <v>6043</v>
      </c>
      <c r="G241">
        <v>0</v>
      </c>
    </row>
    <row r="242" spans="1:7" x14ac:dyDescent="0.3">
      <c r="A242" t="s">
        <v>886</v>
      </c>
      <c r="B242" t="s">
        <v>6044</v>
      </c>
      <c r="C242" t="s">
        <v>429</v>
      </c>
      <c r="D242" t="s">
        <v>6045</v>
      </c>
      <c r="E242" t="s">
        <v>6046</v>
      </c>
      <c r="F242" s="20" t="s">
        <v>6047</v>
      </c>
      <c r="G242">
        <v>0</v>
      </c>
    </row>
    <row r="243" spans="1:7" x14ac:dyDescent="0.3">
      <c r="A243" t="s">
        <v>886</v>
      </c>
      <c r="B243" t="s">
        <v>6044</v>
      </c>
      <c r="C243" t="s">
        <v>431</v>
      </c>
      <c r="D243" t="s">
        <v>6048</v>
      </c>
      <c r="E243" t="s">
        <v>6049</v>
      </c>
      <c r="F243" s="20" t="s">
        <v>6050</v>
      </c>
      <c r="G243">
        <v>0</v>
      </c>
    </row>
    <row r="244" spans="1:7" x14ac:dyDescent="0.3">
      <c r="A244" t="s">
        <v>886</v>
      </c>
      <c r="B244" t="s">
        <v>6044</v>
      </c>
      <c r="C244" t="s">
        <v>6051</v>
      </c>
      <c r="D244" t="s">
        <v>6048</v>
      </c>
      <c r="E244" t="s">
        <v>6049</v>
      </c>
      <c r="F244" s="20" t="s">
        <v>6050</v>
      </c>
      <c r="G244">
        <v>0</v>
      </c>
    </row>
    <row r="245" spans="1:7" x14ac:dyDescent="0.3">
      <c r="A245" t="s">
        <v>886</v>
      </c>
      <c r="B245" t="s">
        <v>6044</v>
      </c>
      <c r="C245" t="s">
        <v>6052</v>
      </c>
      <c r="D245" t="s">
        <v>6053</v>
      </c>
      <c r="E245" t="s">
        <v>6054</v>
      </c>
      <c r="F245" s="20" t="s">
        <v>6055</v>
      </c>
      <c r="G245">
        <v>0</v>
      </c>
    </row>
    <row r="246" spans="1:7" x14ac:dyDescent="0.3">
      <c r="A246" t="s">
        <v>886</v>
      </c>
      <c r="B246" t="s">
        <v>6044</v>
      </c>
      <c r="C246" t="s">
        <v>6056</v>
      </c>
      <c r="D246" t="s">
        <v>6045</v>
      </c>
      <c r="E246" t="s">
        <v>6046</v>
      </c>
      <c r="F246" s="20" t="s">
        <v>6047</v>
      </c>
      <c r="G246">
        <v>0</v>
      </c>
    </row>
    <row r="247" spans="1:7" x14ac:dyDescent="0.3">
      <c r="A247" t="s">
        <v>1804</v>
      </c>
      <c r="B247" t="s">
        <v>6044</v>
      </c>
      <c r="C247" t="s">
        <v>6057</v>
      </c>
      <c r="D247" t="s">
        <v>6058</v>
      </c>
      <c r="E247" t="s">
        <v>6059</v>
      </c>
      <c r="F247" s="20" t="s">
        <v>6060</v>
      </c>
      <c r="G247">
        <v>1</v>
      </c>
    </row>
    <row r="248" spans="1:7" x14ac:dyDescent="0.3">
      <c r="A248" t="s">
        <v>1932</v>
      </c>
      <c r="B248" t="s">
        <v>6061</v>
      </c>
      <c r="C248" t="s">
        <v>1455</v>
      </c>
      <c r="D248" t="s">
        <v>6062</v>
      </c>
      <c r="E248" t="s">
        <v>6063</v>
      </c>
      <c r="F248" s="20" t="s">
        <v>6064</v>
      </c>
      <c r="G248">
        <v>0</v>
      </c>
    </row>
    <row r="249" spans="1:7" x14ac:dyDescent="0.3">
      <c r="F249" s="20" t="s">
        <v>6276</v>
      </c>
    </row>
    <row r="250" spans="1:7" x14ac:dyDescent="0.3">
      <c r="F250" s="20" t="s">
        <v>6276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4D2D5-4A6F-4BA4-963C-F8EC3D60AFAC}">
  <dimension ref="A1:Q80"/>
  <sheetViews>
    <sheetView workbookViewId="0">
      <pane ySplit="4" topLeftCell="A5" activePane="bottomLeft" state="frozen"/>
      <selection pane="bottomLeft"/>
    </sheetView>
  </sheetViews>
  <sheetFormatPr defaultRowHeight="14.4" x14ac:dyDescent="0.3"/>
  <cols>
    <col min="1" max="12" width="32.44140625" customWidth="1"/>
    <col min="13" max="13" width="77.77734375" customWidth="1"/>
    <col min="14" max="17" width="32.44140625" customWidth="1"/>
  </cols>
  <sheetData>
    <row r="1" spans="1:17" ht="18" x14ac:dyDescent="0.35">
      <c r="A1" s="44" t="s">
        <v>6128</v>
      </c>
    </row>
    <row r="2" spans="1:17" x14ac:dyDescent="0.3">
      <c r="A2" s="32" t="s">
        <v>6129</v>
      </c>
    </row>
    <row r="4" spans="1:17" x14ac:dyDescent="0.3">
      <c r="A4" s="25" t="s">
        <v>6130</v>
      </c>
      <c r="B4" s="25" t="s">
        <v>4644</v>
      </c>
      <c r="C4" s="25" t="s">
        <v>6131</v>
      </c>
      <c r="D4" s="25" t="s">
        <v>6132</v>
      </c>
      <c r="E4" s="25" t="s">
        <v>6133</v>
      </c>
      <c r="F4" s="25" t="s">
        <v>6134</v>
      </c>
      <c r="G4" s="25" t="s">
        <v>2304</v>
      </c>
      <c r="H4" s="25" t="s">
        <v>6135</v>
      </c>
      <c r="I4" s="25" t="s">
        <v>6136</v>
      </c>
      <c r="J4" s="25" t="s">
        <v>6137</v>
      </c>
      <c r="K4" s="25" t="s">
        <v>6138</v>
      </c>
      <c r="L4" s="25" t="s">
        <v>6139</v>
      </c>
      <c r="M4" s="25" t="s">
        <v>6140</v>
      </c>
      <c r="N4" s="25" t="s">
        <v>4780</v>
      </c>
      <c r="O4" s="25" t="s">
        <v>5299</v>
      </c>
      <c r="P4" s="25" t="s">
        <v>6141</v>
      </c>
      <c r="Q4" s="25" t="s">
        <v>6142</v>
      </c>
    </row>
    <row r="5" spans="1:17" x14ac:dyDescent="0.3">
      <c r="A5" t="str">
        <f>IF($B5="","","REQ-"&amp;TEXT(ROW()-4,"000"))</f>
        <v>REQ-001</v>
      </c>
      <c r="B5" t="s">
        <v>9</v>
      </c>
      <c r="D5" t="s">
        <v>6143</v>
      </c>
      <c r="M5" t="s">
        <v>6145</v>
      </c>
      <c r="N5" t="s">
        <v>6146</v>
      </c>
      <c r="P5" s="6">
        <v>46170</v>
      </c>
      <c r="Q5" s="6"/>
    </row>
    <row r="6" spans="1:17" x14ac:dyDescent="0.3">
      <c r="A6" t="str">
        <f t="shared" ref="A6:A69" si="0">IF($B6="","","REQ-"&amp;TEXT(ROW()-4,"000"))</f>
        <v>REQ-002</v>
      </c>
      <c r="B6" t="s">
        <v>16</v>
      </c>
      <c r="C6" t="s">
        <v>4</v>
      </c>
      <c r="D6" t="s">
        <v>6144</v>
      </c>
      <c r="G6">
        <v>48</v>
      </c>
      <c r="M6" t="s">
        <v>6147</v>
      </c>
      <c r="N6" t="s">
        <v>6146</v>
      </c>
      <c r="P6" s="6">
        <v>46170</v>
      </c>
      <c r="Q6" s="6"/>
    </row>
    <row r="7" spans="1:17" x14ac:dyDescent="0.3">
      <c r="A7" t="str">
        <f t="shared" si="0"/>
        <v/>
      </c>
      <c r="P7" s="6"/>
      <c r="Q7" s="6"/>
    </row>
    <row r="8" spans="1:17" x14ac:dyDescent="0.3">
      <c r="A8" t="str">
        <f t="shared" si="0"/>
        <v/>
      </c>
      <c r="P8" s="6"/>
      <c r="Q8" s="6"/>
    </row>
    <row r="9" spans="1:17" x14ac:dyDescent="0.3">
      <c r="A9" t="str">
        <f t="shared" si="0"/>
        <v/>
      </c>
      <c r="P9" s="6"/>
      <c r="Q9" s="6"/>
    </row>
    <row r="10" spans="1:17" x14ac:dyDescent="0.3">
      <c r="A10" t="str">
        <f t="shared" si="0"/>
        <v/>
      </c>
      <c r="P10" s="6"/>
      <c r="Q10" s="6"/>
    </row>
    <row r="11" spans="1:17" x14ac:dyDescent="0.3">
      <c r="A11" t="str">
        <f t="shared" si="0"/>
        <v/>
      </c>
      <c r="P11" s="6"/>
      <c r="Q11" s="6"/>
    </row>
    <row r="12" spans="1:17" x14ac:dyDescent="0.3">
      <c r="A12" t="str">
        <f t="shared" si="0"/>
        <v/>
      </c>
      <c r="P12" s="6"/>
      <c r="Q12" s="6"/>
    </row>
    <row r="13" spans="1:17" x14ac:dyDescent="0.3">
      <c r="A13" t="str">
        <f t="shared" si="0"/>
        <v/>
      </c>
      <c r="P13" s="6"/>
      <c r="Q13" s="6"/>
    </row>
    <row r="14" spans="1:17" x14ac:dyDescent="0.3">
      <c r="A14" t="str">
        <f t="shared" si="0"/>
        <v/>
      </c>
      <c r="P14" s="6"/>
      <c r="Q14" s="6"/>
    </row>
    <row r="15" spans="1:17" x14ac:dyDescent="0.3">
      <c r="A15" t="str">
        <f t="shared" si="0"/>
        <v/>
      </c>
      <c r="P15" s="6"/>
      <c r="Q15" s="6"/>
    </row>
    <row r="16" spans="1:17" x14ac:dyDescent="0.3">
      <c r="A16" t="str">
        <f t="shared" si="0"/>
        <v/>
      </c>
      <c r="P16" s="6"/>
      <c r="Q16" s="6"/>
    </row>
    <row r="17" spans="1:17" x14ac:dyDescent="0.3">
      <c r="A17" t="str">
        <f t="shared" si="0"/>
        <v/>
      </c>
      <c r="P17" s="6"/>
      <c r="Q17" s="6"/>
    </row>
    <row r="18" spans="1:17" x14ac:dyDescent="0.3">
      <c r="A18" t="str">
        <f t="shared" si="0"/>
        <v/>
      </c>
      <c r="P18" s="6"/>
      <c r="Q18" s="6"/>
    </row>
    <row r="19" spans="1:17" x14ac:dyDescent="0.3">
      <c r="A19" t="str">
        <f t="shared" si="0"/>
        <v/>
      </c>
      <c r="P19" s="6"/>
      <c r="Q19" s="6"/>
    </row>
    <row r="20" spans="1:17" x14ac:dyDescent="0.3">
      <c r="A20" t="str">
        <f t="shared" si="0"/>
        <v/>
      </c>
      <c r="P20" s="6"/>
      <c r="Q20" s="6"/>
    </row>
    <row r="21" spans="1:17" x14ac:dyDescent="0.3">
      <c r="A21" t="str">
        <f t="shared" si="0"/>
        <v/>
      </c>
      <c r="P21" s="6"/>
      <c r="Q21" s="6"/>
    </row>
    <row r="22" spans="1:17" x14ac:dyDescent="0.3">
      <c r="A22" t="str">
        <f t="shared" si="0"/>
        <v/>
      </c>
      <c r="P22" s="6"/>
      <c r="Q22" s="6"/>
    </row>
    <row r="23" spans="1:17" x14ac:dyDescent="0.3">
      <c r="A23" t="str">
        <f t="shared" si="0"/>
        <v/>
      </c>
      <c r="P23" s="6"/>
      <c r="Q23" s="6"/>
    </row>
    <row r="24" spans="1:17" x14ac:dyDescent="0.3">
      <c r="A24" t="str">
        <f t="shared" si="0"/>
        <v/>
      </c>
      <c r="P24" s="6"/>
      <c r="Q24" s="6"/>
    </row>
    <row r="25" spans="1:17" x14ac:dyDescent="0.3">
      <c r="A25" t="str">
        <f t="shared" si="0"/>
        <v/>
      </c>
      <c r="P25" s="6"/>
      <c r="Q25" s="6"/>
    </row>
    <row r="26" spans="1:17" x14ac:dyDescent="0.3">
      <c r="A26" t="str">
        <f t="shared" si="0"/>
        <v/>
      </c>
      <c r="P26" s="6"/>
      <c r="Q26" s="6"/>
    </row>
    <row r="27" spans="1:17" x14ac:dyDescent="0.3">
      <c r="A27" t="str">
        <f t="shared" si="0"/>
        <v/>
      </c>
      <c r="P27" s="6"/>
      <c r="Q27" s="6"/>
    </row>
    <row r="28" spans="1:17" x14ac:dyDescent="0.3">
      <c r="A28" t="str">
        <f t="shared" si="0"/>
        <v/>
      </c>
      <c r="P28" s="6"/>
      <c r="Q28" s="6"/>
    </row>
    <row r="29" spans="1:17" x14ac:dyDescent="0.3">
      <c r="A29" t="str">
        <f t="shared" si="0"/>
        <v/>
      </c>
      <c r="P29" s="6"/>
      <c r="Q29" s="6"/>
    </row>
    <row r="30" spans="1:17" x14ac:dyDescent="0.3">
      <c r="A30" t="str">
        <f t="shared" si="0"/>
        <v/>
      </c>
      <c r="P30" s="6"/>
      <c r="Q30" s="6"/>
    </row>
    <row r="31" spans="1:17" x14ac:dyDescent="0.3">
      <c r="A31" t="str">
        <f t="shared" si="0"/>
        <v/>
      </c>
      <c r="P31" s="6"/>
      <c r="Q31" s="6"/>
    </row>
    <row r="32" spans="1:17" x14ac:dyDescent="0.3">
      <c r="A32" t="str">
        <f t="shared" si="0"/>
        <v/>
      </c>
      <c r="P32" s="6"/>
      <c r="Q32" s="6"/>
    </row>
    <row r="33" spans="1:17" x14ac:dyDescent="0.3">
      <c r="A33" t="str">
        <f t="shared" si="0"/>
        <v/>
      </c>
      <c r="P33" s="6"/>
      <c r="Q33" s="6"/>
    </row>
    <row r="34" spans="1:17" x14ac:dyDescent="0.3">
      <c r="A34" t="str">
        <f t="shared" si="0"/>
        <v/>
      </c>
      <c r="P34" s="6"/>
      <c r="Q34" s="6"/>
    </row>
    <row r="35" spans="1:17" x14ac:dyDescent="0.3">
      <c r="A35" t="str">
        <f t="shared" si="0"/>
        <v/>
      </c>
      <c r="P35" s="6"/>
      <c r="Q35" s="6"/>
    </row>
    <row r="36" spans="1:17" x14ac:dyDescent="0.3">
      <c r="A36" t="str">
        <f t="shared" si="0"/>
        <v/>
      </c>
      <c r="P36" s="6"/>
      <c r="Q36" s="6"/>
    </row>
    <row r="37" spans="1:17" x14ac:dyDescent="0.3">
      <c r="A37" t="str">
        <f t="shared" si="0"/>
        <v/>
      </c>
      <c r="P37" s="6"/>
      <c r="Q37" s="6"/>
    </row>
    <row r="38" spans="1:17" x14ac:dyDescent="0.3">
      <c r="A38" t="str">
        <f t="shared" si="0"/>
        <v/>
      </c>
      <c r="P38" s="6"/>
      <c r="Q38" s="6"/>
    </row>
    <row r="39" spans="1:17" x14ac:dyDescent="0.3">
      <c r="A39" t="str">
        <f t="shared" si="0"/>
        <v/>
      </c>
      <c r="P39" s="6"/>
      <c r="Q39" s="6"/>
    </row>
    <row r="40" spans="1:17" x14ac:dyDescent="0.3">
      <c r="A40" t="str">
        <f t="shared" si="0"/>
        <v/>
      </c>
      <c r="P40" s="6"/>
      <c r="Q40" s="6"/>
    </row>
    <row r="41" spans="1:17" x14ac:dyDescent="0.3">
      <c r="A41" t="str">
        <f t="shared" si="0"/>
        <v/>
      </c>
      <c r="P41" s="6"/>
      <c r="Q41" s="6"/>
    </row>
    <row r="42" spans="1:17" x14ac:dyDescent="0.3">
      <c r="A42" t="str">
        <f t="shared" si="0"/>
        <v/>
      </c>
      <c r="P42" s="6"/>
      <c r="Q42" s="6"/>
    </row>
    <row r="43" spans="1:17" x14ac:dyDescent="0.3">
      <c r="A43" t="str">
        <f t="shared" si="0"/>
        <v/>
      </c>
      <c r="P43" s="6"/>
      <c r="Q43" s="6"/>
    </row>
    <row r="44" spans="1:17" x14ac:dyDescent="0.3">
      <c r="A44" t="str">
        <f t="shared" si="0"/>
        <v/>
      </c>
      <c r="P44" s="6"/>
      <c r="Q44" s="6"/>
    </row>
    <row r="45" spans="1:17" x14ac:dyDescent="0.3">
      <c r="A45" t="str">
        <f t="shared" si="0"/>
        <v/>
      </c>
      <c r="P45" s="6"/>
      <c r="Q45" s="6"/>
    </row>
    <row r="46" spans="1:17" x14ac:dyDescent="0.3">
      <c r="A46" t="str">
        <f t="shared" si="0"/>
        <v/>
      </c>
      <c r="P46" s="6"/>
      <c r="Q46" s="6"/>
    </row>
    <row r="47" spans="1:17" x14ac:dyDescent="0.3">
      <c r="A47" t="str">
        <f t="shared" si="0"/>
        <v/>
      </c>
      <c r="P47" s="6"/>
      <c r="Q47" s="6"/>
    </row>
    <row r="48" spans="1:17" x14ac:dyDescent="0.3">
      <c r="A48" t="str">
        <f t="shared" si="0"/>
        <v/>
      </c>
      <c r="P48" s="6"/>
      <c r="Q48" s="6"/>
    </row>
    <row r="49" spans="1:17" x14ac:dyDescent="0.3">
      <c r="A49" t="str">
        <f t="shared" si="0"/>
        <v/>
      </c>
      <c r="P49" s="6"/>
      <c r="Q49" s="6"/>
    </row>
    <row r="50" spans="1:17" x14ac:dyDescent="0.3">
      <c r="A50" t="str">
        <f t="shared" si="0"/>
        <v/>
      </c>
      <c r="P50" s="6"/>
      <c r="Q50" s="6"/>
    </row>
    <row r="51" spans="1:17" x14ac:dyDescent="0.3">
      <c r="A51" t="str">
        <f t="shared" si="0"/>
        <v/>
      </c>
      <c r="P51" s="6"/>
      <c r="Q51" s="6"/>
    </row>
    <row r="52" spans="1:17" x14ac:dyDescent="0.3">
      <c r="A52" t="str">
        <f t="shared" si="0"/>
        <v/>
      </c>
      <c r="P52" s="6"/>
      <c r="Q52" s="6"/>
    </row>
    <row r="53" spans="1:17" x14ac:dyDescent="0.3">
      <c r="A53" t="str">
        <f t="shared" si="0"/>
        <v/>
      </c>
      <c r="P53" s="6"/>
      <c r="Q53" s="6"/>
    </row>
    <row r="54" spans="1:17" x14ac:dyDescent="0.3">
      <c r="A54" t="str">
        <f t="shared" si="0"/>
        <v/>
      </c>
      <c r="P54" s="6"/>
      <c r="Q54" s="6"/>
    </row>
    <row r="55" spans="1:17" x14ac:dyDescent="0.3">
      <c r="A55" t="str">
        <f t="shared" si="0"/>
        <v/>
      </c>
      <c r="P55" s="6"/>
      <c r="Q55" s="6"/>
    </row>
    <row r="56" spans="1:17" x14ac:dyDescent="0.3">
      <c r="A56" t="str">
        <f t="shared" si="0"/>
        <v/>
      </c>
      <c r="P56" s="6"/>
      <c r="Q56" s="6"/>
    </row>
    <row r="57" spans="1:17" x14ac:dyDescent="0.3">
      <c r="A57" t="str">
        <f t="shared" si="0"/>
        <v/>
      </c>
      <c r="P57" s="6"/>
      <c r="Q57" s="6"/>
    </row>
    <row r="58" spans="1:17" x14ac:dyDescent="0.3">
      <c r="A58" t="str">
        <f t="shared" si="0"/>
        <v/>
      </c>
      <c r="P58" s="6"/>
      <c r="Q58" s="6"/>
    </row>
    <row r="59" spans="1:17" x14ac:dyDescent="0.3">
      <c r="A59" t="str">
        <f t="shared" si="0"/>
        <v/>
      </c>
      <c r="P59" s="6"/>
      <c r="Q59" s="6"/>
    </row>
    <row r="60" spans="1:17" x14ac:dyDescent="0.3">
      <c r="A60" t="str">
        <f t="shared" si="0"/>
        <v/>
      </c>
      <c r="P60" s="6"/>
      <c r="Q60" s="6"/>
    </row>
    <row r="61" spans="1:17" x14ac:dyDescent="0.3">
      <c r="A61" t="str">
        <f t="shared" si="0"/>
        <v/>
      </c>
      <c r="P61" s="6"/>
      <c r="Q61" s="6"/>
    </row>
    <row r="62" spans="1:17" x14ac:dyDescent="0.3">
      <c r="A62" t="str">
        <f t="shared" si="0"/>
        <v/>
      </c>
      <c r="P62" s="6"/>
      <c r="Q62" s="6"/>
    </row>
    <row r="63" spans="1:17" x14ac:dyDescent="0.3">
      <c r="A63" t="str">
        <f t="shared" si="0"/>
        <v/>
      </c>
      <c r="P63" s="6"/>
      <c r="Q63" s="6"/>
    </row>
    <row r="64" spans="1:17" x14ac:dyDescent="0.3">
      <c r="A64" t="str">
        <f t="shared" si="0"/>
        <v/>
      </c>
      <c r="P64" s="6"/>
      <c r="Q64" s="6"/>
    </row>
    <row r="65" spans="1:17" x14ac:dyDescent="0.3">
      <c r="A65" t="str">
        <f t="shared" si="0"/>
        <v/>
      </c>
      <c r="P65" s="6"/>
      <c r="Q65" s="6"/>
    </row>
    <row r="66" spans="1:17" x14ac:dyDescent="0.3">
      <c r="A66" t="str">
        <f t="shared" si="0"/>
        <v/>
      </c>
      <c r="P66" s="6"/>
      <c r="Q66" s="6"/>
    </row>
    <row r="67" spans="1:17" x14ac:dyDescent="0.3">
      <c r="A67" t="str">
        <f t="shared" si="0"/>
        <v/>
      </c>
      <c r="P67" s="6"/>
      <c r="Q67" s="6"/>
    </row>
    <row r="68" spans="1:17" x14ac:dyDescent="0.3">
      <c r="A68" t="str">
        <f t="shared" si="0"/>
        <v/>
      </c>
      <c r="P68" s="6"/>
      <c r="Q68" s="6"/>
    </row>
    <row r="69" spans="1:17" x14ac:dyDescent="0.3">
      <c r="A69" t="str">
        <f t="shared" si="0"/>
        <v/>
      </c>
      <c r="P69" s="6"/>
      <c r="Q69" s="6"/>
    </row>
    <row r="70" spans="1:17" x14ac:dyDescent="0.3">
      <c r="A70" t="str">
        <f t="shared" ref="A70:A80" si="1">IF($B70="","","REQ-"&amp;TEXT(ROW()-4,"000"))</f>
        <v/>
      </c>
      <c r="P70" s="6"/>
      <c r="Q70" s="6"/>
    </row>
    <row r="71" spans="1:17" x14ac:dyDescent="0.3">
      <c r="A71" t="str">
        <f t="shared" si="1"/>
        <v/>
      </c>
      <c r="P71" s="6"/>
      <c r="Q71" s="6"/>
    </row>
    <row r="72" spans="1:17" x14ac:dyDescent="0.3">
      <c r="A72" t="str">
        <f t="shared" si="1"/>
        <v/>
      </c>
      <c r="P72" s="6"/>
      <c r="Q72" s="6"/>
    </row>
    <row r="73" spans="1:17" x14ac:dyDescent="0.3">
      <c r="A73" t="str">
        <f t="shared" si="1"/>
        <v/>
      </c>
      <c r="P73" s="6"/>
      <c r="Q73" s="6"/>
    </row>
    <row r="74" spans="1:17" x14ac:dyDescent="0.3">
      <c r="A74" t="str">
        <f t="shared" si="1"/>
        <v/>
      </c>
      <c r="P74" s="6"/>
      <c r="Q74" s="6"/>
    </row>
    <row r="75" spans="1:17" x14ac:dyDescent="0.3">
      <c r="A75" t="str">
        <f t="shared" si="1"/>
        <v/>
      </c>
      <c r="P75" s="6"/>
      <c r="Q75" s="6"/>
    </row>
    <row r="76" spans="1:17" x14ac:dyDescent="0.3">
      <c r="A76" t="str">
        <f t="shared" si="1"/>
        <v/>
      </c>
      <c r="P76" s="6"/>
      <c r="Q76" s="6"/>
    </row>
    <row r="77" spans="1:17" x14ac:dyDescent="0.3">
      <c r="A77" t="str">
        <f t="shared" si="1"/>
        <v/>
      </c>
      <c r="P77" s="6"/>
      <c r="Q77" s="6"/>
    </row>
    <row r="78" spans="1:17" x14ac:dyDescent="0.3">
      <c r="A78" t="str">
        <f t="shared" si="1"/>
        <v/>
      </c>
      <c r="P78" s="6"/>
      <c r="Q78" s="6"/>
    </row>
    <row r="79" spans="1:17" x14ac:dyDescent="0.3">
      <c r="A79" t="str">
        <f t="shared" si="1"/>
        <v/>
      </c>
      <c r="P79" s="6"/>
      <c r="Q79" s="6"/>
    </row>
    <row r="80" spans="1:17" x14ac:dyDescent="0.3">
      <c r="A80" t="str">
        <f t="shared" si="1"/>
        <v/>
      </c>
      <c r="P80" s="6"/>
      <c r="Q80" s="6"/>
    </row>
  </sheetData>
  <dataValidations count="1">
    <dataValidation type="list" allowBlank="1" showInputMessage="1" showErrorMessage="1" sqref="D5:D80" xr:uid="{AB6E18F7-90FE-473E-87BB-76295DBD4D50}">
      <formula1>"OVERFLIGHT PERMIT,LANDING PERMIT,GROUND HANDLING,FUEL,CATERING,SECURITY,SLOTS/PPR,CUSTOMS &amp; IMMIGRATION,CREW TRANSPORT,PAX TRANSPORT,CREW HOTEL,VISA,GENERAL"</formula1>
    </dataValidation>
  </dataValidation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6C3E6-D6E2-46F9-8258-83B4B1639EA1}">
  <dimension ref="A1:N100"/>
  <sheetViews>
    <sheetView workbookViewId="0">
      <pane ySplit="6" topLeftCell="A7" activePane="bottomLeft" state="frozen"/>
      <selection pane="bottomLeft"/>
    </sheetView>
  </sheetViews>
  <sheetFormatPr defaultRowHeight="14.4" x14ac:dyDescent="0.3"/>
  <cols>
    <col min="1" max="2" width="25.88671875" customWidth="1"/>
    <col min="3" max="3" width="35.21875" customWidth="1"/>
    <col min="4" max="9" width="25.88671875" customWidth="1"/>
    <col min="10" max="10" width="48.109375" customWidth="1"/>
    <col min="11" max="11" width="25.88671875" customWidth="1"/>
  </cols>
  <sheetData>
    <row r="1" spans="1:14" ht="18" x14ac:dyDescent="0.35">
      <c r="A1" s="44" t="s">
        <v>6148</v>
      </c>
    </row>
    <row r="2" spans="1:14" x14ac:dyDescent="0.3">
      <c r="A2" s="73" t="s">
        <v>6149</v>
      </c>
    </row>
    <row r="4" spans="1:14" x14ac:dyDescent="0.3">
      <c r="A4" s="1" t="s">
        <v>6150</v>
      </c>
      <c r="B4" s="74">
        <f>admin!$B$17</f>
        <v>0.15</v>
      </c>
    </row>
    <row r="6" spans="1:14" x14ac:dyDescent="0.3">
      <c r="A6" s="25" t="s">
        <v>3837</v>
      </c>
      <c r="B6" s="25" t="s">
        <v>3838</v>
      </c>
      <c r="C6" s="25" t="s">
        <v>3839</v>
      </c>
      <c r="D6" s="25" t="s">
        <v>6151</v>
      </c>
      <c r="E6" s="25" t="s">
        <v>6152</v>
      </c>
      <c r="F6" s="25" t="s">
        <v>6153</v>
      </c>
      <c r="G6" s="25" t="s">
        <v>3842</v>
      </c>
      <c r="H6" s="25" t="s">
        <v>3841</v>
      </c>
      <c r="I6" s="25" t="s">
        <v>6154</v>
      </c>
      <c r="J6" s="25" t="s">
        <v>4780</v>
      </c>
      <c r="K6" s="25" t="s">
        <v>6155</v>
      </c>
      <c r="L6" s="1" t="s">
        <v>5299</v>
      </c>
      <c r="M6" s="1" t="s">
        <v>6141</v>
      </c>
      <c r="N6" s="1" t="s">
        <v>8522</v>
      </c>
    </row>
    <row r="7" spans="1:14" x14ac:dyDescent="0.3">
      <c r="A7" t="s">
        <v>3997</v>
      </c>
      <c r="B7" t="s">
        <v>3981</v>
      </c>
      <c r="C7" t="s">
        <v>6156</v>
      </c>
      <c r="D7" s="36">
        <v>7500</v>
      </c>
      <c r="E7" s="36">
        <v>488</v>
      </c>
      <c r="F7" s="36">
        <v>1900</v>
      </c>
      <c r="G7" s="36">
        <v>19</v>
      </c>
      <c r="H7" s="36">
        <v>45178</v>
      </c>
      <c r="I7" s="36">
        <f>IF($D7="","",ROUND($D7*(1-$B$4),0))</f>
        <v>6375</v>
      </c>
      <c r="J7" t="s">
        <v>6157</v>
      </c>
      <c r="K7" s="54" t="s">
        <v>4583</v>
      </c>
      <c r="M7" s="6"/>
      <c r="N7" t="str">
        <f>IF(AND(UPPER($K7)="YES",$L7&lt;&gt;"",$M7&lt;&gt;""),"APPROVED FOR PLANNING","ADVISORY ONLY - NOT FOR PLANNING")</f>
        <v>ADVISORY ONLY - NOT FOR PLANNING</v>
      </c>
    </row>
    <row r="8" spans="1:14" x14ac:dyDescent="0.3">
      <c r="A8" t="s">
        <v>3980</v>
      </c>
      <c r="B8" t="s">
        <v>3981</v>
      </c>
      <c r="C8" t="s">
        <v>3982</v>
      </c>
      <c r="D8" s="36">
        <v>6750</v>
      </c>
      <c r="E8" s="36">
        <v>488</v>
      </c>
      <c r="F8" s="36">
        <v>1750</v>
      </c>
      <c r="G8" s="36">
        <v>19</v>
      </c>
      <c r="H8" s="36">
        <v>41277</v>
      </c>
      <c r="I8" s="36">
        <f t="shared" ref="I8:I52" si="0">IF($D8="","",ROUND($D8*(1-$B$4),0))</f>
        <v>5738</v>
      </c>
      <c r="J8" t="s">
        <v>6157</v>
      </c>
      <c r="K8" s="54" t="s">
        <v>4583</v>
      </c>
      <c r="M8" s="6"/>
      <c r="N8" t="str">
        <f t="shared" ref="N8:N52" si="1">IF(AND(UPPER($K8)="YES",$L8&lt;&gt;"",$M8&lt;&gt;""),"APPROVED FOR PLANNING","ADVISORY ONLY - NOT FOR PLANNING")</f>
        <v>ADVISORY ONLY - NOT FOR PLANNING</v>
      </c>
    </row>
    <row r="9" spans="1:14" x14ac:dyDescent="0.3">
      <c r="A9" t="s">
        <v>4078</v>
      </c>
      <c r="B9" t="s">
        <v>3981</v>
      </c>
      <c r="C9" t="s">
        <v>4078</v>
      </c>
      <c r="D9" s="36">
        <v>4350</v>
      </c>
      <c r="E9" s="36">
        <v>470</v>
      </c>
      <c r="F9" s="36">
        <v>1450</v>
      </c>
      <c r="G9" s="36">
        <v>16</v>
      </c>
      <c r="H9" s="36">
        <v>33390</v>
      </c>
      <c r="I9" s="36">
        <f t="shared" si="0"/>
        <v>3698</v>
      </c>
      <c r="J9" t="s">
        <v>6157</v>
      </c>
      <c r="K9" s="54" t="s">
        <v>4583</v>
      </c>
      <c r="M9" s="6"/>
      <c r="N9" t="str">
        <f t="shared" si="1"/>
        <v>ADVISORY ONLY - NOT FOR PLANNING</v>
      </c>
    </row>
    <row r="10" spans="1:14" x14ac:dyDescent="0.3">
      <c r="A10" t="s">
        <v>4116</v>
      </c>
      <c r="B10" t="s">
        <v>3981</v>
      </c>
      <c r="C10" t="s">
        <v>4116</v>
      </c>
      <c r="D10" s="36">
        <v>3600</v>
      </c>
      <c r="E10" s="36">
        <v>460</v>
      </c>
      <c r="F10" s="36">
        <v>1000</v>
      </c>
      <c r="G10" s="36">
        <v>10</v>
      </c>
      <c r="H10" s="36">
        <v>17962</v>
      </c>
      <c r="I10" s="36">
        <f t="shared" si="0"/>
        <v>3060</v>
      </c>
      <c r="J10" t="s">
        <v>6157</v>
      </c>
      <c r="K10" s="54" t="s">
        <v>4583</v>
      </c>
      <c r="M10" s="6"/>
      <c r="N10" t="str">
        <f t="shared" si="1"/>
        <v>ADVISORY ONLY - NOT FOR PLANNING</v>
      </c>
    </row>
    <row r="11" spans="1:14" x14ac:dyDescent="0.3">
      <c r="A11" t="s">
        <v>4037</v>
      </c>
      <c r="B11" t="s">
        <v>3925</v>
      </c>
      <c r="C11" t="s">
        <v>6158</v>
      </c>
      <c r="D11" s="36">
        <v>6600</v>
      </c>
      <c r="E11" s="36">
        <v>488</v>
      </c>
      <c r="F11" s="36">
        <v>1900</v>
      </c>
      <c r="G11" s="36">
        <v>19</v>
      </c>
      <c r="H11" s="36">
        <v>52157</v>
      </c>
      <c r="I11" s="36">
        <f t="shared" si="0"/>
        <v>5610</v>
      </c>
      <c r="J11" t="s">
        <v>6157</v>
      </c>
      <c r="K11" s="54" t="s">
        <v>4583</v>
      </c>
      <c r="M11" s="6"/>
      <c r="N11" t="str">
        <f t="shared" si="1"/>
        <v>ADVISORY ONLY - NOT FOR PLANNING</v>
      </c>
    </row>
    <row r="12" spans="1:14" x14ac:dyDescent="0.3">
      <c r="A12" t="s">
        <v>4089</v>
      </c>
      <c r="B12" t="s">
        <v>3925</v>
      </c>
      <c r="C12" t="s">
        <v>4090</v>
      </c>
      <c r="D12" s="36">
        <v>3200</v>
      </c>
      <c r="E12" s="36">
        <v>470</v>
      </c>
      <c r="F12" s="36">
        <v>900</v>
      </c>
      <c r="G12" s="36">
        <v>10</v>
      </c>
      <c r="H12" s="36">
        <v>18597</v>
      </c>
      <c r="I12" s="36">
        <f t="shared" si="0"/>
        <v>2720</v>
      </c>
      <c r="J12" t="s">
        <v>6157</v>
      </c>
      <c r="K12" s="54" t="s">
        <v>4583</v>
      </c>
      <c r="M12" s="6"/>
      <c r="N12" t="str">
        <f t="shared" si="1"/>
        <v>ADVISORY ONLY - NOT FOR PLANNING</v>
      </c>
    </row>
    <row r="13" spans="1:14" x14ac:dyDescent="0.3">
      <c r="A13" t="s">
        <v>3924</v>
      </c>
      <c r="B13" t="s">
        <v>3925</v>
      </c>
      <c r="C13" t="s">
        <v>3926</v>
      </c>
      <c r="D13" s="36">
        <v>1550</v>
      </c>
      <c r="E13" s="36">
        <v>447</v>
      </c>
      <c r="F13" s="36">
        <v>1400</v>
      </c>
      <c r="G13" s="36">
        <v>90</v>
      </c>
      <c r="H13" s="36">
        <v>36500</v>
      </c>
      <c r="I13" s="36">
        <f t="shared" si="0"/>
        <v>1318</v>
      </c>
      <c r="J13" t="s">
        <v>6157</v>
      </c>
      <c r="K13" s="54" t="s">
        <v>4583</v>
      </c>
      <c r="M13" s="6"/>
      <c r="N13" t="str">
        <f t="shared" si="1"/>
        <v>ADVISORY ONLY - NOT FOR PLANNING</v>
      </c>
    </row>
    <row r="14" spans="1:14" x14ac:dyDescent="0.3">
      <c r="A14" t="s">
        <v>4067</v>
      </c>
      <c r="B14" t="s">
        <v>4030</v>
      </c>
      <c r="C14" t="s">
        <v>4068</v>
      </c>
      <c r="D14" s="36">
        <v>5950</v>
      </c>
      <c r="E14" s="36">
        <v>470</v>
      </c>
      <c r="F14" s="36">
        <v>1300</v>
      </c>
      <c r="G14" s="36">
        <v>19</v>
      </c>
      <c r="H14" s="36">
        <v>31751</v>
      </c>
      <c r="I14" s="36">
        <f t="shared" si="0"/>
        <v>5058</v>
      </c>
      <c r="J14" t="s">
        <v>6157</v>
      </c>
      <c r="K14" s="54" t="s">
        <v>4583</v>
      </c>
      <c r="M14" s="6"/>
      <c r="N14" t="str">
        <f t="shared" si="1"/>
        <v>ADVISORY ONLY - NOT FOR PLANNING</v>
      </c>
    </row>
    <row r="15" spans="1:14" x14ac:dyDescent="0.3">
      <c r="A15" t="s">
        <v>4029</v>
      </c>
      <c r="B15" t="s">
        <v>4030</v>
      </c>
      <c r="C15" t="s">
        <v>4031</v>
      </c>
      <c r="D15" s="36">
        <v>6450</v>
      </c>
      <c r="E15" s="36">
        <v>470</v>
      </c>
      <c r="F15" s="36">
        <v>1350</v>
      </c>
      <c r="G15" s="36">
        <v>19</v>
      </c>
      <c r="H15" s="36">
        <v>33113</v>
      </c>
      <c r="I15" s="36">
        <f t="shared" si="0"/>
        <v>5483</v>
      </c>
      <c r="J15" t="s">
        <v>6157</v>
      </c>
      <c r="K15" s="54" t="s">
        <v>4583</v>
      </c>
      <c r="M15" s="6"/>
      <c r="N15" t="str">
        <f t="shared" si="1"/>
        <v>ADVISORY ONLY - NOT FOR PLANNING</v>
      </c>
    </row>
    <row r="16" spans="1:14" x14ac:dyDescent="0.3">
      <c r="A16" t="s">
        <v>4106</v>
      </c>
      <c r="B16" t="s">
        <v>4030</v>
      </c>
      <c r="C16" t="s">
        <v>4107</v>
      </c>
      <c r="D16" s="36">
        <v>3000</v>
      </c>
      <c r="E16" s="36">
        <v>450</v>
      </c>
      <c r="F16" s="36">
        <v>1000</v>
      </c>
      <c r="G16" s="36">
        <v>9</v>
      </c>
      <c r="H16" s="36">
        <v>17960</v>
      </c>
      <c r="I16" s="36">
        <f t="shared" si="0"/>
        <v>2550</v>
      </c>
      <c r="J16" t="s">
        <v>6157</v>
      </c>
      <c r="K16" s="54" t="s">
        <v>4583</v>
      </c>
      <c r="M16" s="6"/>
      <c r="N16" t="str">
        <f t="shared" si="1"/>
        <v>ADVISORY ONLY - NOT FOR PLANNING</v>
      </c>
    </row>
    <row r="17" spans="1:14" x14ac:dyDescent="0.3">
      <c r="A17" t="s">
        <v>3867</v>
      </c>
      <c r="B17" t="s">
        <v>3853</v>
      </c>
      <c r="C17" t="s">
        <v>3868</v>
      </c>
      <c r="D17" s="36">
        <v>1150</v>
      </c>
      <c r="E17" s="36">
        <v>340</v>
      </c>
      <c r="F17" s="36">
        <v>380</v>
      </c>
      <c r="G17" s="36">
        <v>5</v>
      </c>
      <c r="H17" s="36">
        <v>3674</v>
      </c>
      <c r="I17" s="36">
        <f t="shared" si="0"/>
        <v>978</v>
      </c>
      <c r="J17" t="s">
        <v>6157</v>
      </c>
      <c r="K17" s="54" t="s">
        <v>4583</v>
      </c>
      <c r="M17" s="6"/>
      <c r="N17" t="str">
        <f t="shared" si="1"/>
        <v>ADVISORY ONLY - NOT FOR PLANNING</v>
      </c>
    </row>
    <row r="18" spans="1:14" x14ac:dyDescent="0.3">
      <c r="A18" t="s">
        <v>4061</v>
      </c>
      <c r="B18" t="s">
        <v>3853</v>
      </c>
      <c r="C18" t="s">
        <v>4062</v>
      </c>
      <c r="D18" s="36">
        <v>2100</v>
      </c>
      <c r="E18" s="36">
        <v>420</v>
      </c>
      <c r="F18" s="36">
        <v>600</v>
      </c>
      <c r="G18" s="36">
        <v>12</v>
      </c>
      <c r="H18" s="36">
        <v>9304</v>
      </c>
      <c r="I18" s="36">
        <f t="shared" si="0"/>
        <v>1785</v>
      </c>
      <c r="J18" t="s">
        <v>6157</v>
      </c>
      <c r="K18" s="54" t="s">
        <v>4583</v>
      </c>
      <c r="M18" s="6"/>
      <c r="N18" t="str">
        <f t="shared" si="1"/>
        <v>ADVISORY ONLY - NOT FOR PLANNING</v>
      </c>
    </row>
    <row r="19" spans="1:14" x14ac:dyDescent="0.3">
      <c r="A19" t="s">
        <v>4084</v>
      </c>
      <c r="B19" t="s">
        <v>3853</v>
      </c>
      <c r="C19" t="s">
        <v>4085</v>
      </c>
      <c r="D19" s="36">
        <v>3500</v>
      </c>
      <c r="E19" s="36">
        <v>476</v>
      </c>
      <c r="F19" s="36">
        <v>800</v>
      </c>
      <c r="G19" s="36">
        <v>12</v>
      </c>
      <c r="H19" s="36">
        <v>17696</v>
      </c>
      <c r="I19" s="36">
        <f t="shared" si="0"/>
        <v>2975</v>
      </c>
      <c r="J19" t="s">
        <v>6157</v>
      </c>
      <c r="K19" s="54" t="s">
        <v>4583</v>
      </c>
      <c r="M19" s="6"/>
      <c r="N19" t="str">
        <f t="shared" si="1"/>
        <v>ADVISORY ONLY - NOT FOR PLANNING</v>
      </c>
    </row>
    <row r="20" spans="1:14" x14ac:dyDescent="0.3">
      <c r="A20" t="s">
        <v>4119</v>
      </c>
      <c r="B20" t="s">
        <v>3853</v>
      </c>
      <c r="C20" t="s">
        <v>4120</v>
      </c>
      <c r="D20" s="36">
        <v>3070</v>
      </c>
      <c r="E20" s="36">
        <v>500</v>
      </c>
      <c r="F20" s="36">
        <v>900</v>
      </c>
      <c r="G20" s="36">
        <v>12</v>
      </c>
      <c r="H20" s="36">
        <v>16375</v>
      </c>
      <c r="I20" s="36">
        <f t="shared" si="0"/>
        <v>2610</v>
      </c>
      <c r="J20" t="s">
        <v>6157</v>
      </c>
      <c r="K20" s="54" t="s">
        <v>4583</v>
      </c>
      <c r="M20" s="6"/>
      <c r="N20" t="str">
        <f t="shared" si="1"/>
        <v>ADVISORY ONLY - NOT FOR PLANNING</v>
      </c>
    </row>
    <row r="21" spans="1:14" x14ac:dyDescent="0.3">
      <c r="A21" t="s">
        <v>3852</v>
      </c>
      <c r="B21" t="s">
        <v>3853</v>
      </c>
      <c r="C21" t="s">
        <v>6159</v>
      </c>
      <c r="D21" s="36">
        <v>1070</v>
      </c>
      <c r="E21" s="36">
        <v>175</v>
      </c>
      <c r="F21" s="36">
        <v>180</v>
      </c>
      <c r="G21" s="36">
        <v>14</v>
      </c>
      <c r="H21" s="36">
        <v>3970</v>
      </c>
      <c r="I21" s="36">
        <f t="shared" si="0"/>
        <v>910</v>
      </c>
      <c r="J21" t="s">
        <v>6157</v>
      </c>
      <c r="K21" s="54" t="s">
        <v>4583</v>
      </c>
      <c r="M21" s="6"/>
      <c r="N21" t="str">
        <f t="shared" si="1"/>
        <v>ADVISORY ONLY - NOT FOR PLANNING</v>
      </c>
    </row>
    <row r="22" spans="1:14" x14ac:dyDescent="0.3">
      <c r="A22" t="s">
        <v>3961</v>
      </c>
      <c r="B22" t="s">
        <v>3853</v>
      </c>
      <c r="C22" t="s">
        <v>3962</v>
      </c>
      <c r="D22" s="36">
        <v>640</v>
      </c>
      <c r="E22" s="36">
        <v>122</v>
      </c>
      <c r="F22" s="36">
        <v>32</v>
      </c>
      <c r="G22" s="36">
        <v>4</v>
      </c>
      <c r="H22" s="36">
        <v>1157</v>
      </c>
      <c r="I22" s="36">
        <f t="shared" si="0"/>
        <v>544</v>
      </c>
      <c r="J22" t="s">
        <v>6157</v>
      </c>
      <c r="K22" s="54" t="s">
        <v>4583</v>
      </c>
      <c r="M22" s="6"/>
      <c r="N22" t="str">
        <f t="shared" si="1"/>
        <v>ADVISORY ONLY - NOT FOR PLANNING</v>
      </c>
    </row>
    <row r="23" spans="1:14" x14ac:dyDescent="0.3">
      <c r="A23" t="s">
        <v>3887</v>
      </c>
      <c r="B23" t="s">
        <v>3888</v>
      </c>
      <c r="C23" t="s">
        <v>6160</v>
      </c>
      <c r="D23" s="36">
        <v>1800</v>
      </c>
      <c r="E23" s="36">
        <v>280</v>
      </c>
      <c r="F23" s="36">
        <v>250</v>
      </c>
      <c r="G23" s="36">
        <v>9</v>
      </c>
      <c r="H23" s="36">
        <v>4740</v>
      </c>
      <c r="I23" s="36">
        <f t="shared" si="0"/>
        <v>1530</v>
      </c>
      <c r="J23" t="s">
        <v>6157</v>
      </c>
      <c r="K23" s="54" t="s">
        <v>4583</v>
      </c>
      <c r="M23" s="6"/>
      <c r="N23" t="str">
        <f t="shared" si="1"/>
        <v>ADVISORY ONLY - NOT FOR PLANNING</v>
      </c>
    </row>
    <row r="24" spans="1:14" x14ac:dyDescent="0.3">
      <c r="A24" t="s">
        <v>4045</v>
      </c>
      <c r="B24" t="s">
        <v>3888</v>
      </c>
      <c r="C24" t="s">
        <v>4046</v>
      </c>
      <c r="D24" s="36">
        <v>2000</v>
      </c>
      <c r="E24" s="36">
        <v>440</v>
      </c>
      <c r="F24" s="36">
        <v>450</v>
      </c>
      <c r="G24" s="36">
        <v>11</v>
      </c>
      <c r="H24" s="36">
        <v>8300</v>
      </c>
      <c r="I24" s="36">
        <f t="shared" si="0"/>
        <v>1700</v>
      </c>
      <c r="J24" t="s">
        <v>6157</v>
      </c>
      <c r="K24" s="54" t="s">
        <v>4583</v>
      </c>
      <c r="M24" s="6"/>
      <c r="N24" t="str">
        <f t="shared" si="1"/>
        <v>ADVISORY ONLY - NOT FOR PLANNING</v>
      </c>
    </row>
    <row r="25" spans="1:14" x14ac:dyDescent="0.3">
      <c r="A25" t="s">
        <v>4140</v>
      </c>
      <c r="B25" t="s">
        <v>4141</v>
      </c>
      <c r="C25" t="s">
        <v>4142</v>
      </c>
      <c r="D25" s="36">
        <v>1800</v>
      </c>
      <c r="E25" s="36">
        <v>300</v>
      </c>
      <c r="F25" s="36">
        <v>250</v>
      </c>
      <c r="G25" s="36">
        <v>11</v>
      </c>
      <c r="H25" s="36">
        <v>6804</v>
      </c>
      <c r="I25" s="36">
        <f t="shared" si="0"/>
        <v>1530</v>
      </c>
      <c r="J25" t="s">
        <v>6157</v>
      </c>
      <c r="K25" s="54" t="s">
        <v>4583</v>
      </c>
      <c r="M25" s="6"/>
      <c r="N25" t="str">
        <f t="shared" si="1"/>
        <v>ADVISORY ONLY - NOT FOR PLANNING</v>
      </c>
    </row>
    <row r="26" spans="1:14" x14ac:dyDescent="0.3">
      <c r="A26" t="s">
        <v>3895</v>
      </c>
      <c r="B26" t="s">
        <v>3896</v>
      </c>
      <c r="C26" t="s">
        <v>3897</v>
      </c>
      <c r="D26" s="36">
        <v>750</v>
      </c>
      <c r="E26" s="36">
        <v>160</v>
      </c>
      <c r="F26" s="36">
        <v>120</v>
      </c>
      <c r="G26" s="36">
        <v>9</v>
      </c>
      <c r="H26" s="36">
        <v>3357</v>
      </c>
      <c r="I26" s="36">
        <f t="shared" si="0"/>
        <v>638</v>
      </c>
      <c r="J26" t="s">
        <v>6157</v>
      </c>
      <c r="K26" s="54" t="s">
        <v>4583</v>
      </c>
      <c r="M26" s="6"/>
      <c r="N26" t="str">
        <f t="shared" si="1"/>
        <v>ADVISORY ONLY - NOT FOR PLANNING</v>
      </c>
    </row>
    <row r="27" spans="1:14" x14ac:dyDescent="0.3">
      <c r="A27" t="s">
        <v>6161</v>
      </c>
      <c r="B27" t="s">
        <v>6162</v>
      </c>
      <c r="C27">
        <v>228</v>
      </c>
      <c r="D27" s="36">
        <v>600</v>
      </c>
      <c r="E27" s="36">
        <v>200</v>
      </c>
      <c r="F27" s="36">
        <v>180</v>
      </c>
      <c r="G27" s="36">
        <v>19</v>
      </c>
      <c r="H27" s="36">
        <v>6400</v>
      </c>
      <c r="I27" s="36">
        <f t="shared" si="0"/>
        <v>510</v>
      </c>
      <c r="J27" t="s">
        <v>6157</v>
      </c>
      <c r="K27" s="54" t="s">
        <v>4583</v>
      </c>
      <c r="M27" s="6"/>
      <c r="N27" t="str">
        <f t="shared" si="1"/>
        <v>ADVISORY ONLY - NOT FOR PLANNING</v>
      </c>
    </row>
    <row r="28" spans="1:14" x14ac:dyDescent="0.3">
      <c r="A28" t="s">
        <v>3891</v>
      </c>
      <c r="B28" t="s">
        <v>3879</v>
      </c>
      <c r="C28" t="s">
        <v>3892</v>
      </c>
      <c r="D28" s="36">
        <v>2935</v>
      </c>
      <c r="E28" s="36">
        <v>447</v>
      </c>
      <c r="F28" s="36">
        <v>2500</v>
      </c>
      <c r="G28" s="36">
        <v>189</v>
      </c>
      <c r="H28" s="36">
        <v>79010</v>
      </c>
      <c r="I28" s="36">
        <f t="shared" si="0"/>
        <v>2495</v>
      </c>
      <c r="J28" t="s">
        <v>6157</v>
      </c>
      <c r="K28" s="54" t="s">
        <v>4583</v>
      </c>
      <c r="M28" s="6"/>
      <c r="N28" t="str">
        <f t="shared" si="1"/>
        <v>ADVISORY ONLY - NOT FOR PLANNING</v>
      </c>
    </row>
    <row r="29" spans="1:14" x14ac:dyDescent="0.3">
      <c r="A29" t="s">
        <v>6163</v>
      </c>
      <c r="B29" t="s">
        <v>3879</v>
      </c>
      <c r="C29" t="s">
        <v>6164</v>
      </c>
      <c r="D29" s="36">
        <v>3010</v>
      </c>
      <c r="E29" s="36">
        <v>447</v>
      </c>
      <c r="F29" s="36">
        <v>2400</v>
      </c>
      <c r="G29" s="36">
        <v>149</v>
      </c>
      <c r="H29" s="36">
        <v>70080</v>
      </c>
      <c r="I29" s="36">
        <f t="shared" si="0"/>
        <v>2559</v>
      </c>
      <c r="J29" t="s">
        <v>6157</v>
      </c>
      <c r="K29" s="54" t="s">
        <v>4583</v>
      </c>
      <c r="M29" s="6"/>
      <c r="N29" t="str">
        <f t="shared" si="1"/>
        <v>ADVISORY ONLY - NOT FOR PLANNING</v>
      </c>
    </row>
    <row r="30" spans="1:14" x14ac:dyDescent="0.3">
      <c r="A30" t="s">
        <v>3977</v>
      </c>
      <c r="B30" t="s">
        <v>3879</v>
      </c>
      <c r="C30" t="s">
        <v>3978</v>
      </c>
      <c r="D30" s="36">
        <v>2270</v>
      </c>
      <c r="E30" s="36">
        <v>430</v>
      </c>
      <c r="F30" s="36">
        <v>2600</v>
      </c>
      <c r="G30" s="36">
        <v>149</v>
      </c>
      <c r="H30" s="36">
        <v>61230</v>
      </c>
      <c r="I30" s="36">
        <f t="shared" si="0"/>
        <v>1930</v>
      </c>
      <c r="J30" t="s">
        <v>6157</v>
      </c>
      <c r="K30" s="54" t="s">
        <v>4583</v>
      </c>
      <c r="M30" s="6"/>
      <c r="N30" t="str">
        <f t="shared" si="1"/>
        <v>ADVISORY ONLY - NOT FOR PLANNING</v>
      </c>
    </row>
    <row r="31" spans="1:14" x14ac:dyDescent="0.3">
      <c r="A31" t="s">
        <v>3899</v>
      </c>
      <c r="B31" t="s">
        <v>3879</v>
      </c>
      <c r="C31" t="s">
        <v>3900</v>
      </c>
      <c r="D31" s="36">
        <v>2600</v>
      </c>
      <c r="E31" s="36">
        <v>420</v>
      </c>
      <c r="F31" s="36">
        <v>3000</v>
      </c>
      <c r="G31" s="36">
        <v>136</v>
      </c>
      <c r="H31" s="36">
        <v>52400</v>
      </c>
      <c r="I31" s="36">
        <f t="shared" si="0"/>
        <v>2210</v>
      </c>
      <c r="J31" t="s">
        <v>6157</v>
      </c>
      <c r="K31" s="54" t="s">
        <v>4583</v>
      </c>
      <c r="M31" s="6"/>
      <c r="N31" t="str">
        <f t="shared" si="1"/>
        <v>ADVISORY ONLY - NOT FOR PLANNING</v>
      </c>
    </row>
    <row r="32" spans="1:14" x14ac:dyDescent="0.3">
      <c r="A32" t="s">
        <v>4008</v>
      </c>
      <c r="B32" t="s">
        <v>3879</v>
      </c>
      <c r="C32" t="s">
        <v>4009</v>
      </c>
      <c r="D32" s="36">
        <v>3900</v>
      </c>
      <c r="E32" s="36">
        <v>470</v>
      </c>
      <c r="F32" s="36">
        <v>4500</v>
      </c>
      <c r="G32" s="36">
        <v>245</v>
      </c>
      <c r="H32" s="36">
        <v>179170</v>
      </c>
      <c r="I32" s="36">
        <f t="shared" si="0"/>
        <v>3315</v>
      </c>
      <c r="J32" t="s">
        <v>6157</v>
      </c>
      <c r="K32" s="54" t="s">
        <v>4583</v>
      </c>
      <c r="M32" s="6"/>
      <c r="N32" t="str">
        <f t="shared" si="1"/>
        <v>ADVISORY ONLY - NOT FOR PLANNING</v>
      </c>
    </row>
    <row r="33" spans="1:14" x14ac:dyDescent="0.3">
      <c r="A33" t="s">
        <v>3878</v>
      </c>
      <c r="B33" t="s">
        <v>3879</v>
      </c>
      <c r="C33" t="s">
        <v>3880</v>
      </c>
      <c r="D33" s="36">
        <v>5980</v>
      </c>
      <c r="E33" s="36">
        <v>470</v>
      </c>
      <c r="F33" s="36">
        <v>4800</v>
      </c>
      <c r="G33" s="36">
        <v>351</v>
      </c>
      <c r="H33" s="36">
        <v>186880</v>
      </c>
      <c r="I33" s="36">
        <f t="shared" si="0"/>
        <v>5083</v>
      </c>
      <c r="J33" t="s">
        <v>6157</v>
      </c>
      <c r="K33" s="54" t="s">
        <v>4583</v>
      </c>
      <c r="M33" s="6"/>
      <c r="N33" t="str">
        <f t="shared" si="1"/>
        <v>ADVISORY ONLY - NOT FOR PLANNING</v>
      </c>
    </row>
    <row r="34" spans="1:14" x14ac:dyDescent="0.3">
      <c r="A34" t="s">
        <v>3947</v>
      </c>
      <c r="B34" t="s">
        <v>3879</v>
      </c>
      <c r="C34" t="s">
        <v>4006</v>
      </c>
      <c r="D34" s="36">
        <v>7355</v>
      </c>
      <c r="E34" s="36">
        <v>488</v>
      </c>
      <c r="F34" s="36">
        <v>5400</v>
      </c>
      <c r="G34" s="36">
        <v>248</v>
      </c>
      <c r="H34" s="36">
        <v>227930</v>
      </c>
      <c r="I34" s="36">
        <f t="shared" si="0"/>
        <v>6252</v>
      </c>
      <c r="J34" t="s">
        <v>6157</v>
      </c>
      <c r="K34" s="54" t="s">
        <v>4583</v>
      </c>
      <c r="M34" s="6"/>
      <c r="N34" t="str">
        <f t="shared" si="1"/>
        <v>ADVISORY ONLY - NOT FOR PLANNING</v>
      </c>
    </row>
    <row r="35" spans="1:14" x14ac:dyDescent="0.3">
      <c r="A35" t="s">
        <v>3985</v>
      </c>
      <c r="B35" t="s">
        <v>3879</v>
      </c>
      <c r="C35" t="s">
        <v>3986</v>
      </c>
      <c r="D35" s="36">
        <v>7635</v>
      </c>
      <c r="E35" s="36">
        <v>488</v>
      </c>
      <c r="F35" s="36">
        <v>5600</v>
      </c>
      <c r="G35" s="36">
        <v>296</v>
      </c>
      <c r="H35" s="36">
        <v>254011</v>
      </c>
      <c r="I35" s="36">
        <f t="shared" si="0"/>
        <v>6490</v>
      </c>
      <c r="J35" t="s">
        <v>6157</v>
      </c>
      <c r="K35" s="54" t="s">
        <v>4583</v>
      </c>
      <c r="M35" s="6"/>
      <c r="N35" t="str">
        <f t="shared" si="1"/>
        <v>ADVISORY ONLY - NOT FOR PLANNING</v>
      </c>
    </row>
    <row r="36" spans="1:14" x14ac:dyDescent="0.3">
      <c r="A36" t="s">
        <v>3918</v>
      </c>
      <c r="B36" t="s">
        <v>3879</v>
      </c>
      <c r="C36" t="s">
        <v>3919</v>
      </c>
      <c r="D36" s="36">
        <v>7370</v>
      </c>
      <c r="E36" s="36">
        <v>490</v>
      </c>
      <c r="F36" s="36">
        <v>7500</v>
      </c>
      <c r="G36" s="36">
        <v>396</v>
      </c>
      <c r="H36" s="36">
        <v>351534</v>
      </c>
      <c r="I36" s="36">
        <f t="shared" si="0"/>
        <v>6265</v>
      </c>
      <c r="J36" t="s">
        <v>6157</v>
      </c>
      <c r="K36" s="54" t="s">
        <v>4583</v>
      </c>
      <c r="M36" s="6"/>
      <c r="N36" t="str">
        <f t="shared" si="1"/>
        <v>ADVISORY ONLY - NOT FOR PLANNING</v>
      </c>
    </row>
    <row r="37" spans="1:14" x14ac:dyDescent="0.3">
      <c r="A37" t="s">
        <v>4013</v>
      </c>
      <c r="B37" t="s">
        <v>3879</v>
      </c>
      <c r="C37" t="s">
        <v>4014</v>
      </c>
      <c r="D37" s="36">
        <v>4970</v>
      </c>
      <c r="E37" s="36">
        <v>490</v>
      </c>
      <c r="F37" s="36">
        <v>7200</v>
      </c>
      <c r="G37" s="36">
        <v>0</v>
      </c>
      <c r="H37" s="36">
        <v>347450</v>
      </c>
      <c r="I37" s="36">
        <f t="shared" si="0"/>
        <v>4225</v>
      </c>
      <c r="J37" t="s">
        <v>6157</v>
      </c>
      <c r="K37" s="54" t="s">
        <v>4583</v>
      </c>
      <c r="M37" s="6"/>
      <c r="N37" t="str">
        <f t="shared" si="1"/>
        <v>ADVISORY ONLY - NOT FOR PLANNING</v>
      </c>
    </row>
    <row r="38" spans="1:14" x14ac:dyDescent="0.3">
      <c r="A38" t="s">
        <v>3937</v>
      </c>
      <c r="B38" t="s">
        <v>3879</v>
      </c>
      <c r="C38" t="s">
        <v>4153</v>
      </c>
      <c r="D38" s="36">
        <v>7260</v>
      </c>
      <c r="E38" s="36">
        <v>495</v>
      </c>
      <c r="F38" s="36">
        <v>10500</v>
      </c>
      <c r="G38" s="36">
        <v>524</v>
      </c>
      <c r="H38" s="36">
        <v>396893</v>
      </c>
      <c r="I38" s="36">
        <f t="shared" si="0"/>
        <v>6171</v>
      </c>
      <c r="J38" t="s">
        <v>6157</v>
      </c>
      <c r="K38" s="54" t="s">
        <v>4583</v>
      </c>
      <c r="M38" s="6"/>
      <c r="N38" t="str">
        <f t="shared" si="1"/>
        <v>ADVISORY ONLY - NOT FOR PLANNING</v>
      </c>
    </row>
    <row r="39" spans="1:14" x14ac:dyDescent="0.3">
      <c r="A39" t="s">
        <v>3990</v>
      </c>
      <c r="B39" t="s">
        <v>3879</v>
      </c>
      <c r="C39" t="s">
        <v>3991</v>
      </c>
      <c r="D39" s="36">
        <v>7730</v>
      </c>
      <c r="E39" s="36">
        <v>495</v>
      </c>
      <c r="F39" s="36">
        <v>10500</v>
      </c>
      <c r="G39" s="36">
        <v>100</v>
      </c>
      <c r="H39" s="36">
        <v>447696</v>
      </c>
      <c r="I39" s="36">
        <f t="shared" si="0"/>
        <v>6571</v>
      </c>
      <c r="J39" t="s">
        <v>6157</v>
      </c>
      <c r="K39" s="54" t="s">
        <v>4583</v>
      </c>
      <c r="M39" s="6"/>
      <c r="N39" t="str">
        <f t="shared" si="1"/>
        <v>ADVISORY ONLY - NOT FOR PLANNING</v>
      </c>
    </row>
    <row r="40" spans="1:14" x14ac:dyDescent="0.3">
      <c r="A40" t="s">
        <v>3993</v>
      </c>
      <c r="B40" t="s">
        <v>3904</v>
      </c>
      <c r="C40" t="s">
        <v>6165</v>
      </c>
      <c r="D40" s="36">
        <v>3750</v>
      </c>
      <c r="E40" s="36">
        <v>447</v>
      </c>
      <c r="F40" s="36">
        <v>2200</v>
      </c>
      <c r="G40" s="36">
        <v>39</v>
      </c>
      <c r="H40" s="36">
        <v>75500</v>
      </c>
      <c r="I40" s="36">
        <f t="shared" si="0"/>
        <v>3188</v>
      </c>
      <c r="J40" t="s">
        <v>6157</v>
      </c>
      <c r="K40" s="54" t="s">
        <v>4583</v>
      </c>
      <c r="M40" s="6"/>
      <c r="N40" t="str">
        <f t="shared" si="1"/>
        <v>ADVISORY ONLY - NOT FOR PLANNING</v>
      </c>
    </row>
    <row r="41" spans="1:14" x14ac:dyDescent="0.3">
      <c r="A41" t="s">
        <v>3903</v>
      </c>
      <c r="B41" t="s">
        <v>3904</v>
      </c>
      <c r="C41" t="s">
        <v>3905</v>
      </c>
      <c r="D41" s="36">
        <v>3300</v>
      </c>
      <c r="E41" s="36">
        <v>447</v>
      </c>
      <c r="F41" s="36">
        <v>2400</v>
      </c>
      <c r="G41" s="36">
        <v>180</v>
      </c>
      <c r="H41" s="36">
        <v>77000</v>
      </c>
      <c r="I41" s="36">
        <f t="shared" si="0"/>
        <v>2805</v>
      </c>
      <c r="J41" t="s">
        <v>6157</v>
      </c>
      <c r="K41" s="54" t="s">
        <v>4583</v>
      </c>
      <c r="M41" s="6"/>
      <c r="N41" t="str">
        <f t="shared" si="1"/>
        <v>ADVISORY ONLY - NOT FOR PLANNING</v>
      </c>
    </row>
    <row r="42" spans="1:14" x14ac:dyDescent="0.3">
      <c r="A42" t="s">
        <v>3969</v>
      </c>
      <c r="B42" t="s">
        <v>3904</v>
      </c>
      <c r="C42" t="s">
        <v>3970</v>
      </c>
      <c r="D42" s="36">
        <v>7250</v>
      </c>
      <c r="E42" s="36">
        <v>470</v>
      </c>
      <c r="F42" s="36">
        <v>5500</v>
      </c>
      <c r="G42" s="36">
        <v>345</v>
      </c>
      <c r="H42" s="36">
        <v>242000</v>
      </c>
      <c r="I42" s="36">
        <f t="shared" si="0"/>
        <v>6163</v>
      </c>
      <c r="J42" t="s">
        <v>6157</v>
      </c>
      <c r="K42" s="54" t="s">
        <v>4583</v>
      </c>
      <c r="M42" s="6"/>
      <c r="N42" t="str">
        <f t="shared" si="1"/>
        <v>ADVISORY ONLY - NOT FOR PLANNING</v>
      </c>
    </row>
    <row r="43" spans="1:14" x14ac:dyDescent="0.3">
      <c r="A43" t="s">
        <v>3907</v>
      </c>
      <c r="B43" t="s">
        <v>3904</v>
      </c>
      <c r="C43" t="s">
        <v>3908</v>
      </c>
      <c r="D43" s="36">
        <v>4000</v>
      </c>
      <c r="E43" s="36">
        <v>470</v>
      </c>
      <c r="F43" s="36">
        <v>5600</v>
      </c>
      <c r="G43" s="36">
        <v>0</v>
      </c>
      <c r="H43" s="36">
        <v>233000</v>
      </c>
      <c r="I43" s="36">
        <f t="shared" si="0"/>
        <v>3400</v>
      </c>
      <c r="J43" t="s">
        <v>6157</v>
      </c>
      <c r="K43" s="54" t="s">
        <v>4583</v>
      </c>
      <c r="M43" s="6"/>
      <c r="N43" t="str">
        <f t="shared" si="1"/>
        <v>ADVISORY ONLY - NOT FOR PLANNING</v>
      </c>
    </row>
    <row r="44" spans="1:14" x14ac:dyDescent="0.3">
      <c r="A44" t="s">
        <v>4147</v>
      </c>
      <c r="B44" t="s">
        <v>3904</v>
      </c>
      <c r="C44" t="s">
        <v>4148</v>
      </c>
      <c r="D44" s="36">
        <v>7900</v>
      </c>
      <c r="E44" s="36">
        <v>483</v>
      </c>
      <c r="F44" s="36">
        <v>7000</v>
      </c>
      <c r="G44" s="36">
        <v>475</v>
      </c>
      <c r="H44" s="36">
        <v>380000</v>
      </c>
      <c r="I44" s="36">
        <f t="shared" si="0"/>
        <v>6715</v>
      </c>
      <c r="J44" t="s">
        <v>6157</v>
      </c>
      <c r="K44" s="54" t="s">
        <v>4583</v>
      </c>
      <c r="M44" s="6"/>
      <c r="N44" t="str">
        <f t="shared" si="1"/>
        <v>ADVISORY ONLY - NOT FOR PLANNING</v>
      </c>
    </row>
    <row r="45" spans="1:14" x14ac:dyDescent="0.3">
      <c r="A45" t="s">
        <v>3950</v>
      </c>
      <c r="B45" t="s">
        <v>3904</v>
      </c>
      <c r="C45" t="s">
        <v>3951</v>
      </c>
      <c r="D45" s="36">
        <v>8100</v>
      </c>
      <c r="E45" s="36">
        <v>488</v>
      </c>
      <c r="F45" s="36">
        <v>5800</v>
      </c>
      <c r="G45" s="36">
        <v>350</v>
      </c>
      <c r="H45" s="36">
        <v>280000</v>
      </c>
      <c r="I45" s="36">
        <f t="shared" si="0"/>
        <v>6885</v>
      </c>
      <c r="J45" t="s">
        <v>6157</v>
      </c>
      <c r="K45" s="54" t="s">
        <v>4583</v>
      </c>
      <c r="M45" s="6"/>
      <c r="N45" t="str">
        <f t="shared" si="1"/>
        <v>ADVISORY ONLY - NOT FOR PLANNING</v>
      </c>
    </row>
    <row r="46" spans="1:14" x14ac:dyDescent="0.3">
      <c r="A46" t="s">
        <v>3882</v>
      </c>
      <c r="B46" t="s">
        <v>3883</v>
      </c>
      <c r="C46" t="s">
        <v>6166</v>
      </c>
      <c r="D46" s="36">
        <v>825</v>
      </c>
      <c r="E46" s="36">
        <v>275</v>
      </c>
      <c r="F46" s="36">
        <v>600</v>
      </c>
      <c r="G46" s="36">
        <v>78</v>
      </c>
      <c r="H46" s="36">
        <v>23000</v>
      </c>
      <c r="I46" s="36">
        <f t="shared" si="0"/>
        <v>701</v>
      </c>
      <c r="J46" t="s">
        <v>6157</v>
      </c>
      <c r="K46" s="54" t="s">
        <v>4583</v>
      </c>
      <c r="M46" s="6"/>
      <c r="N46" t="str">
        <f t="shared" si="1"/>
        <v>ADVISORY ONLY - NOT FOR PLANNING</v>
      </c>
    </row>
    <row r="47" spans="1:14" x14ac:dyDescent="0.3">
      <c r="A47" t="s">
        <v>3915</v>
      </c>
      <c r="B47" t="s">
        <v>3883</v>
      </c>
      <c r="C47" t="s">
        <v>3916</v>
      </c>
      <c r="D47" s="36">
        <v>825</v>
      </c>
      <c r="E47" s="36">
        <v>275</v>
      </c>
      <c r="F47" s="36">
        <v>600</v>
      </c>
      <c r="G47" s="36">
        <v>78</v>
      </c>
      <c r="H47" s="36">
        <v>23000</v>
      </c>
      <c r="I47" s="36">
        <f t="shared" si="0"/>
        <v>701</v>
      </c>
      <c r="J47" t="s">
        <v>6157</v>
      </c>
      <c r="K47" s="54" t="s">
        <v>4583</v>
      </c>
      <c r="M47" s="6"/>
      <c r="N47" t="str">
        <f t="shared" si="1"/>
        <v>ADVISORY ONLY - NOT FOR PLANNING</v>
      </c>
    </row>
    <row r="48" spans="1:14" x14ac:dyDescent="0.3">
      <c r="A48" t="s">
        <v>3872</v>
      </c>
      <c r="B48" t="s">
        <v>3873</v>
      </c>
      <c r="C48" t="s">
        <v>3874</v>
      </c>
      <c r="D48" s="36">
        <v>1100</v>
      </c>
      <c r="E48" s="36">
        <v>360</v>
      </c>
      <c r="F48" s="36">
        <v>700</v>
      </c>
      <c r="G48" s="36">
        <v>90</v>
      </c>
      <c r="H48" s="36">
        <v>29260</v>
      </c>
      <c r="I48" s="36">
        <f t="shared" si="0"/>
        <v>935</v>
      </c>
      <c r="J48" t="s">
        <v>6157</v>
      </c>
      <c r="K48" s="54" t="s">
        <v>4583</v>
      </c>
      <c r="M48" s="6"/>
      <c r="N48" t="str">
        <f t="shared" si="1"/>
        <v>ADVISORY ONLY - NOT FOR PLANNING</v>
      </c>
    </row>
    <row r="49" spans="1:14" x14ac:dyDescent="0.3">
      <c r="A49" t="s">
        <v>3862</v>
      </c>
      <c r="B49" t="s">
        <v>3863</v>
      </c>
      <c r="C49" t="s">
        <v>3864</v>
      </c>
      <c r="D49" s="36">
        <v>2450</v>
      </c>
      <c r="E49" s="36">
        <v>447</v>
      </c>
      <c r="F49" s="36">
        <v>1600</v>
      </c>
      <c r="G49" s="36">
        <v>114</v>
      </c>
      <c r="H49" s="36">
        <v>52290</v>
      </c>
      <c r="I49" s="36">
        <f t="shared" si="0"/>
        <v>2083</v>
      </c>
      <c r="J49" t="s">
        <v>6157</v>
      </c>
      <c r="K49" s="54" t="s">
        <v>4583</v>
      </c>
      <c r="M49" s="6"/>
      <c r="N49" t="str">
        <f t="shared" si="1"/>
        <v>ADVISORY ONLY - NOT FOR PLANNING</v>
      </c>
    </row>
    <row r="50" spans="1:14" x14ac:dyDescent="0.3">
      <c r="A50" t="s">
        <v>3911</v>
      </c>
      <c r="B50" t="s">
        <v>3863</v>
      </c>
      <c r="C50" t="s">
        <v>3912</v>
      </c>
      <c r="D50" s="36">
        <v>2300</v>
      </c>
      <c r="E50" s="36">
        <v>447</v>
      </c>
      <c r="F50" s="36">
        <v>1650</v>
      </c>
      <c r="G50" s="36">
        <v>124</v>
      </c>
      <c r="H50" s="36">
        <v>52290</v>
      </c>
      <c r="I50" s="36">
        <f t="shared" si="0"/>
        <v>1955</v>
      </c>
      <c r="J50" t="s">
        <v>6157</v>
      </c>
      <c r="K50" s="54" t="s">
        <v>4583</v>
      </c>
      <c r="M50" s="6"/>
      <c r="N50" t="str">
        <f t="shared" si="1"/>
        <v>ADVISORY ONLY - NOT FOR PLANNING</v>
      </c>
    </row>
    <row r="51" spans="1:14" x14ac:dyDescent="0.3">
      <c r="A51" t="s">
        <v>6167</v>
      </c>
      <c r="B51" t="s">
        <v>3863</v>
      </c>
      <c r="C51" t="s">
        <v>6168</v>
      </c>
      <c r="D51" s="36">
        <v>2850</v>
      </c>
      <c r="E51" s="36">
        <v>447</v>
      </c>
      <c r="F51" s="36">
        <v>1400</v>
      </c>
      <c r="G51" s="36">
        <v>114</v>
      </c>
      <c r="H51" s="36">
        <v>54000</v>
      </c>
      <c r="I51" s="36">
        <f t="shared" si="0"/>
        <v>2423</v>
      </c>
      <c r="J51" t="s">
        <v>6157</v>
      </c>
      <c r="K51" s="54" t="s">
        <v>4583</v>
      </c>
      <c r="M51" s="6"/>
      <c r="N51" t="str">
        <f t="shared" si="1"/>
        <v>ADVISORY ONLY - NOT FOR PLANNING</v>
      </c>
    </row>
    <row r="52" spans="1:14" x14ac:dyDescent="0.3">
      <c r="A52" t="s">
        <v>3954</v>
      </c>
      <c r="B52" t="s">
        <v>3955</v>
      </c>
      <c r="C52" t="s">
        <v>3956</v>
      </c>
      <c r="D52" s="36">
        <v>1900</v>
      </c>
      <c r="E52" s="36">
        <v>420</v>
      </c>
      <c r="F52" s="36">
        <v>1800</v>
      </c>
      <c r="G52" s="36">
        <v>85</v>
      </c>
      <c r="H52" s="36">
        <v>36741</v>
      </c>
      <c r="I52" s="36">
        <f t="shared" si="0"/>
        <v>1615</v>
      </c>
      <c r="J52" t="s">
        <v>6157</v>
      </c>
      <c r="K52" s="54" t="s">
        <v>4583</v>
      </c>
      <c r="M52" s="6"/>
      <c r="N52" t="str">
        <f t="shared" si="1"/>
        <v>ADVISORY ONLY - NOT FOR PLANNING</v>
      </c>
    </row>
    <row r="53" spans="1:14" x14ac:dyDescent="0.3">
      <c r="D53" s="36"/>
      <c r="E53" s="36"/>
      <c r="F53" s="36"/>
      <c r="G53" s="36"/>
      <c r="H53" s="36"/>
      <c r="I53" s="36"/>
      <c r="K53" s="54"/>
    </row>
    <row r="54" spans="1:14" x14ac:dyDescent="0.3">
      <c r="D54" s="36"/>
      <c r="E54" s="36"/>
      <c r="F54" s="36"/>
      <c r="G54" s="36"/>
      <c r="H54" s="36"/>
      <c r="I54" s="36"/>
      <c r="K54" s="54"/>
    </row>
    <row r="55" spans="1:14" x14ac:dyDescent="0.3">
      <c r="D55" s="36"/>
      <c r="E55" s="36"/>
      <c r="F55" s="36"/>
      <c r="G55" s="36"/>
      <c r="H55" s="36"/>
      <c r="I55" s="36"/>
      <c r="K55" s="54"/>
    </row>
    <row r="56" spans="1:14" x14ac:dyDescent="0.3">
      <c r="D56" s="36"/>
      <c r="E56" s="36"/>
      <c r="F56" s="36"/>
      <c r="G56" s="36"/>
      <c r="H56" s="36"/>
      <c r="I56" s="36"/>
      <c r="K56" s="54"/>
    </row>
    <row r="57" spans="1:14" x14ac:dyDescent="0.3">
      <c r="D57" s="36"/>
      <c r="E57" s="36"/>
      <c r="F57" s="36"/>
      <c r="G57" s="36"/>
      <c r="H57" s="36"/>
      <c r="I57" s="36"/>
      <c r="K57" s="54"/>
    </row>
    <row r="58" spans="1:14" x14ac:dyDescent="0.3">
      <c r="D58" s="36"/>
      <c r="E58" s="36"/>
      <c r="F58" s="36"/>
      <c r="G58" s="36"/>
      <c r="H58" s="36"/>
      <c r="I58" s="36"/>
      <c r="K58" s="54"/>
    </row>
    <row r="59" spans="1:14" x14ac:dyDescent="0.3">
      <c r="D59" s="36"/>
      <c r="E59" s="36"/>
      <c r="F59" s="36"/>
      <c r="G59" s="36"/>
      <c r="H59" s="36"/>
      <c r="I59" s="36"/>
      <c r="K59" s="54"/>
    </row>
    <row r="60" spans="1:14" x14ac:dyDescent="0.3">
      <c r="D60" s="36"/>
      <c r="E60" s="36"/>
      <c r="F60" s="36"/>
      <c r="G60" s="36"/>
      <c r="H60" s="36"/>
      <c r="I60" s="36"/>
      <c r="K60" s="54"/>
    </row>
    <row r="61" spans="1:14" x14ac:dyDescent="0.3">
      <c r="D61" s="36"/>
      <c r="E61" s="36"/>
      <c r="F61" s="36"/>
      <c r="G61" s="36"/>
      <c r="H61" s="36"/>
      <c r="I61" s="36"/>
      <c r="K61" s="54"/>
    </row>
    <row r="62" spans="1:14" x14ac:dyDescent="0.3">
      <c r="D62" s="36"/>
      <c r="E62" s="36"/>
      <c r="F62" s="36"/>
      <c r="G62" s="36"/>
      <c r="H62" s="36"/>
      <c r="I62" s="36"/>
      <c r="K62" s="54"/>
    </row>
    <row r="63" spans="1:14" x14ac:dyDescent="0.3">
      <c r="D63" s="36"/>
      <c r="E63" s="36"/>
      <c r="F63" s="36"/>
      <c r="G63" s="36"/>
      <c r="H63" s="36"/>
      <c r="I63" s="36"/>
      <c r="K63" s="54"/>
    </row>
    <row r="64" spans="1:14" x14ac:dyDescent="0.3">
      <c r="D64" s="36"/>
      <c r="E64" s="36"/>
      <c r="F64" s="36"/>
      <c r="G64" s="36"/>
      <c r="H64" s="36"/>
      <c r="I64" s="36"/>
      <c r="K64" s="54"/>
    </row>
    <row r="65" spans="4:11" x14ac:dyDescent="0.3">
      <c r="D65" s="36"/>
      <c r="E65" s="36"/>
      <c r="F65" s="36"/>
      <c r="G65" s="36"/>
      <c r="H65" s="36"/>
      <c r="I65" s="36"/>
      <c r="K65" s="54"/>
    </row>
    <row r="66" spans="4:11" x14ac:dyDescent="0.3">
      <c r="D66" s="36"/>
      <c r="E66" s="36"/>
      <c r="F66" s="36"/>
      <c r="G66" s="36"/>
      <c r="H66" s="36"/>
      <c r="I66" s="36"/>
      <c r="K66" s="54"/>
    </row>
    <row r="67" spans="4:11" x14ac:dyDescent="0.3">
      <c r="D67" s="36"/>
      <c r="E67" s="36"/>
      <c r="F67" s="36"/>
      <c r="G67" s="36"/>
      <c r="H67" s="36"/>
      <c r="I67" s="36"/>
      <c r="K67" s="54"/>
    </row>
    <row r="68" spans="4:11" x14ac:dyDescent="0.3">
      <c r="D68" s="36"/>
      <c r="E68" s="36"/>
      <c r="F68" s="36"/>
      <c r="G68" s="36"/>
      <c r="H68" s="36"/>
      <c r="I68" s="36"/>
      <c r="K68" s="54"/>
    </row>
    <row r="69" spans="4:11" x14ac:dyDescent="0.3">
      <c r="D69" s="36"/>
      <c r="E69" s="36"/>
      <c r="F69" s="36"/>
      <c r="G69" s="36"/>
      <c r="H69" s="36"/>
      <c r="I69" s="36"/>
      <c r="K69" s="54"/>
    </row>
    <row r="70" spans="4:11" x14ac:dyDescent="0.3">
      <c r="D70" s="36"/>
      <c r="E70" s="36"/>
      <c r="F70" s="36"/>
      <c r="G70" s="36"/>
      <c r="H70" s="36"/>
      <c r="I70" s="36"/>
      <c r="K70" s="54"/>
    </row>
    <row r="71" spans="4:11" x14ac:dyDescent="0.3">
      <c r="D71" s="36"/>
      <c r="E71" s="36"/>
      <c r="F71" s="36"/>
      <c r="G71" s="36"/>
      <c r="H71" s="36"/>
      <c r="I71" s="36"/>
      <c r="K71" s="54"/>
    </row>
    <row r="72" spans="4:11" x14ac:dyDescent="0.3">
      <c r="D72" s="36"/>
      <c r="E72" s="36"/>
      <c r="F72" s="36"/>
      <c r="G72" s="36"/>
      <c r="H72" s="36"/>
      <c r="I72" s="36"/>
      <c r="K72" s="54"/>
    </row>
    <row r="73" spans="4:11" x14ac:dyDescent="0.3">
      <c r="D73" s="36"/>
      <c r="E73" s="36"/>
      <c r="F73" s="36"/>
      <c r="G73" s="36"/>
      <c r="H73" s="36"/>
      <c r="I73" s="36"/>
      <c r="K73" s="54"/>
    </row>
    <row r="74" spans="4:11" x14ac:dyDescent="0.3">
      <c r="D74" s="36"/>
      <c r="E74" s="36"/>
      <c r="F74" s="36"/>
      <c r="G74" s="36"/>
      <c r="H74" s="36"/>
      <c r="I74" s="36"/>
      <c r="K74" s="54"/>
    </row>
    <row r="75" spans="4:11" x14ac:dyDescent="0.3">
      <c r="D75" s="36"/>
      <c r="E75" s="36"/>
      <c r="F75" s="36"/>
      <c r="G75" s="36"/>
      <c r="H75" s="36"/>
      <c r="I75" s="36"/>
      <c r="K75" s="54"/>
    </row>
    <row r="76" spans="4:11" x14ac:dyDescent="0.3">
      <c r="D76" s="36"/>
      <c r="E76" s="36"/>
      <c r="F76" s="36"/>
      <c r="G76" s="36"/>
      <c r="H76" s="36"/>
      <c r="I76" s="36"/>
      <c r="K76" s="54"/>
    </row>
    <row r="77" spans="4:11" x14ac:dyDescent="0.3">
      <c r="D77" s="36"/>
      <c r="E77" s="36"/>
      <c r="F77" s="36"/>
      <c r="G77" s="36"/>
      <c r="H77" s="36"/>
      <c r="I77" s="36"/>
      <c r="K77" s="54"/>
    </row>
    <row r="78" spans="4:11" x14ac:dyDescent="0.3">
      <c r="D78" s="36"/>
      <c r="E78" s="36"/>
      <c r="F78" s="36"/>
      <c r="G78" s="36"/>
      <c r="H78" s="36"/>
      <c r="I78" s="36"/>
      <c r="K78" s="54"/>
    </row>
    <row r="79" spans="4:11" x14ac:dyDescent="0.3">
      <c r="D79" s="36"/>
      <c r="E79" s="36"/>
      <c r="F79" s="36"/>
      <c r="G79" s="36"/>
      <c r="H79" s="36"/>
      <c r="I79" s="36"/>
      <c r="K79" s="54"/>
    </row>
    <row r="80" spans="4:11" x14ac:dyDescent="0.3">
      <c r="D80" s="36"/>
      <c r="E80" s="36"/>
      <c r="F80" s="36"/>
      <c r="G80" s="36"/>
      <c r="H80" s="36"/>
      <c r="I80" s="36"/>
      <c r="K80" s="54"/>
    </row>
    <row r="81" spans="4:11" x14ac:dyDescent="0.3">
      <c r="D81" s="36"/>
      <c r="E81" s="36"/>
      <c r="F81" s="36"/>
      <c r="G81" s="36"/>
      <c r="H81" s="36"/>
      <c r="I81" s="36"/>
      <c r="K81" s="54"/>
    </row>
    <row r="82" spans="4:11" x14ac:dyDescent="0.3">
      <c r="D82" s="36"/>
      <c r="E82" s="36"/>
      <c r="F82" s="36"/>
      <c r="G82" s="36"/>
      <c r="H82" s="36"/>
      <c r="I82" s="36"/>
      <c r="K82" s="54"/>
    </row>
    <row r="83" spans="4:11" x14ac:dyDescent="0.3">
      <c r="D83" s="36"/>
      <c r="E83" s="36"/>
      <c r="F83" s="36"/>
      <c r="G83" s="36"/>
      <c r="H83" s="36"/>
      <c r="I83" s="36"/>
      <c r="K83" s="54"/>
    </row>
    <row r="84" spans="4:11" x14ac:dyDescent="0.3">
      <c r="D84" s="36"/>
      <c r="E84" s="36"/>
      <c r="F84" s="36"/>
      <c r="G84" s="36"/>
      <c r="H84" s="36"/>
      <c r="I84" s="36"/>
      <c r="K84" s="54"/>
    </row>
    <row r="85" spans="4:11" x14ac:dyDescent="0.3">
      <c r="D85" s="36"/>
      <c r="E85" s="36"/>
      <c r="F85" s="36"/>
      <c r="G85" s="36"/>
      <c r="H85" s="36"/>
      <c r="I85" s="36"/>
      <c r="K85" s="54"/>
    </row>
    <row r="86" spans="4:11" x14ac:dyDescent="0.3">
      <c r="D86" s="36"/>
      <c r="E86" s="36"/>
      <c r="F86" s="36"/>
      <c r="G86" s="36"/>
      <c r="H86" s="36"/>
      <c r="I86" s="36"/>
      <c r="K86" s="54"/>
    </row>
    <row r="87" spans="4:11" x14ac:dyDescent="0.3">
      <c r="D87" s="36"/>
      <c r="E87" s="36"/>
      <c r="F87" s="36"/>
      <c r="G87" s="36"/>
      <c r="H87" s="36"/>
      <c r="I87" s="36"/>
      <c r="K87" s="54"/>
    </row>
    <row r="88" spans="4:11" x14ac:dyDescent="0.3">
      <c r="D88" s="36"/>
      <c r="E88" s="36"/>
      <c r="F88" s="36"/>
      <c r="G88" s="36"/>
      <c r="H88" s="36"/>
      <c r="I88" s="36"/>
      <c r="K88" s="54"/>
    </row>
    <row r="89" spans="4:11" x14ac:dyDescent="0.3">
      <c r="D89" s="36"/>
      <c r="E89" s="36"/>
      <c r="F89" s="36"/>
      <c r="G89" s="36"/>
      <c r="H89" s="36"/>
      <c r="I89" s="36"/>
      <c r="K89" s="54"/>
    </row>
    <row r="90" spans="4:11" x14ac:dyDescent="0.3">
      <c r="D90" s="36"/>
      <c r="E90" s="36"/>
      <c r="F90" s="36"/>
      <c r="G90" s="36"/>
      <c r="H90" s="36"/>
      <c r="I90" s="36"/>
      <c r="K90" s="54"/>
    </row>
    <row r="91" spans="4:11" x14ac:dyDescent="0.3">
      <c r="D91" s="36"/>
      <c r="E91" s="36"/>
      <c r="F91" s="36"/>
      <c r="G91" s="36"/>
      <c r="H91" s="36"/>
      <c r="I91" s="36"/>
      <c r="K91" s="54"/>
    </row>
    <row r="92" spans="4:11" x14ac:dyDescent="0.3">
      <c r="D92" s="36"/>
      <c r="E92" s="36"/>
      <c r="F92" s="36"/>
      <c r="G92" s="36"/>
      <c r="H92" s="36"/>
      <c r="I92" s="36"/>
      <c r="K92" s="54"/>
    </row>
    <row r="93" spans="4:11" x14ac:dyDescent="0.3">
      <c r="D93" s="36"/>
      <c r="E93" s="36"/>
      <c r="F93" s="36"/>
      <c r="G93" s="36"/>
      <c r="H93" s="36"/>
      <c r="I93" s="36"/>
      <c r="K93" s="54"/>
    </row>
    <row r="94" spans="4:11" x14ac:dyDescent="0.3">
      <c r="D94" s="36"/>
      <c r="E94" s="36"/>
      <c r="F94" s="36"/>
      <c r="G94" s="36"/>
      <c r="H94" s="36"/>
      <c r="I94" s="36"/>
      <c r="K94" s="54"/>
    </row>
    <row r="95" spans="4:11" x14ac:dyDescent="0.3">
      <c r="D95" s="36"/>
      <c r="E95" s="36"/>
      <c r="F95" s="36"/>
      <c r="G95" s="36"/>
      <c r="H95" s="36"/>
      <c r="I95" s="36"/>
      <c r="K95" s="54"/>
    </row>
    <row r="96" spans="4:11" x14ac:dyDescent="0.3">
      <c r="D96" s="36"/>
      <c r="E96" s="36"/>
      <c r="F96" s="36"/>
      <c r="G96" s="36"/>
      <c r="H96" s="36"/>
      <c r="I96" s="36"/>
      <c r="K96" s="54"/>
    </row>
    <row r="97" spans="4:11" x14ac:dyDescent="0.3">
      <c r="D97" s="36"/>
      <c r="E97" s="36"/>
      <c r="F97" s="36"/>
      <c r="G97" s="36"/>
      <c r="H97" s="36"/>
      <c r="I97" s="36"/>
      <c r="K97" s="54"/>
    </row>
    <row r="98" spans="4:11" x14ac:dyDescent="0.3">
      <c r="D98" s="36"/>
      <c r="E98" s="36"/>
      <c r="F98" s="36"/>
      <c r="G98" s="36"/>
      <c r="H98" s="36"/>
      <c r="I98" s="36"/>
      <c r="K98" s="54"/>
    </row>
    <row r="99" spans="4:11" x14ac:dyDescent="0.3">
      <c r="D99" s="36"/>
      <c r="E99" s="36"/>
      <c r="F99" s="36"/>
      <c r="G99" s="36"/>
      <c r="H99" s="36"/>
      <c r="I99" s="36"/>
      <c r="K99" s="54"/>
    </row>
    <row r="100" spans="4:11" x14ac:dyDescent="0.3">
      <c r="D100" s="36"/>
      <c r="E100" s="36"/>
      <c r="F100" s="36"/>
      <c r="G100" s="36"/>
      <c r="H100" s="36"/>
      <c r="I100" s="36"/>
      <c r="K100" s="54"/>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46882-29DC-43AA-A2CA-DEC029C551E7}">
  <dimension ref="A1:G42"/>
  <sheetViews>
    <sheetView workbookViewId="0">
      <pane ySplit="4" topLeftCell="A5" activePane="bottomLeft" state="frozen"/>
      <selection pane="bottomLeft"/>
    </sheetView>
  </sheetViews>
  <sheetFormatPr defaultRowHeight="14.4" x14ac:dyDescent="0.3"/>
  <cols>
    <col min="1" max="1" width="7.44140625" customWidth="1"/>
    <col min="2" max="2" width="61.109375" customWidth="1"/>
    <col min="3" max="6" width="20.33203125" customWidth="1"/>
    <col min="7" max="7" width="96.33203125" customWidth="1"/>
  </cols>
  <sheetData>
    <row r="1" spans="1:7" ht="18" x14ac:dyDescent="0.35">
      <c r="A1" s="44" t="s">
        <v>6170</v>
      </c>
    </row>
    <row r="2" spans="1:7" x14ac:dyDescent="0.3">
      <c r="A2" s="32" t="s">
        <v>6171</v>
      </c>
    </row>
    <row r="4" spans="1:7" x14ac:dyDescent="0.3">
      <c r="A4" s="25" t="s">
        <v>4518</v>
      </c>
      <c r="B4" s="25" t="s">
        <v>6172</v>
      </c>
      <c r="C4" s="25" t="s">
        <v>6173</v>
      </c>
      <c r="D4" s="25" t="s">
        <v>6174</v>
      </c>
      <c r="E4" s="25" t="s">
        <v>6175</v>
      </c>
      <c r="F4" s="25" t="s">
        <v>6176</v>
      </c>
      <c r="G4" s="25" t="s">
        <v>6177</v>
      </c>
    </row>
    <row r="5" spans="1:7" ht="28.8" x14ac:dyDescent="0.3">
      <c r="A5">
        <v>1</v>
      </c>
      <c r="B5" t="s">
        <v>6178</v>
      </c>
      <c r="C5" s="5">
        <f>COUNTIFS(countries!$I$2:$I$143,"&gt;0",countries!$Q$2:$Q$143,"&lt;&gt;",countries!$S$2:$S$143,"&lt;&gt;")</f>
        <v>0</v>
      </c>
      <c r="D5" s="5">
        <f>COUNTIF(countries!$D$2:$D$143,"&lt;&gt;")</f>
        <v>142</v>
      </c>
      <c r="E5" s="75">
        <f t="shared" ref="E5:E24" si="0">IF($D5=0,"",$C5/$D5)</f>
        <v>0</v>
      </c>
      <c r="F5" t="s">
        <v>6179</v>
      </c>
      <c r="G5" s="60" t="s">
        <v>8583</v>
      </c>
    </row>
    <row r="6" spans="1:7" x14ac:dyDescent="0.3">
      <c r="A6">
        <v>2</v>
      </c>
      <c r="B6" t="s">
        <v>6217</v>
      </c>
      <c r="C6" s="5">
        <f>COUNTIFS(countries!$O$2:$O$143,"&lt;&gt;",countries!$P$2:$P$143,"&lt;&gt;")</f>
        <v>0</v>
      </c>
      <c r="D6" s="5">
        <f>COUNTIF(countries!$D$2:$D$143,"&lt;&gt;")</f>
        <v>142</v>
      </c>
      <c r="E6" s="75">
        <f t="shared" si="0"/>
        <v>0</v>
      </c>
      <c r="F6" t="s">
        <v>6179</v>
      </c>
      <c r="G6" s="60" t="s">
        <v>6218</v>
      </c>
    </row>
    <row r="7" spans="1:7" x14ac:dyDescent="0.3">
      <c r="A7">
        <v>3</v>
      </c>
      <c r="B7" t="s">
        <v>6180</v>
      </c>
      <c r="C7" s="5">
        <f>COUNTIFS(countries!$L$2:$L$143,"&lt;&gt;VERIFY",countries!$L$2:$L$143,"&lt;&gt;")</f>
        <v>0</v>
      </c>
      <c r="D7" s="5">
        <f>COUNTIF(countries!$D$2:$D$143,"&lt;&gt;")</f>
        <v>142</v>
      </c>
      <c r="E7" s="75">
        <f t="shared" si="0"/>
        <v>0</v>
      </c>
      <c r="F7" t="s">
        <v>4317</v>
      </c>
      <c r="G7" s="60" t="s">
        <v>6181</v>
      </c>
    </row>
    <row r="8" spans="1:7" x14ac:dyDescent="0.3">
      <c r="A8">
        <v>4</v>
      </c>
      <c r="B8" t="s">
        <v>6182</v>
      </c>
      <c r="C8" s="5">
        <f>COUNTA('VISA MATRIX'!$B$4:$FS$145)</f>
        <v>1</v>
      </c>
      <c r="D8" s="5">
        <f>COUNTIF('VISA MATRIX'!$A$4:$A$145,"&lt;&gt;")*COUNTIF('VISA MATRIX'!$B$3:$FS$3,"&lt;&gt;")</f>
        <v>24708</v>
      </c>
      <c r="E8" s="75">
        <f t="shared" si="0"/>
        <v>4.0472721385785981E-5</v>
      </c>
      <c r="F8" t="s">
        <v>4317</v>
      </c>
      <c r="G8" s="60" t="s">
        <v>6183</v>
      </c>
    </row>
    <row r="9" spans="1:7" x14ac:dyDescent="0.3">
      <c r="A9">
        <v>5</v>
      </c>
      <c r="B9" t="s">
        <v>6184</v>
      </c>
      <c r="C9" s="5">
        <f>COUNTIF('COUNTRY REQUIREMENTS'!$B$5:$B$80,"&lt;&gt;")</f>
        <v>2</v>
      </c>
      <c r="D9" s="5">
        <f>COUNTIF(countries!$D$2:$D$143,"&lt;&gt;")</f>
        <v>142</v>
      </c>
      <c r="E9" s="75">
        <f t="shared" si="0"/>
        <v>1.4084507042253521E-2</v>
      </c>
      <c r="F9" t="s">
        <v>4317</v>
      </c>
      <c r="G9" s="60" t="s">
        <v>6185</v>
      </c>
    </row>
    <row r="10" spans="1:7" ht="28.8" x14ac:dyDescent="0.3">
      <c r="A10">
        <v>6</v>
      </c>
      <c r="B10" t="s">
        <v>6186</v>
      </c>
      <c r="C10" s="5">
        <f>COUNTIF(Operators!$AG$2:$AG$491,"ASSIGNABLE")</f>
        <v>446</v>
      </c>
      <c r="D10" s="5">
        <f>COUNTIF(Operators!$A$2:$A$491,"&lt;&gt;")</f>
        <v>490</v>
      </c>
      <c r="E10" s="75">
        <f t="shared" si="0"/>
        <v>0.91020408163265309</v>
      </c>
      <c r="F10" t="s">
        <v>6179</v>
      </c>
      <c r="G10" s="60" t="s">
        <v>8584</v>
      </c>
    </row>
    <row r="11" spans="1:7" x14ac:dyDescent="0.3">
      <c r="A11">
        <v>7</v>
      </c>
      <c r="B11" t="s">
        <v>6187</v>
      </c>
      <c r="C11" s="5">
        <f>COUNTIFS(Aircraft!$B$2:$B$111,"&lt;&gt;",Aircraft!$N$2:$N$111,"&lt;&gt;")</f>
        <v>104</v>
      </c>
      <c r="D11" s="5">
        <f>COUNTIF(Aircraft!$B$2:$B$111,"&lt;&gt;")</f>
        <v>110</v>
      </c>
      <c r="E11" s="75">
        <f t="shared" si="0"/>
        <v>0.94545454545454544</v>
      </c>
      <c r="F11" t="s">
        <v>6179</v>
      </c>
      <c r="G11" s="60" t="s">
        <v>6188</v>
      </c>
    </row>
    <row r="12" spans="1:7" x14ac:dyDescent="0.3">
      <c r="A12">
        <v>8</v>
      </c>
      <c r="B12" t="s">
        <v>6189</v>
      </c>
      <c r="C12" s="5">
        <f>COUNTIF('AIRCRAFT PERFORMANCE'!$D$7:$D$100,"&gt;0")</f>
        <v>46</v>
      </c>
      <c r="D12" s="5">
        <f>COUNTIF('AIRCRAFT PERFORMANCE'!$A$7:$A$100,"&lt;&gt;")</f>
        <v>46</v>
      </c>
      <c r="E12" s="75">
        <f t="shared" si="0"/>
        <v>1</v>
      </c>
      <c r="F12" t="s">
        <v>4317</v>
      </c>
      <c r="G12" s="60" t="s">
        <v>6190</v>
      </c>
    </row>
    <row r="13" spans="1:7" ht="28.8" x14ac:dyDescent="0.3">
      <c r="A13">
        <v>9</v>
      </c>
      <c r="B13" t="s">
        <v>6191</v>
      </c>
      <c r="C13" s="5">
        <f>COUNTIF('AIRCRAFT PERFORMANCE'!$N$7:$N$52,"APPROVED FOR PLANNING")</f>
        <v>0</v>
      </c>
      <c r="D13" s="5">
        <f>COUNTIF('AIRCRAFT PERFORMANCE'!$A$7:$A$100,"&lt;&gt;")</f>
        <v>46</v>
      </c>
      <c r="E13" s="75">
        <f t="shared" si="0"/>
        <v>0</v>
      </c>
      <c r="F13" t="s">
        <v>6179</v>
      </c>
      <c r="G13" s="60" t="s">
        <v>8585</v>
      </c>
    </row>
    <row r="14" spans="1:7" x14ac:dyDescent="0.3">
      <c r="A14">
        <v>10</v>
      </c>
      <c r="B14" t="s">
        <v>6192</v>
      </c>
      <c r="C14" s="5">
        <f>COUNT(airports!$O$3:$O$382)</f>
        <v>380</v>
      </c>
      <c r="D14" s="5">
        <f>COUNTIF(airports!$A$3:$A$382,"&lt;&gt;")</f>
        <v>380</v>
      </c>
      <c r="E14" s="75">
        <f t="shared" si="0"/>
        <v>1</v>
      </c>
      <c r="F14" t="s">
        <v>6193</v>
      </c>
      <c r="G14" s="60" t="s">
        <v>6194</v>
      </c>
    </row>
    <row r="15" spans="1:7" x14ac:dyDescent="0.3">
      <c r="A15">
        <v>11</v>
      </c>
      <c r="B15" t="s">
        <v>6195</v>
      </c>
      <c r="C15" s="5">
        <f>COUNTIF(airports!$Y$3:$Y$382,"&lt;&gt;")</f>
        <v>1</v>
      </c>
      <c r="D15" s="5">
        <f>COUNTIF(airports!$A$3:$A$382,"&lt;&gt;")</f>
        <v>380</v>
      </c>
      <c r="E15" s="75">
        <f t="shared" si="0"/>
        <v>2.631578947368421E-3</v>
      </c>
      <c r="F15" t="s">
        <v>4317</v>
      </c>
      <c r="G15" s="60" t="s">
        <v>6196</v>
      </c>
    </row>
    <row r="16" spans="1:7" x14ac:dyDescent="0.3">
      <c r="A16">
        <v>12</v>
      </c>
      <c r="B16" t="s">
        <v>6197</v>
      </c>
      <c r="C16" s="5">
        <f>COUNTIF(airports!$AG$3:$AG$382,"&lt;&gt;")</f>
        <v>1</v>
      </c>
      <c r="D16" s="5">
        <f>COUNTIF(airports!$A$3:$A$382,"&lt;&gt;")</f>
        <v>380</v>
      </c>
      <c r="E16" s="75">
        <f t="shared" si="0"/>
        <v>2.631578947368421E-3</v>
      </c>
      <c r="F16" t="s">
        <v>4317</v>
      </c>
      <c r="G16" s="60" t="s">
        <v>6198</v>
      </c>
    </row>
    <row r="17" spans="1:7" x14ac:dyDescent="0.3">
      <c r="A17">
        <v>13</v>
      </c>
      <c r="B17" t="s">
        <v>6199</v>
      </c>
      <c r="C17" s="5">
        <f>COUNTIF(airports!$W$3:$W$382,"&lt;&gt;")</f>
        <v>1</v>
      </c>
      <c r="D17" s="5">
        <f>COUNTIF(airports!$A$3:$A$382,"&lt;&gt;")</f>
        <v>380</v>
      </c>
      <c r="E17" s="75">
        <f t="shared" si="0"/>
        <v>2.631578947368421E-3</v>
      </c>
      <c r="F17" t="s">
        <v>4317</v>
      </c>
      <c r="G17" s="60" t="s">
        <v>6200</v>
      </c>
    </row>
    <row r="18" spans="1:7" x14ac:dyDescent="0.3">
      <c r="A18">
        <v>14</v>
      </c>
      <c r="B18" t="s">
        <v>6201</v>
      </c>
      <c r="C18" s="5">
        <f>COUNTIF(HANDLERS!$C$4:$C$250,"&lt;&gt;")</f>
        <v>245</v>
      </c>
      <c r="D18" s="5">
        <f>COUNTIF(HANDLERS!$C$4:$C$250,"&lt;&gt;")</f>
        <v>245</v>
      </c>
      <c r="E18" s="75">
        <f t="shared" si="0"/>
        <v>1</v>
      </c>
      <c r="F18" t="s">
        <v>6193</v>
      </c>
      <c r="G18" s="60" t="s">
        <v>6202</v>
      </c>
    </row>
    <row r="19" spans="1:7" x14ac:dyDescent="0.3">
      <c r="A19">
        <v>15</v>
      </c>
      <c r="B19" t="s">
        <v>6203</v>
      </c>
      <c r="C19" s="5">
        <f>COUNTIF(Vendors!$AE$2:$AE$137,"APPROVED*")</f>
        <v>0</v>
      </c>
      <c r="D19" s="5">
        <f>COUNTIF(Vendors!$A$2:$A$137,"&lt;&gt;")</f>
        <v>136</v>
      </c>
      <c r="E19" s="75">
        <f t="shared" si="0"/>
        <v>0</v>
      </c>
      <c r="F19" t="s">
        <v>4317</v>
      </c>
      <c r="G19" s="60" t="s">
        <v>6204</v>
      </c>
    </row>
    <row r="20" spans="1:7" x14ac:dyDescent="0.3">
      <c r="A20">
        <v>16</v>
      </c>
      <c r="B20" t="s">
        <v>6205</v>
      </c>
      <c r="C20" s="5">
        <f>COUNTIF(Clients!$S$3:$S$60,"OK")</f>
        <v>3</v>
      </c>
      <c r="D20" s="5">
        <f>COUNTIF(Clients!$A$3:$A$60,"&lt;&gt;")</f>
        <v>3</v>
      </c>
      <c r="E20" s="75">
        <f t="shared" si="0"/>
        <v>1</v>
      </c>
      <c r="F20" t="s">
        <v>4318</v>
      </c>
      <c r="G20" s="60" t="s">
        <v>6206</v>
      </c>
    </row>
    <row r="21" spans="1:7" x14ac:dyDescent="0.3">
      <c r="A21">
        <v>17</v>
      </c>
      <c r="B21" t="s">
        <v>6207</v>
      </c>
      <c r="C21" s="5">
        <f>COUNTIF('PAX &amp; CREW'!$Q$3:$Q$62,"VALID")</f>
        <v>4</v>
      </c>
      <c r="D21" s="5">
        <f>COUNTIF('PAX &amp; CREW'!$A$3:$A$62,"&lt;&gt;")</f>
        <v>4</v>
      </c>
      <c r="E21" s="75">
        <f t="shared" si="0"/>
        <v>1</v>
      </c>
      <c r="F21" t="s">
        <v>4318</v>
      </c>
      <c r="G21" s="60" t="s">
        <v>6208</v>
      </c>
    </row>
    <row r="22" spans="1:7" x14ac:dyDescent="0.3">
      <c r="A22">
        <v>18</v>
      </c>
      <c r="B22" t="s">
        <v>6209</v>
      </c>
      <c r="C22" s="5">
        <f>COUNTIF('FLEET DOCUMENTS'!$C$5:$C$60,"&lt;&gt;")</f>
        <v>3</v>
      </c>
      <c r="D22" s="5">
        <f>COUNTIF('FLEET DOCUMENTS'!$C$5:$C$60,"&lt;&gt;")</f>
        <v>3</v>
      </c>
      <c r="E22" s="75">
        <f t="shared" si="0"/>
        <v>1</v>
      </c>
      <c r="F22" t="s">
        <v>4318</v>
      </c>
      <c r="G22" s="60" t="s">
        <v>6210</v>
      </c>
    </row>
    <row r="23" spans="1:7" x14ac:dyDescent="0.3">
      <c r="A23">
        <v>19</v>
      </c>
      <c r="B23" t="s">
        <v>6211</v>
      </c>
      <c r="C23" s="5">
        <f>COUNTIF('MESSAGE TEMPLATES'!$I$38:$I$44,"YES")</f>
        <v>5</v>
      </c>
      <c r="D23" s="5">
        <f>COUNTIF('MESSAGE TEMPLATES'!$A$38:$A$44,"&lt;&gt;")</f>
        <v>5</v>
      </c>
      <c r="E23" s="75">
        <f t="shared" si="0"/>
        <v>1</v>
      </c>
      <c r="F23" t="s">
        <v>6193</v>
      </c>
      <c r="G23" s="60" t="s">
        <v>6212</v>
      </c>
    </row>
    <row r="24" spans="1:7" x14ac:dyDescent="0.3">
      <c r="A24">
        <v>20</v>
      </c>
      <c r="B24" t="s">
        <v>6213</v>
      </c>
      <c r="C24" s="5">
        <f>COUNTIFS('USERS &amp; SETTINGS'!$A$15:$A$19,"&lt;&gt;",'USERS &amp; SETTINGS'!$D$15:$D$19,"&lt;&gt;")</f>
        <v>4</v>
      </c>
      <c r="D24" s="5">
        <f>COUNTIF('USERS &amp; SETTINGS'!$A$15:$A$19,"&lt;&gt;")</f>
        <v>4</v>
      </c>
      <c r="E24" s="75">
        <f t="shared" si="0"/>
        <v>1</v>
      </c>
      <c r="F24" t="s">
        <v>6193</v>
      </c>
      <c r="G24" s="60" t="s">
        <v>6214</v>
      </c>
    </row>
    <row r="26" spans="1:7" ht="15.6" x14ac:dyDescent="0.3">
      <c r="A26" s="76" t="str" cm="1">
        <f t="array" ref="A26">"OVERALL: "&amp;TEXT(AVERAGE($E$5:$E$24),"0%")&amp;" of tracked reference data populated. "&amp;COUNTIF($F$5:$F$24,"BLOCKER")&amp;" blocker datasets, of which "&amp;SUMPRODUCT(($F$5:$F$24="BLOCKER")*($E$5:$E$24&lt;1))&amp;" are incomplete."</f>
        <v>OVERALL: 49% of tracked reference data populated. 5 blocker datasets, of which 5 are incomplete.</v>
      </c>
    </row>
    <row r="27" spans="1:7" x14ac:dyDescent="0.3">
      <c r="A27" s="111" t="s">
        <v>8586</v>
      </c>
    </row>
    <row r="28" spans="1:7" ht="15.6" x14ac:dyDescent="0.3">
      <c r="A28" s="110" t="s">
        <v>8533</v>
      </c>
    </row>
    <row r="29" spans="1:7" x14ac:dyDescent="0.3">
      <c r="A29" s="111" t="s">
        <v>8534</v>
      </c>
    </row>
    <row r="30" spans="1:7" x14ac:dyDescent="0.3">
      <c r="B30" s="112" t="s">
        <v>8535</v>
      </c>
      <c r="C30" s="112" t="s">
        <v>6155</v>
      </c>
      <c r="D30" s="112" t="s">
        <v>8536</v>
      </c>
      <c r="E30" s="112" t="s">
        <v>8537</v>
      </c>
      <c r="G30" s="112" t="s">
        <v>8538</v>
      </c>
    </row>
    <row r="31" spans="1:7" x14ac:dyDescent="0.3">
      <c r="B31" t="s">
        <v>8539</v>
      </c>
      <c r="C31">
        <f>COUNTIF(countries!$U$2:$U$143,"VERIFIED")+COUNTIF(countries!$U$2:$U$143,"LEAD TIME OK*")</f>
        <v>0</v>
      </c>
      <c r="D31">
        <f>COUNTIF(countries!$D$2:$D$143,"&lt;&gt;")</f>
        <v>142</v>
      </c>
      <c r="E31" t="str">
        <f>IF($C31&gt;=$D31,"CLEAR","BLOCKED - "&amp;TEXT($D31-$C31,"#,##0")&amp;" outstanding")</f>
        <v>BLOCKED - 142 outstanding</v>
      </c>
      <c r="G31" t="s">
        <v>8540</v>
      </c>
    </row>
    <row r="32" spans="1:7" x14ac:dyDescent="0.3">
      <c r="B32" t="s">
        <v>8541</v>
      </c>
      <c r="C32">
        <f>COUNTIFS(countries!$O$2:$O$143,"&lt;&gt;",countries!$P$2:$P$143,"&lt;&gt;")</f>
        <v>0</v>
      </c>
      <c r="D32">
        <f>COUNTIF(countries!$D$2:$D$143,"&lt;&gt;")</f>
        <v>142</v>
      </c>
      <c r="E32" t="str">
        <f t="shared" ref="E32:E39" si="1">IF($C32&gt;=$D32,"CLEAR","BLOCKED - "&amp;TEXT($D32-$C32,"#,##0")&amp;" outstanding")</f>
        <v>BLOCKED - 142 outstanding</v>
      </c>
      <c r="G32" t="s">
        <v>8542</v>
      </c>
    </row>
    <row r="33" spans="1:7" x14ac:dyDescent="0.3">
      <c r="B33" t="s">
        <v>8543</v>
      </c>
      <c r="C33">
        <f>COUNTIFS(countries!$L$2:$L$143,"&lt;&gt;VERIFY",countries!$L$2:$L$143,"&lt;&gt;")</f>
        <v>0</v>
      </c>
      <c r="D33">
        <f>COUNTIF(countries!$D$2:$D$143,"&lt;&gt;")</f>
        <v>142</v>
      </c>
      <c r="E33" t="str">
        <f t="shared" si="1"/>
        <v>BLOCKED - 142 outstanding</v>
      </c>
      <c r="G33" t="s">
        <v>8544</v>
      </c>
    </row>
    <row r="34" spans="1:7" x14ac:dyDescent="0.3">
      <c r="B34" t="s">
        <v>8545</v>
      </c>
      <c r="C34">
        <f>COUNTIF(Operators!$AG$2:$AG$491,"ASSIGNABLE")</f>
        <v>446</v>
      </c>
      <c r="D34">
        <f>COUNTIF(Operators!$A$2:$A$491,"&lt;&gt;")</f>
        <v>490</v>
      </c>
      <c r="E34" t="str">
        <f t="shared" si="1"/>
        <v>BLOCKED - 44 outstanding</v>
      </c>
      <c r="G34" t="s">
        <v>8546</v>
      </c>
    </row>
    <row r="35" spans="1:7" x14ac:dyDescent="0.3">
      <c r="B35" t="s">
        <v>8547</v>
      </c>
      <c r="C35">
        <f>COUNTIF('AIRCRAFT PERFORMANCE'!$N$7:$N$52,"APPROVED FOR PLANNING")</f>
        <v>0</v>
      </c>
      <c r="D35">
        <f>COUNTIF('AIRCRAFT PERFORMANCE'!$A$7:$A$52,"&lt;&gt;")</f>
        <v>46</v>
      </c>
      <c r="E35" t="str">
        <f t="shared" si="1"/>
        <v>BLOCKED - 46 outstanding</v>
      </c>
      <c r="G35" t="s">
        <v>8548</v>
      </c>
    </row>
    <row r="36" spans="1:7" x14ac:dyDescent="0.3">
      <c r="B36" t="s">
        <v>8549</v>
      </c>
      <c r="C36">
        <f>COUNTIF(airports!$AY$3:$AY$382,"VERIFIED")</f>
        <v>0</v>
      </c>
      <c r="D36">
        <f>COUNTIF(airports!$A$3:$A$382,"&lt;&gt;")</f>
        <v>380</v>
      </c>
      <c r="E36" t="str">
        <f t="shared" si="1"/>
        <v>BLOCKED - 380 outstanding</v>
      </c>
      <c r="G36" t="s">
        <v>8550</v>
      </c>
    </row>
    <row r="37" spans="1:7" x14ac:dyDescent="0.3">
      <c r="B37" t="s">
        <v>6182</v>
      </c>
      <c r="C37">
        <f>COUNTA('VISA MATRIX'!$B$4:$FS$145)</f>
        <v>1</v>
      </c>
      <c r="D37">
        <f>COUNTIF('VISA MATRIX'!$A$4:$A$145,"&lt;&gt;")*COUNTIF('VISA MATRIX'!$B$3:$FS$3,"&lt;&gt;")</f>
        <v>24708</v>
      </c>
      <c r="E37" t="str">
        <f t="shared" si="1"/>
        <v>BLOCKED - 24,707 outstanding</v>
      </c>
      <c r="G37" t="s">
        <v>8551</v>
      </c>
    </row>
    <row r="38" spans="1:7" x14ac:dyDescent="0.3">
      <c r="B38" t="s">
        <v>8552</v>
      </c>
      <c r="C38">
        <f>COUNTIF(Vendors!$AE$2:$AE$137,"APPROVED*")</f>
        <v>0</v>
      </c>
      <c r="D38">
        <f>COUNTIF(Vendors!$A$2:$A$137,"&lt;&gt;")</f>
        <v>136</v>
      </c>
      <c r="E38" t="str">
        <f t="shared" si="1"/>
        <v>BLOCKED - 136 outstanding</v>
      </c>
      <c r="G38" t="s">
        <v>8553</v>
      </c>
    </row>
    <row r="39" spans="1:7" x14ac:dyDescent="0.3">
      <c r="B39" t="s">
        <v>8554</v>
      </c>
      <c r="C39">
        <f>COUNTIF('COUNTRY REQUIREMENTS'!$B$5:$B$80,"&lt;&gt;")</f>
        <v>2</v>
      </c>
      <c r="D39">
        <f>COUNTIF(countries!$D$2:$D$143,"&lt;&gt;")</f>
        <v>142</v>
      </c>
      <c r="E39" t="str">
        <f t="shared" si="1"/>
        <v>BLOCKED - 140 outstanding</v>
      </c>
      <c r="G39" t="s">
        <v>8555</v>
      </c>
    </row>
    <row r="41" spans="1:7" x14ac:dyDescent="0.3">
      <c r="A41" s="1" t="s">
        <v>8556</v>
      </c>
      <c r="B41" s="105" t="str" cm="1">
        <f t="array" ref="B41">IF(COUNTIF($E$31:$E$39,"CLEAR")=9,"ALL GATES CLEAR — V3 MAY LEAVE PILOT","PILOT ONLY — "&amp;SUMPRODUCT(--(LEFT($E$31:$E$39,7)="BLOCKED"))&amp;" of 9 gates blocked. Planning output must be treated as advisory.")</f>
        <v>PILOT ONLY — 9 of 9 gates blocked. Planning output must be treated as advisory.</v>
      </c>
    </row>
    <row r="42" spans="1:7" x14ac:dyDescent="0.3">
      <c r="A42" t="s">
        <v>8557</v>
      </c>
      <c r="B42" t="str">
        <f>admin!$B$21&amp;" (set on admin!B21)"</f>
        <v>NO (set on admin!B21)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266E4-5BE1-425B-8C23-7437C12FDC1C}">
  <dimension ref="A1:A149"/>
  <sheetViews>
    <sheetView workbookViewId="0"/>
  </sheetViews>
  <sheetFormatPr defaultRowHeight="14.4" x14ac:dyDescent="0.3"/>
  <cols>
    <col min="1" max="1" width="166.6640625" customWidth="1"/>
  </cols>
  <sheetData>
    <row r="1" spans="1:1" ht="21" x14ac:dyDescent="0.3">
      <c r="A1" s="87" t="s">
        <v>8406</v>
      </c>
    </row>
    <row r="2" spans="1:1" ht="28.8" x14ac:dyDescent="0.3">
      <c r="A2" s="88" t="s">
        <v>8407</v>
      </c>
    </row>
    <row r="3" spans="1:1" x14ac:dyDescent="0.3">
      <c r="A3" s="63"/>
    </row>
    <row r="4" spans="1:1" x14ac:dyDescent="0.3">
      <c r="A4" s="89" t="s">
        <v>4857</v>
      </c>
    </row>
    <row r="5" spans="1:1" ht="43.2" x14ac:dyDescent="0.3">
      <c r="A5" s="63" t="s">
        <v>8408</v>
      </c>
    </row>
    <row r="6" spans="1:1" x14ac:dyDescent="0.3">
      <c r="A6" s="63"/>
    </row>
    <row r="7" spans="1:1" x14ac:dyDescent="0.3">
      <c r="A7" s="89" t="s">
        <v>4859</v>
      </c>
    </row>
    <row r="8" spans="1:1" ht="43.2" x14ac:dyDescent="0.3">
      <c r="A8" s="63" t="s">
        <v>8409</v>
      </c>
    </row>
    <row r="9" spans="1:1" x14ac:dyDescent="0.3">
      <c r="A9" s="63"/>
    </row>
    <row r="10" spans="1:1" x14ac:dyDescent="0.3">
      <c r="A10" s="89" t="s">
        <v>8410</v>
      </c>
    </row>
    <row r="11" spans="1:1" ht="28.8" x14ac:dyDescent="0.3">
      <c r="A11" s="63" t="s">
        <v>8411</v>
      </c>
    </row>
    <row r="12" spans="1:1" ht="28.8" x14ac:dyDescent="0.3">
      <c r="A12" s="63" t="s">
        <v>8412</v>
      </c>
    </row>
    <row r="13" spans="1:1" ht="28.8" x14ac:dyDescent="0.3">
      <c r="A13" s="63" t="s">
        <v>8413</v>
      </c>
    </row>
    <row r="14" spans="1:1" x14ac:dyDescent="0.3">
      <c r="A14" s="63" t="s">
        <v>8414</v>
      </c>
    </row>
    <row r="15" spans="1:1" x14ac:dyDescent="0.3">
      <c r="A15" s="63" t="s">
        <v>8415</v>
      </c>
    </row>
    <row r="16" spans="1:1" x14ac:dyDescent="0.3">
      <c r="A16" s="63" t="s">
        <v>8416</v>
      </c>
    </row>
    <row r="17" spans="1:1" x14ac:dyDescent="0.3">
      <c r="A17" s="63" t="s">
        <v>8417</v>
      </c>
    </row>
    <row r="18" spans="1:1" x14ac:dyDescent="0.3">
      <c r="A18" s="63"/>
    </row>
    <row r="19" spans="1:1" x14ac:dyDescent="0.3">
      <c r="A19" s="89" t="s">
        <v>4861</v>
      </c>
    </row>
    <row r="20" spans="1:1" ht="57.6" x14ac:dyDescent="0.3">
      <c r="A20" s="63" t="s">
        <v>8418</v>
      </c>
    </row>
    <row r="21" spans="1:1" x14ac:dyDescent="0.3">
      <c r="A21" s="63"/>
    </row>
    <row r="22" spans="1:1" x14ac:dyDescent="0.3">
      <c r="A22" s="89" t="s">
        <v>8419</v>
      </c>
    </row>
    <row r="23" spans="1:1" ht="43.2" x14ac:dyDescent="0.3">
      <c r="A23" s="63" t="s">
        <v>8420</v>
      </c>
    </row>
    <row r="24" spans="1:1" x14ac:dyDescent="0.3">
      <c r="A24" s="63"/>
    </row>
    <row r="25" spans="1:1" x14ac:dyDescent="0.3">
      <c r="A25" s="89" t="s">
        <v>8421</v>
      </c>
    </row>
    <row r="26" spans="1:1" ht="43.2" x14ac:dyDescent="0.3">
      <c r="A26" s="63" t="s">
        <v>8422</v>
      </c>
    </row>
    <row r="27" spans="1:1" ht="43.2" x14ac:dyDescent="0.3">
      <c r="A27" s="63" t="s">
        <v>8423</v>
      </c>
    </row>
    <row r="28" spans="1:1" ht="28.8" x14ac:dyDescent="0.3">
      <c r="A28" s="63" t="s">
        <v>8424</v>
      </c>
    </row>
    <row r="29" spans="1:1" ht="43.2" x14ac:dyDescent="0.3">
      <c r="A29" s="63" t="s">
        <v>8558</v>
      </c>
    </row>
    <row r="30" spans="1:1" ht="57.6" x14ac:dyDescent="0.3">
      <c r="A30" s="63" t="s">
        <v>8425</v>
      </c>
    </row>
    <row r="31" spans="1:1" x14ac:dyDescent="0.3">
      <c r="A31" s="63" t="s">
        <v>8426</v>
      </c>
    </row>
    <row r="32" spans="1:1" x14ac:dyDescent="0.3">
      <c r="A32" s="63"/>
    </row>
    <row r="33" spans="1:1" x14ac:dyDescent="0.3">
      <c r="A33" s="89" t="s">
        <v>8427</v>
      </c>
    </row>
    <row r="34" spans="1:1" ht="28.8" x14ac:dyDescent="0.3">
      <c r="A34" s="63" t="s">
        <v>8428</v>
      </c>
    </row>
    <row r="35" spans="1:1" ht="43.2" x14ac:dyDescent="0.3">
      <c r="A35" s="63" t="s">
        <v>8429</v>
      </c>
    </row>
    <row r="36" spans="1:1" x14ac:dyDescent="0.3">
      <c r="A36" s="63"/>
    </row>
    <row r="37" spans="1:1" x14ac:dyDescent="0.3">
      <c r="A37" s="89" t="s">
        <v>8430</v>
      </c>
    </row>
    <row r="38" spans="1:1" ht="28.8" x14ac:dyDescent="0.3">
      <c r="A38" s="63" t="s">
        <v>8431</v>
      </c>
    </row>
    <row r="39" spans="1:1" x14ac:dyDescent="0.3">
      <c r="A39" s="63" t="s">
        <v>8432</v>
      </c>
    </row>
    <row r="40" spans="1:1" ht="28.8" x14ac:dyDescent="0.3">
      <c r="A40" s="63" t="s">
        <v>8433</v>
      </c>
    </row>
    <row r="41" spans="1:1" ht="28.8" x14ac:dyDescent="0.3">
      <c r="A41" s="63" t="s">
        <v>8434</v>
      </c>
    </row>
    <row r="42" spans="1:1" ht="28.8" x14ac:dyDescent="0.3">
      <c r="A42" s="63" t="s">
        <v>8435</v>
      </c>
    </row>
    <row r="43" spans="1:1" ht="43.2" x14ac:dyDescent="0.3">
      <c r="A43" s="63" t="s">
        <v>8436</v>
      </c>
    </row>
    <row r="44" spans="1:1" x14ac:dyDescent="0.3">
      <c r="A44" s="63" t="s">
        <v>8437</v>
      </c>
    </row>
    <row r="45" spans="1:1" x14ac:dyDescent="0.3">
      <c r="A45" s="63"/>
    </row>
    <row r="46" spans="1:1" x14ac:dyDescent="0.3">
      <c r="A46" s="89" t="s">
        <v>8438</v>
      </c>
    </row>
    <row r="47" spans="1:1" ht="43.2" x14ac:dyDescent="0.3">
      <c r="A47" s="63" t="s">
        <v>8439</v>
      </c>
    </row>
    <row r="48" spans="1:1" ht="43.2" x14ac:dyDescent="0.3">
      <c r="A48" s="63" t="s">
        <v>8440</v>
      </c>
    </row>
    <row r="49" spans="1:1" ht="28.8" x14ac:dyDescent="0.3">
      <c r="A49" s="63" t="s">
        <v>8441</v>
      </c>
    </row>
    <row r="50" spans="1:1" x14ac:dyDescent="0.3">
      <c r="A50" s="63"/>
    </row>
    <row r="51" spans="1:1" x14ac:dyDescent="0.3">
      <c r="A51" s="89" t="s">
        <v>8442</v>
      </c>
    </row>
    <row r="52" spans="1:1" ht="57.6" x14ac:dyDescent="0.3">
      <c r="A52" s="63" t="s">
        <v>8443</v>
      </c>
    </row>
    <row r="53" spans="1:1" x14ac:dyDescent="0.3">
      <c r="A53" s="63"/>
    </row>
    <row r="54" spans="1:1" x14ac:dyDescent="0.3">
      <c r="A54" s="89" t="s">
        <v>8444</v>
      </c>
    </row>
    <row r="55" spans="1:1" ht="57.6" x14ac:dyDescent="0.3">
      <c r="A55" s="63" t="s">
        <v>8445</v>
      </c>
    </row>
    <row r="56" spans="1:1" x14ac:dyDescent="0.3">
      <c r="A56" s="63"/>
    </row>
    <row r="57" spans="1:1" x14ac:dyDescent="0.3">
      <c r="A57" s="89" t="s">
        <v>8446</v>
      </c>
    </row>
    <row r="58" spans="1:1" ht="43.2" x14ac:dyDescent="0.3">
      <c r="A58" s="63" t="s">
        <v>8447</v>
      </c>
    </row>
    <row r="59" spans="1:1" ht="28.8" x14ac:dyDescent="0.3">
      <c r="A59" s="63" t="s">
        <v>8448</v>
      </c>
    </row>
    <row r="60" spans="1:1" x14ac:dyDescent="0.3">
      <c r="A60" s="63"/>
    </row>
    <row r="61" spans="1:1" x14ac:dyDescent="0.3">
      <c r="A61" s="89" t="s">
        <v>8449</v>
      </c>
    </row>
    <row r="62" spans="1:1" ht="72" x14ac:dyDescent="0.3">
      <c r="A62" s="63" t="s">
        <v>8450</v>
      </c>
    </row>
    <row r="63" spans="1:1" ht="57.6" x14ac:dyDescent="0.3">
      <c r="A63" s="63" t="s">
        <v>8451</v>
      </c>
    </row>
    <row r="64" spans="1:1" ht="43.2" x14ac:dyDescent="0.3">
      <c r="A64" s="63" t="s">
        <v>8452</v>
      </c>
    </row>
    <row r="65" spans="1:1" x14ac:dyDescent="0.3">
      <c r="A65" s="63"/>
    </row>
    <row r="66" spans="1:1" x14ac:dyDescent="0.3">
      <c r="A66" s="89" t="s">
        <v>8453</v>
      </c>
    </row>
    <row r="67" spans="1:1" ht="57.6" x14ac:dyDescent="0.3">
      <c r="A67" s="63" t="s">
        <v>8454</v>
      </c>
    </row>
    <row r="68" spans="1:1" x14ac:dyDescent="0.3">
      <c r="A68" s="63"/>
    </row>
    <row r="69" spans="1:1" x14ac:dyDescent="0.3">
      <c r="A69" s="89" t="s">
        <v>5263</v>
      </c>
    </row>
    <row r="70" spans="1:1" ht="43.2" x14ac:dyDescent="0.3">
      <c r="A70" s="63" t="s">
        <v>8455</v>
      </c>
    </row>
    <row r="71" spans="1:1" ht="57.6" x14ac:dyDescent="0.3">
      <c r="A71" s="63" t="s">
        <v>8456</v>
      </c>
    </row>
    <row r="72" spans="1:1" x14ac:dyDescent="0.3">
      <c r="A72" s="63"/>
    </row>
    <row r="73" spans="1:1" x14ac:dyDescent="0.3">
      <c r="A73" s="89" t="s">
        <v>5253</v>
      </c>
    </row>
    <row r="74" spans="1:1" ht="28.8" x14ac:dyDescent="0.3">
      <c r="A74" s="63" t="s">
        <v>8457</v>
      </c>
    </row>
    <row r="75" spans="1:1" ht="28.8" x14ac:dyDescent="0.3">
      <c r="A75" s="63" t="s">
        <v>8458</v>
      </c>
    </row>
    <row r="76" spans="1:1" ht="43.2" x14ac:dyDescent="0.3">
      <c r="A76" s="63" t="s">
        <v>8459</v>
      </c>
    </row>
    <row r="77" spans="1:1" ht="28.8" x14ac:dyDescent="0.3">
      <c r="A77" s="63" t="s">
        <v>8460</v>
      </c>
    </row>
    <row r="78" spans="1:1" ht="43.2" x14ac:dyDescent="0.3">
      <c r="A78" s="63" t="s">
        <v>8461</v>
      </c>
    </row>
    <row r="79" spans="1:1" ht="28.8" x14ac:dyDescent="0.3">
      <c r="A79" s="63" t="s">
        <v>8462</v>
      </c>
    </row>
    <row r="80" spans="1:1" ht="57.6" x14ac:dyDescent="0.3">
      <c r="A80" s="63" t="s">
        <v>8463</v>
      </c>
    </row>
    <row r="81" spans="1:1" ht="43.2" x14ac:dyDescent="0.3">
      <c r="A81" s="63" t="s">
        <v>8464</v>
      </c>
    </row>
    <row r="82" spans="1:1" x14ac:dyDescent="0.3">
      <c r="A82" s="63"/>
    </row>
    <row r="83" spans="1:1" x14ac:dyDescent="0.3">
      <c r="A83" s="89" t="s">
        <v>8465</v>
      </c>
    </row>
    <row r="84" spans="1:1" ht="57.6" x14ac:dyDescent="0.3">
      <c r="A84" s="63" t="s">
        <v>8466</v>
      </c>
    </row>
    <row r="85" spans="1:1" ht="28.8" x14ac:dyDescent="0.3">
      <c r="A85" s="63" t="s">
        <v>8467</v>
      </c>
    </row>
    <row r="86" spans="1:1" ht="28.8" x14ac:dyDescent="0.3">
      <c r="A86" s="63" t="s">
        <v>8468</v>
      </c>
    </row>
    <row r="87" spans="1:1" x14ac:dyDescent="0.3">
      <c r="A87" s="63"/>
    </row>
    <row r="88" spans="1:1" x14ac:dyDescent="0.3">
      <c r="A88" s="89" t="s">
        <v>8469</v>
      </c>
    </row>
    <row r="89" spans="1:1" ht="43.2" x14ac:dyDescent="0.3">
      <c r="A89" s="63" t="s">
        <v>8470</v>
      </c>
    </row>
    <row r="90" spans="1:1" ht="28.8" x14ac:dyDescent="0.3">
      <c r="A90" s="63" t="s">
        <v>8471</v>
      </c>
    </row>
    <row r="91" spans="1:1" ht="57.6" x14ac:dyDescent="0.3">
      <c r="A91" s="63" t="s">
        <v>8472</v>
      </c>
    </row>
    <row r="92" spans="1:1" x14ac:dyDescent="0.3">
      <c r="A92" s="63"/>
    </row>
    <row r="93" spans="1:1" x14ac:dyDescent="0.3">
      <c r="A93" s="89" t="s">
        <v>8473</v>
      </c>
    </row>
    <row r="94" spans="1:1" ht="43.2" x14ac:dyDescent="0.3">
      <c r="A94" s="63" t="s">
        <v>8474</v>
      </c>
    </row>
    <row r="95" spans="1:1" ht="57.6" x14ac:dyDescent="0.3">
      <c r="A95" s="63" t="s">
        <v>8475</v>
      </c>
    </row>
    <row r="96" spans="1:1" x14ac:dyDescent="0.3">
      <c r="A96" s="63"/>
    </row>
    <row r="97" spans="1:1" x14ac:dyDescent="0.3">
      <c r="A97" s="89" t="s">
        <v>8476</v>
      </c>
    </row>
    <row r="98" spans="1:1" ht="43.2" x14ac:dyDescent="0.3">
      <c r="A98" s="63" t="s">
        <v>8477</v>
      </c>
    </row>
    <row r="99" spans="1:1" ht="43.2" x14ac:dyDescent="0.3">
      <c r="A99" s="63" t="s">
        <v>8478</v>
      </c>
    </row>
    <row r="100" spans="1:1" ht="28.8" x14ac:dyDescent="0.3">
      <c r="A100" s="63" t="s">
        <v>8479</v>
      </c>
    </row>
    <row r="101" spans="1:1" x14ac:dyDescent="0.3">
      <c r="A101" s="63"/>
    </row>
    <row r="102" spans="1:1" x14ac:dyDescent="0.3">
      <c r="A102" s="89" t="s">
        <v>8480</v>
      </c>
    </row>
    <row r="103" spans="1:1" ht="72" x14ac:dyDescent="0.3">
      <c r="A103" s="63" t="s">
        <v>8481</v>
      </c>
    </row>
    <row r="104" spans="1:1" x14ac:dyDescent="0.3">
      <c r="A104" s="63"/>
    </row>
    <row r="105" spans="1:1" x14ac:dyDescent="0.3">
      <c r="A105" s="89" t="s">
        <v>8482</v>
      </c>
    </row>
    <row r="106" spans="1:1" ht="43.2" x14ac:dyDescent="0.3">
      <c r="A106" s="63" t="s">
        <v>8483</v>
      </c>
    </row>
    <row r="107" spans="1:1" ht="86.4" x14ac:dyDescent="0.3">
      <c r="A107" s="63" t="s">
        <v>8559</v>
      </c>
    </row>
    <row r="108" spans="1:1" ht="43.2" x14ac:dyDescent="0.3">
      <c r="A108" s="63" t="s">
        <v>8560</v>
      </c>
    </row>
    <row r="109" spans="1:1" ht="43.2" x14ac:dyDescent="0.3">
      <c r="A109" s="63" t="s">
        <v>8561</v>
      </c>
    </row>
    <row r="110" spans="1:1" x14ac:dyDescent="0.3">
      <c r="A110" s="63"/>
    </row>
    <row r="111" spans="1:1" x14ac:dyDescent="0.3">
      <c r="A111" s="113" t="s">
        <v>8562</v>
      </c>
    </row>
    <row r="112" spans="1:1" x14ac:dyDescent="0.3">
      <c r="A112" s="63" t="s">
        <v>8563</v>
      </c>
    </row>
    <row r="113" spans="1:1" ht="43.2" x14ac:dyDescent="0.3">
      <c r="A113" s="63" t="s">
        <v>8564</v>
      </c>
    </row>
    <row r="114" spans="1:1" ht="43.2" x14ac:dyDescent="0.3">
      <c r="A114" s="63" t="s">
        <v>8565</v>
      </c>
    </row>
    <row r="115" spans="1:1" ht="57.6" x14ac:dyDescent="0.3">
      <c r="A115" s="63" t="s">
        <v>8566</v>
      </c>
    </row>
    <row r="116" spans="1:1" ht="43.2" x14ac:dyDescent="0.3">
      <c r="A116" s="63" t="s">
        <v>8567</v>
      </c>
    </row>
    <row r="117" spans="1:1" ht="57.6" x14ac:dyDescent="0.3">
      <c r="A117" s="63" t="s">
        <v>8568</v>
      </c>
    </row>
    <row r="118" spans="1:1" ht="57.6" x14ac:dyDescent="0.3">
      <c r="A118" s="63" t="s">
        <v>8569</v>
      </c>
    </row>
    <row r="119" spans="1:1" x14ac:dyDescent="0.3">
      <c r="A119" s="63"/>
    </row>
    <row r="120" spans="1:1" x14ac:dyDescent="0.3">
      <c r="A120" s="89" t="s">
        <v>8484</v>
      </c>
    </row>
    <row r="121" spans="1:1" ht="72" x14ac:dyDescent="0.3">
      <c r="A121" s="63" t="s">
        <v>8485</v>
      </c>
    </row>
    <row r="122" spans="1:1" x14ac:dyDescent="0.3">
      <c r="A122" s="63"/>
    </row>
    <row r="123" spans="1:1" x14ac:dyDescent="0.3">
      <c r="A123" s="89" t="s">
        <v>8486</v>
      </c>
    </row>
    <row r="124" spans="1:1" ht="43.2" x14ac:dyDescent="0.3">
      <c r="A124" s="63" t="s">
        <v>8487</v>
      </c>
    </row>
    <row r="125" spans="1:1" ht="43.2" x14ac:dyDescent="0.3">
      <c r="A125" s="63" t="s">
        <v>8488</v>
      </c>
    </row>
    <row r="126" spans="1:1" ht="72" x14ac:dyDescent="0.3">
      <c r="A126" s="63" t="s">
        <v>8489</v>
      </c>
    </row>
    <row r="127" spans="1:1" x14ac:dyDescent="0.3">
      <c r="A127" s="63"/>
    </row>
    <row r="128" spans="1:1" x14ac:dyDescent="0.3">
      <c r="A128" s="89" t="s">
        <v>8490</v>
      </c>
    </row>
    <row r="129" spans="1:1" ht="57.6" x14ac:dyDescent="0.3">
      <c r="A129" s="63" t="s">
        <v>8491</v>
      </c>
    </row>
    <row r="130" spans="1:1" x14ac:dyDescent="0.3">
      <c r="A130" s="63"/>
    </row>
    <row r="131" spans="1:1" x14ac:dyDescent="0.3">
      <c r="A131" s="89" t="s">
        <v>8492</v>
      </c>
    </row>
    <row r="132" spans="1:1" ht="28.8" x14ac:dyDescent="0.3">
      <c r="A132" s="63" t="s">
        <v>8493</v>
      </c>
    </row>
    <row r="133" spans="1:1" ht="28.8" x14ac:dyDescent="0.3">
      <c r="A133" s="63" t="s">
        <v>8494</v>
      </c>
    </row>
    <row r="134" spans="1:1" x14ac:dyDescent="0.3">
      <c r="A134" s="63" t="s">
        <v>8495</v>
      </c>
    </row>
    <row r="135" spans="1:1" ht="28.8" x14ac:dyDescent="0.3">
      <c r="A135" s="63" t="s">
        <v>8496</v>
      </c>
    </row>
    <row r="136" spans="1:1" x14ac:dyDescent="0.3">
      <c r="A136" s="63" t="s">
        <v>8497</v>
      </c>
    </row>
    <row r="137" spans="1:1" x14ac:dyDescent="0.3">
      <c r="A137" s="63" t="s">
        <v>8498</v>
      </c>
    </row>
    <row r="138" spans="1:1" x14ac:dyDescent="0.3">
      <c r="A138" s="63" t="s">
        <v>8499</v>
      </c>
    </row>
    <row r="139" spans="1:1" ht="28.8" x14ac:dyDescent="0.3">
      <c r="A139" s="63" t="s">
        <v>8500</v>
      </c>
    </row>
    <row r="140" spans="1:1" x14ac:dyDescent="0.3">
      <c r="A140" s="63" t="s">
        <v>8501</v>
      </c>
    </row>
    <row r="141" spans="1:1" x14ac:dyDescent="0.3">
      <c r="A141" s="63" t="s">
        <v>8502</v>
      </c>
    </row>
    <row r="142" spans="1:1" x14ac:dyDescent="0.3">
      <c r="A142" s="63" t="s">
        <v>8503</v>
      </c>
    </row>
    <row r="143" spans="1:1" ht="28.8" x14ac:dyDescent="0.3">
      <c r="A143" s="63" t="s">
        <v>8570</v>
      </c>
    </row>
    <row r="144" spans="1:1" ht="28.8" x14ac:dyDescent="0.3">
      <c r="A144" s="63" t="s">
        <v>8571</v>
      </c>
    </row>
    <row r="145" spans="1:1" ht="28.8" x14ac:dyDescent="0.3">
      <c r="A145" s="63" t="s">
        <v>8572</v>
      </c>
    </row>
    <row r="146" spans="1:1" x14ac:dyDescent="0.3">
      <c r="A146" s="63"/>
    </row>
    <row r="147" spans="1:1" x14ac:dyDescent="0.3">
      <c r="A147" s="89" t="s">
        <v>4961</v>
      </c>
    </row>
    <row r="148" spans="1:1" ht="43.2" x14ac:dyDescent="0.3">
      <c r="A148" s="63" t="s">
        <v>8504</v>
      </c>
    </row>
    <row r="149" spans="1:1" x14ac:dyDescent="0.3">
      <c r="A149" s="63" t="s">
        <v>8505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TRIP MANAGER</vt:lpstr>
      <vt:lpstr>admin</vt:lpstr>
      <vt:lpstr>airports</vt:lpstr>
      <vt:lpstr>VISA RULES</vt:lpstr>
      <vt:lpstr>Vendors</vt:lpstr>
      <vt:lpstr>SERVICE CATALOGUE</vt:lpstr>
      <vt:lpstr>vendor_coverage_airports</vt:lpstr>
      <vt:lpstr>vendor_coverage_countries</vt:lpstr>
      <vt:lpstr>countries</vt:lpstr>
      <vt:lpstr>Operators</vt:lpstr>
      <vt:lpstr>Aircraft</vt:lpstr>
      <vt:lpstr>geo_grid</vt:lpstr>
      <vt:lpstr>route_calc</vt:lpstr>
      <vt:lpstr>permit_calc</vt:lpstr>
      <vt:lpstr>PAX &amp; CREW</vt:lpstr>
      <vt:lpstr>Clients</vt:lpstr>
      <vt:lpstr>Feasibility IQ</vt:lpstr>
      <vt:lpstr>fiq_calc</vt:lpstr>
      <vt:lpstr>mayfly</vt:lpstr>
      <vt:lpstr>WEBAPP BRIEF</vt:lpstr>
      <vt:lpstr>DOCUMENTS</vt:lpstr>
      <vt:lpstr>VISA MATRIX</vt:lpstr>
      <vt:lpstr>MESSAGE TEMPLATES</vt:lpstr>
      <vt:lpstr>FLEET DOCUMENTS</vt:lpstr>
      <vt:lpstr>USERS &amp; SETTINGS</vt:lpstr>
      <vt:lpstr>HANDLERS</vt:lpstr>
      <vt:lpstr>COUNTRY REQUIREMENTS</vt:lpstr>
      <vt:lpstr>AIRCRAFT PERFORMANCE</vt:lpstr>
      <vt:lpstr>DATA READINESS</vt:lpstr>
      <vt:lpstr>JETELIO V3 PROMPT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Barnabas Minja</dc:creator>
  <cp:lastModifiedBy>Barnabas Minja</cp:lastModifiedBy>
  <dcterms:created xsi:type="dcterms:W3CDTF">2026-08-04T06:42:29Z</dcterms:created>
  <dcterms:modified xsi:type="dcterms:W3CDTF">2026-08-09T11:45:29Z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a67294-6e85-4b7c-9913-db8db5eb0f24_Enabled">
    <vt:lpwstr>true</vt:lpwstr>
  </property>
  <property fmtid="{D5CDD505-2E9C-101B-9397-08002B2CF9AE}" pid="3" name="MSIP_Label_dea67294-6e85-4b7c-9913-db8db5eb0f24_SetDate">
    <vt:lpwstr>2026-08-04T07:24:48Z</vt:lpwstr>
  </property>
  <property fmtid="{D5CDD505-2E9C-101B-9397-08002B2CF9AE}" pid="4" name="MSIP_Label_dea67294-6e85-4b7c-9913-db8db5eb0f24_Method">
    <vt:lpwstr>Standard</vt:lpwstr>
  </property>
  <property fmtid="{D5CDD505-2E9C-101B-9397-08002B2CF9AE}" pid="5" name="MSIP_Label_dea67294-6e85-4b7c-9913-db8db5eb0f24_Name">
    <vt:lpwstr>2024 - Internal Information</vt:lpwstr>
  </property>
  <property fmtid="{D5CDD505-2E9C-101B-9397-08002B2CF9AE}" pid="6" name="MSIP_Label_dea67294-6e85-4b7c-9913-db8db5eb0f24_SiteId">
    <vt:lpwstr>95e2a768-a0fd-4363-bde4-fbd963fc1153</vt:lpwstr>
  </property>
  <property fmtid="{D5CDD505-2E9C-101B-9397-08002B2CF9AE}" pid="7" name="MSIP_Label_dea67294-6e85-4b7c-9913-db8db5eb0f24_ActionId">
    <vt:lpwstr>09f1251d-9d28-4673-a2a6-8fe284ef8fcc</vt:lpwstr>
  </property>
  <property fmtid="{D5CDD505-2E9C-101B-9397-08002B2CF9AE}" pid="8" name="MSIP_Label_dea67294-6e85-4b7c-9913-db8db5eb0f24_ContentBits">
    <vt:lpwstr>0</vt:lpwstr>
  </property>
  <property fmtid="{D5CDD505-2E9C-101B-9397-08002B2CF9AE}" pid="9" name="MSIP_Label_dea67294-6e85-4b7c-9913-db8db5eb0f24_Tag">
    <vt:lpwstr>10, 3, 0, 1</vt:lpwstr>
  </property>
</Properties>
</file>